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p95594\Desktop\"/>
    </mc:Choice>
  </mc:AlternateContent>
  <bookViews>
    <workbookView xWindow="25410" yWindow="4275" windowWidth="26145" windowHeight="9135"/>
  </bookViews>
  <sheets>
    <sheet name="Appendix A" sheetId="1" r:id="rId1"/>
    <sheet name="Appendix B" sheetId="73" r:id="rId2"/>
    <sheet name="Summary of Rates" sheetId="54" r:id="rId3"/>
    <sheet name="Att 1 - ADIT" sheetId="114" r:id="rId4"/>
    <sheet name="Att 1A - ADIT" sheetId="116" r:id="rId5"/>
    <sheet name="Att 2 - Other Taxes" sheetId="76" r:id="rId6"/>
    <sheet name="Att 3 - Revenue Credits" sheetId="105" r:id="rId7"/>
    <sheet name="Att 4 - 100 Basis Point ROE" sheetId="6" r:id="rId8"/>
    <sheet name="Att 5 - Cost Support" sheetId="7" r:id="rId9"/>
    <sheet name="Att 6 - Est &amp; Reconcile WS" sheetId="33" r:id="rId10"/>
    <sheet name="Att 7 - Trans Enhance Charge" sheetId="26" r:id="rId11"/>
    <sheet name="ATT 8 - Dep rates" sheetId="111" r:id="rId12"/>
    <sheet name="Att 9a - 2017 Projection" sheetId="100" r:id="rId13"/>
    <sheet name="Att 9a1-2016 Actual" sheetId="113" r:id="rId14"/>
    <sheet name="Att 9a2 - 2015 actual" sheetId="101" r:id="rId15"/>
    <sheet name="Att 9a3 - 2014 actual" sheetId="102" r:id="rId16"/>
    <sheet name="Att 9b - 2016 True-up" sheetId="104" r:id="rId17"/>
    <sheet name="Att 10 - Acc Amort of PIS" sheetId="95" r:id="rId18"/>
    <sheet name="Att 11 - Prepayments" sheetId="115" r:id="rId19"/>
    <sheet name="Att 12 - Plant Held Future Use" sheetId="79" r:id="rId20"/>
    <sheet name="Att 13 - Revenue Credit Detail" sheetId="106" r:id="rId21"/>
    <sheet name="Att 14 - Cost of Capital Detail" sheetId="93" r:id="rId22"/>
    <sheet name="Att 15 - GSU and Assoc'd Equip" sheetId="91" r:id="rId23"/>
    <sheet name="Att 16 - Unfunded Reserves" sheetId="92" r:id="rId24"/>
    <sheet name="Att 17 - PBOP" sheetId="90" r:id="rId25"/>
    <sheet name="PIS projection" sheetId="98" r:id="rId26"/>
    <sheet name="Gateway PIS Monthly" sheetId="97" r:id="rId27"/>
    <sheet name="Inputs" sheetId="31" r:id="rId28"/>
    <sheet name="FERC Form 1 data" sheetId="44" r:id="rId29"/>
  </sheets>
  <externalReferences>
    <externalReference r:id="rId30"/>
    <externalReference r:id="rId31"/>
  </externalReferences>
  <definedNames>
    <definedName name="__123Graph_A" localSheetId="3" hidden="1">'[1]AL2 151'!#REF!</definedName>
    <definedName name="__123Graph_A" localSheetId="17" hidden="1">'[1]AL2 151'!#REF!</definedName>
    <definedName name="__123Graph_A" localSheetId="18" hidden="1">'[1]AL2 151'!#REF!</definedName>
    <definedName name="__123Graph_A" localSheetId="19" hidden="1">'[1]AL2 151'!#REF!</definedName>
    <definedName name="__123Graph_A" localSheetId="22" hidden="1">'[1]AL2 151'!#REF!</definedName>
    <definedName name="__123Graph_A" localSheetId="24" hidden="1">'[1]AL2 151'!#REF!</definedName>
    <definedName name="__123Graph_A" localSheetId="4" hidden="1">'[1]AL2 151'!#REF!</definedName>
    <definedName name="__123Graph_A" localSheetId="5" hidden="1">'[1]AL2 151'!#REF!</definedName>
    <definedName name="__123Graph_A" localSheetId="12" hidden="1">'[1]AL2 151'!#REF!</definedName>
    <definedName name="__123Graph_A" localSheetId="13" hidden="1">'[1]AL2 151'!#REF!</definedName>
    <definedName name="__123Graph_A" localSheetId="15" hidden="1">'[1]AL2 151'!#REF!</definedName>
    <definedName name="__123Graph_A" localSheetId="16" hidden="1">'[1]AL2 151'!#REF!</definedName>
    <definedName name="__123Graph_A" localSheetId="25" hidden="1">[2]Inputs!#REF!</definedName>
    <definedName name="__123Graph_B" localSheetId="3" hidden="1">'[1]AL2 151'!#REF!</definedName>
    <definedName name="__123Graph_B" localSheetId="17" hidden="1">'[1]AL2 151'!#REF!</definedName>
    <definedName name="__123Graph_B" localSheetId="18" hidden="1">'[1]AL2 151'!#REF!</definedName>
    <definedName name="__123Graph_B" localSheetId="19" hidden="1">'[1]AL2 151'!#REF!</definedName>
    <definedName name="__123Graph_B" localSheetId="22" hidden="1">'[1]AL2 151'!#REF!</definedName>
    <definedName name="__123Graph_B" localSheetId="24" hidden="1">'[1]AL2 151'!#REF!</definedName>
    <definedName name="__123Graph_B" localSheetId="4" hidden="1">'[1]AL2 151'!#REF!</definedName>
    <definedName name="__123Graph_B" localSheetId="5" hidden="1">'[1]AL2 151'!#REF!</definedName>
    <definedName name="__123Graph_B" localSheetId="12" hidden="1">'[1]AL2 151'!#REF!</definedName>
    <definedName name="__123Graph_B" localSheetId="13" hidden="1">'[1]AL2 151'!#REF!</definedName>
    <definedName name="__123Graph_B" localSheetId="15" hidden="1">'[1]AL2 151'!#REF!</definedName>
    <definedName name="__123Graph_B" localSheetId="16" hidden="1">'[1]AL2 151'!#REF!</definedName>
    <definedName name="__123Graph_B" localSheetId="25" hidden="1">[2]Inputs!#REF!</definedName>
    <definedName name="__123Graph_C" localSheetId="3" hidden="1">'[1]AL2 151'!#REF!</definedName>
    <definedName name="__123Graph_C" localSheetId="17" hidden="1">'[1]AL2 151'!#REF!</definedName>
    <definedName name="__123Graph_C" localSheetId="18" hidden="1">'[1]AL2 151'!#REF!</definedName>
    <definedName name="__123Graph_C" localSheetId="19" hidden="1">'[1]AL2 151'!#REF!</definedName>
    <definedName name="__123Graph_C" localSheetId="22" hidden="1">'[1]AL2 151'!#REF!</definedName>
    <definedName name="__123Graph_C" localSheetId="24" hidden="1">'[1]AL2 151'!#REF!</definedName>
    <definedName name="__123Graph_C" localSheetId="4" hidden="1">'[1]AL2 151'!#REF!</definedName>
    <definedName name="__123Graph_C" localSheetId="5" hidden="1">'[1]AL2 151'!#REF!</definedName>
    <definedName name="__123Graph_C" localSheetId="11" hidden="1">'[1]AL2 151'!#REF!</definedName>
    <definedName name="__123Graph_C" localSheetId="12" hidden="1">'[1]AL2 151'!#REF!</definedName>
    <definedName name="__123Graph_C" localSheetId="13" hidden="1">'[1]AL2 151'!#REF!</definedName>
    <definedName name="__123Graph_C" localSheetId="15" hidden="1">'[1]AL2 151'!#REF!</definedName>
    <definedName name="__123Graph_C" localSheetId="16" hidden="1">'[1]AL2 151'!#REF!</definedName>
    <definedName name="__123Graph_C" localSheetId="25" hidden="1">'[1]AL2 151'!#REF!</definedName>
    <definedName name="__123Graph_D" localSheetId="3" hidden="1">'[1]AL2 151'!#REF!</definedName>
    <definedName name="__123Graph_D" localSheetId="17" hidden="1">'[1]AL2 151'!#REF!</definedName>
    <definedName name="__123Graph_D" localSheetId="18" hidden="1">'[1]AL2 151'!#REF!</definedName>
    <definedName name="__123Graph_D" localSheetId="19" hidden="1">'[1]AL2 151'!#REF!</definedName>
    <definedName name="__123Graph_D" localSheetId="22" hidden="1">'[1]AL2 151'!#REF!</definedName>
    <definedName name="__123Graph_D" localSheetId="24" hidden="1">'[1]AL2 151'!#REF!</definedName>
    <definedName name="__123Graph_D" localSheetId="4" hidden="1">'[1]AL2 151'!#REF!</definedName>
    <definedName name="__123Graph_D" localSheetId="5" hidden="1">'[1]AL2 151'!#REF!</definedName>
    <definedName name="__123Graph_D" localSheetId="12" hidden="1">'[1]AL2 151'!#REF!</definedName>
    <definedName name="__123Graph_D" localSheetId="13" hidden="1">'[1]AL2 151'!#REF!</definedName>
    <definedName name="__123Graph_D" localSheetId="15" hidden="1">'[1]AL2 151'!#REF!</definedName>
    <definedName name="__123Graph_D" localSheetId="16" hidden="1">'[1]AL2 151'!#REF!</definedName>
    <definedName name="__123Graph_D" localSheetId="25" hidden="1">[2]Inputs!#REF!</definedName>
    <definedName name="__123Graph_E" localSheetId="3" hidden="1">'[1]AL2 151'!#REF!</definedName>
    <definedName name="__123Graph_E" localSheetId="17" hidden="1">'[1]AL2 151'!#REF!</definedName>
    <definedName name="__123Graph_E" localSheetId="18" hidden="1">'[1]AL2 151'!#REF!</definedName>
    <definedName name="__123Graph_E" localSheetId="19" hidden="1">'[1]AL2 151'!#REF!</definedName>
    <definedName name="__123Graph_E" localSheetId="22" hidden="1">'[1]AL2 151'!#REF!</definedName>
    <definedName name="__123Graph_E" localSheetId="24" hidden="1">'[1]AL2 151'!#REF!</definedName>
    <definedName name="__123Graph_E" localSheetId="4" hidden="1">'[1]AL2 151'!#REF!</definedName>
    <definedName name="__123Graph_E" localSheetId="5" hidden="1">'[1]AL2 151'!#REF!</definedName>
    <definedName name="__123Graph_E" localSheetId="11" hidden="1">'[1]AL2 151'!#REF!</definedName>
    <definedName name="__123Graph_E" localSheetId="12" hidden="1">'[1]AL2 151'!#REF!</definedName>
    <definedName name="__123Graph_E" localSheetId="13" hidden="1">'[1]AL2 151'!#REF!</definedName>
    <definedName name="__123Graph_E" localSheetId="15" hidden="1">'[1]AL2 151'!#REF!</definedName>
    <definedName name="__123Graph_E" localSheetId="16" hidden="1">'[1]AL2 151'!#REF!</definedName>
    <definedName name="__123Graph_E" localSheetId="25" hidden="1">'[1]AL2 151'!#REF!</definedName>
    <definedName name="__123Graph_F" localSheetId="3" hidden="1">'[1]AL2 151'!#REF!</definedName>
    <definedName name="__123Graph_F" localSheetId="17" hidden="1">'[1]AL2 151'!#REF!</definedName>
    <definedName name="__123Graph_F" localSheetId="18" hidden="1">'[1]AL2 151'!#REF!</definedName>
    <definedName name="__123Graph_F" localSheetId="19" hidden="1">'[1]AL2 151'!#REF!</definedName>
    <definedName name="__123Graph_F" localSheetId="22" hidden="1">'[1]AL2 151'!#REF!</definedName>
    <definedName name="__123Graph_F" localSheetId="24" hidden="1">'[1]AL2 151'!#REF!</definedName>
    <definedName name="__123Graph_F" localSheetId="4" hidden="1">'[1]AL2 151'!#REF!</definedName>
    <definedName name="__123Graph_F" localSheetId="5" hidden="1">'[1]AL2 151'!#REF!</definedName>
    <definedName name="__123Graph_F" localSheetId="11" hidden="1">'[1]AL2 151'!#REF!</definedName>
    <definedName name="__123Graph_F" localSheetId="12" hidden="1">'[1]AL2 151'!#REF!</definedName>
    <definedName name="__123Graph_F" localSheetId="13" hidden="1">'[1]AL2 151'!#REF!</definedName>
    <definedName name="__123Graph_F" localSheetId="15" hidden="1">'[1]AL2 151'!#REF!</definedName>
    <definedName name="__123Graph_F" localSheetId="16" hidden="1">'[1]AL2 151'!#REF!</definedName>
    <definedName name="__123Graph_F" localSheetId="25" hidden="1">'[1]AL2 151'!#REF!</definedName>
    <definedName name="__123Graph_X" localSheetId="3" hidden="1">'[1]AL2 151'!#REF!</definedName>
    <definedName name="__123Graph_X" localSheetId="17" hidden="1">'[1]AL2 151'!#REF!</definedName>
    <definedName name="__123Graph_X" localSheetId="18" hidden="1">'[1]AL2 151'!#REF!</definedName>
    <definedName name="__123Graph_X" localSheetId="19" hidden="1">'[1]AL2 151'!#REF!</definedName>
    <definedName name="__123Graph_X" localSheetId="22" hidden="1">'[1]AL2 151'!#REF!</definedName>
    <definedName name="__123Graph_X" localSheetId="24" hidden="1">'[1]AL2 151'!#REF!</definedName>
    <definedName name="__123Graph_X" localSheetId="4" hidden="1">'[1]AL2 151'!#REF!</definedName>
    <definedName name="__123Graph_X" localSheetId="5" hidden="1">'[1]AL2 151'!#REF!</definedName>
    <definedName name="__123Graph_X" localSheetId="11" hidden="1">'[1]AL2 151'!#REF!</definedName>
    <definedName name="__123Graph_X" localSheetId="12" hidden="1">'[1]AL2 151'!#REF!</definedName>
    <definedName name="__123Graph_X" localSheetId="13" hidden="1">'[1]AL2 151'!#REF!</definedName>
    <definedName name="__123Graph_X" localSheetId="15" hidden="1">'[1]AL2 151'!#REF!</definedName>
    <definedName name="__123Graph_X" localSheetId="16" hidden="1">'[1]AL2 151'!#REF!</definedName>
    <definedName name="__123Graph_X" localSheetId="25" hidden="1">'[1]AL2 151'!#REF!</definedName>
    <definedName name="_Fill" localSheetId="3" hidden="1">#REF!</definedName>
    <definedName name="_Fill" localSheetId="18" hidden="1">#REF!</definedName>
    <definedName name="_Fill" localSheetId="4" hidden="1">#REF!</definedName>
    <definedName name="_Fill" localSheetId="13" hidden="1">#REF!</definedName>
    <definedName name="_Fill" hidden="1">#REF!</definedName>
    <definedName name="_xlnm._FilterDatabase" localSheetId="3" hidden="1">'Att 1 - ADIT'!$J$1:$J$890</definedName>
    <definedName name="_xlnm._FilterDatabase" localSheetId="18" hidden="1">'Att 11 - Prepayments'!$B$6:$L$53</definedName>
    <definedName name="_xlnm._FilterDatabase" localSheetId="23" hidden="1">'Att 16 - Unfunded Reserves'!$AA$1:$AA$160</definedName>
    <definedName name="_Key1" localSheetId="1" hidden="1">#REF!</definedName>
    <definedName name="_Key1" localSheetId="3" hidden="1">#REF!</definedName>
    <definedName name="_Key1" localSheetId="17" hidden="1">#REF!</definedName>
    <definedName name="_Key1" localSheetId="18" hidden="1">#REF!</definedName>
    <definedName name="_Key1" localSheetId="19" hidden="1">#REF!</definedName>
    <definedName name="_Key1" localSheetId="20" hidden="1">#REF!</definedName>
    <definedName name="_Key1" localSheetId="21" hidden="1">#REF!</definedName>
    <definedName name="_Key1" localSheetId="22" hidden="1">#REF!</definedName>
    <definedName name="_Key1" localSheetId="23" hidden="1">#REF!</definedName>
    <definedName name="_Key1" localSheetId="24" hidden="1">#REF!</definedName>
    <definedName name="_Key1" localSheetId="4" hidden="1">#REF!</definedName>
    <definedName name="_Key1" localSheetId="5" hidden="1">#REF!</definedName>
    <definedName name="_Key1" localSheetId="6" hidden="1">#REF!</definedName>
    <definedName name="_Key1" localSheetId="11" hidden="1">#REF!</definedName>
    <definedName name="_Key1" localSheetId="12" hidden="1">#REF!</definedName>
    <definedName name="_Key1" localSheetId="13" hidden="1">#REF!</definedName>
    <definedName name="_Key1" localSheetId="15" hidden="1">#REF!</definedName>
    <definedName name="_Key1" localSheetId="16" hidden="1">#REF!</definedName>
    <definedName name="_Key1" localSheetId="25" hidden="1">#REF!</definedName>
    <definedName name="_Key2" localSheetId="3" hidden="1">#REF!</definedName>
    <definedName name="_Key2" localSheetId="18" hidden="1">#REF!</definedName>
    <definedName name="_Key2" localSheetId="4" hidden="1">#REF!</definedName>
    <definedName name="_Key2" localSheetId="13" hidden="1">#REF!</definedName>
    <definedName name="_Key2" hidden="1">#REF!</definedName>
    <definedName name="_Order1" hidden="1">255</definedName>
    <definedName name="_Order2" hidden="1">255</definedName>
    <definedName name="_Sort" localSheetId="1" hidden="1">#REF!</definedName>
    <definedName name="_Sort" localSheetId="3" hidden="1">#REF!</definedName>
    <definedName name="_Sort" localSheetId="17" hidden="1">#REF!</definedName>
    <definedName name="_Sort" localSheetId="18" hidden="1">#REF!</definedName>
    <definedName name="_Sort" localSheetId="19"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4" hidden="1">#REF!</definedName>
    <definedName name="_Sort" localSheetId="5" hidden="1">#REF!</definedName>
    <definedName name="_Sort" localSheetId="6" hidden="1">#REF!</definedName>
    <definedName name="_Sort" localSheetId="11" hidden="1">#REF!</definedName>
    <definedName name="_Sort" localSheetId="12" hidden="1">#REF!</definedName>
    <definedName name="_Sort" localSheetId="13" hidden="1">#REF!</definedName>
    <definedName name="_Sort" localSheetId="15" hidden="1">#REF!</definedName>
    <definedName name="_Sort" localSheetId="16" hidden="1">#REF!</definedName>
    <definedName name="_Sort" localSheetId="25" hidden="1">#REF!</definedName>
    <definedName name="Access_Button1" hidden="1">"Headcount_Workbook_Schedules_List"</definedName>
    <definedName name="AccessDatabase" hidden="1">"P:\HR\SharonPlummer\Headcount Workbook.mdb"</definedName>
    <definedName name="Allocator.gross.plant">'Appendix A'!$H$30</definedName>
    <definedName name="Allocator.net.plant">'Appendix A'!$H$33</definedName>
    <definedName name="Allocator.wages.salary">'Appendix A'!$H$18</definedName>
    <definedName name="AS2DocOpenMode" hidden="1">"AS2DocumentEdit"</definedName>
    <definedName name="combined1" localSheetId="3" hidden="1">{"YTD-Total",#N/A,TRUE,"Provision";"YTD-Utility",#N/A,TRUE,"Prov Utility";"YTD-NonUtility",#N/A,TRUE,"Prov NonUtility"}</definedName>
    <definedName name="combined1" localSheetId="18" hidden="1">{"YTD-Total",#N/A,TRUE,"Provision";"YTD-Utility",#N/A,TRUE,"Prov Utility";"YTD-NonUtility",#N/A,TRUE,"Prov NonUtility"}</definedName>
    <definedName name="combined1" localSheetId="4" hidden="1">{"YTD-Total",#N/A,TRUE,"Provision";"YTD-Utility",#N/A,TRUE,"Prov Utility";"YTD-NonUtility",#N/A,TRUE,"Prov NonUtility"}</definedName>
    <definedName name="combined1" hidden="1">{"YTD-Total",#N/A,TRUE,"Provision";"YTD-Utility",#N/A,TRUE,"Prov Utility";"YTD-NonUtility",#N/A,TRUE,"Prov NonUtility"}</definedName>
    <definedName name="data_year">'Appendix A'!$H$6</definedName>
    <definedName name="energy" localSheetId="3" hidden="1">{#N/A,#N/A,FALSE,"Bgt";#N/A,#N/A,FALSE,"Act";#N/A,#N/A,FALSE,"Chrt Data";#N/A,#N/A,FALSE,"Bus Result";#N/A,#N/A,FALSE,"Main Charts";#N/A,#N/A,FALSE,"P&amp;L Ttl";#N/A,#N/A,FALSE,"P&amp;L C_Ttl";#N/A,#N/A,FALSE,"P&amp;L C_Oct";#N/A,#N/A,FALSE,"P&amp;L C_Sep";#N/A,#N/A,FALSE,"1996";#N/A,#N/A,FALSE,"Data"}</definedName>
    <definedName name="energy" localSheetId="18" hidden="1">{#N/A,#N/A,FALSE,"Bgt";#N/A,#N/A,FALSE,"Act";#N/A,#N/A,FALSE,"Chrt Data";#N/A,#N/A,FALSE,"Bus Result";#N/A,#N/A,FALSE,"Main Charts";#N/A,#N/A,FALSE,"P&amp;L Ttl";#N/A,#N/A,FALSE,"P&amp;L C_Ttl";#N/A,#N/A,FALSE,"P&amp;L C_Oct";#N/A,#N/A,FALSE,"P&amp;L C_Sep";#N/A,#N/A,FALSE,"1996";#N/A,#N/A,FALSE,"Data"}</definedName>
    <definedName name="energy" localSheetId="4" hidden="1">{#N/A,#N/A,FALSE,"Bgt";#N/A,#N/A,FALSE,"Act";#N/A,#N/A,FALSE,"Chrt Data";#N/A,#N/A,FALSE,"Bus Result";#N/A,#N/A,FALSE,"Main Charts";#N/A,#N/A,FALSE,"P&amp;L Ttl";#N/A,#N/A,FALSE,"P&amp;L C_Ttl";#N/A,#N/A,FALSE,"P&amp;L C_Oct";#N/A,#N/A,FALSE,"P&amp;L C_Sep";#N/A,#N/A,FALSE,"1996";#N/A,#N/A,FALSE,"Data"}</definedName>
    <definedName name="energy" hidden="1">{#N/A,#N/A,FALSE,"Bgt";#N/A,#N/A,FALSE,"Act";#N/A,#N/A,FALSE,"Chrt Data";#N/A,#N/A,FALSE,"Bus Result";#N/A,#N/A,FALSE,"Main Charts";#N/A,#N/A,FALSE,"P&amp;L Ttl";#N/A,#N/A,FALSE,"P&amp;L C_Ttl";#N/A,#N/A,FALSE,"P&amp;L C_Oct";#N/A,#N/A,FALSE,"P&amp;L C_Sep";#N/A,#N/A,FALSE,"1996";#N/A,#N/A,FALSE,"Data"}</definedName>
    <definedName name="enrgy" localSheetId="3" hidden="1">{#N/A,#N/A,FALSE,"Bgt";#N/A,#N/A,FALSE,"Act";#N/A,#N/A,FALSE,"Chrt Data";#N/A,#N/A,FALSE,"Bus Result";#N/A,#N/A,FALSE,"Main Charts";#N/A,#N/A,FALSE,"P&amp;L Ttl";#N/A,#N/A,FALSE,"P&amp;L C_Ttl";#N/A,#N/A,FALSE,"P&amp;L C_Oct";#N/A,#N/A,FALSE,"P&amp;L C_Sep";#N/A,#N/A,FALSE,"1996";#N/A,#N/A,FALSE,"Data"}</definedName>
    <definedName name="enrgy" localSheetId="18" hidden="1">{#N/A,#N/A,FALSE,"Bgt";#N/A,#N/A,FALSE,"Act";#N/A,#N/A,FALSE,"Chrt Data";#N/A,#N/A,FALSE,"Bus Result";#N/A,#N/A,FALSE,"Main Charts";#N/A,#N/A,FALSE,"P&amp;L Ttl";#N/A,#N/A,FALSE,"P&amp;L C_Ttl";#N/A,#N/A,FALSE,"P&amp;L C_Oct";#N/A,#N/A,FALSE,"P&amp;L C_Sep";#N/A,#N/A,FALSE,"1996";#N/A,#N/A,FALSE,"Data"}</definedName>
    <definedName name="enrgy" localSheetId="4" hidden="1">{#N/A,#N/A,FALSE,"Bgt";#N/A,#N/A,FALSE,"Act";#N/A,#N/A,FALSE,"Chrt Data";#N/A,#N/A,FALSE,"Bus Result";#N/A,#N/A,FALSE,"Main Charts";#N/A,#N/A,FALSE,"P&amp;L Ttl";#N/A,#N/A,FALSE,"P&amp;L C_Ttl";#N/A,#N/A,FALSE,"P&amp;L C_Oct";#N/A,#N/A,FALSE,"P&amp;L C_Sep";#N/A,#N/A,FALSE,"1996";#N/A,#N/A,FALSE,"Data"}</definedName>
    <definedName name="enrgy" hidden="1">{#N/A,#N/A,FALSE,"Bgt";#N/A,#N/A,FALSE,"Act";#N/A,#N/A,FALSE,"Chrt Data";#N/A,#N/A,FALSE,"Bus Result";#N/A,#N/A,FALSE,"Main Charts";#N/A,#N/A,FALSE,"P&amp;L Ttl";#N/A,#N/A,FALSE,"P&amp;L C_Ttl";#N/A,#N/A,FALSE,"P&amp;L C_Oct";#N/A,#N/A,FALSE,"P&amp;L C_Sep";#N/A,#N/A,FALSE,"1996";#N/A,#N/A,FALSE,"Data"}</definedName>
    <definedName name="FF1_INPUT">'FERC Form 1 data'!$B$6:$K$66</definedName>
    <definedName name="FF1_INPUT_columns">'FERC Form 1 data'!$B$5:$K$5</definedName>
    <definedName name="foo" localSheetId="3" hidden="1">{#N/A,#N/A,FALSE,"Bgt";#N/A,#N/A,FALSE,"Act";#N/A,#N/A,FALSE,"Chrt Data";#N/A,#N/A,FALSE,"Bus Result";#N/A,#N/A,FALSE,"Main Charts";#N/A,#N/A,FALSE,"P&amp;L Ttl";#N/A,#N/A,FALSE,"P&amp;L C_Ttl";#N/A,#N/A,FALSE,"P&amp;L C_Oct";#N/A,#N/A,FALSE,"P&amp;L C_Sep";#N/A,#N/A,FALSE,"1996";#N/A,#N/A,FALSE,"Data"}</definedName>
    <definedName name="foo" localSheetId="18" hidden="1">{#N/A,#N/A,FALSE,"Bgt";#N/A,#N/A,FALSE,"Act";#N/A,#N/A,FALSE,"Chrt Data";#N/A,#N/A,FALSE,"Bus Result";#N/A,#N/A,FALSE,"Main Charts";#N/A,#N/A,FALSE,"P&amp;L Ttl";#N/A,#N/A,FALSE,"P&amp;L C_Ttl";#N/A,#N/A,FALSE,"P&amp;L C_Oct";#N/A,#N/A,FALSE,"P&amp;L C_Sep";#N/A,#N/A,FALSE,"1996";#N/A,#N/A,FALSE,"Data"}</definedName>
    <definedName name="foo" localSheetId="4" hidden="1">{#N/A,#N/A,FALSE,"Bgt";#N/A,#N/A,FALSE,"Act";#N/A,#N/A,FALSE,"Chrt Data";#N/A,#N/A,FALSE,"Bus Result";#N/A,#N/A,FALSE,"Main Charts";#N/A,#N/A,FALSE,"P&amp;L Ttl";#N/A,#N/A,FALSE,"P&amp;L C_Ttl";#N/A,#N/A,FALSE,"P&amp;L C_Oct";#N/A,#N/A,FALSE,"P&amp;L C_Sep";#N/A,#N/A,FALSE,"1996";#N/A,#N/A,FALSE,"Data"}</definedName>
    <definedName name="foo" hidden="1">{#N/A,#N/A,FALSE,"Bgt";#N/A,#N/A,FALSE,"Act";#N/A,#N/A,FALSE,"Chrt Data";#N/A,#N/A,FALSE,"Bus Result";#N/A,#N/A,FALSE,"Main Charts";#N/A,#N/A,FALSE,"P&amp;L Ttl";#N/A,#N/A,FALSE,"P&amp;L C_Ttl";#N/A,#N/A,FALSE,"P&amp;L C_Oct";#N/A,#N/A,FALSE,"P&amp;L C_Sep";#N/A,#N/A,FALSE,"1996";#N/A,#N/A,FALSE,"Data"}</definedName>
    <definedName name="Inputs_EndYrBal">Inputs!$E$16:$E$82</definedName>
    <definedName name="Inputs_EndYrBal_prior">Inputs!$D$16:$D$82</definedName>
    <definedName name="Inputs_FF1_Map">Inputs!$F$16:$F$82</definedName>
    <definedName name="Keep" localSheetId="3" hidden="1">{"PRINT",#N/A,TRUE,"APPA";"PRINT",#N/A,TRUE,"APS";"PRINT",#N/A,TRUE,"BHPL";"PRINT",#N/A,TRUE,"BHPL2";"PRINT",#N/A,TRUE,"CDWR";"PRINT",#N/A,TRUE,"EWEB";"PRINT",#N/A,TRUE,"LADWP";"PRINT",#N/A,TRUE,"NEVBASE"}</definedName>
    <definedName name="Keep" localSheetId="18" hidden="1">{"PRINT",#N/A,TRUE,"APPA";"PRINT",#N/A,TRUE,"APS";"PRINT",#N/A,TRUE,"BHPL";"PRINT",#N/A,TRUE,"BHPL2";"PRINT",#N/A,TRUE,"CDWR";"PRINT",#N/A,TRUE,"EWEB";"PRINT",#N/A,TRUE,"LADWP";"PRINT",#N/A,TRUE,"NEVBASE"}</definedName>
    <definedName name="Keep" localSheetId="20" hidden="1">{"PRINT",#N/A,TRUE,"APPA";"PRINT",#N/A,TRUE,"APS";"PRINT",#N/A,TRUE,"BHPL";"PRINT",#N/A,TRUE,"BHPL2";"PRINT",#N/A,TRUE,"CDWR";"PRINT",#N/A,TRUE,"EWEB";"PRINT",#N/A,TRUE,"LADWP";"PRINT",#N/A,TRUE,"NEVBASE"}</definedName>
    <definedName name="Keep" localSheetId="23" hidden="1">{"PRINT",#N/A,TRUE,"APPA";"PRINT",#N/A,TRUE,"APS";"PRINT",#N/A,TRUE,"BHPL";"PRINT",#N/A,TRUE,"BHPL2";"PRINT",#N/A,TRUE,"CDWR";"PRINT",#N/A,TRUE,"EWEB";"PRINT",#N/A,TRUE,"LADWP";"PRINT",#N/A,TRUE,"NEVBASE"}</definedName>
    <definedName name="Keep" localSheetId="4" hidden="1">{"PRINT",#N/A,TRUE,"APPA";"PRINT",#N/A,TRUE,"APS";"PRINT",#N/A,TRUE,"BHPL";"PRINT",#N/A,TRUE,"BHPL2";"PRINT",#N/A,TRUE,"CDWR";"PRINT",#N/A,TRUE,"EWEB";"PRINT",#N/A,TRUE,"LADWP";"PRINT",#N/A,TRUE,"NEVBASE"}</definedName>
    <definedName name="Keep" localSheetId="6" hidden="1">{"PRINT",#N/A,TRUE,"APPA";"PRINT",#N/A,TRUE,"APS";"PRINT",#N/A,TRUE,"BHPL";"PRINT",#N/A,TRUE,"BHPL2";"PRINT",#N/A,TRUE,"CDWR";"PRINT",#N/A,TRUE,"EWEB";"PRINT",#N/A,TRUE,"LADWP";"PRINT",#N/A,TRUE,"NEVBASE"}</definedName>
    <definedName name="Keep" localSheetId="11" hidden="1">{"PRINT",#N/A,TRUE,"APPA";"PRINT",#N/A,TRUE,"APS";"PRINT",#N/A,TRUE,"BHPL";"PRINT",#N/A,TRUE,"BHPL2";"PRINT",#N/A,TRUE,"CDWR";"PRINT",#N/A,TRUE,"EWEB";"PRINT",#N/A,TRUE,"LADWP";"PRINT",#N/A,TRUE,"NEVBASE"}</definedName>
    <definedName name="Keep" localSheetId="25" hidden="1">{"PRINT",#N/A,TRUE,"APPA";"PRINT",#N/A,TRUE,"APS";"PRINT",#N/A,TRUE,"BHPL";"PRINT",#N/A,TRUE,"BHPL2";"PRINT",#N/A,TRUE,"CDWR";"PRINT",#N/A,TRUE,"EWEB";"PRINT",#N/A,TRUE,"LADWP";"PRINT",#N/A,TRUE,"NEVBASE"}</definedName>
    <definedName name="keep2" localSheetId="3" hidden="1">{"PRINT",#N/A,TRUE,"APPA";"PRINT",#N/A,TRUE,"APS";"PRINT",#N/A,TRUE,"BHPL";"PRINT",#N/A,TRUE,"BHPL2";"PRINT",#N/A,TRUE,"CDWR";"PRINT",#N/A,TRUE,"EWEB";"PRINT",#N/A,TRUE,"LADWP";"PRINT",#N/A,TRUE,"NEVBASE"}</definedName>
    <definedName name="keep2" localSheetId="18" hidden="1">{"PRINT",#N/A,TRUE,"APPA";"PRINT",#N/A,TRUE,"APS";"PRINT",#N/A,TRUE,"BHPL";"PRINT",#N/A,TRUE,"BHPL2";"PRINT",#N/A,TRUE,"CDWR";"PRINT",#N/A,TRUE,"EWEB";"PRINT",#N/A,TRUE,"LADWP";"PRINT",#N/A,TRUE,"NEVBASE"}</definedName>
    <definedName name="keep2" localSheetId="20" hidden="1">{"PRINT",#N/A,TRUE,"APPA";"PRINT",#N/A,TRUE,"APS";"PRINT",#N/A,TRUE,"BHPL";"PRINT",#N/A,TRUE,"BHPL2";"PRINT",#N/A,TRUE,"CDWR";"PRINT",#N/A,TRUE,"EWEB";"PRINT",#N/A,TRUE,"LADWP";"PRINT",#N/A,TRUE,"NEVBASE"}</definedName>
    <definedName name="keep2" localSheetId="23" hidden="1">{"PRINT",#N/A,TRUE,"APPA";"PRINT",#N/A,TRUE,"APS";"PRINT",#N/A,TRUE,"BHPL";"PRINT",#N/A,TRUE,"BHPL2";"PRINT",#N/A,TRUE,"CDWR";"PRINT",#N/A,TRUE,"EWEB";"PRINT",#N/A,TRUE,"LADWP";"PRINT",#N/A,TRUE,"NEVBASE"}</definedName>
    <definedName name="keep2" localSheetId="4" hidden="1">{"PRINT",#N/A,TRUE,"APPA";"PRINT",#N/A,TRUE,"APS";"PRINT",#N/A,TRUE,"BHPL";"PRINT",#N/A,TRUE,"BHPL2";"PRINT",#N/A,TRUE,"CDWR";"PRINT",#N/A,TRUE,"EWEB";"PRINT",#N/A,TRUE,"LADWP";"PRINT",#N/A,TRUE,"NEVBASE"}</definedName>
    <definedName name="keep2" localSheetId="6" hidden="1">{"PRINT",#N/A,TRUE,"APPA";"PRINT",#N/A,TRUE,"APS";"PRINT",#N/A,TRUE,"BHPL";"PRINT",#N/A,TRUE,"BHPL2";"PRINT",#N/A,TRUE,"CDWR";"PRINT",#N/A,TRUE,"EWEB";"PRINT",#N/A,TRUE,"LADWP";"PRINT",#N/A,TRUE,"NEVBASE"}</definedName>
    <definedName name="keep2" localSheetId="11" hidden="1">{"PRINT",#N/A,TRUE,"APPA";"PRINT",#N/A,TRUE,"APS";"PRINT",#N/A,TRUE,"BHPL";"PRINT",#N/A,TRUE,"BHPL2";"PRINT",#N/A,TRUE,"CDWR";"PRINT",#N/A,TRUE,"EWEB";"PRINT",#N/A,TRUE,"LADWP";"PRINT",#N/A,TRUE,"NEVBASE"}</definedName>
    <definedName name="keep2" localSheetId="25" hidden="1">{"PRINT",#N/A,TRUE,"APPA";"PRINT",#N/A,TRUE,"APS";"PRINT",#N/A,TRUE,"BHPL";"PRINT",#N/A,TRUE,"BHPL2";"PRINT",#N/A,TRUE,"CDWR";"PRINT",#N/A,TRUE,"EWEB";"PRINT",#N/A,TRUE,"LADWP";"PRINT",#N/A,TRUE,"NEVBASE"}</definedName>
    <definedName name="Master" localSheetId="3" hidden="1">{#N/A,#N/A,FALSE,"Actual";#N/A,#N/A,FALSE,"Normalized";#N/A,#N/A,FALSE,"Electric Actual";#N/A,#N/A,FALSE,"Electric Normalized"}</definedName>
    <definedName name="Master" localSheetId="18" hidden="1">{#N/A,#N/A,FALSE,"Actual";#N/A,#N/A,FALSE,"Normalized";#N/A,#N/A,FALSE,"Electric Actual";#N/A,#N/A,FALSE,"Electric Normalized"}</definedName>
    <definedName name="Master" localSheetId="4" hidden="1">{#N/A,#N/A,FALSE,"Actual";#N/A,#N/A,FALSE,"Normalized";#N/A,#N/A,FALSE,"Electric Actual";#N/A,#N/A,FALSE,"Electric Normalized"}</definedName>
    <definedName name="Master" hidden="1">{#N/A,#N/A,FALSE,"Actual";#N/A,#N/A,FALSE,"Normalized";#N/A,#N/A,FALSE,"Electric Actual";#N/A,#N/A,FALSE,"Electric Normalized"}</definedName>
    <definedName name="others" localSheetId="3" hidden="1">{"Factors Pages 1-2",#N/A,FALSE,"Factors";"Factors Page 3",#N/A,FALSE,"Factors";"Factors Page 4",#N/A,FALSE,"Factors";"Factors Page 5",#N/A,FALSE,"Factors";"Factors Pages 8-27",#N/A,FALSE,"Factors"}</definedName>
    <definedName name="others" localSheetId="18" hidden="1">{"Factors Pages 1-2",#N/A,FALSE,"Factors";"Factors Page 3",#N/A,FALSE,"Factors";"Factors Page 4",#N/A,FALSE,"Factors";"Factors Page 5",#N/A,FALSE,"Factors";"Factors Pages 8-27",#N/A,FALSE,"Factors"}</definedName>
    <definedName name="others" localSheetId="4" hidden="1">{"Factors Pages 1-2",#N/A,FALSE,"Factors";"Factors Page 3",#N/A,FALSE,"Factors";"Factors Page 4",#N/A,FALSE,"Factors";"Factors Page 5",#N/A,FALSE,"Factors";"Factors Pages 8-27",#N/A,FALSE,"Factors"}</definedName>
    <definedName name="others" hidden="1">{"Factors Pages 1-2",#N/A,FALSE,"Factors";"Factors Page 3",#N/A,FALSE,"Factors";"Factors Page 4",#N/A,FALSE,"Factors";"Factors Page 5",#N/A,FALSE,"Factors";"Factors Pages 8-27",#N/A,FALSE,"Factors"}</definedName>
    <definedName name="pete" localSheetId="3" hidden="1">{#N/A,#N/A,FALSE,"Bgt";#N/A,#N/A,FALSE,"Act";#N/A,#N/A,FALSE,"Chrt Data";#N/A,#N/A,FALSE,"Bus Result";#N/A,#N/A,FALSE,"Main Charts";#N/A,#N/A,FALSE,"P&amp;L Ttl";#N/A,#N/A,FALSE,"P&amp;L C_Ttl";#N/A,#N/A,FALSE,"P&amp;L C_Oct";#N/A,#N/A,FALSE,"P&amp;L C_Sep";#N/A,#N/A,FALSE,"1996";#N/A,#N/A,FALSE,"Data"}</definedName>
    <definedName name="pete" localSheetId="18" hidden="1">{#N/A,#N/A,FALSE,"Bgt";#N/A,#N/A,FALSE,"Act";#N/A,#N/A,FALSE,"Chrt Data";#N/A,#N/A,FALSE,"Bus Result";#N/A,#N/A,FALSE,"Main Charts";#N/A,#N/A,FALSE,"P&amp;L Ttl";#N/A,#N/A,FALSE,"P&amp;L C_Ttl";#N/A,#N/A,FALSE,"P&amp;L C_Oct";#N/A,#N/A,FALSE,"P&amp;L C_Sep";#N/A,#N/A,FALSE,"1996";#N/A,#N/A,FALSE,"Data"}</definedName>
    <definedName name="pete" localSheetId="4" hidden="1">{#N/A,#N/A,FALSE,"Bgt";#N/A,#N/A,FALSE,"Act";#N/A,#N/A,FALSE,"Chrt Data";#N/A,#N/A,FALSE,"Bus Result";#N/A,#N/A,FALSE,"Main Charts";#N/A,#N/A,FALSE,"P&amp;L Ttl";#N/A,#N/A,FALSE,"P&amp;L C_Ttl";#N/A,#N/A,FALSE,"P&amp;L C_Oct";#N/A,#N/A,FALSE,"P&amp;L C_Sep";#N/A,#N/A,FALSE,"1996";#N/A,#N/A,FALSE,"Data"}</definedName>
    <definedName name="pete" hidden="1">{#N/A,#N/A,FALSE,"Bgt";#N/A,#N/A,FALSE,"Act";#N/A,#N/A,FALSE,"Chrt Data";#N/A,#N/A,FALSE,"Bus Result";#N/A,#N/A,FALSE,"Main Charts";#N/A,#N/A,FALSE,"P&amp;L Ttl";#N/A,#N/A,FALSE,"P&amp;L C_Ttl";#N/A,#N/A,FALSE,"P&amp;L C_Oct";#N/A,#N/A,FALSE,"P&amp;L C_Sep";#N/A,#N/A,FALSE,"1996";#N/A,#N/A,FALSE,"Data"}</definedName>
    <definedName name="_xlnm.Print_Area" localSheetId="0">'Appendix A'!$A$1:$I$332</definedName>
    <definedName name="_xlnm.Print_Area" localSheetId="1">'Appendix B'!$A$1:$F$33</definedName>
    <definedName name="_xlnm.Print_Area" localSheetId="3">'Att 1 - ADIT'!$A$1:$J$471</definedName>
    <definedName name="_xlnm.Print_Area" localSheetId="17">'Att 10 - Acc Amort of PIS'!$A$1:$F$17</definedName>
    <definedName name="_xlnm.Print_Area" localSheetId="19">'Att 12 - Plant Held Future Use'!$B$1:$E$20</definedName>
    <definedName name="_xlnm.Print_Area" localSheetId="20">'Att 13 - Revenue Credit Detail'!$A$1:$I$57</definedName>
    <definedName name="_xlnm.Print_Area" localSheetId="21">'Att 14 - Cost of Capital Detail'!$A$1:$R$38</definedName>
    <definedName name="_xlnm.Print_Area" localSheetId="22">'Att 15 - GSU and Assoc''d Equip'!$A$1:$D$27</definedName>
    <definedName name="_xlnm.Print_Area" localSheetId="23">'Att 16 - Unfunded Reserves'!$A$1:$AG$76</definedName>
    <definedName name="_xlnm.Print_Area" localSheetId="5">'Att 2 - Other Taxes'!$A$1:$G$60</definedName>
    <definedName name="_xlnm.Print_Area" localSheetId="6">'Att 3 - Revenue Credits'!$A$1:$F$52</definedName>
    <definedName name="_xlnm.Print_Area" localSheetId="8">'Att 5 - Cost Support'!$A$1:$M$323</definedName>
    <definedName name="_xlnm.Print_Area" localSheetId="9">'Att 6 - Est &amp; Reconcile WS'!$A$1:$W$70</definedName>
    <definedName name="_xlnm.Print_Area" localSheetId="10">'Att 7 - Trans Enhance Charge'!$A$1:$U$72</definedName>
    <definedName name="_xlnm.Print_Area" localSheetId="11">'ATT 8 - Dep rates'!$A$1:$AA$54</definedName>
    <definedName name="_xlnm.Print_Area" localSheetId="12">'Att 9a - 2017 Projection'!$B$1:$AF$43</definedName>
    <definedName name="_xlnm.Print_Area" localSheetId="13">'Att 9a1-2016 Actual'!$A$1:$T$44</definedName>
    <definedName name="_xlnm.Print_Area" localSheetId="14">'Att 9a2 - 2015 actual'!$A$1:$T$44</definedName>
    <definedName name="_xlnm.Print_Area" localSheetId="15">'Att 9a3 - 2014 actual'!$A$1:$S$44</definedName>
    <definedName name="_xlnm.Print_Area" localSheetId="16">'Att 9b - 2016 True-up'!$B$1:$AF$43</definedName>
    <definedName name="_xlnm.Print_Area" localSheetId="27">Inputs!$A$85:$J$99</definedName>
    <definedName name="_xlnm.Print_Area" localSheetId="2">'Summary of Rates'!$A$1:$F$46</definedName>
    <definedName name="_xlnm.Print_Titles" localSheetId="0">'Appendix A'!$1:$7</definedName>
    <definedName name="_xlnm.Print_Titles" localSheetId="23">'Att 16 - Unfunded Reserves'!$4:$7</definedName>
    <definedName name="_xlnm.Print_Titles" localSheetId="8">'Att 5 - Cost Support'!$1:$2</definedName>
    <definedName name="_xlnm.Print_Titles" localSheetId="28">'FERC Form 1 data'!$5:$5</definedName>
    <definedName name="_xlnm.Print_Titles" localSheetId="27">Inputs!$1:$1</definedName>
    <definedName name="Projection">"Projection"</definedName>
    <definedName name="retail" localSheetId="3" hidden="1">{#N/A,#N/A,FALSE,"Loans";#N/A,#N/A,FALSE,"Program Costs";#N/A,#N/A,FALSE,"Measures";#N/A,#N/A,FALSE,"Net Lost Rev";#N/A,#N/A,FALSE,"Incentive"}</definedName>
    <definedName name="retail" localSheetId="18" hidden="1">{#N/A,#N/A,FALSE,"Loans";#N/A,#N/A,FALSE,"Program Costs";#N/A,#N/A,FALSE,"Measures";#N/A,#N/A,FALSE,"Net Lost Rev";#N/A,#N/A,FALSE,"Incentive"}</definedName>
    <definedName name="retail" localSheetId="20" hidden="1">{#N/A,#N/A,FALSE,"Loans";#N/A,#N/A,FALSE,"Program Costs";#N/A,#N/A,FALSE,"Measures";#N/A,#N/A,FALSE,"Net Lost Rev";#N/A,#N/A,FALSE,"Incentive"}</definedName>
    <definedName name="retail" localSheetId="23" hidden="1">{#N/A,#N/A,FALSE,"Loans";#N/A,#N/A,FALSE,"Program Costs";#N/A,#N/A,FALSE,"Measures";#N/A,#N/A,FALSE,"Net Lost Rev";#N/A,#N/A,FALSE,"Incentive"}</definedName>
    <definedName name="retail" localSheetId="4" hidden="1">{#N/A,#N/A,FALSE,"Loans";#N/A,#N/A,FALSE,"Program Costs";#N/A,#N/A,FALSE,"Measures";#N/A,#N/A,FALSE,"Net Lost Rev";#N/A,#N/A,FALSE,"Incentive"}</definedName>
    <definedName name="retail" localSheetId="6" hidden="1">{#N/A,#N/A,FALSE,"Loans";#N/A,#N/A,FALSE,"Program Costs";#N/A,#N/A,FALSE,"Measures";#N/A,#N/A,FALSE,"Net Lost Rev";#N/A,#N/A,FALSE,"Incentive"}</definedName>
    <definedName name="retail" localSheetId="11" hidden="1">{#N/A,#N/A,FALSE,"Loans";#N/A,#N/A,FALSE,"Program Costs";#N/A,#N/A,FALSE,"Measures";#N/A,#N/A,FALSE,"Net Lost Rev";#N/A,#N/A,FALSE,"Incentive"}</definedName>
    <definedName name="retail" localSheetId="25" hidden="1">{#N/A,#N/A,FALSE,"Loans";#N/A,#N/A,FALSE,"Program Costs";#N/A,#N/A,FALSE,"Measures";#N/A,#N/A,FALSE,"Net Lost Rev";#N/A,#N/A,FALSE,"Incentive"}</definedName>
    <definedName name="retail_CC" localSheetId="3" hidden="1">{#N/A,#N/A,FALSE,"Loans";#N/A,#N/A,FALSE,"Program Costs";#N/A,#N/A,FALSE,"Measures";#N/A,#N/A,FALSE,"Net Lost Rev";#N/A,#N/A,FALSE,"Incentive"}</definedName>
    <definedName name="retail_CC" localSheetId="18" hidden="1">{#N/A,#N/A,FALSE,"Loans";#N/A,#N/A,FALSE,"Program Costs";#N/A,#N/A,FALSE,"Measures";#N/A,#N/A,FALSE,"Net Lost Rev";#N/A,#N/A,FALSE,"Incentive"}</definedName>
    <definedName name="retail_CC" localSheetId="20" hidden="1">{#N/A,#N/A,FALSE,"Loans";#N/A,#N/A,FALSE,"Program Costs";#N/A,#N/A,FALSE,"Measures";#N/A,#N/A,FALSE,"Net Lost Rev";#N/A,#N/A,FALSE,"Incentive"}</definedName>
    <definedName name="retail_CC" localSheetId="23" hidden="1">{#N/A,#N/A,FALSE,"Loans";#N/A,#N/A,FALSE,"Program Costs";#N/A,#N/A,FALSE,"Measures";#N/A,#N/A,FALSE,"Net Lost Rev";#N/A,#N/A,FALSE,"Incentive"}</definedName>
    <definedName name="retail_CC" localSheetId="4" hidden="1">{#N/A,#N/A,FALSE,"Loans";#N/A,#N/A,FALSE,"Program Costs";#N/A,#N/A,FALSE,"Measures";#N/A,#N/A,FALSE,"Net Lost Rev";#N/A,#N/A,FALSE,"Incentive"}</definedName>
    <definedName name="retail_CC" localSheetId="6" hidden="1">{#N/A,#N/A,FALSE,"Loans";#N/A,#N/A,FALSE,"Program Costs";#N/A,#N/A,FALSE,"Measures";#N/A,#N/A,FALSE,"Net Lost Rev";#N/A,#N/A,FALSE,"Incentive"}</definedName>
    <definedName name="retail_CC" localSheetId="11" hidden="1">{#N/A,#N/A,FALSE,"Loans";#N/A,#N/A,FALSE,"Program Costs";#N/A,#N/A,FALSE,"Measures";#N/A,#N/A,FALSE,"Net Lost Rev";#N/A,#N/A,FALSE,"Incentive"}</definedName>
    <definedName name="retail_CC" localSheetId="25" hidden="1">{#N/A,#N/A,FALSE,"Loans";#N/A,#N/A,FALSE,"Program Costs";#N/A,#N/A,FALSE,"Measures";#N/A,#N/A,FALSE,"Net Lost Rev";#N/A,#N/A,FALSE,"Incentive"}</definedName>
    <definedName name="retail_CC1" localSheetId="3" hidden="1">{#N/A,#N/A,FALSE,"Loans";#N/A,#N/A,FALSE,"Program Costs";#N/A,#N/A,FALSE,"Measures";#N/A,#N/A,FALSE,"Net Lost Rev";#N/A,#N/A,FALSE,"Incentive"}</definedName>
    <definedName name="retail_CC1" localSheetId="18" hidden="1">{#N/A,#N/A,FALSE,"Loans";#N/A,#N/A,FALSE,"Program Costs";#N/A,#N/A,FALSE,"Measures";#N/A,#N/A,FALSE,"Net Lost Rev";#N/A,#N/A,FALSE,"Incentive"}</definedName>
    <definedName name="retail_CC1" localSheetId="20" hidden="1">{#N/A,#N/A,FALSE,"Loans";#N/A,#N/A,FALSE,"Program Costs";#N/A,#N/A,FALSE,"Measures";#N/A,#N/A,FALSE,"Net Lost Rev";#N/A,#N/A,FALSE,"Incentive"}</definedName>
    <definedName name="retail_CC1" localSheetId="23" hidden="1">{#N/A,#N/A,FALSE,"Loans";#N/A,#N/A,FALSE,"Program Costs";#N/A,#N/A,FALSE,"Measures";#N/A,#N/A,FALSE,"Net Lost Rev";#N/A,#N/A,FALSE,"Incentive"}</definedName>
    <definedName name="retail_CC1" localSheetId="4" hidden="1">{#N/A,#N/A,FALSE,"Loans";#N/A,#N/A,FALSE,"Program Costs";#N/A,#N/A,FALSE,"Measures";#N/A,#N/A,FALSE,"Net Lost Rev";#N/A,#N/A,FALSE,"Incentive"}</definedName>
    <definedName name="retail_CC1" localSheetId="6" hidden="1">{#N/A,#N/A,FALSE,"Loans";#N/A,#N/A,FALSE,"Program Costs";#N/A,#N/A,FALSE,"Measures";#N/A,#N/A,FALSE,"Net Lost Rev";#N/A,#N/A,FALSE,"Incentive"}</definedName>
    <definedName name="retail_CC1" localSheetId="11" hidden="1">{#N/A,#N/A,FALSE,"Loans";#N/A,#N/A,FALSE,"Program Costs";#N/A,#N/A,FALSE,"Measures";#N/A,#N/A,FALSE,"Net Lost Rev";#N/A,#N/A,FALSE,"Incentive"}</definedName>
    <definedName name="retail_CC1" localSheetId="25" hidden="1">{#N/A,#N/A,FALSE,"Loans";#N/A,#N/A,FALSE,"Program Costs";#N/A,#N/A,FALSE,"Measures";#N/A,#N/A,FALSE,"Net Lost Rev";#N/A,#N/A,FALSE,"Incentive"}</definedName>
    <definedName name="SAPBEXdnldView" hidden="1">"47H3GQ5Y9OPLAPZ9BSG9GQU53"</definedName>
    <definedName name="SAPBEXrevision" hidden="1">1</definedName>
    <definedName name="SAPBEXsysID" hidden="1">"BWP"</definedName>
    <definedName name="SAPBEXwbID" hidden="1">"45EQYSCWE9WJMGB34OOD1BOQZ"</definedName>
    <definedName name="shit" localSheetId="3" hidden="1">{"PRINT",#N/A,TRUE,"APPA";"PRINT",#N/A,TRUE,"APS";"PRINT",#N/A,TRUE,"BHPL";"PRINT",#N/A,TRUE,"BHPL2";"PRINT",#N/A,TRUE,"CDWR";"PRINT",#N/A,TRUE,"EWEB";"PRINT",#N/A,TRUE,"LADWP";"PRINT",#N/A,TRUE,"NEVBASE"}</definedName>
    <definedName name="shit" localSheetId="18" hidden="1">{"PRINT",#N/A,TRUE,"APPA";"PRINT",#N/A,TRUE,"APS";"PRINT",#N/A,TRUE,"BHPL";"PRINT",#N/A,TRUE,"BHPL2";"PRINT",#N/A,TRUE,"CDWR";"PRINT",#N/A,TRUE,"EWEB";"PRINT",#N/A,TRUE,"LADWP";"PRINT",#N/A,TRUE,"NEVBASE"}</definedName>
    <definedName name="shit" localSheetId="20" hidden="1">{"PRINT",#N/A,TRUE,"APPA";"PRINT",#N/A,TRUE,"APS";"PRINT",#N/A,TRUE,"BHPL";"PRINT",#N/A,TRUE,"BHPL2";"PRINT",#N/A,TRUE,"CDWR";"PRINT",#N/A,TRUE,"EWEB";"PRINT",#N/A,TRUE,"LADWP";"PRINT",#N/A,TRUE,"NEVBASE"}</definedName>
    <definedName name="shit" localSheetId="23" hidden="1">{"PRINT",#N/A,TRUE,"APPA";"PRINT",#N/A,TRUE,"APS";"PRINT",#N/A,TRUE,"BHPL";"PRINT",#N/A,TRUE,"BHPL2";"PRINT",#N/A,TRUE,"CDWR";"PRINT",#N/A,TRUE,"EWEB";"PRINT",#N/A,TRUE,"LADWP";"PRINT",#N/A,TRUE,"NEVBASE"}</definedName>
    <definedName name="shit" localSheetId="4" hidden="1">{"PRINT",#N/A,TRUE,"APPA";"PRINT",#N/A,TRUE,"APS";"PRINT",#N/A,TRUE,"BHPL";"PRINT",#N/A,TRUE,"BHPL2";"PRINT",#N/A,TRUE,"CDWR";"PRINT",#N/A,TRUE,"EWEB";"PRINT",#N/A,TRUE,"LADWP";"PRINT",#N/A,TRUE,"NEVBASE"}</definedName>
    <definedName name="shit" localSheetId="6" hidden="1">{"PRINT",#N/A,TRUE,"APPA";"PRINT",#N/A,TRUE,"APS";"PRINT",#N/A,TRUE,"BHPL";"PRINT",#N/A,TRUE,"BHPL2";"PRINT",#N/A,TRUE,"CDWR";"PRINT",#N/A,TRUE,"EWEB";"PRINT",#N/A,TRUE,"LADWP";"PRINT",#N/A,TRUE,"NEVBASE"}</definedName>
    <definedName name="shit" localSheetId="11" hidden="1">{"PRINT",#N/A,TRUE,"APPA";"PRINT",#N/A,TRUE,"APS";"PRINT",#N/A,TRUE,"BHPL";"PRINT",#N/A,TRUE,"BHPL2";"PRINT",#N/A,TRUE,"CDWR";"PRINT",#N/A,TRUE,"EWEB";"PRINT",#N/A,TRUE,"LADWP";"PRINT",#N/A,TRUE,"NEVBASE"}</definedName>
    <definedName name="shit" localSheetId="25" hidden="1">{"PRINT",#N/A,TRUE,"APPA";"PRINT",#N/A,TRUE,"APS";"PRINT",#N/A,TRUE,"BHPL";"PRINT",#N/A,TRUE,"BHPL2";"PRINT",#N/A,TRUE,"CDWR";"PRINT",#N/A,TRUE,"EWEB";"PRINT",#N/A,TRUE,"LADWP";"PRINT",#N/A,TRUE,"NEVBASE"}</definedName>
    <definedName name="solver_adj" localSheetId="0" hidden="1">'Appendix A'!#REF!</definedName>
    <definedName name="solver_cvg" localSheetId="0" hidden="1">0.0001</definedName>
    <definedName name="solver_drv" localSheetId="0" hidden="1">1</definedName>
    <definedName name="solver_est" localSheetId="0" hidden="1">1</definedName>
    <definedName name="solver_itr" localSheetId="0" hidden="1">100</definedName>
    <definedName name="solver_lin" localSheetId="0" hidden="1">2</definedName>
    <definedName name="solver_neg" localSheetId="0" hidden="1">2</definedName>
    <definedName name="solver_num" localSheetId="0" hidden="1">0</definedName>
    <definedName name="solver_nwt" localSheetId="0" hidden="1">1</definedName>
    <definedName name="solver_opt" localSheetId="0" hidden="1">'Appendix A'!#REF!</definedName>
    <definedName name="solver_pre" localSheetId="0" hidden="1">0.000001</definedName>
    <definedName name="solver_scl" localSheetId="0" hidden="1">2</definedName>
    <definedName name="solver_sho" localSheetId="0" hidden="1">2</definedName>
    <definedName name="solver_tim" localSheetId="0" hidden="1">100</definedName>
    <definedName name="solver_tol" localSheetId="0" hidden="1">0.05</definedName>
    <definedName name="solver_typ" localSheetId="0" hidden="1">3</definedName>
    <definedName name="solver_val" localSheetId="0" hidden="1">981598</definedName>
    <definedName name="spippw" localSheetId="3" hidden="1">{#N/A,#N/A,FALSE,"Actual";#N/A,#N/A,FALSE,"Normalized";#N/A,#N/A,FALSE,"Electric Actual";#N/A,#N/A,FALSE,"Electric Normalized"}</definedName>
    <definedName name="spippw" localSheetId="18" hidden="1">{#N/A,#N/A,FALSE,"Actual";#N/A,#N/A,FALSE,"Normalized";#N/A,#N/A,FALSE,"Electric Actual";#N/A,#N/A,FALSE,"Electric Normalized"}</definedName>
    <definedName name="spippw" localSheetId="4" hidden="1">{#N/A,#N/A,FALSE,"Actual";#N/A,#N/A,FALSE,"Normalized";#N/A,#N/A,FALSE,"Electric Actual";#N/A,#N/A,FALSE,"Electric Normalized"}</definedName>
    <definedName name="spippw" hidden="1">{#N/A,#N/A,FALSE,"Actual";#N/A,#N/A,FALSE,"Normalized";#N/A,#N/A,FALSE,"Electric Actual";#N/A,#N/A,FALSE,"Electric Normalized"}</definedName>
    <definedName name="standard1" localSheetId="3" hidden="1">{"YTD-Total",#N/A,FALSE,"Provision"}</definedName>
    <definedName name="standard1" localSheetId="18" hidden="1">{"YTD-Total",#N/A,FALSE,"Provision"}</definedName>
    <definedName name="standard1" localSheetId="4" hidden="1">{"YTD-Total",#N/A,FALSE,"Provision"}</definedName>
    <definedName name="standard1" hidden="1">{"YTD-Total",#N/A,FALSE,"Provision"}</definedName>
    <definedName name="Toggle">'Appendix A'!$H$7</definedName>
    <definedName name="Toggle.list">'Appendix A'!#REF!</definedName>
    <definedName name="True_up">"True-up"</definedName>
    <definedName name="wrn.Aging._.and._.Trend._.Analysis." localSheetId="3" hidden="1">{#N/A,#N/A,FALSE,"Aging Summary";#N/A,#N/A,FALSE,"Ratio Analysis";#N/A,#N/A,FALSE,"Test 120 Day Accts";#N/A,#N/A,FALSE,"Tickmarks"}</definedName>
    <definedName name="wrn.Aging._.and._.Trend._.Analysis." localSheetId="18" hidden="1">{#N/A,#N/A,FALSE,"Aging Summary";#N/A,#N/A,FALSE,"Ratio Analysis";#N/A,#N/A,FALSE,"Test 120 Day Accts";#N/A,#N/A,FALSE,"Tickmarks"}</definedName>
    <definedName name="wrn.Aging._.and._.Trend._.Analysis." localSheetId="4" hidden="1">{#N/A,#N/A,FALSE,"Aging Summary";#N/A,#N/A,FALSE,"Ratio Analysis";#N/A,#N/A,FALSE,"Test 120 Day Accts";#N/A,#N/A,FALSE,"Tickmarks"}</definedName>
    <definedName name="wrn.Aging._.and._.Trend._.Analysis." hidden="1">{#N/A,#N/A,FALSE,"Aging Summary";#N/A,#N/A,FALSE,"Ratio Analysis";#N/A,#N/A,FALSE,"Test 120 Day Accts";#N/A,#N/A,FALSE,"Tickmarks"}</definedName>
    <definedName name="wrn.ALL." localSheetId="3" hidden="1">{#N/A,#N/A,FALSE,"Summary EPS";#N/A,#N/A,FALSE,"1st Qtr Electric";#N/A,#N/A,FALSE,"1st Qtr Australia";#N/A,#N/A,FALSE,"1st Qtr Telecom";#N/A,#N/A,FALSE,"1st QTR Other"}</definedName>
    <definedName name="wrn.ALL." localSheetId="18" hidden="1">{#N/A,#N/A,FALSE,"Summary EPS";#N/A,#N/A,FALSE,"1st Qtr Electric";#N/A,#N/A,FALSE,"1st Qtr Australia";#N/A,#N/A,FALSE,"1st Qtr Telecom";#N/A,#N/A,FALSE,"1st QTR Other"}</definedName>
    <definedName name="wrn.ALL." localSheetId="4" hidden="1">{#N/A,#N/A,FALSE,"Summary EPS";#N/A,#N/A,FALSE,"1st Qtr Electric";#N/A,#N/A,FALSE,"1st Qtr Australia";#N/A,#N/A,FALSE,"1st Qtr Telecom";#N/A,#N/A,FALSE,"1st QTR Other"}</definedName>
    <definedName name="wrn.ALL." hidden="1">{#N/A,#N/A,FALSE,"Summary EPS";#N/A,#N/A,FALSE,"1st Qtr Electric";#N/A,#N/A,FALSE,"1st Qtr Australia";#N/A,#N/A,FALSE,"1st Qtr Telecom";#N/A,#N/A,FALSE,"1st QTR Other"}</definedName>
    <definedName name="wrn.All._.Pages." localSheetId="3" hidden="1">{#N/A,#N/A,FALSE,"Cover";#N/A,#N/A,FALSE,"Lead Sheet";#N/A,#N/A,FALSE,"T-Accounts";#N/A,#N/A,FALSE,"Ins &amp; Prem ActualEstimates"}</definedName>
    <definedName name="wrn.All._.Pages." localSheetId="18" hidden="1">{#N/A,#N/A,FALSE,"Cover";#N/A,#N/A,FALSE,"Lead Sheet";#N/A,#N/A,FALSE,"T-Accounts";#N/A,#N/A,FALSE,"Ins &amp; Prem ActualEstimates"}</definedName>
    <definedName name="wrn.All._.Pages." localSheetId="20" hidden="1">{#N/A,#N/A,FALSE,"Cover";#N/A,#N/A,FALSE,"Lead Sheet";#N/A,#N/A,FALSE,"T-Accounts";#N/A,#N/A,FALSE,"Ins &amp; Prem ActualEstimates"}</definedName>
    <definedName name="wrn.All._.Pages." localSheetId="23" hidden="1">{#N/A,#N/A,FALSE,"Cover";#N/A,#N/A,FALSE,"Lead Sheet";#N/A,#N/A,FALSE,"T-Accounts";#N/A,#N/A,FALSE,"Ins &amp; Prem ActualEstimates"}</definedName>
    <definedName name="wrn.All._.Pages." localSheetId="4" hidden="1">{#N/A,#N/A,FALSE,"Cover";#N/A,#N/A,FALSE,"Lead Sheet";#N/A,#N/A,FALSE,"T-Accounts";#N/A,#N/A,FALSE,"Ins &amp; Prem ActualEstimates"}</definedName>
    <definedName name="wrn.All._.Pages." localSheetId="6" hidden="1">{#N/A,#N/A,FALSE,"Cover";#N/A,#N/A,FALSE,"Lead Sheet";#N/A,#N/A,FALSE,"T-Accounts";#N/A,#N/A,FALSE,"Ins &amp; Prem ActualEstimates"}</definedName>
    <definedName name="wrn.All._.Pages." localSheetId="11" hidden="1">{#N/A,#N/A,FALSE,"Cover";#N/A,#N/A,FALSE,"Lead Sheet";#N/A,#N/A,FALSE,"T-Accounts";#N/A,#N/A,FALSE,"Ins &amp; Prem ActualEstimates"}</definedName>
    <definedName name="wrn.All._.Pages." localSheetId="25" hidden="1">{#N/A,#N/A,FALSE,"Cover";#N/A,#N/A,FALSE,"Lead Sheet";#N/A,#N/A,FALSE,"T-Accounts";#N/A,#N/A,FALSE,"Ins &amp; Prem ActualEstimates"}</definedName>
    <definedName name="wrn.BUS._.RPT." localSheetId="3" hidden="1">{#N/A,#N/A,FALSE,"P&amp;L Ttl";#N/A,#N/A,FALSE,"P&amp;L C_Ttl New";#N/A,#N/A,FALSE,"Bus Res";#N/A,#N/A,FALSE,"Chrts";#N/A,#N/A,FALSE,"pcf";#N/A,#N/A,FALSE,"pcr ";#N/A,#N/A,FALSE,"Exp Stmt ";#N/A,#N/A,FALSE,"Exp Stmt BU";#N/A,#N/A,FALSE,"Cap";#N/A,#N/A,FALSE,"IT Ytd"}</definedName>
    <definedName name="wrn.BUS._.RPT." localSheetId="18" hidden="1">{#N/A,#N/A,FALSE,"P&amp;L Ttl";#N/A,#N/A,FALSE,"P&amp;L C_Ttl New";#N/A,#N/A,FALSE,"Bus Res";#N/A,#N/A,FALSE,"Chrts";#N/A,#N/A,FALSE,"pcf";#N/A,#N/A,FALSE,"pcr ";#N/A,#N/A,FALSE,"Exp Stmt ";#N/A,#N/A,FALSE,"Exp Stmt BU";#N/A,#N/A,FALSE,"Cap";#N/A,#N/A,FALSE,"IT Ytd"}</definedName>
    <definedName name="wrn.BUS._.RPT." localSheetId="4" hidden="1">{#N/A,#N/A,FALSE,"P&amp;L Ttl";#N/A,#N/A,FALSE,"P&amp;L C_Ttl New";#N/A,#N/A,FALSE,"Bus Res";#N/A,#N/A,FALSE,"Chrts";#N/A,#N/A,FALSE,"pcf";#N/A,#N/A,FALSE,"pcr ";#N/A,#N/A,FALSE,"Exp Stmt ";#N/A,#N/A,FALSE,"Exp Stmt BU";#N/A,#N/A,FALSE,"Cap";#N/A,#N/A,FALSE,"IT Ytd"}</definedName>
    <definedName name="wrn.BUS._.RPT." hidden="1">{#N/A,#N/A,FALSE,"P&amp;L Ttl";#N/A,#N/A,FALSE,"P&amp;L C_Ttl New";#N/A,#N/A,FALSE,"Bus Res";#N/A,#N/A,FALSE,"Chrts";#N/A,#N/A,FALSE,"pcf";#N/A,#N/A,FALSE,"pcr ";#N/A,#N/A,FALSE,"Exp Stmt ";#N/A,#N/A,FALSE,"Exp Stmt BU";#N/A,#N/A,FALSE,"Cap";#N/A,#N/A,FALSE,"IT Ytd"}</definedName>
    <definedName name="wrn.Combined._.YTD." localSheetId="3" hidden="1">{"YTD-Total",#N/A,TRUE,"Provision";"YTD-Utility",#N/A,TRUE,"Prov Utility";"YTD-NonUtility",#N/A,TRUE,"Prov NonUtility"}</definedName>
    <definedName name="wrn.Combined._.YTD." localSheetId="18" hidden="1">{"YTD-Total",#N/A,TRUE,"Provision";"YTD-Utility",#N/A,TRUE,"Prov Utility";"YTD-NonUtility",#N/A,TRUE,"Prov NonUtility"}</definedName>
    <definedName name="wrn.Combined._.YTD." localSheetId="4" hidden="1">{"YTD-Total",#N/A,TRUE,"Provision";"YTD-Utility",#N/A,TRUE,"Prov Utility";"YTD-NonUtility",#N/A,TRUE,"Prov NonUtility"}</definedName>
    <definedName name="wrn.Combined._.YTD." hidden="1">{"YTD-Total",#N/A,TRUE,"Provision";"YTD-Utility",#N/A,TRUE,"Prov Utility";"YTD-NonUtility",#N/A,TRUE,"Prov NonUtility"}</definedName>
    <definedName name="wrn.ConsolGrossGrp." localSheetId="3" hidden="1">{"Conol gross povision grouped",#N/A,FALSE,"Consol Gross";"Consol Gross Grouped",#N/A,FALSE,"Consol Gross"}</definedName>
    <definedName name="wrn.ConsolGrossGrp." localSheetId="18" hidden="1">{"Conol gross povision grouped",#N/A,FALSE,"Consol Gross";"Consol Gross Grouped",#N/A,FALSE,"Consol Gross"}</definedName>
    <definedName name="wrn.ConsolGrossGrp." localSheetId="4" hidden="1">{"Conol gross povision grouped",#N/A,FALSE,"Consol Gross";"Consol Gross Grouped",#N/A,FALSE,"Consol Gross"}</definedName>
    <definedName name="wrn.ConsolGrossGrp." hidden="1">{"Conol gross povision grouped",#N/A,FALSE,"Consol Gross";"Consol Gross Grouped",#N/A,FALSE,"Consol Gross"}</definedName>
    <definedName name="wrn.Factors._.Tab._.10." localSheetId="3" hidden="1">{"Factors Pages 1-2",#N/A,FALSE,"Factors";"Factors Page 3",#N/A,FALSE,"Factors";"Factors Page 4",#N/A,FALSE,"Factors";"Factors Page 5",#N/A,FALSE,"Factors";"Factors Pages 8-27",#N/A,FALSE,"Factors"}</definedName>
    <definedName name="wrn.Factors._.Tab._.10." localSheetId="18" hidden="1">{"Factors Pages 1-2",#N/A,FALSE,"Factors";"Factors Page 3",#N/A,FALSE,"Factors";"Factors Page 4",#N/A,FALSE,"Factors";"Factors Page 5",#N/A,FALSE,"Factors";"Factors Pages 8-27",#N/A,FALSE,"Factors"}</definedName>
    <definedName name="wrn.Factors._.Tab._.10." localSheetId="20" hidden="1">{"Factors Pages 1-2",#N/A,FALSE,"Factors";"Factors Page 3",#N/A,FALSE,"Factors";"Factors Page 4",#N/A,FALSE,"Factors";"Factors Page 5",#N/A,FALSE,"Factors";"Factors Pages 8-27",#N/A,FALSE,"Factors"}</definedName>
    <definedName name="wrn.Factors._.Tab._.10." localSheetId="23" hidden="1">{"Factors Pages 1-2",#N/A,FALSE,"Factors";"Factors Page 3",#N/A,FALSE,"Factors";"Factors Page 4",#N/A,FALSE,"Factors";"Factors Page 5",#N/A,FALSE,"Factors";"Factors Pages 8-27",#N/A,FALSE,"Factors"}</definedName>
    <definedName name="wrn.Factors._.Tab._.10." localSheetId="4" hidden="1">{"Factors Pages 1-2",#N/A,FALSE,"Factors";"Factors Page 3",#N/A,FALSE,"Factors";"Factors Page 4",#N/A,FALSE,"Factors";"Factors Page 5",#N/A,FALSE,"Factors";"Factors Pages 8-27",#N/A,FALSE,"Factors"}</definedName>
    <definedName name="wrn.Factors._.Tab._.10." localSheetId="6" hidden="1">{"Factors Pages 1-2",#N/A,FALSE,"Factors";"Factors Page 3",#N/A,FALSE,"Factors";"Factors Page 4",#N/A,FALSE,"Factors";"Factors Page 5",#N/A,FALSE,"Factors";"Factors Pages 8-27",#N/A,FALSE,"Factors"}</definedName>
    <definedName name="wrn.Factors._.Tab._.10." localSheetId="11" hidden="1">{"Factors Pages 1-2",#N/A,FALSE,"Factors";"Factors Page 3",#N/A,FALSE,"Factors";"Factors Page 4",#N/A,FALSE,"Factors";"Factors Page 5",#N/A,FALSE,"Factors";"Factors Pages 8-27",#N/A,FALSE,"Factors"}</definedName>
    <definedName name="wrn.Factors._.Tab._.10." localSheetId="25" hidden="1">{"Factors Pages 1-2",#N/A,FALSE,"Factors";"Factors Page 3",#N/A,FALSE,"Factors";"Factors Page 4",#N/A,FALSE,"Factors";"Factors Page 5",#N/A,FALSE,"Factors";"Factors Pages 8-27",#N/A,FALSE,"Factors"}</definedName>
    <definedName name="wrn.Full._.View." localSheetId="3" hidden="1">{"FullView",#N/A,FALSE,"Consltd-For contngcy"}</definedName>
    <definedName name="wrn.Full._.View." localSheetId="18" hidden="1">{"FullView",#N/A,FALSE,"Consltd-For contngcy"}</definedName>
    <definedName name="wrn.Full._.View." localSheetId="4" hidden="1">{"FullView",#N/A,FALSE,"Consltd-For contngcy"}</definedName>
    <definedName name="wrn.Full._.View." hidden="1">{"FullView",#N/A,FALSE,"Consltd-For contngcy"}</definedName>
    <definedName name="wrn.Open._.Issues._.Only." localSheetId="3" hidden="1">{"Open issues Only",#N/A,FALSE,"TIMELINE"}</definedName>
    <definedName name="wrn.Open._.Issues._.Only." localSheetId="18" hidden="1">{"Open issues Only",#N/A,FALSE,"TIMELINE"}</definedName>
    <definedName name="wrn.Open._.Issues._.Only." localSheetId="4" hidden="1">{"Open issues Only",#N/A,FALSE,"TIMELINE"}</definedName>
    <definedName name="wrn.Open._.Issues._.Only." hidden="1">{"Open issues Only",#N/A,FALSE,"TIMELINE"}</definedName>
    <definedName name="wrn.OR._.Carrying._.Charge._.JV." localSheetId="3" hidden="1">{#N/A,#N/A,FALSE,"Loans";#N/A,#N/A,FALSE,"Program Costs";#N/A,#N/A,FALSE,"Measures";#N/A,#N/A,FALSE,"Net Lost Rev";#N/A,#N/A,FALSE,"Incentive"}</definedName>
    <definedName name="wrn.OR._.Carrying._.Charge._.JV." localSheetId="18" hidden="1">{#N/A,#N/A,FALSE,"Loans";#N/A,#N/A,FALSE,"Program Costs";#N/A,#N/A,FALSE,"Measures";#N/A,#N/A,FALSE,"Net Lost Rev";#N/A,#N/A,FALSE,"Incentive"}</definedName>
    <definedName name="wrn.OR._.Carrying._.Charge._.JV." localSheetId="20" hidden="1">{#N/A,#N/A,FALSE,"Loans";#N/A,#N/A,FALSE,"Program Costs";#N/A,#N/A,FALSE,"Measures";#N/A,#N/A,FALSE,"Net Lost Rev";#N/A,#N/A,FALSE,"Incentive"}</definedName>
    <definedName name="wrn.OR._.Carrying._.Charge._.JV." localSheetId="23" hidden="1">{#N/A,#N/A,FALSE,"Loans";#N/A,#N/A,FALSE,"Program Costs";#N/A,#N/A,FALSE,"Measures";#N/A,#N/A,FALSE,"Net Lost Rev";#N/A,#N/A,FALSE,"Incentive"}</definedName>
    <definedName name="wrn.OR._.Carrying._.Charge._.JV." localSheetId="4" hidden="1">{#N/A,#N/A,FALSE,"Loans";#N/A,#N/A,FALSE,"Program Costs";#N/A,#N/A,FALSE,"Measures";#N/A,#N/A,FALSE,"Net Lost Rev";#N/A,#N/A,FALSE,"Incentive"}</definedName>
    <definedName name="wrn.OR._.Carrying._.Charge._.JV." localSheetId="6" hidden="1">{#N/A,#N/A,FALSE,"Loans";#N/A,#N/A,FALSE,"Program Costs";#N/A,#N/A,FALSE,"Measures";#N/A,#N/A,FALSE,"Net Lost Rev";#N/A,#N/A,FALSE,"Incentive"}</definedName>
    <definedName name="wrn.OR._.Carrying._.Charge._.JV." localSheetId="11" hidden="1">{#N/A,#N/A,FALSE,"Loans";#N/A,#N/A,FALSE,"Program Costs";#N/A,#N/A,FALSE,"Measures";#N/A,#N/A,FALSE,"Net Lost Rev";#N/A,#N/A,FALSE,"Incentive"}</definedName>
    <definedName name="wrn.OR._.Carrying._.Charge._.JV." localSheetId="25" hidden="1">{#N/A,#N/A,FALSE,"Loans";#N/A,#N/A,FALSE,"Program Costs";#N/A,#N/A,FALSE,"Measures";#N/A,#N/A,FALSE,"Net Lost Rev";#N/A,#N/A,FALSE,"Incentive"}</definedName>
    <definedName name="wrn.OR._.Carrying._.Charge._.JV.1" localSheetId="3" hidden="1">{#N/A,#N/A,FALSE,"Loans";#N/A,#N/A,FALSE,"Program Costs";#N/A,#N/A,FALSE,"Measures";#N/A,#N/A,FALSE,"Net Lost Rev";#N/A,#N/A,FALSE,"Incentive"}</definedName>
    <definedName name="wrn.OR._.Carrying._.Charge._.JV.1" localSheetId="18" hidden="1">{#N/A,#N/A,FALSE,"Loans";#N/A,#N/A,FALSE,"Program Costs";#N/A,#N/A,FALSE,"Measures";#N/A,#N/A,FALSE,"Net Lost Rev";#N/A,#N/A,FALSE,"Incentive"}</definedName>
    <definedName name="wrn.OR._.Carrying._.Charge._.JV.1" localSheetId="20" hidden="1">{#N/A,#N/A,FALSE,"Loans";#N/A,#N/A,FALSE,"Program Costs";#N/A,#N/A,FALSE,"Measures";#N/A,#N/A,FALSE,"Net Lost Rev";#N/A,#N/A,FALSE,"Incentive"}</definedName>
    <definedName name="wrn.OR._.Carrying._.Charge._.JV.1" localSheetId="23" hidden="1">{#N/A,#N/A,FALSE,"Loans";#N/A,#N/A,FALSE,"Program Costs";#N/A,#N/A,FALSE,"Measures";#N/A,#N/A,FALSE,"Net Lost Rev";#N/A,#N/A,FALSE,"Incentive"}</definedName>
    <definedName name="wrn.OR._.Carrying._.Charge._.JV.1" localSheetId="4" hidden="1">{#N/A,#N/A,FALSE,"Loans";#N/A,#N/A,FALSE,"Program Costs";#N/A,#N/A,FALSE,"Measures";#N/A,#N/A,FALSE,"Net Lost Rev";#N/A,#N/A,FALSE,"Incentive"}</definedName>
    <definedName name="wrn.OR._.Carrying._.Charge._.JV.1" localSheetId="6" hidden="1">{#N/A,#N/A,FALSE,"Loans";#N/A,#N/A,FALSE,"Program Costs";#N/A,#N/A,FALSE,"Measures";#N/A,#N/A,FALSE,"Net Lost Rev";#N/A,#N/A,FALSE,"Incentive"}</definedName>
    <definedName name="wrn.OR._.Carrying._.Charge._.JV.1" localSheetId="11" hidden="1">{#N/A,#N/A,FALSE,"Loans";#N/A,#N/A,FALSE,"Program Costs";#N/A,#N/A,FALSE,"Measures";#N/A,#N/A,FALSE,"Net Lost Rev";#N/A,#N/A,FALSE,"Incentive"}</definedName>
    <definedName name="wrn.OR._.Carrying._.Charge._.JV.1" localSheetId="25" hidden="1">{#N/A,#N/A,FALSE,"Loans";#N/A,#N/A,FALSE,"Program Costs";#N/A,#N/A,FALSE,"Measures";#N/A,#N/A,FALSE,"Net Lost Rev";#N/A,#N/A,FALSE,"Incentive"}</definedName>
    <definedName name="wrn.pages." localSheetId="3" hidden="1">{#N/A,#N/A,FALSE,"Bgt";#N/A,#N/A,FALSE,"Act";#N/A,#N/A,FALSE,"Chrt Data";#N/A,#N/A,FALSE,"Bus Result";#N/A,#N/A,FALSE,"Main Charts";#N/A,#N/A,FALSE,"P&amp;L Ttl";#N/A,#N/A,FALSE,"P&amp;L C_Ttl";#N/A,#N/A,FALSE,"P&amp;L C_Oct";#N/A,#N/A,FALSE,"P&amp;L C_Sep";#N/A,#N/A,FALSE,"1996";#N/A,#N/A,FALSE,"Data"}</definedName>
    <definedName name="wrn.pages." localSheetId="18" hidden="1">{#N/A,#N/A,FALSE,"Bgt";#N/A,#N/A,FALSE,"Act";#N/A,#N/A,FALSE,"Chrt Data";#N/A,#N/A,FALSE,"Bus Result";#N/A,#N/A,FALSE,"Main Charts";#N/A,#N/A,FALSE,"P&amp;L Ttl";#N/A,#N/A,FALSE,"P&amp;L C_Ttl";#N/A,#N/A,FALSE,"P&amp;L C_Oct";#N/A,#N/A,FALSE,"P&amp;L C_Sep";#N/A,#N/A,FALSE,"1996";#N/A,#N/A,FALSE,"Data"}</definedName>
    <definedName name="wrn.pages." localSheetId="4" hidden="1">{#N/A,#N/A,FALSE,"Bgt";#N/A,#N/A,FALSE,"Act";#N/A,#N/A,FALSE,"Chrt Data";#N/A,#N/A,FALSE,"Bus Result";#N/A,#N/A,FALSE,"Main Charts";#N/A,#N/A,FALSE,"P&amp;L Ttl";#N/A,#N/A,FALSE,"P&amp;L C_Ttl";#N/A,#N/A,FALSE,"P&amp;L C_Oct";#N/A,#N/A,FALSE,"P&amp;L C_Sep";#N/A,#N/A,FALSE,"1996";#N/A,#N/A,FALSE,"Data"}</definedName>
    <definedName name="wrn.pages." hidden="1">{#N/A,#N/A,FALSE,"Bgt";#N/A,#N/A,FALSE,"Act";#N/A,#N/A,FALSE,"Chrt Data";#N/A,#N/A,FALSE,"Bus Result";#N/A,#N/A,FALSE,"Main Charts";#N/A,#N/A,FALSE,"P&amp;L Ttl";#N/A,#N/A,FALSE,"P&amp;L C_Ttl";#N/A,#N/A,FALSE,"P&amp;L C_Oct";#N/A,#N/A,FALSE,"P&amp;L C_Sep";#N/A,#N/A,FALSE,"1996";#N/A,#N/A,FALSE,"Data"}</definedName>
    <definedName name="wrn.Payment._.View." localSheetId="3" hidden="1">{#N/A,#N/A,FALSE,"Consltd-For contngcy";"PaymentView",#N/A,FALSE,"Consltd-For contngcy"}</definedName>
    <definedName name="wrn.Payment._.View." localSheetId="18" hidden="1">{#N/A,#N/A,FALSE,"Consltd-For contngcy";"PaymentView",#N/A,FALSE,"Consltd-For contngcy"}</definedName>
    <definedName name="wrn.Payment._.View." localSheetId="4" hidden="1">{#N/A,#N/A,FALSE,"Consltd-For contngcy";"PaymentView",#N/A,FALSE,"Consltd-For contngcy"}</definedName>
    <definedName name="wrn.Payment._.View." hidden="1">{#N/A,#N/A,FALSE,"Consltd-For contngcy";"PaymentView",#N/A,FALSE,"Consltd-For contngcy"}</definedName>
    <definedName name="wrn.PFSreconview." localSheetId="3" hidden="1">{"PFS recon view",#N/A,FALSE,"Hyperion Proof"}</definedName>
    <definedName name="wrn.PFSreconview." localSheetId="18" hidden="1">{"PFS recon view",#N/A,FALSE,"Hyperion Proof"}</definedName>
    <definedName name="wrn.PFSreconview." localSheetId="4" hidden="1">{"PFS recon view",#N/A,FALSE,"Hyperion Proof"}</definedName>
    <definedName name="wrn.PFSreconview." hidden="1">{"PFS recon view",#N/A,FALSE,"Hyperion Proof"}</definedName>
    <definedName name="wrn.PGHCreconview." localSheetId="3" hidden="1">{"PGHC recon view",#N/A,FALSE,"Hyperion Proof"}</definedName>
    <definedName name="wrn.PGHCreconview." localSheetId="18" hidden="1">{"PGHC recon view",#N/A,FALSE,"Hyperion Proof"}</definedName>
    <definedName name="wrn.PGHCreconview." localSheetId="4" hidden="1">{"PGHC recon view",#N/A,FALSE,"Hyperion Proof"}</definedName>
    <definedName name="wrn.PGHCreconview." hidden="1">{"PGHC recon view",#N/A,FALSE,"Hyperion Proof"}</definedName>
    <definedName name="wrn.PPMCoCodeView." localSheetId="3" hidden="1">{"PPM Co Code View",#N/A,FALSE,"Comp Codes"}</definedName>
    <definedName name="wrn.PPMCoCodeView." localSheetId="18" hidden="1">{"PPM Co Code View",#N/A,FALSE,"Comp Codes"}</definedName>
    <definedName name="wrn.PPMCoCodeView." localSheetId="4" hidden="1">{"PPM Co Code View",#N/A,FALSE,"Comp Codes"}</definedName>
    <definedName name="wrn.PPMCoCodeView." hidden="1">{"PPM Co Code View",#N/A,FALSE,"Comp Codes"}</definedName>
    <definedName name="wrn.PPMreconview." localSheetId="3" hidden="1">{"PPM Recon View",#N/A,FALSE,"Hyperion Proof"}</definedName>
    <definedName name="wrn.PPMreconview." localSheetId="18" hidden="1">{"PPM Recon View",#N/A,FALSE,"Hyperion Proof"}</definedName>
    <definedName name="wrn.PPMreconview." localSheetId="4" hidden="1">{"PPM Recon View",#N/A,FALSE,"Hyperion Proof"}</definedName>
    <definedName name="wrn.PPMreconview." hidden="1">{"PPM Recon View",#N/A,FALSE,"Hyperion Proof"}</definedName>
    <definedName name="wrn.ProofElectricOnly." localSheetId="3" hidden="1">{"Electric Only",#N/A,FALSE,"Hyperion Proof"}</definedName>
    <definedName name="wrn.ProofElectricOnly." localSheetId="18" hidden="1">{"Electric Only",#N/A,FALSE,"Hyperion Proof"}</definedName>
    <definedName name="wrn.ProofElectricOnly." localSheetId="4" hidden="1">{"Electric Only",#N/A,FALSE,"Hyperion Proof"}</definedName>
    <definedName name="wrn.ProofElectricOnly." hidden="1">{"Electric Only",#N/A,FALSE,"Hyperion Proof"}</definedName>
    <definedName name="wrn.ProofTotal." localSheetId="3" hidden="1">{"Proof Total",#N/A,FALSE,"Hyperion Proof"}</definedName>
    <definedName name="wrn.ProofTotal." localSheetId="18" hidden="1">{"Proof Total",#N/A,FALSE,"Hyperion Proof"}</definedName>
    <definedName name="wrn.ProofTotal." localSheetId="4" hidden="1">{"Proof Total",#N/A,FALSE,"Hyperion Proof"}</definedName>
    <definedName name="wrn.ProofTotal." hidden="1">{"Proof Total",#N/A,FALSE,"Hyperion Proof"}</definedName>
    <definedName name="wrn.Reformat._.only." localSheetId="3" hidden="1">{#N/A,#N/A,FALSE,"Dec 1999 mapping"}</definedName>
    <definedName name="wrn.Reformat._.only." localSheetId="18" hidden="1">{#N/A,#N/A,FALSE,"Dec 1999 mapping"}</definedName>
    <definedName name="wrn.Reformat._.only." localSheetId="4" hidden="1">{#N/A,#N/A,FALSE,"Dec 1999 mapping"}</definedName>
    <definedName name="wrn.Reformat._.only." hidden="1">{#N/A,#N/A,FALSE,"Dec 1999 mapping"}</definedName>
    <definedName name="wrn.SALES._.VAR._.95._.BUDGET." localSheetId="3" hidden="1">{"PRINT",#N/A,TRUE,"APPA";"PRINT",#N/A,TRUE,"APS";"PRINT",#N/A,TRUE,"BHPL";"PRINT",#N/A,TRUE,"BHPL2";"PRINT",#N/A,TRUE,"CDWR";"PRINT",#N/A,TRUE,"EWEB";"PRINT",#N/A,TRUE,"LADWP";"PRINT",#N/A,TRUE,"NEVBASE"}</definedName>
    <definedName name="wrn.SALES._.VAR._.95._.BUDGET." localSheetId="18" hidden="1">{"PRINT",#N/A,TRUE,"APPA";"PRINT",#N/A,TRUE,"APS";"PRINT",#N/A,TRUE,"BHPL";"PRINT",#N/A,TRUE,"BHPL2";"PRINT",#N/A,TRUE,"CDWR";"PRINT",#N/A,TRUE,"EWEB";"PRINT",#N/A,TRUE,"LADWP";"PRINT",#N/A,TRUE,"NEVBASE"}</definedName>
    <definedName name="wrn.SALES._.VAR._.95._.BUDGET." localSheetId="20" hidden="1">{"PRINT",#N/A,TRUE,"APPA";"PRINT",#N/A,TRUE,"APS";"PRINT",#N/A,TRUE,"BHPL";"PRINT",#N/A,TRUE,"BHPL2";"PRINT",#N/A,TRUE,"CDWR";"PRINT",#N/A,TRUE,"EWEB";"PRINT",#N/A,TRUE,"LADWP";"PRINT",#N/A,TRUE,"NEVBASE"}</definedName>
    <definedName name="wrn.SALES._.VAR._.95._.BUDGET." localSheetId="23" hidden="1">{"PRINT",#N/A,TRUE,"APPA";"PRINT",#N/A,TRUE,"APS";"PRINT",#N/A,TRUE,"BHPL";"PRINT",#N/A,TRUE,"BHPL2";"PRINT",#N/A,TRUE,"CDWR";"PRINT",#N/A,TRUE,"EWEB";"PRINT",#N/A,TRUE,"LADWP";"PRINT",#N/A,TRUE,"NEVBASE"}</definedName>
    <definedName name="wrn.SALES._.VAR._.95._.BUDGET." localSheetId="4" hidden="1">{"PRINT",#N/A,TRUE,"APPA";"PRINT",#N/A,TRUE,"APS";"PRINT",#N/A,TRUE,"BHPL";"PRINT",#N/A,TRUE,"BHPL2";"PRINT",#N/A,TRUE,"CDWR";"PRINT",#N/A,TRUE,"EWEB";"PRINT",#N/A,TRUE,"LADWP";"PRINT",#N/A,TRUE,"NEVBASE"}</definedName>
    <definedName name="wrn.SALES._.VAR._.95._.BUDGET." localSheetId="6" hidden="1">{"PRINT",#N/A,TRUE,"APPA";"PRINT",#N/A,TRUE,"APS";"PRINT",#N/A,TRUE,"BHPL";"PRINT",#N/A,TRUE,"BHPL2";"PRINT",#N/A,TRUE,"CDWR";"PRINT",#N/A,TRUE,"EWEB";"PRINT",#N/A,TRUE,"LADWP";"PRINT",#N/A,TRUE,"NEVBASE"}</definedName>
    <definedName name="wrn.SALES._.VAR._.95._.BUDGET." localSheetId="11" hidden="1">{"PRINT",#N/A,TRUE,"APPA";"PRINT",#N/A,TRUE,"APS";"PRINT",#N/A,TRUE,"BHPL";"PRINT",#N/A,TRUE,"BHPL2";"PRINT",#N/A,TRUE,"CDWR";"PRINT",#N/A,TRUE,"EWEB";"PRINT",#N/A,TRUE,"LADWP";"PRINT",#N/A,TRUE,"NEVBASE"}</definedName>
    <definedName name="wrn.SALES._.VAR._.95._.BUDGET." localSheetId="25" hidden="1">{"PRINT",#N/A,TRUE,"APPA";"PRINT",#N/A,TRUE,"APS";"PRINT",#N/A,TRUE,"BHPL";"PRINT",#N/A,TRUE,"BHPL2";"PRINT",#N/A,TRUE,"CDWR";"PRINT",#N/A,TRUE,"EWEB";"PRINT",#N/A,TRUE,"LADWP";"PRINT",#N/A,TRUE,"NEVBASE"}</definedName>
    <definedName name="wrn.Standard." localSheetId="3" hidden="1">{"YTD-Total",#N/A,FALSE,"Provision"}</definedName>
    <definedName name="wrn.Standard." localSheetId="18" hidden="1">{"YTD-Total",#N/A,FALSE,"Provision"}</definedName>
    <definedName name="wrn.Standard." localSheetId="4" hidden="1">{"YTD-Total",#N/A,FALSE,"Provision"}</definedName>
    <definedName name="wrn.Standard." hidden="1">{"YTD-Total",#N/A,FALSE,"Provision"}</definedName>
    <definedName name="wrn.Standard._.NonUtility._.Only." localSheetId="3" hidden="1">{"YTD-NonUtility",#N/A,FALSE,"Prov NonUtility"}</definedName>
    <definedName name="wrn.Standard._.NonUtility._.Only." localSheetId="18" hidden="1">{"YTD-NonUtility",#N/A,FALSE,"Prov NonUtility"}</definedName>
    <definedName name="wrn.Standard._.NonUtility._.Only." localSheetId="4" hidden="1">{"YTD-NonUtility",#N/A,FALSE,"Prov NonUtility"}</definedName>
    <definedName name="wrn.Standard._.NonUtility._.Only." hidden="1">{"YTD-NonUtility",#N/A,FALSE,"Prov NonUtility"}</definedName>
    <definedName name="wrn.Standard._.Utility._.Only." localSheetId="3" hidden="1">{"YTD-Utility",#N/A,FALSE,"Prov Utility"}</definedName>
    <definedName name="wrn.Standard._.Utility._.Only." localSheetId="18" hidden="1">{"YTD-Utility",#N/A,FALSE,"Prov Utility"}</definedName>
    <definedName name="wrn.Standard._.Utility._.Only." localSheetId="4" hidden="1">{"YTD-Utility",#N/A,FALSE,"Prov Utility"}</definedName>
    <definedName name="wrn.Standard._.Utility._.Only." hidden="1">{"YTD-Utility",#N/A,FALSE,"Prov Utility"}</definedName>
    <definedName name="wrn.Summary._.View." localSheetId="3" hidden="1">{#N/A,#N/A,FALSE,"Consltd-For contngcy"}</definedName>
    <definedName name="wrn.Summary._.View." localSheetId="18" hidden="1">{#N/A,#N/A,FALSE,"Consltd-For contngcy"}</definedName>
    <definedName name="wrn.Summary._.View." localSheetId="4" hidden="1">{#N/A,#N/A,FALSE,"Consltd-For contngcy"}</definedName>
    <definedName name="wrn.Summary._.View." hidden="1">{#N/A,#N/A,FALSE,"Consltd-For contngcy"}</definedName>
    <definedName name="wrn.UK._.Conversion._.Only." localSheetId="3" hidden="1">{#N/A,#N/A,FALSE,"Dec 1999 UK Continuing Ops"}</definedName>
    <definedName name="wrn.UK._.Conversion._.Only." localSheetId="18" hidden="1">{#N/A,#N/A,FALSE,"Dec 1999 UK Continuing Ops"}</definedName>
    <definedName name="wrn.UK._.Conversion._.Only." localSheetId="4" hidden="1">{#N/A,#N/A,FALSE,"Dec 1999 UK Continuing Ops"}</definedName>
    <definedName name="wrn.UK._.Conversion._.Only." hidden="1">{#N/A,#N/A,FALSE,"Dec 1999 UK Continuing Ops"}</definedName>
    <definedName name="wrn.YearEnd." localSheetId="3" hidden="1">{"Factors Pages 1-2",#N/A,FALSE,"Variables";"Factors Page 3",#N/A,FALSE,"Variables";"Factors Page 4",#N/A,FALSE,"Variables";"Factors Page 5",#N/A,FALSE,"Variables";"YE Pages 7-26",#N/A,FALSE,"Variables"}</definedName>
    <definedName name="wrn.YearEnd." localSheetId="18" hidden="1">{"Factors Pages 1-2",#N/A,FALSE,"Variables";"Factors Page 3",#N/A,FALSE,"Variables";"Factors Page 4",#N/A,FALSE,"Variables";"Factors Page 5",#N/A,FALSE,"Variables";"YE Pages 7-26",#N/A,FALSE,"Variables"}</definedName>
    <definedName name="wrn.YearEnd." localSheetId="20" hidden="1">{"Factors Pages 1-2",#N/A,FALSE,"Variables";"Factors Page 3",#N/A,FALSE,"Variables";"Factors Page 4",#N/A,FALSE,"Variables";"Factors Page 5",#N/A,FALSE,"Variables";"YE Pages 7-26",#N/A,FALSE,"Variables"}</definedName>
    <definedName name="wrn.YearEnd." localSheetId="23" hidden="1">{"Factors Pages 1-2",#N/A,FALSE,"Variables";"Factors Page 3",#N/A,FALSE,"Variables";"Factors Page 4",#N/A,FALSE,"Variables";"Factors Page 5",#N/A,FALSE,"Variables";"YE Pages 7-26",#N/A,FALSE,"Variables"}</definedName>
    <definedName name="wrn.YearEnd." localSheetId="4" hidden="1">{"Factors Pages 1-2",#N/A,FALSE,"Variables";"Factors Page 3",#N/A,FALSE,"Variables";"Factors Page 4",#N/A,FALSE,"Variables";"Factors Page 5",#N/A,FALSE,"Variables";"YE Pages 7-26",#N/A,FALSE,"Variables"}</definedName>
    <definedName name="wrn.YearEnd." localSheetId="6" hidden="1">{"Factors Pages 1-2",#N/A,FALSE,"Variables";"Factors Page 3",#N/A,FALSE,"Variables";"Factors Page 4",#N/A,FALSE,"Variables";"Factors Page 5",#N/A,FALSE,"Variables";"YE Pages 7-26",#N/A,FALSE,"Variables"}</definedName>
    <definedName name="wrn.YearEnd." localSheetId="11" hidden="1">{"Factors Pages 1-2",#N/A,FALSE,"Variables";"Factors Page 3",#N/A,FALSE,"Variables";"Factors Page 4",#N/A,FALSE,"Variables";"Factors Page 5",#N/A,FALSE,"Variables";"YE Pages 7-26",#N/A,FALSE,"Variables"}</definedName>
    <definedName name="wrn.YearEnd." localSheetId="25" hidden="1">{"Factors Pages 1-2",#N/A,FALSE,"Variables";"Factors Page 3",#N/A,FALSE,"Variables";"Factors Page 4",#N/A,FALSE,"Variables";"Factors Page 5",#N/A,FALSE,"Variables";"YE Pages 7-26",#N/A,FALSE,"Variables"}</definedName>
    <definedName name="Z_01844156_6462_4A28_9785_1A86F4D0C834_.wvu.PrintTitles" localSheetId="3" hidden="1">#REF!</definedName>
    <definedName name="Z_01844156_6462_4A28_9785_1A86F4D0C834_.wvu.PrintTitles" localSheetId="18" hidden="1">#REF!</definedName>
    <definedName name="Z_01844156_6462_4A28_9785_1A86F4D0C834_.wvu.PrintTitles" localSheetId="4" hidden="1">#REF!</definedName>
    <definedName name="Z_01844156_6462_4A28_9785_1A86F4D0C834_.wvu.PrintTitles" localSheetId="13" hidden="1">#REF!</definedName>
    <definedName name="Z_01844156_6462_4A28_9785_1A86F4D0C834_.wvu.PrintTitles" hidden="1">#REF!</definedName>
    <definedName name="Z_28948E05_8F34_4F1E_96FB_A80A6A844600_.wvu.Cols" localSheetId="3" hidden="1">'Att 1 - ADIT'!#REF!</definedName>
    <definedName name="Z_28948E05_8F34_4F1E_96FB_A80A6A844600_.wvu.Cols" localSheetId="10" hidden="1">'Att 7 - Trans Enhance Charge'!$N:$P</definedName>
    <definedName name="Z_28948E05_8F34_4F1E_96FB_A80A6A844600_.wvu.PrintArea" localSheetId="0" hidden="1">'Appendix A'!$A$1:$H$323</definedName>
    <definedName name="Z_28948E05_8F34_4F1E_96FB_A80A6A844600_.wvu.PrintArea" localSheetId="3" hidden="1">'Att 1 - ADIT'!$A$1:$I$493</definedName>
    <definedName name="Z_28948E05_8F34_4F1E_96FB_A80A6A844600_.wvu.PrintArea" localSheetId="6" hidden="1">'Att 3 - Revenue Credits'!$A$1:$E$57</definedName>
    <definedName name="Z_28948E05_8F34_4F1E_96FB_A80A6A844600_.wvu.PrintTitles" localSheetId="8" hidden="1">'Att 5 - Cost Support'!$1:$2</definedName>
    <definedName name="Z_28948E05_8F34_4F1E_96FB_A80A6A844600_.wvu.PrintTitles" localSheetId="10" hidden="1">'Att 7 - Trans Enhance Charge'!$C:$D</definedName>
    <definedName name="Z_28948E05_8F34_4F1E_96FB_A80A6A844600_.wvu.Rows" localSheetId="0" hidden="1">'Appendix A'!#REF!</definedName>
    <definedName name="Z_28948E05_8F34_4F1E_96FB_A80A6A844600_.wvu.Rows" localSheetId="7" hidden="1">'Att 4 - 100 Basis Point ROE'!#REF!,'Att 4 - 100 Basis Point ROE'!#REF!</definedName>
    <definedName name="Z_28948E05_8F34_4F1E_96FB_A80A6A844600_.wvu.Rows" localSheetId="8" hidden="1">'Att 5 - Cost Support'!#REF!</definedName>
    <definedName name="Z_3A38DF7A_C35E_4DD3_9893_26310A3EF836_.wvu.Cols" localSheetId="10" hidden="1">'Att 7 - Trans Enhance Charge'!$N:$P</definedName>
    <definedName name="Z_3A38DF7A_C35E_4DD3_9893_26310A3EF836_.wvu.PrintArea" localSheetId="0" hidden="1">'Appendix A'!$A$1:$H$323</definedName>
    <definedName name="Z_3A38DF7A_C35E_4DD3_9893_26310A3EF836_.wvu.PrintArea" localSheetId="6" hidden="1">'Att 3 - Revenue Credits'!$A$1:$E$57</definedName>
    <definedName name="Z_3A38DF7A_C35E_4DD3_9893_26310A3EF836_.wvu.PrintTitles" localSheetId="8" hidden="1">'Att 5 - Cost Support'!$1:$2</definedName>
    <definedName name="Z_3A38DF7A_C35E_4DD3_9893_26310A3EF836_.wvu.PrintTitles" localSheetId="10" hidden="1">'Att 7 - Trans Enhance Charge'!$C:$D</definedName>
    <definedName name="Z_3A38DF7A_C35E_4DD3_9893_26310A3EF836_.wvu.Rows" localSheetId="7" hidden="1">'Att 4 - 100 Basis Point ROE'!#REF!</definedName>
    <definedName name="Z_3A38DF7A_C35E_4DD3_9893_26310A3EF836_.wvu.Rows" localSheetId="8" hidden="1">'Att 5 - Cost Support'!#REF!</definedName>
    <definedName name="Z_4A90B046_E756_46AA_9CB3_3E64BAD12CBD_.wvu.PrintArea" localSheetId="11" hidden="1">'ATT 8 - Dep rates'!$A$1:$AA$54</definedName>
    <definedName name="Z_4C7C2344_134C_465A_ADEB_A5E96AAE2308_.wvu.Cols" localSheetId="10" hidden="1">'Att 7 - Trans Enhance Charge'!$N:$P</definedName>
    <definedName name="Z_4C7C2344_134C_465A_ADEB_A5E96AAE2308_.wvu.PrintArea" localSheetId="0" hidden="1">'Appendix A'!$A$1:$H$323</definedName>
    <definedName name="Z_4C7C2344_134C_465A_ADEB_A5E96AAE2308_.wvu.PrintArea" localSheetId="6" hidden="1">'Att 3 - Revenue Credits'!$A$1:$E$57</definedName>
    <definedName name="Z_4C7C2344_134C_465A_ADEB_A5E96AAE2308_.wvu.PrintTitles" localSheetId="8" hidden="1">'Att 5 - Cost Support'!$1:$2</definedName>
    <definedName name="Z_4C7C2344_134C_465A_ADEB_A5E96AAE2308_.wvu.PrintTitles" localSheetId="10" hidden="1">'Att 7 - Trans Enhance Charge'!$C:$D</definedName>
    <definedName name="Z_4C7C2344_134C_465A_ADEB_A5E96AAE2308_.wvu.Rows" localSheetId="7" hidden="1">'Att 4 - 100 Basis Point ROE'!#REF!</definedName>
    <definedName name="Z_4C7C2344_134C_465A_ADEB_A5E96AAE2308_.wvu.Rows" localSheetId="8" hidden="1">'Att 5 - Cost Support'!#REF!</definedName>
    <definedName name="Z_63011E91_4609_4523_98FE_FD252E915668_.wvu.Cols" localSheetId="3" hidden="1">'Att 1 - ADIT'!#REF!</definedName>
    <definedName name="Z_63011E91_4609_4523_98FE_FD252E915668_.wvu.PrintArea" localSheetId="3" hidden="1">'Att 1 - ADIT'!$A$1:$I$493</definedName>
    <definedName name="Z_63011E91_4609_4523_98FE_FD252E915668_.wvu.PrintArea" localSheetId="9" hidden="1">'Att 6 - Est &amp; Reconcile WS'!$A$1:$R$70</definedName>
    <definedName name="Z_6928E596_79BD_4CEC_9F0D_07E62D69B2A5_.wvu.Cols" localSheetId="3" hidden="1">'Att 1 - ADIT'!#REF!</definedName>
    <definedName name="Z_6928E596_79BD_4CEC_9F0D_07E62D69B2A5_.wvu.PrintArea" localSheetId="3" hidden="1">'Att 1 - ADIT'!$A$1:$I$493</definedName>
    <definedName name="Z_71B42B22_A376_44B5_B0C1_23FC1AA3DBA2_.wvu.Cols" localSheetId="3" hidden="1">'Att 1 - ADIT'!#REF!</definedName>
    <definedName name="Z_71B42B22_A376_44B5_B0C1_23FC1AA3DBA2_.wvu.Cols" localSheetId="10" hidden="1">'Att 7 - Trans Enhance Charge'!$N:$P</definedName>
    <definedName name="Z_71B42B22_A376_44B5_B0C1_23FC1AA3DBA2_.wvu.PrintArea" localSheetId="0" hidden="1">'Appendix A'!$A$1:$H$323</definedName>
    <definedName name="Z_71B42B22_A376_44B5_B0C1_23FC1AA3DBA2_.wvu.PrintArea" localSheetId="3" hidden="1">'Att 1 - ADIT'!$A$1:$I$493</definedName>
    <definedName name="Z_71B42B22_A376_44B5_B0C1_23FC1AA3DBA2_.wvu.PrintArea" localSheetId="6" hidden="1">'Att 3 - Revenue Credits'!$A$1:$E$57</definedName>
    <definedName name="Z_71B42B22_A376_44B5_B0C1_23FC1AA3DBA2_.wvu.PrintTitles" localSheetId="8" hidden="1">'Att 5 - Cost Support'!$1:$2</definedName>
    <definedName name="Z_71B42B22_A376_44B5_B0C1_23FC1AA3DBA2_.wvu.PrintTitles" localSheetId="10" hidden="1">'Att 7 - Trans Enhance Charge'!$C:$D</definedName>
    <definedName name="Z_71B42B22_A376_44B5_B0C1_23FC1AA3DBA2_.wvu.Rows" localSheetId="0" hidden="1">'Appendix A'!#REF!</definedName>
    <definedName name="Z_71B42B22_A376_44B5_B0C1_23FC1AA3DBA2_.wvu.Rows" localSheetId="7" hidden="1">'Att 4 - 100 Basis Point ROE'!#REF!,'Att 4 - 100 Basis Point ROE'!#REF!</definedName>
    <definedName name="Z_71B42B22_A376_44B5_B0C1_23FC1AA3DBA2_.wvu.Rows" localSheetId="8" hidden="1">'Att 5 - Cost Support'!#REF!</definedName>
    <definedName name="Z_8FBB4DC9_2D51_4AB9_80D8_F8474B404C29_.wvu.Cols" localSheetId="3" hidden="1">'Att 1 - ADIT'!#REF!</definedName>
    <definedName name="Z_8FBB4DC9_2D51_4AB9_80D8_F8474B404C29_.wvu.PrintArea" localSheetId="3" hidden="1">'Att 1 - ADIT'!$A$1:$I$493</definedName>
    <definedName name="Z_B647CB7F_C846_4278_B6B1_1EF7F3C004F5_.wvu.Cols" localSheetId="3" hidden="1">'Att 1 - ADIT'!#REF!</definedName>
    <definedName name="Z_B647CB7F_C846_4278_B6B1_1EF7F3C004F5_.wvu.PrintArea" localSheetId="3" hidden="1">'Att 1 - ADIT'!$A$1:$I$493</definedName>
    <definedName name="Z_DA967730_B71F_4038_B1B7_9D4790729C5D_.wvu.Cols" localSheetId="10" hidden="1">'Att 7 - Trans Enhance Charge'!$N:$P</definedName>
    <definedName name="Z_DA967730_B71F_4038_B1B7_9D4790729C5D_.wvu.PrintArea" localSheetId="0" hidden="1">'Appendix A'!$A$1:$H$323</definedName>
    <definedName name="Z_DA967730_B71F_4038_B1B7_9D4790729C5D_.wvu.PrintArea" localSheetId="6" hidden="1">'Att 3 - Revenue Credits'!$A$1:$E$57</definedName>
    <definedName name="Z_DA967730_B71F_4038_B1B7_9D4790729C5D_.wvu.PrintTitles" localSheetId="8" hidden="1">'Att 5 - Cost Support'!$1:$2</definedName>
    <definedName name="Z_DA967730_B71F_4038_B1B7_9D4790729C5D_.wvu.PrintTitles" localSheetId="10" hidden="1">'Att 7 - Trans Enhance Charge'!$C:$D</definedName>
    <definedName name="Z_DA967730_B71F_4038_B1B7_9D4790729C5D_.wvu.Rows" localSheetId="7" hidden="1">'Att 4 - 100 Basis Point ROE'!#REF!</definedName>
    <definedName name="Z_DA967730_B71F_4038_B1B7_9D4790729C5D_.wvu.Rows" localSheetId="8" hidden="1">'Att 5 - Cost Support'!#REF!</definedName>
    <definedName name="Z_DC91DEF3_837B_4BB9_A81E_3B78C5914E6C_.wvu.Cols" localSheetId="3" hidden="1">'Att 1 - ADIT'!#REF!</definedName>
    <definedName name="Z_DC91DEF3_837B_4BB9_A81E_3B78C5914E6C_.wvu.Cols" localSheetId="10" hidden="1">'Att 7 - Trans Enhance Charge'!$N:$P</definedName>
    <definedName name="Z_DC91DEF3_837B_4BB9_A81E_3B78C5914E6C_.wvu.PrintArea" localSheetId="0" hidden="1">'Appendix A'!$A$1:$H$323</definedName>
    <definedName name="Z_DC91DEF3_837B_4BB9_A81E_3B78C5914E6C_.wvu.PrintArea" localSheetId="3" hidden="1">'Att 1 - ADIT'!$A$1:$I$493</definedName>
    <definedName name="Z_DC91DEF3_837B_4BB9_A81E_3B78C5914E6C_.wvu.PrintArea" localSheetId="6" hidden="1">'Att 3 - Revenue Credits'!$A$1:$E$57</definedName>
    <definedName name="Z_DC91DEF3_837B_4BB9_A81E_3B78C5914E6C_.wvu.PrintTitles" localSheetId="8" hidden="1">'Att 5 - Cost Support'!$1:$2</definedName>
    <definedName name="Z_DC91DEF3_837B_4BB9_A81E_3B78C5914E6C_.wvu.PrintTitles" localSheetId="10" hidden="1">'Att 7 - Trans Enhance Charge'!$C:$D</definedName>
    <definedName name="Z_DC91DEF3_837B_4BB9_A81E_3B78C5914E6C_.wvu.Rows" localSheetId="7" hidden="1">'Att 4 - 100 Basis Point ROE'!#REF!</definedName>
    <definedName name="Z_DC91DEF3_837B_4BB9_A81E_3B78C5914E6C_.wvu.Rows" localSheetId="8" hidden="1">'Att 5 - Cost Support'!#REF!</definedName>
    <definedName name="Z_F96D6087_3330_4A81_95EC_26BA83722A49_.wvu.Cols" localSheetId="10" hidden="1">'Att 7 - Trans Enhance Charge'!$N:$P</definedName>
    <definedName name="Z_F96D6087_3330_4A81_95EC_26BA83722A49_.wvu.PrintArea" localSheetId="0" hidden="1">'Appendix A'!$A$1:$H$323</definedName>
    <definedName name="Z_F96D6087_3330_4A81_95EC_26BA83722A49_.wvu.PrintArea" localSheetId="6" hidden="1">'Att 3 - Revenue Credits'!$A$1:$E$57</definedName>
    <definedName name="Z_F96D6087_3330_4A81_95EC_26BA83722A49_.wvu.PrintTitles" localSheetId="8" hidden="1">'Att 5 - Cost Support'!$1:$2</definedName>
    <definedName name="Z_F96D6087_3330_4A81_95EC_26BA83722A49_.wvu.PrintTitles" localSheetId="10" hidden="1">'Att 7 - Trans Enhance Charge'!$C:$D</definedName>
    <definedName name="Z_F96D6087_3330_4A81_95EC_26BA83722A49_.wvu.Rows" localSheetId="7" hidden="1">'Att 4 - 100 Basis Point ROE'!#REF!</definedName>
    <definedName name="Z_F96D6087_3330_4A81_95EC_26BA83722A49_.wvu.Rows" localSheetId="8" hidden="1">'Att 5 - Cost Support'!#REF!</definedName>
    <definedName name="Z_FAAD9AAC_1337_43AB_BF1F_CCF9DFCF5B78_.wvu.Cols" localSheetId="3" hidden="1">'Att 1 - ADIT'!#REF!</definedName>
    <definedName name="Z_FAAD9AAC_1337_43AB_BF1F_CCF9DFCF5B78_.wvu.Cols" localSheetId="10" hidden="1">'Att 7 - Trans Enhance Charge'!$N:$P</definedName>
    <definedName name="Z_FAAD9AAC_1337_43AB_BF1F_CCF9DFCF5B78_.wvu.PrintArea" localSheetId="0" hidden="1">'Appendix A'!$A$1:$H$323</definedName>
    <definedName name="Z_FAAD9AAC_1337_43AB_BF1F_CCF9DFCF5B78_.wvu.PrintArea" localSheetId="3" hidden="1">'Att 1 - ADIT'!$A$1:$I$493</definedName>
    <definedName name="Z_FAAD9AAC_1337_43AB_BF1F_CCF9DFCF5B78_.wvu.PrintArea" localSheetId="6" hidden="1">'Att 3 - Revenue Credits'!$A$1:$E$57</definedName>
    <definedName name="Z_FAAD9AAC_1337_43AB_BF1F_CCF9DFCF5B78_.wvu.PrintTitles" localSheetId="8" hidden="1">'Att 5 - Cost Support'!$1:$2</definedName>
    <definedName name="Z_FAAD9AAC_1337_43AB_BF1F_CCF9DFCF5B78_.wvu.PrintTitles" localSheetId="10" hidden="1">'Att 7 - Trans Enhance Charge'!$C:$D</definedName>
    <definedName name="Z_FAAD9AAC_1337_43AB_BF1F_CCF9DFCF5B78_.wvu.Rows" localSheetId="7" hidden="1">'Att 4 - 100 Basis Point ROE'!#REF!</definedName>
    <definedName name="Z_FAAD9AAC_1337_43AB_BF1F_CCF9DFCF5B78_.wvu.Rows" localSheetId="8" hidden="1">'Att 5 - Cost Support'!#REF!</definedName>
  </definedNames>
  <calcPr calcId="152511"/>
  <customWorkbookViews>
    <customWorkbookView name="Preferred Customer - Personal View" guid="{DC91DEF3-837B-4BB9-A81E-3B78C5914E6C}" mergeInterval="0" personalView="1" maximized="1" windowWidth="1004" windowHeight="571" tabRatio="809" activeSheetId="9"/>
    <customWorkbookView name="Helen Hight - Personal View" guid="{28948E05-8F34-4F1E-96FB-A80A6A844600}" mergeInterval="0" personalView="1" maximized="1" windowWidth="1020" windowHeight="596" tabRatio="809" activeSheetId="11"/>
    <customWorkbookView name="x086hmh - Personal View" guid="{71B42B22-A376-44B5-B0C1-23FC1AA3DBA2}" mergeInterval="0" personalView="1" maximized="1" windowWidth="1676" windowHeight="904" tabRatio="809" activeSheetId="1"/>
    <customWorkbookView name="x317aks - Personal View" guid="{FAAD9AAC-1337-43AB-BF1F-CCF9DFCF5B78}" mergeInterval="0" personalView="1" maximized="1" windowWidth="1020" windowHeight="539" tabRatio="809" activeSheetId="9"/>
    <customWorkbookView name="smullin - Personal View" guid="{4C7C2344-134C-465A-ADEB-A5E96AAE2308}" mergeInterval="0" personalView="1" maximized="1" windowWidth="1020" windowHeight="603" tabRatio="809" activeSheetId="1"/>
    <customWorkbookView name="jbornak - Personal View" guid="{DA967730-B71F-4038-B1B7-9D4790729C5D}" mergeInterval="0" personalView="1" xWindow="14" yWindow="24" windowWidth="881" windowHeight="583" tabRatio="809" activeSheetId="1"/>
    <customWorkbookView name="DLCO - Personal View" guid="{F96D6087-3330-4A81-95EC-26BA83722A49}" mergeInterval="0" personalView="1" maximized="1" windowWidth="1020" windowHeight="579" tabRatio="809" activeSheetId="1"/>
    <customWorkbookView name="S. Merchant - Personal View" guid="{3A38DF7A-C35E-4DD3-9893-26310A3EF836}" mergeInterval="0" personalView="1" maximized="1" windowWidth="1020" windowHeight="632" tabRatio="809" activeSheetId="2"/>
  </customWorkbookViews>
</workbook>
</file>

<file path=xl/calcChain.xml><?xml version="1.0" encoding="utf-8"?>
<calcChain xmlns="http://schemas.openxmlformats.org/spreadsheetml/2006/main">
  <c r="E41" i="105" l="1"/>
  <c r="E81" i="31" l="1"/>
  <c r="G66" i="44"/>
  <c r="B66" i="44"/>
  <c r="E82" i="31"/>
  <c r="H15" i="1" s="1"/>
  <c r="G65" i="44"/>
  <c r="B65" i="44"/>
  <c r="E80" i="31"/>
  <c r="H12" i="1" s="1"/>
  <c r="G64" i="44"/>
  <c r="B64" i="44"/>
  <c r="E79" i="31"/>
  <c r="H282" i="7" s="1"/>
  <c r="G63" i="44"/>
  <c r="B63" i="44"/>
  <c r="G62" i="44"/>
  <c r="B62" i="44"/>
  <c r="E77" i="31"/>
  <c r="H277" i="7" s="1"/>
  <c r="G61" i="44"/>
  <c r="B61" i="44"/>
  <c r="E76" i="31"/>
  <c r="H276" i="7" s="1"/>
  <c r="G60" i="44"/>
  <c r="B60" i="44"/>
  <c r="E75" i="31"/>
  <c r="H287" i="7" s="1"/>
  <c r="G59" i="44"/>
  <c r="B59" i="44"/>
  <c r="G58" i="44"/>
  <c r="B58" i="44"/>
  <c r="G57" i="44"/>
  <c r="B57" i="44"/>
  <c r="E73" i="31"/>
  <c r="H117" i="1" s="1"/>
  <c r="G56" i="44"/>
  <c r="B56" i="44"/>
  <c r="E72" i="31"/>
  <c r="H226" i="7" s="1"/>
  <c r="G55" i="44"/>
  <c r="B55" i="44"/>
  <c r="G54" i="44"/>
  <c r="B54" i="44"/>
  <c r="E70" i="31"/>
  <c r="G53" i="44"/>
  <c r="B53" i="44"/>
  <c r="E69" i="31"/>
  <c r="H240" i="7" s="1"/>
  <c r="G52" i="44"/>
  <c r="B52" i="44"/>
  <c r="E67" i="31"/>
  <c r="H251" i="7" s="1"/>
  <c r="J251" i="7" s="1"/>
  <c r="H113" i="1" s="1"/>
  <c r="G51" i="44"/>
  <c r="B51" i="44"/>
  <c r="G50" i="44"/>
  <c r="B50" i="44"/>
  <c r="E66" i="31"/>
  <c r="H248" i="7" s="1"/>
  <c r="G49" i="44"/>
  <c r="B49" i="44"/>
  <c r="E65" i="31"/>
  <c r="E10" i="73" s="1"/>
  <c r="G48" i="44"/>
  <c r="B48" i="44"/>
  <c r="E64" i="31"/>
  <c r="E9" i="73" s="1"/>
  <c r="G47" i="44"/>
  <c r="B47" i="44"/>
  <c r="E63" i="31"/>
  <c r="E8" i="73" s="1"/>
  <c r="G46" i="44"/>
  <c r="B46" i="44"/>
  <c r="E62" i="31"/>
  <c r="H244" i="7" s="1"/>
  <c r="G45" i="44"/>
  <c r="B45" i="44"/>
  <c r="E61" i="31"/>
  <c r="H243" i="7" s="1"/>
  <c r="G44" i="44"/>
  <c r="B44" i="44"/>
  <c r="E59" i="31"/>
  <c r="G43" i="44"/>
  <c r="B43" i="44"/>
  <c r="E58" i="31"/>
  <c r="G42" i="44"/>
  <c r="B42" i="44"/>
  <c r="E57" i="31"/>
  <c r="G41" i="44"/>
  <c r="B41" i="44"/>
  <c r="E56" i="31"/>
  <c r="G40" i="44"/>
  <c r="B40" i="44"/>
  <c r="E55" i="31"/>
  <c r="G39" i="44"/>
  <c r="B39" i="44"/>
  <c r="E54" i="31"/>
  <c r="G38" i="44"/>
  <c r="B38" i="44"/>
  <c r="E53" i="31"/>
  <c r="G37" i="44"/>
  <c r="B37" i="44"/>
  <c r="E52" i="31"/>
  <c r="G36" i="44"/>
  <c r="B36" i="44"/>
  <c r="E50" i="31"/>
  <c r="G35" i="44"/>
  <c r="B35" i="44"/>
  <c r="G34" i="44"/>
  <c r="B34" i="44"/>
  <c r="E48" i="31"/>
  <c r="H146" i="7" s="1"/>
  <c r="G33" i="44"/>
  <c r="B33" i="44"/>
  <c r="G32" i="44"/>
  <c r="B32" i="44"/>
  <c r="E39" i="31"/>
  <c r="G31" i="44"/>
  <c r="B31" i="44"/>
  <c r="G30" i="44"/>
  <c r="B30" i="44"/>
  <c r="E36" i="31"/>
  <c r="G29" i="44"/>
  <c r="B29" i="44"/>
  <c r="E45" i="31"/>
  <c r="G28" i="44"/>
  <c r="B28" i="44"/>
  <c r="E44" i="31"/>
  <c r="G27" i="44"/>
  <c r="B27" i="44"/>
  <c r="E43" i="31"/>
  <c r="G26" i="44"/>
  <c r="B26" i="44"/>
  <c r="E42" i="31"/>
  <c r="G25" i="44"/>
  <c r="B25" i="44"/>
  <c r="G24" i="44"/>
  <c r="B24" i="44"/>
  <c r="E19" i="31"/>
  <c r="H173" i="7" s="1"/>
  <c r="G23" i="44"/>
  <c r="B23" i="44"/>
  <c r="G22" i="44"/>
  <c r="B22" i="44"/>
  <c r="G21" i="44"/>
  <c r="B21" i="44"/>
  <c r="E34" i="31"/>
  <c r="G20" i="44"/>
  <c r="B20" i="44"/>
  <c r="E33" i="31"/>
  <c r="G19" i="44"/>
  <c r="B19" i="44"/>
  <c r="E30" i="31"/>
  <c r="G18" i="44"/>
  <c r="B18" i="44"/>
  <c r="E29" i="31"/>
  <c r="G17" i="44"/>
  <c r="B17" i="44"/>
  <c r="E28" i="31"/>
  <c r="H35" i="7" s="1"/>
  <c r="G16" i="44"/>
  <c r="B16" i="44"/>
  <c r="E27" i="31"/>
  <c r="G15" i="44"/>
  <c r="B15" i="44"/>
  <c r="E26" i="31"/>
  <c r="H19" i="7" s="1"/>
  <c r="G14" i="44"/>
  <c r="B14" i="44"/>
  <c r="E25" i="31"/>
  <c r="G13" i="44"/>
  <c r="B13" i="44"/>
  <c r="E24" i="31"/>
  <c r="G12" i="44"/>
  <c r="B12" i="44"/>
  <c r="E23" i="31"/>
  <c r="G11" i="44"/>
  <c r="B11" i="44"/>
  <c r="E22" i="31"/>
  <c r="G10" i="44"/>
  <c r="B10" i="44"/>
  <c r="E21" i="31"/>
  <c r="G9" i="44"/>
  <c r="B9" i="44"/>
  <c r="E18" i="31"/>
  <c r="G8" i="44"/>
  <c r="B8" i="44"/>
  <c r="E17" i="31"/>
  <c r="G7" i="44"/>
  <c r="B7" i="44"/>
  <c r="G6" i="44"/>
  <c r="C23" i="91"/>
  <c r="A101" i="31"/>
  <c r="A100" i="31"/>
  <c r="A99" i="31"/>
  <c r="A98" i="31"/>
  <c r="E18" i="105"/>
  <c r="A97" i="31"/>
  <c r="A96" i="31"/>
  <c r="A95" i="31"/>
  <c r="A94" i="31"/>
  <c r="A93" i="31"/>
  <c r="A92" i="31"/>
  <c r="A91" i="31"/>
  <c r="H267" i="7"/>
  <c r="A90" i="31"/>
  <c r="H259" i="7"/>
  <c r="H286" i="1" s="1"/>
  <c r="A89" i="31"/>
  <c r="A88" i="31"/>
  <c r="D82" i="31"/>
  <c r="C82" i="31"/>
  <c r="B82" i="31"/>
  <c r="A82" i="31"/>
  <c r="D81" i="31"/>
  <c r="C81" i="31"/>
  <c r="B81" i="31"/>
  <c r="A81" i="31"/>
  <c r="D80" i="31"/>
  <c r="C80" i="31"/>
  <c r="B80" i="31"/>
  <c r="A80" i="31"/>
  <c r="D79" i="31"/>
  <c r="C79" i="31"/>
  <c r="B79" i="31"/>
  <c r="A79" i="31"/>
  <c r="E78" i="31"/>
  <c r="H281" i="7" s="1"/>
  <c r="D78" i="31"/>
  <c r="C78" i="31"/>
  <c r="B78" i="31"/>
  <c r="A78" i="31"/>
  <c r="D77" i="31"/>
  <c r="C77" i="31"/>
  <c r="B77" i="31"/>
  <c r="A77" i="31"/>
  <c r="D76" i="31"/>
  <c r="C76" i="31"/>
  <c r="B76" i="31"/>
  <c r="A76" i="31"/>
  <c r="D75" i="31"/>
  <c r="C75" i="31"/>
  <c r="B75" i="31"/>
  <c r="A75" i="31"/>
  <c r="E74" i="31"/>
  <c r="H286" i="7" s="1"/>
  <c r="D74" i="31"/>
  <c r="C74" i="31"/>
  <c r="B74" i="31"/>
  <c r="A74" i="31"/>
  <c r="D73" i="31"/>
  <c r="C73" i="31"/>
  <c r="B73" i="31"/>
  <c r="A73" i="31"/>
  <c r="D72" i="31"/>
  <c r="C72" i="31"/>
  <c r="B72" i="31"/>
  <c r="A72" i="31"/>
  <c r="E71" i="31"/>
  <c r="H121" i="1" s="1"/>
  <c r="D71" i="31"/>
  <c r="C71" i="31"/>
  <c r="B71" i="31"/>
  <c r="A71" i="31"/>
  <c r="D70" i="31"/>
  <c r="C70" i="31"/>
  <c r="A70" i="31"/>
  <c r="D69" i="31"/>
  <c r="C69" i="31"/>
  <c r="A69" i="31"/>
  <c r="A68" i="31"/>
  <c r="D67" i="31"/>
  <c r="C67" i="31"/>
  <c r="A67" i="31"/>
  <c r="D66" i="31"/>
  <c r="C66" i="31"/>
  <c r="B66" i="31"/>
  <c r="A66" i="31"/>
  <c r="D65" i="31"/>
  <c r="C65" i="31"/>
  <c r="B65" i="31"/>
  <c r="A65" i="31"/>
  <c r="D64" i="31"/>
  <c r="C64" i="31"/>
  <c r="B64" i="31"/>
  <c r="A64" i="31"/>
  <c r="D63" i="31"/>
  <c r="C63" i="31"/>
  <c r="B63" i="31"/>
  <c r="A63" i="31"/>
  <c r="D62" i="31"/>
  <c r="C62" i="31"/>
  <c r="B62" i="31"/>
  <c r="A62" i="31"/>
  <c r="D61" i="31"/>
  <c r="C61" i="31"/>
  <c r="B61" i="31"/>
  <c r="A61" i="31"/>
  <c r="A60" i="31"/>
  <c r="D59" i="31"/>
  <c r="C59" i="31"/>
  <c r="A59" i="31"/>
  <c r="D58" i="31"/>
  <c r="C58" i="31"/>
  <c r="A58" i="31"/>
  <c r="D57" i="31"/>
  <c r="C57" i="31"/>
  <c r="A57" i="31"/>
  <c r="D56" i="31"/>
  <c r="C56" i="31"/>
  <c r="A56" i="31"/>
  <c r="D55" i="31"/>
  <c r="C55" i="31"/>
  <c r="A55" i="31"/>
  <c r="D54" i="31"/>
  <c r="C54" i="31"/>
  <c r="A54" i="31"/>
  <c r="D53" i="31"/>
  <c r="C53" i="31"/>
  <c r="A53" i="31"/>
  <c r="D52" i="31"/>
  <c r="C52" i="31"/>
  <c r="A52" i="31"/>
  <c r="A51" i="31"/>
  <c r="D50" i="31"/>
  <c r="H141" i="7" s="1"/>
  <c r="C50" i="31"/>
  <c r="B50" i="31"/>
  <c r="A50" i="31"/>
  <c r="E49" i="31"/>
  <c r="D49" i="31"/>
  <c r="H149" i="7" s="1"/>
  <c r="C49" i="31"/>
  <c r="B49" i="31"/>
  <c r="A49" i="31"/>
  <c r="D48" i="31"/>
  <c r="H145" i="7" s="1"/>
  <c r="C48" i="31"/>
  <c r="B48" i="31"/>
  <c r="A48" i="31"/>
  <c r="A47" i="31"/>
  <c r="B46" i="31"/>
  <c r="A46" i="31"/>
  <c r="D45" i="31"/>
  <c r="C45" i="31"/>
  <c r="A45" i="31"/>
  <c r="D44" i="31"/>
  <c r="C44" i="31"/>
  <c r="A44" i="31"/>
  <c r="D43" i="31"/>
  <c r="C43" i="31"/>
  <c r="A43" i="31"/>
  <c r="D42" i="31"/>
  <c r="C42" i="31"/>
  <c r="A42" i="31"/>
  <c r="E41" i="31"/>
  <c r="D41" i="31"/>
  <c r="C41" i="31"/>
  <c r="A41" i="31"/>
  <c r="A40" i="31"/>
  <c r="D39" i="31"/>
  <c r="C39" i="31"/>
  <c r="B39" i="31"/>
  <c r="A39" i="31"/>
  <c r="D38" i="31"/>
  <c r="C38" i="31"/>
  <c r="B38" i="31"/>
  <c r="A38" i="31"/>
  <c r="E37" i="31"/>
  <c r="D37" i="31"/>
  <c r="C37" i="31"/>
  <c r="B37" i="31"/>
  <c r="A37" i="31"/>
  <c r="D36" i="31"/>
  <c r="C36" i="31"/>
  <c r="B36" i="31"/>
  <c r="A36" i="31"/>
  <c r="A35" i="31"/>
  <c r="D34" i="31"/>
  <c r="C34" i="31"/>
  <c r="B34" i="31"/>
  <c r="A34" i="31"/>
  <c r="D33" i="31"/>
  <c r="C33" i="31"/>
  <c r="A33" i="31"/>
  <c r="A32" i="31"/>
  <c r="E31" i="31"/>
  <c r="D31" i="31"/>
  <c r="C31" i="31"/>
  <c r="B31" i="31"/>
  <c r="A31" i="31"/>
  <c r="D30" i="31"/>
  <c r="C30" i="31"/>
  <c r="B30" i="31"/>
  <c r="A30" i="31"/>
  <c r="D29" i="31"/>
  <c r="C29" i="31"/>
  <c r="B29" i="31"/>
  <c r="A29" i="31"/>
  <c r="D28" i="31"/>
  <c r="C28" i="31"/>
  <c r="B28" i="31"/>
  <c r="A28" i="31"/>
  <c r="D27" i="31"/>
  <c r="C27" i="31"/>
  <c r="B27" i="31"/>
  <c r="A27" i="31"/>
  <c r="D26" i="31"/>
  <c r="H7" i="7" s="1"/>
  <c r="C26" i="31"/>
  <c r="B26" i="31"/>
  <c r="A26" i="31"/>
  <c r="D25" i="31"/>
  <c r="C25" i="31"/>
  <c r="B25" i="31"/>
  <c r="A25" i="31"/>
  <c r="D24" i="31"/>
  <c r="C24" i="31"/>
  <c r="B24" i="31"/>
  <c r="A24" i="31"/>
  <c r="D23" i="31"/>
  <c r="C23" i="31"/>
  <c r="B23" i="31"/>
  <c r="A23" i="31"/>
  <c r="D22" i="31"/>
  <c r="C22" i="31"/>
  <c r="B22" i="31"/>
  <c r="A22" i="31"/>
  <c r="D21" i="31"/>
  <c r="C21" i="31"/>
  <c r="B21" i="31"/>
  <c r="A21" i="31"/>
  <c r="A20" i="31"/>
  <c r="D19" i="31"/>
  <c r="H172" i="7" s="1"/>
  <c r="C19" i="31"/>
  <c r="A19" i="31"/>
  <c r="D18" i="31"/>
  <c r="C18" i="31"/>
  <c r="B18" i="31"/>
  <c r="A18" i="31"/>
  <c r="D17" i="31"/>
  <c r="C17" i="31"/>
  <c r="B17" i="31"/>
  <c r="A17" i="31"/>
  <c r="E16" i="31"/>
  <c r="D45" i="76" s="1"/>
  <c r="D47" i="76" s="1"/>
  <c r="D16" i="31"/>
  <c r="C16" i="31"/>
  <c r="B16" i="31"/>
  <c r="A16" i="31"/>
  <c r="E14" i="31"/>
  <c r="D14" i="31"/>
  <c r="H9" i="31"/>
  <c r="E9" i="31"/>
  <c r="C9" i="31"/>
  <c r="A9" i="31"/>
  <c r="H8" i="31"/>
  <c r="C8" i="31"/>
  <c r="A8" i="31"/>
  <c r="J95" i="97"/>
  <c r="K95" i="97" s="1"/>
  <c r="M94" i="97"/>
  <c r="L94" i="97"/>
  <c r="K94" i="97"/>
  <c r="J94" i="97"/>
  <c r="I94" i="97"/>
  <c r="L93" i="97"/>
  <c r="K93" i="97"/>
  <c r="J93" i="97"/>
  <c r="I93" i="97"/>
  <c r="L92" i="97"/>
  <c r="K92" i="97"/>
  <c r="J92" i="97"/>
  <c r="I92" i="97"/>
  <c r="L91" i="97"/>
  <c r="K91" i="97"/>
  <c r="J91" i="97"/>
  <c r="I91" i="97"/>
  <c r="L90" i="97"/>
  <c r="K90" i="97"/>
  <c r="J90" i="97"/>
  <c r="I90" i="97"/>
  <c r="L89" i="97"/>
  <c r="K89" i="97"/>
  <c r="J89" i="97"/>
  <c r="I89" i="97"/>
  <c r="L88" i="97"/>
  <c r="K88" i="97"/>
  <c r="J88" i="97"/>
  <c r="I88" i="97"/>
  <c r="L87" i="97"/>
  <c r="K87" i="97"/>
  <c r="J87" i="97"/>
  <c r="I87" i="97"/>
  <c r="L86" i="97"/>
  <c r="K86" i="97"/>
  <c r="J86" i="97"/>
  <c r="I86" i="97"/>
  <c r="L85" i="97"/>
  <c r="K85" i="97"/>
  <c r="J85" i="97"/>
  <c r="I85" i="97"/>
  <c r="L84" i="97"/>
  <c r="K84" i="97"/>
  <c r="J84" i="97"/>
  <c r="I84" i="97"/>
  <c r="L83" i="97"/>
  <c r="K83" i="97"/>
  <c r="J83" i="97"/>
  <c r="I83" i="97"/>
  <c r="M82" i="97"/>
  <c r="L82" i="97"/>
  <c r="K82" i="97"/>
  <c r="J82" i="97"/>
  <c r="I82" i="97"/>
  <c r="L81" i="97"/>
  <c r="K81" i="97"/>
  <c r="J81" i="97"/>
  <c r="I81" i="97"/>
  <c r="L80" i="97"/>
  <c r="K80" i="97"/>
  <c r="J80" i="97"/>
  <c r="I80" i="97"/>
  <c r="L79" i="97"/>
  <c r="K79" i="97"/>
  <c r="J79" i="97"/>
  <c r="I79" i="97"/>
  <c r="L78" i="97"/>
  <c r="K78" i="97"/>
  <c r="J78" i="97"/>
  <c r="I78" i="97"/>
  <c r="L77" i="97"/>
  <c r="K77" i="97"/>
  <c r="J77" i="97"/>
  <c r="I77" i="97"/>
  <c r="L76" i="97"/>
  <c r="K76" i="97"/>
  <c r="J76" i="97"/>
  <c r="I76" i="97"/>
  <c r="L75" i="97"/>
  <c r="K75" i="97"/>
  <c r="J75" i="97"/>
  <c r="I75" i="97"/>
  <c r="L74" i="97"/>
  <c r="K74" i="97"/>
  <c r="J74" i="97"/>
  <c r="I74" i="97"/>
  <c r="L73" i="97"/>
  <c r="K73" i="97"/>
  <c r="J73" i="97"/>
  <c r="I73" i="97"/>
  <c r="L72" i="97"/>
  <c r="K72" i="97"/>
  <c r="J72" i="97"/>
  <c r="I72" i="97"/>
  <c r="L71" i="97"/>
  <c r="K71" i="97"/>
  <c r="J71" i="97"/>
  <c r="I71" i="97"/>
  <c r="M70" i="97"/>
  <c r="L70" i="97"/>
  <c r="K70" i="97"/>
  <c r="J70" i="97"/>
  <c r="I70" i="97"/>
  <c r="L69" i="97"/>
  <c r="K69" i="97"/>
  <c r="J69" i="97"/>
  <c r="I69" i="97"/>
  <c r="L68" i="97"/>
  <c r="K68" i="97"/>
  <c r="J68" i="97"/>
  <c r="I68" i="97"/>
  <c r="L67" i="97"/>
  <c r="K67" i="97"/>
  <c r="J67" i="97"/>
  <c r="I67" i="97"/>
  <c r="L66" i="97"/>
  <c r="K66" i="97"/>
  <c r="J66" i="97"/>
  <c r="I66" i="97"/>
  <c r="L65" i="97"/>
  <c r="K65" i="97"/>
  <c r="J65" i="97"/>
  <c r="I65" i="97"/>
  <c r="L64" i="97"/>
  <c r="K64" i="97"/>
  <c r="J64" i="97"/>
  <c r="I64" i="97"/>
  <c r="L63" i="97"/>
  <c r="K63" i="97"/>
  <c r="J63" i="97"/>
  <c r="I63" i="97"/>
  <c r="L62" i="97"/>
  <c r="K62" i="97"/>
  <c r="J62" i="97"/>
  <c r="I62" i="97"/>
  <c r="L61" i="97"/>
  <c r="K61" i="97"/>
  <c r="J61" i="97"/>
  <c r="I61" i="97"/>
  <c r="L60" i="97"/>
  <c r="K60" i="97"/>
  <c r="J60" i="97"/>
  <c r="I60" i="97"/>
  <c r="L59" i="97"/>
  <c r="K59" i="97"/>
  <c r="J59" i="97"/>
  <c r="I59" i="97"/>
  <c r="M58" i="97"/>
  <c r="L58" i="97"/>
  <c r="K58" i="97"/>
  <c r="J58" i="97"/>
  <c r="I58" i="97"/>
  <c r="L57" i="97"/>
  <c r="K57" i="97"/>
  <c r="J57" i="97"/>
  <c r="I57" i="97"/>
  <c r="L56" i="97"/>
  <c r="K56" i="97"/>
  <c r="J56" i="97"/>
  <c r="I56" i="97"/>
  <c r="L55" i="97"/>
  <c r="K55" i="97"/>
  <c r="J55" i="97"/>
  <c r="I55" i="97"/>
  <c r="L54" i="97"/>
  <c r="K54" i="97"/>
  <c r="J54" i="97"/>
  <c r="I54" i="97"/>
  <c r="L53" i="97"/>
  <c r="K53" i="97"/>
  <c r="J53" i="97"/>
  <c r="I53" i="97"/>
  <c r="L52" i="97"/>
  <c r="K52" i="97"/>
  <c r="J52" i="97"/>
  <c r="I52" i="97"/>
  <c r="L51" i="97"/>
  <c r="K51" i="97"/>
  <c r="J51" i="97"/>
  <c r="I51" i="97"/>
  <c r="L50" i="97"/>
  <c r="K50" i="97"/>
  <c r="J50" i="97"/>
  <c r="I50" i="97"/>
  <c r="L49" i="97"/>
  <c r="K49" i="97"/>
  <c r="J49" i="97"/>
  <c r="I49" i="97"/>
  <c r="L48" i="97"/>
  <c r="K48" i="97"/>
  <c r="J48" i="97"/>
  <c r="I48" i="97"/>
  <c r="L47" i="97"/>
  <c r="K47" i="97"/>
  <c r="J47" i="97"/>
  <c r="I47" i="97"/>
  <c r="M46" i="97"/>
  <c r="L46" i="97"/>
  <c r="K46" i="97"/>
  <c r="J46" i="97"/>
  <c r="I46" i="97"/>
  <c r="L45" i="97"/>
  <c r="K45" i="97"/>
  <c r="J45" i="97"/>
  <c r="I45" i="97"/>
  <c r="L44" i="97"/>
  <c r="K44" i="97"/>
  <c r="J44" i="97"/>
  <c r="I44" i="97"/>
  <c r="L43" i="97"/>
  <c r="K43" i="97"/>
  <c r="J43" i="97"/>
  <c r="I43" i="97"/>
  <c r="L42" i="97"/>
  <c r="K42" i="97"/>
  <c r="J42" i="97"/>
  <c r="I42" i="97"/>
  <c r="L41" i="97"/>
  <c r="K41" i="97"/>
  <c r="J41" i="97"/>
  <c r="I41" i="97"/>
  <c r="L40" i="97"/>
  <c r="K40" i="97"/>
  <c r="J40" i="97"/>
  <c r="I40" i="97"/>
  <c r="L39" i="97"/>
  <c r="K39" i="97"/>
  <c r="J39" i="97"/>
  <c r="I39" i="97"/>
  <c r="L38" i="97"/>
  <c r="K38" i="97"/>
  <c r="J38" i="97"/>
  <c r="I38" i="97"/>
  <c r="L37" i="97"/>
  <c r="K37" i="97"/>
  <c r="J37" i="97"/>
  <c r="I37" i="97"/>
  <c r="L36" i="97"/>
  <c r="K36" i="97"/>
  <c r="J36" i="97"/>
  <c r="I36" i="97"/>
  <c r="L35" i="97"/>
  <c r="K35" i="97"/>
  <c r="J35" i="97"/>
  <c r="I35" i="97"/>
  <c r="M34" i="97"/>
  <c r="L34" i="97"/>
  <c r="K34" i="97"/>
  <c r="J34" i="97"/>
  <c r="I34" i="97"/>
  <c r="L33" i="97"/>
  <c r="K33" i="97"/>
  <c r="J33" i="97"/>
  <c r="I33" i="97"/>
  <c r="L32" i="97"/>
  <c r="K32" i="97"/>
  <c r="J32" i="97"/>
  <c r="I32" i="97"/>
  <c r="L31" i="97"/>
  <c r="K31" i="97"/>
  <c r="J31" i="97"/>
  <c r="I31" i="97"/>
  <c r="L30" i="97"/>
  <c r="K30" i="97"/>
  <c r="J30" i="97"/>
  <c r="I30" i="97"/>
  <c r="L29" i="97"/>
  <c r="K29" i="97"/>
  <c r="J29" i="97"/>
  <c r="I29" i="97"/>
  <c r="L28" i="97"/>
  <c r="K28" i="97"/>
  <c r="J28" i="97"/>
  <c r="I28" i="97"/>
  <c r="L27" i="97"/>
  <c r="K27" i="97"/>
  <c r="J27" i="97"/>
  <c r="I27" i="97"/>
  <c r="L26" i="97"/>
  <c r="K26" i="97"/>
  <c r="J26" i="97"/>
  <c r="I26" i="97"/>
  <c r="L25" i="97"/>
  <c r="K25" i="97"/>
  <c r="J25" i="97"/>
  <c r="I25" i="97"/>
  <c r="L24" i="97"/>
  <c r="K24" i="97"/>
  <c r="J24" i="97"/>
  <c r="I24" i="97"/>
  <c r="L23" i="97"/>
  <c r="K23" i="97"/>
  <c r="J23" i="97"/>
  <c r="I23" i="97"/>
  <c r="M22" i="97"/>
  <c r="L22" i="97"/>
  <c r="K22" i="97"/>
  <c r="J22" i="97"/>
  <c r="I22" i="97"/>
  <c r="I21" i="97"/>
  <c r="I20" i="97"/>
  <c r="I19" i="97"/>
  <c r="I18" i="97"/>
  <c r="I17" i="97"/>
  <c r="I16" i="97"/>
  <c r="I15" i="97"/>
  <c r="I14" i="97"/>
  <c r="I13" i="97"/>
  <c r="I12" i="97"/>
  <c r="I11" i="97"/>
  <c r="J8" i="97"/>
  <c r="K37" i="98"/>
  <c r="H37" i="98"/>
  <c r="G37" i="98"/>
  <c r="F37" i="98"/>
  <c r="D37" i="98"/>
  <c r="L36" i="98"/>
  <c r="L33" i="98"/>
  <c r="L32" i="98"/>
  <c r="L31" i="98"/>
  <c r="L29" i="98"/>
  <c r="C29" i="98" s="1"/>
  <c r="C33" i="98"/>
  <c r="C32" i="98"/>
  <c r="AF69" i="92"/>
  <c r="AD69" i="92"/>
  <c r="AC69" i="92"/>
  <c r="AF68" i="92"/>
  <c r="AD68" i="92"/>
  <c r="AC68" i="92"/>
  <c r="AF66" i="92"/>
  <c r="AD66" i="92"/>
  <c r="AC66" i="92"/>
  <c r="AF65" i="92"/>
  <c r="AD65" i="92"/>
  <c r="AC65" i="92"/>
  <c r="AF63" i="92"/>
  <c r="AD63" i="92"/>
  <c r="AC63" i="92"/>
  <c r="AE62" i="92"/>
  <c r="AD62" i="92"/>
  <c r="AC62" i="92"/>
  <c r="AF60" i="92"/>
  <c r="AD60" i="92"/>
  <c r="AC60" i="92"/>
  <c r="AF59" i="92"/>
  <c r="AD59" i="92"/>
  <c r="AC59" i="92"/>
  <c r="AF58" i="92"/>
  <c r="AD58" i="92"/>
  <c r="AC58" i="92"/>
  <c r="AF57" i="92"/>
  <c r="AD57" i="92"/>
  <c r="AC57" i="92"/>
  <c r="AF56" i="92"/>
  <c r="AD56" i="92"/>
  <c r="AC56" i="92"/>
  <c r="AF55" i="92"/>
  <c r="AD55" i="92"/>
  <c r="AC55" i="92"/>
  <c r="AF54" i="92"/>
  <c r="AD54" i="92"/>
  <c r="AC54" i="92"/>
  <c r="AF53" i="92"/>
  <c r="AD53" i="92"/>
  <c r="AC53" i="92"/>
  <c r="AE51" i="92"/>
  <c r="AD51" i="92"/>
  <c r="AC51" i="92"/>
  <c r="AE50" i="92"/>
  <c r="AD50" i="92"/>
  <c r="AC50" i="92"/>
  <c r="AE49" i="92"/>
  <c r="AD49" i="92"/>
  <c r="AC49" i="92"/>
  <c r="AF48" i="92"/>
  <c r="AD48" i="92"/>
  <c r="AC48" i="92"/>
  <c r="AF47" i="92"/>
  <c r="AD47" i="92"/>
  <c r="AC47" i="92"/>
  <c r="AF46" i="92"/>
  <c r="AD46" i="92"/>
  <c r="AC46" i="92"/>
  <c r="AF45" i="92"/>
  <c r="AD45" i="92"/>
  <c r="AC45" i="92"/>
  <c r="AF44" i="92"/>
  <c r="AD44" i="92"/>
  <c r="AC44" i="92"/>
  <c r="AE42" i="92"/>
  <c r="AD42" i="92"/>
  <c r="AC42" i="92"/>
  <c r="AE40" i="92"/>
  <c r="AD40" i="92"/>
  <c r="AC40" i="92"/>
  <c r="AE39" i="92"/>
  <c r="AD39" i="92"/>
  <c r="AC39" i="92"/>
  <c r="AE38" i="92"/>
  <c r="AD38" i="92"/>
  <c r="AC38" i="92"/>
  <c r="AE37" i="92"/>
  <c r="AD37" i="92"/>
  <c r="AC37" i="92"/>
  <c r="AE36" i="92"/>
  <c r="AD36" i="92"/>
  <c r="AC36" i="92"/>
  <c r="AE34" i="92"/>
  <c r="AD34" i="92"/>
  <c r="AC34" i="92"/>
  <c r="AE33" i="92"/>
  <c r="AD33" i="92"/>
  <c r="AC33" i="92"/>
  <c r="AE32" i="92"/>
  <c r="AD32" i="92"/>
  <c r="AC32" i="92"/>
  <c r="AE31" i="92"/>
  <c r="AD31" i="92"/>
  <c r="AC31" i="92"/>
  <c r="AE30" i="92"/>
  <c r="AD30" i="92"/>
  <c r="AC30" i="92"/>
  <c r="AE29" i="92"/>
  <c r="AD29" i="92"/>
  <c r="AC29" i="92"/>
  <c r="AE28" i="92"/>
  <c r="AD28" i="92"/>
  <c r="AC28" i="92"/>
  <c r="AE27" i="92"/>
  <c r="AD27" i="92"/>
  <c r="AC27" i="92"/>
  <c r="AF25" i="92"/>
  <c r="AD25" i="92"/>
  <c r="AC25" i="92"/>
  <c r="AF24" i="92"/>
  <c r="AD24" i="92"/>
  <c r="AC24" i="92"/>
  <c r="AE23" i="92"/>
  <c r="AD23" i="92"/>
  <c r="AC23" i="92"/>
  <c r="AE22" i="92"/>
  <c r="AD22" i="92"/>
  <c r="AC22" i="92"/>
  <c r="AE21" i="92"/>
  <c r="AD21" i="92"/>
  <c r="AC21" i="92"/>
  <c r="AE20" i="92"/>
  <c r="AD20" i="92"/>
  <c r="AC20" i="92"/>
  <c r="AE19" i="92"/>
  <c r="AD19" i="92"/>
  <c r="AC19" i="92"/>
  <c r="AE18" i="92"/>
  <c r="AD18" i="92"/>
  <c r="AC18" i="92"/>
  <c r="AE17" i="92"/>
  <c r="AD17" i="92"/>
  <c r="AC17" i="92"/>
  <c r="AE16" i="92"/>
  <c r="AD16" i="92"/>
  <c r="AC16" i="92"/>
  <c r="AE15" i="92"/>
  <c r="AD15" i="92"/>
  <c r="AC15" i="92"/>
  <c r="AE14" i="92"/>
  <c r="AD14" i="92"/>
  <c r="AC14" i="92"/>
  <c r="AE13" i="92"/>
  <c r="AD13" i="92"/>
  <c r="AC13" i="92"/>
  <c r="AE12" i="92"/>
  <c r="AD12" i="92"/>
  <c r="AC12" i="92"/>
  <c r="AE11" i="92"/>
  <c r="AD11" i="92"/>
  <c r="AC11" i="92"/>
  <c r="AE10" i="92"/>
  <c r="AD10" i="92"/>
  <c r="AC10" i="92"/>
  <c r="AE9" i="92"/>
  <c r="AD9" i="92"/>
  <c r="AC9" i="92"/>
  <c r="AE8" i="92"/>
  <c r="AD8" i="92"/>
  <c r="AC8" i="92"/>
  <c r="Y7" i="92"/>
  <c r="Y6" i="92"/>
  <c r="F38" i="106"/>
  <c r="D38" i="106"/>
  <c r="E15" i="105" s="1"/>
  <c r="J57" i="115"/>
  <c r="I57" i="115"/>
  <c r="L53" i="115"/>
  <c r="K53" i="115"/>
  <c r="J53" i="115"/>
  <c r="I53" i="115"/>
  <c r="H53" i="115"/>
  <c r="G53" i="115"/>
  <c r="F53" i="115"/>
  <c r="L52" i="115"/>
  <c r="K52" i="115"/>
  <c r="J52" i="115"/>
  <c r="I52" i="115"/>
  <c r="H52" i="115"/>
  <c r="L51" i="115"/>
  <c r="K51" i="115"/>
  <c r="J51" i="115"/>
  <c r="I51" i="115"/>
  <c r="H51" i="115"/>
  <c r="L50" i="115"/>
  <c r="K50" i="115"/>
  <c r="J50" i="115"/>
  <c r="I50" i="115"/>
  <c r="H50" i="115"/>
  <c r="L49" i="115"/>
  <c r="K49" i="115"/>
  <c r="J49" i="115"/>
  <c r="I49" i="115"/>
  <c r="H49" i="115"/>
  <c r="L48" i="115"/>
  <c r="K48" i="115"/>
  <c r="J48" i="115"/>
  <c r="I48" i="115"/>
  <c r="H48" i="115"/>
  <c r="L47" i="115"/>
  <c r="K47" i="115"/>
  <c r="J47" i="115"/>
  <c r="I47" i="115"/>
  <c r="H47" i="115"/>
  <c r="L46" i="115"/>
  <c r="K46" i="115"/>
  <c r="J46" i="115"/>
  <c r="I46" i="115"/>
  <c r="H46" i="115"/>
  <c r="L45" i="115"/>
  <c r="K45" i="115"/>
  <c r="J45" i="115"/>
  <c r="I45" i="115"/>
  <c r="H45" i="115"/>
  <c r="L44" i="115"/>
  <c r="K44" i="115"/>
  <c r="J44" i="115"/>
  <c r="I44" i="115"/>
  <c r="H44" i="115"/>
  <c r="L43" i="115"/>
  <c r="K43" i="115"/>
  <c r="J43" i="115"/>
  <c r="I43" i="115"/>
  <c r="H43" i="115"/>
  <c r="K42" i="115"/>
  <c r="J42" i="115"/>
  <c r="I42" i="115"/>
  <c r="H42" i="115"/>
  <c r="L41" i="115"/>
  <c r="K41" i="115"/>
  <c r="J41" i="115"/>
  <c r="I41" i="115"/>
  <c r="H41" i="115"/>
  <c r="L40" i="115"/>
  <c r="K40" i="115"/>
  <c r="J40" i="115"/>
  <c r="I40" i="115"/>
  <c r="H40" i="115"/>
  <c r="L39" i="115"/>
  <c r="K39" i="115"/>
  <c r="J39" i="115"/>
  <c r="I39" i="115"/>
  <c r="H39" i="115"/>
  <c r="L38" i="115"/>
  <c r="K38" i="115"/>
  <c r="J38" i="115"/>
  <c r="I38" i="115"/>
  <c r="H38" i="115"/>
  <c r="L37" i="115"/>
  <c r="K37" i="115"/>
  <c r="J37" i="115"/>
  <c r="I37" i="115"/>
  <c r="H37" i="115"/>
  <c r="L36" i="115"/>
  <c r="K36" i="115"/>
  <c r="J36" i="115"/>
  <c r="I36" i="115"/>
  <c r="H36" i="115"/>
  <c r="K35" i="115"/>
  <c r="J35" i="115"/>
  <c r="I35" i="115"/>
  <c r="H35" i="115"/>
  <c r="L34" i="115"/>
  <c r="K34" i="115"/>
  <c r="J34" i="115"/>
  <c r="I34" i="115"/>
  <c r="H34" i="115"/>
  <c r="L33" i="115"/>
  <c r="K33" i="115"/>
  <c r="J33" i="115"/>
  <c r="I33" i="115"/>
  <c r="H33" i="115"/>
  <c r="L32" i="115"/>
  <c r="K32" i="115"/>
  <c r="J32" i="115"/>
  <c r="I32" i="115"/>
  <c r="H32" i="115"/>
  <c r="L31" i="115"/>
  <c r="K31" i="115"/>
  <c r="J31" i="115"/>
  <c r="I31" i="115"/>
  <c r="H31" i="115"/>
  <c r="L30" i="115"/>
  <c r="K30" i="115"/>
  <c r="J30" i="115"/>
  <c r="I30" i="115"/>
  <c r="H30" i="115"/>
  <c r="L29" i="115"/>
  <c r="K29" i="115"/>
  <c r="J29" i="115"/>
  <c r="I29" i="115"/>
  <c r="H29" i="115"/>
  <c r="L28" i="115"/>
  <c r="K28" i="115"/>
  <c r="J28" i="115"/>
  <c r="I28" i="115"/>
  <c r="H28" i="115"/>
  <c r="L27" i="115"/>
  <c r="K27" i="115"/>
  <c r="J27" i="115"/>
  <c r="I27" i="115"/>
  <c r="H27" i="115"/>
  <c r="L26" i="115"/>
  <c r="K26" i="115"/>
  <c r="J26" i="115"/>
  <c r="I26" i="115"/>
  <c r="H26" i="115"/>
  <c r="L25" i="115"/>
  <c r="K25" i="115"/>
  <c r="J25" i="115"/>
  <c r="I25" i="115"/>
  <c r="H25" i="115"/>
  <c r="L24" i="115"/>
  <c r="K24" i="115"/>
  <c r="J24" i="115"/>
  <c r="I24" i="115"/>
  <c r="H24" i="115"/>
  <c r="L23" i="115"/>
  <c r="K23" i="115"/>
  <c r="J23" i="115"/>
  <c r="I23" i="115"/>
  <c r="H23" i="115"/>
  <c r="L22" i="115"/>
  <c r="K22" i="115"/>
  <c r="J22" i="115"/>
  <c r="I22" i="115"/>
  <c r="H22" i="115"/>
  <c r="L21" i="115"/>
  <c r="K21" i="115"/>
  <c r="J21" i="115"/>
  <c r="I21" i="115"/>
  <c r="H21" i="115"/>
  <c r="L20" i="115"/>
  <c r="K20" i="115"/>
  <c r="J20" i="115"/>
  <c r="I20" i="115"/>
  <c r="H20" i="115"/>
  <c r="L19" i="115"/>
  <c r="K19" i="115"/>
  <c r="J19" i="115"/>
  <c r="I19" i="115"/>
  <c r="H19" i="115"/>
  <c r="L18" i="115"/>
  <c r="K18" i="115"/>
  <c r="J18" i="115"/>
  <c r="I18" i="115"/>
  <c r="H18" i="115"/>
  <c r="L17" i="115"/>
  <c r="K17" i="115"/>
  <c r="J17" i="115"/>
  <c r="I17" i="115"/>
  <c r="H17" i="115"/>
  <c r="L16" i="115"/>
  <c r="K16" i="115"/>
  <c r="J16" i="115"/>
  <c r="I16" i="115"/>
  <c r="H16" i="115"/>
  <c r="L15" i="115"/>
  <c r="K15" i="115"/>
  <c r="J15" i="115"/>
  <c r="I15" i="115"/>
  <c r="H15" i="115"/>
  <c r="L14" i="115"/>
  <c r="J14" i="115"/>
  <c r="I14" i="115"/>
  <c r="H14" i="115"/>
  <c r="L13" i="115"/>
  <c r="J13" i="115"/>
  <c r="I13" i="115"/>
  <c r="H13" i="115"/>
  <c r="L12" i="115"/>
  <c r="K12" i="115"/>
  <c r="J12" i="115"/>
  <c r="I12" i="115"/>
  <c r="H12" i="115"/>
  <c r="L11" i="115"/>
  <c r="K11" i="115"/>
  <c r="J11" i="115"/>
  <c r="I11" i="115"/>
  <c r="H11" i="115"/>
  <c r="L10" i="115"/>
  <c r="K10" i="115"/>
  <c r="J10" i="115"/>
  <c r="I10" i="115"/>
  <c r="H10" i="115"/>
  <c r="K9" i="115"/>
  <c r="J9" i="115"/>
  <c r="I9" i="115"/>
  <c r="H9" i="115"/>
  <c r="L8" i="115"/>
  <c r="K8" i="115"/>
  <c r="J8" i="115"/>
  <c r="I8" i="115"/>
  <c r="H8" i="115"/>
  <c r="L7" i="115"/>
  <c r="K7" i="115"/>
  <c r="J7" i="115"/>
  <c r="I7" i="115"/>
  <c r="H7" i="115"/>
  <c r="V42" i="104"/>
  <c r="V43" i="104" s="1"/>
  <c r="I42" i="113"/>
  <c r="H42" i="113"/>
  <c r="G42" i="113"/>
  <c r="T21" i="113"/>
  <c r="S21" i="113"/>
  <c r="P21" i="113"/>
  <c r="O21" i="113"/>
  <c r="L21" i="113"/>
  <c r="K21" i="113"/>
  <c r="H21" i="113"/>
  <c r="G21" i="113"/>
  <c r="D21" i="113"/>
  <c r="D42" i="113" s="1"/>
  <c r="C21" i="113"/>
  <c r="C42" i="113" s="1"/>
  <c r="I41" i="113"/>
  <c r="Y20" i="100" s="1"/>
  <c r="H41" i="113"/>
  <c r="G41" i="113"/>
  <c r="F41" i="113"/>
  <c r="T20" i="113"/>
  <c r="S20" i="113"/>
  <c r="R20" i="113"/>
  <c r="Q20" i="113"/>
  <c r="P20" i="113"/>
  <c r="O20" i="113"/>
  <c r="N20" i="113"/>
  <c r="M20" i="113"/>
  <c r="L20" i="113"/>
  <c r="K20" i="113"/>
  <c r="J20" i="113"/>
  <c r="I20" i="113"/>
  <c r="H20" i="113"/>
  <c r="G20" i="113"/>
  <c r="F20" i="113"/>
  <c r="D20" i="113"/>
  <c r="D41" i="113" s="1"/>
  <c r="C20" i="113"/>
  <c r="C41" i="113" s="1"/>
  <c r="I40" i="113"/>
  <c r="H40" i="113"/>
  <c r="F40" i="113"/>
  <c r="E40" i="113"/>
  <c r="S19" i="113"/>
  <c r="R19" i="113"/>
  <c r="Q19" i="113"/>
  <c r="P19" i="113"/>
  <c r="O19" i="113"/>
  <c r="N19" i="113"/>
  <c r="M19" i="113"/>
  <c r="K19" i="113"/>
  <c r="J19" i="113"/>
  <c r="I19" i="113"/>
  <c r="H19" i="113"/>
  <c r="G19" i="113"/>
  <c r="F19" i="113"/>
  <c r="C19" i="113"/>
  <c r="C40" i="113" s="1"/>
  <c r="I39" i="113"/>
  <c r="H39" i="113"/>
  <c r="F39" i="113"/>
  <c r="T18" i="113"/>
  <c r="S18" i="113"/>
  <c r="R18" i="113"/>
  <c r="Q18" i="113"/>
  <c r="P18" i="113"/>
  <c r="N18" i="113"/>
  <c r="M18" i="113"/>
  <c r="L18" i="113"/>
  <c r="K18" i="113"/>
  <c r="J18" i="113"/>
  <c r="I18" i="113"/>
  <c r="H18" i="113"/>
  <c r="E18" i="113"/>
  <c r="D18" i="113"/>
  <c r="D39" i="113" s="1"/>
  <c r="C18" i="113"/>
  <c r="C39" i="113" s="1"/>
  <c r="I38" i="113"/>
  <c r="H38" i="113"/>
  <c r="G38" i="113"/>
  <c r="F38" i="113"/>
  <c r="E38" i="113"/>
  <c r="T17" i="113"/>
  <c r="S17" i="113"/>
  <c r="Q17" i="113"/>
  <c r="P17" i="113"/>
  <c r="O17" i="113"/>
  <c r="N17" i="113"/>
  <c r="M17" i="113"/>
  <c r="L17" i="113"/>
  <c r="K17" i="113"/>
  <c r="I17" i="113"/>
  <c r="H17" i="113"/>
  <c r="G17" i="113"/>
  <c r="F17" i="113"/>
  <c r="E17" i="113"/>
  <c r="D17" i="113"/>
  <c r="D38" i="113" s="1"/>
  <c r="C17" i="113"/>
  <c r="C38" i="113" s="1"/>
  <c r="I37" i="113"/>
  <c r="Y16" i="100" s="1"/>
  <c r="H37" i="113"/>
  <c r="G37" i="113"/>
  <c r="F37" i="113"/>
  <c r="T16" i="113"/>
  <c r="S16" i="113"/>
  <c r="R16" i="113"/>
  <c r="P16" i="113"/>
  <c r="O16" i="113"/>
  <c r="N16" i="113"/>
  <c r="M16" i="113"/>
  <c r="L16" i="113"/>
  <c r="K16" i="113"/>
  <c r="J16" i="113"/>
  <c r="H16" i="113"/>
  <c r="F16" i="113"/>
  <c r="E16" i="113"/>
  <c r="D16" i="113"/>
  <c r="D37" i="113" s="1"/>
  <c r="C16" i="113"/>
  <c r="C37" i="113" s="1"/>
  <c r="I36" i="113"/>
  <c r="H36" i="113"/>
  <c r="G36" i="113"/>
  <c r="F36" i="113"/>
  <c r="S15" i="113"/>
  <c r="R15" i="113"/>
  <c r="L15" i="100" s="1"/>
  <c r="Q15" i="113"/>
  <c r="P15" i="113"/>
  <c r="O15" i="113"/>
  <c r="N15" i="113"/>
  <c r="M15" i="113"/>
  <c r="K15" i="113"/>
  <c r="J15" i="113"/>
  <c r="I15" i="113"/>
  <c r="H15" i="113"/>
  <c r="G15" i="113"/>
  <c r="E15" i="113"/>
  <c r="C15" i="113"/>
  <c r="C36" i="113" s="1"/>
  <c r="I35" i="113"/>
  <c r="H35" i="113"/>
  <c r="F35" i="113"/>
  <c r="E35" i="113"/>
  <c r="T14" i="113"/>
  <c r="S14" i="113"/>
  <c r="R14" i="113"/>
  <c r="Q14" i="113"/>
  <c r="P14" i="113"/>
  <c r="O14" i="113"/>
  <c r="M14" i="113"/>
  <c r="L14" i="113"/>
  <c r="K14" i="113"/>
  <c r="I14" i="113"/>
  <c r="H14" i="113"/>
  <c r="F14" i="113"/>
  <c r="E14" i="113"/>
  <c r="D14" i="113"/>
  <c r="D35" i="113" s="1"/>
  <c r="C14" i="113"/>
  <c r="C35" i="113" s="1"/>
  <c r="I34" i="113"/>
  <c r="H34" i="113"/>
  <c r="G34" i="113"/>
  <c r="F34" i="113"/>
  <c r="E34" i="113"/>
  <c r="T13" i="113"/>
  <c r="S13" i="113"/>
  <c r="R13" i="113"/>
  <c r="Q13" i="113"/>
  <c r="P13" i="113"/>
  <c r="O13" i="113"/>
  <c r="M13" i="113"/>
  <c r="L13" i="113"/>
  <c r="K13" i="113"/>
  <c r="J13" i="113"/>
  <c r="I13" i="113"/>
  <c r="H13" i="113"/>
  <c r="G13" i="113"/>
  <c r="E13" i="113"/>
  <c r="D13" i="113"/>
  <c r="D34" i="113" s="1"/>
  <c r="C13" i="113"/>
  <c r="C34" i="113" s="1"/>
  <c r="H33" i="113"/>
  <c r="G33" i="113"/>
  <c r="F33" i="113"/>
  <c r="E33" i="113"/>
  <c r="T12" i="113"/>
  <c r="S12" i="113"/>
  <c r="R12" i="113"/>
  <c r="Q12" i="113"/>
  <c r="P12" i="113"/>
  <c r="O12" i="113"/>
  <c r="N12" i="113"/>
  <c r="L12" i="113"/>
  <c r="K12" i="113"/>
  <c r="J12" i="113"/>
  <c r="I12" i="113"/>
  <c r="H12" i="113"/>
  <c r="G12" i="113"/>
  <c r="F12" i="113"/>
  <c r="D12" i="113"/>
  <c r="D33" i="113" s="1"/>
  <c r="C12" i="113"/>
  <c r="C33" i="113" s="1"/>
  <c r="I32" i="113"/>
  <c r="G32" i="113"/>
  <c r="F32" i="113"/>
  <c r="T11" i="113"/>
  <c r="S11" i="113"/>
  <c r="R11" i="113"/>
  <c r="Q11" i="113"/>
  <c r="O11" i="113"/>
  <c r="N11" i="113"/>
  <c r="M11" i="113"/>
  <c r="L11" i="113"/>
  <c r="K11" i="113"/>
  <c r="J11" i="113"/>
  <c r="I11" i="113"/>
  <c r="G11" i="113"/>
  <c r="E11" i="113"/>
  <c r="D11" i="113"/>
  <c r="D32" i="113" s="1"/>
  <c r="C11" i="113"/>
  <c r="C32" i="113" s="1"/>
  <c r="I31" i="113"/>
  <c r="H31" i="113"/>
  <c r="E31" i="113"/>
  <c r="T10" i="113"/>
  <c r="P10" i="113"/>
  <c r="M10" i="113"/>
  <c r="I10" i="113"/>
  <c r="H10" i="113"/>
  <c r="E10" i="113"/>
  <c r="D10" i="113"/>
  <c r="D31" i="113" s="1"/>
  <c r="C10" i="113"/>
  <c r="C31" i="113" s="1"/>
  <c r="I30" i="113"/>
  <c r="H30" i="113"/>
  <c r="G30" i="113"/>
  <c r="F30" i="113"/>
  <c r="E30" i="113"/>
  <c r="T9" i="113"/>
  <c r="S9" i="113"/>
  <c r="Q9" i="113"/>
  <c r="P9" i="113"/>
  <c r="O9" i="113"/>
  <c r="N9" i="113"/>
  <c r="M9" i="113"/>
  <c r="L9" i="113"/>
  <c r="K9" i="113"/>
  <c r="I9" i="113"/>
  <c r="H9" i="113"/>
  <c r="G9" i="113"/>
  <c r="F9" i="113"/>
  <c r="D42" i="102"/>
  <c r="C42" i="102"/>
  <c r="D41" i="102"/>
  <c r="C41" i="102"/>
  <c r="D40" i="102"/>
  <c r="C40" i="102"/>
  <c r="D39" i="102"/>
  <c r="C39" i="102"/>
  <c r="D38" i="102"/>
  <c r="C38" i="102"/>
  <c r="D37" i="102"/>
  <c r="C37" i="102"/>
  <c r="D36" i="102"/>
  <c r="C36" i="102"/>
  <c r="D35" i="102"/>
  <c r="C35" i="102"/>
  <c r="D34" i="102"/>
  <c r="C34" i="102"/>
  <c r="D33" i="102"/>
  <c r="C33" i="102"/>
  <c r="D32" i="102"/>
  <c r="C32" i="102"/>
  <c r="D31" i="102"/>
  <c r="C31" i="102"/>
  <c r="D42" i="101"/>
  <c r="C42" i="101"/>
  <c r="D41" i="101"/>
  <c r="C41" i="101"/>
  <c r="D40" i="101"/>
  <c r="C40" i="101"/>
  <c r="D39" i="101"/>
  <c r="C39" i="101"/>
  <c r="D38" i="101"/>
  <c r="C38" i="101"/>
  <c r="D37" i="101"/>
  <c r="C37" i="101"/>
  <c r="D36" i="101"/>
  <c r="C36" i="101"/>
  <c r="D35" i="101"/>
  <c r="C35" i="101"/>
  <c r="D34" i="101"/>
  <c r="C34" i="101"/>
  <c r="D33" i="101"/>
  <c r="C33" i="101"/>
  <c r="D32" i="101"/>
  <c r="C32" i="101"/>
  <c r="D31" i="101"/>
  <c r="C31" i="101"/>
  <c r="F42" i="113"/>
  <c r="E41" i="113"/>
  <c r="G40" i="113"/>
  <c r="G39" i="113"/>
  <c r="E37" i="113"/>
  <c r="G35" i="113"/>
  <c r="I33" i="113"/>
  <c r="H32" i="113"/>
  <c r="G31" i="113"/>
  <c r="I29" i="113"/>
  <c r="H29" i="113"/>
  <c r="G29" i="113"/>
  <c r="F29" i="113"/>
  <c r="E29" i="113"/>
  <c r="I28" i="113"/>
  <c r="G28" i="113"/>
  <c r="F28" i="113"/>
  <c r="E28" i="113"/>
  <c r="R21" i="113"/>
  <c r="Q21" i="113"/>
  <c r="N21" i="113"/>
  <c r="M21" i="113"/>
  <c r="J21" i="113"/>
  <c r="I21" i="113"/>
  <c r="F21" i="113"/>
  <c r="E21" i="113"/>
  <c r="T19" i="113"/>
  <c r="L19" i="113"/>
  <c r="D19" i="113"/>
  <c r="D40" i="113" s="1"/>
  <c r="O18" i="113"/>
  <c r="G18" i="113"/>
  <c r="R17" i="113"/>
  <c r="J17" i="113"/>
  <c r="Q16" i="113"/>
  <c r="I16" i="113"/>
  <c r="T15" i="113"/>
  <c r="L15" i="113"/>
  <c r="D15" i="113"/>
  <c r="D36" i="113" s="1"/>
  <c r="N14" i="113"/>
  <c r="J14" i="113"/>
  <c r="N13" i="113"/>
  <c r="F13" i="113"/>
  <c r="M12" i="113"/>
  <c r="E12" i="113"/>
  <c r="P11" i="113"/>
  <c r="P11" i="100" s="1"/>
  <c r="H11" i="113"/>
  <c r="S10" i="113"/>
  <c r="R9" i="113"/>
  <c r="J9" i="113"/>
  <c r="E9" i="113"/>
  <c r="T8" i="113"/>
  <c r="S8" i="113"/>
  <c r="R8" i="113"/>
  <c r="Q8" i="113"/>
  <c r="P8" i="113"/>
  <c r="O8" i="113"/>
  <c r="N8" i="113"/>
  <c r="M8" i="113"/>
  <c r="L8" i="113"/>
  <c r="K8" i="113"/>
  <c r="J8" i="113"/>
  <c r="I8" i="113"/>
  <c r="H8" i="113"/>
  <c r="G8" i="113"/>
  <c r="F8" i="113"/>
  <c r="E8" i="113"/>
  <c r="T7" i="113"/>
  <c r="S7" i="113"/>
  <c r="R7" i="113"/>
  <c r="Q7" i="113"/>
  <c r="P7" i="113"/>
  <c r="O7" i="113"/>
  <c r="N7" i="113"/>
  <c r="M7" i="113"/>
  <c r="L7" i="113"/>
  <c r="K7" i="113"/>
  <c r="J7" i="113"/>
  <c r="I7" i="113"/>
  <c r="H7" i="113"/>
  <c r="G7" i="113"/>
  <c r="F7" i="113"/>
  <c r="E7" i="113"/>
  <c r="T71" i="26"/>
  <c r="R71" i="26"/>
  <c r="A71" i="26"/>
  <c r="S70" i="26"/>
  <c r="O70" i="26"/>
  <c r="I70" i="26"/>
  <c r="A70" i="26"/>
  <c r="O69" i="26"/>
  <c r="I69" i="26"/>
  <c r="H69" i="26"/>
  <c r="F69" i="26"/>
  <c r="E69" i="26"/>
  <c r="D69" i="26"/>
  <c r="C69" i="26"/>
  <c r="B69" i="26"/>
  <c r="A69" i="26"/>
  <c r="O68" i="26"/>
  <c r="I68" i="26"/>
  <c r="H68" i="26"/>
  <c r="F68" i="26"/>
  <c r="E68" i="26"/>
  <c r="D68" i="26"/>
  <c r="A68" i="26"/>
  <c r="O67" i="26"/>
  <c r="I67" i="26"/>
  <c r="H67" i="26"/>
  <c r="F67" i="26"/>
  <c r="E67" i="26"/>
  <c r="D67" i="26"/>
  <c r="C67" i="26"/>
  <c r="B67" i="26"/>
  <c r="A67" i="26"/>
  <c r="O66" i="26"/>
  <c r="I66" i="26"/>
  <c r="H66" i="26"/>
  <c r="F66" i="26"/>
  <c r="E66" i="26"/>
  <c r="D66" i="26"/>
  <c r="A66" i="26"/>
  <c r="O65" i="26"/>
  <c r="I65" i="26"/>
  <c r="H65" i="26"/>
  <c r="F65" i="26"/>
  <c r="E65" i="26"/>
  <c r="D65" i="26"/>
  <c r="C65" i="26"/>
  <c r="B65" i="26"/>
  <c r="A65" i="26"/>
  <c r="O64" i="26"/>
  <c r="I64" i="26"/>
  <c r="H64" i="26"/>
  <c r="F64" i="26"/>
  <c r="E64" i="26"/>
  <c r="D64" i="26"/>
  <c r="A64" i="26"/>
  <c r="O63" i="26"/>
  <c r="I63" i="26"/>
  <c r="H63" i="26"/>
  <c r="F63" i="26"/>
  <c r="E63" i="26"/>
  <c r="D63" i="26"/>
  <c r="C63" i="26"/>
  <c r="B63" i="26"/>
  <c r="A63" i="26"/>
  <c r="O62" i="26"/>
  <c r="I62" i="26"/>
  <c r="H62" i="26"/>
  <c r="F62" i="26"/>
  <c r="E62" i="26"/>
  <c r="D62" i="26"/>
  <c r="A62" i="26"/>
  <c r="O61" i="26"/>
  <c r="I61" i="26"/>
  <c r="H61" i="26"/>
  <c r="F61" i="26"/>
  <c r="E61" i="26"/>
  <c r="D61" i="26"/>
  <c r="C61" i="26"/>
  <c r="B61" i="26"/>
  <c r="A61" i="26"/>
  <c r="O60" i="26"/>
  <c r="I60" i="26"/>
  <c r="H60" i="26"/>
  <c r="F60" i="26"/>
  <c r="E60" i="26"/>
  <c r="D60" i="26"/>
  <c r="A60" i="26"/>
  <c r="O59" i="26"/>
  <c r="I59" i="26"/>
  <c r="H59" i="26"/>
  <c r="F59" i="26"/>
  <c r="E59" i="26"/>
  <c r="D59" i="26"/>
  <c r="C59" i="26"/>
  <c r="B59" i="26"/>
  <c r="A59" i="26"/>
  <c r="O58" i="26"/>
  <c r="I58" i="26"/>
  <c r="H58" i="26"/>
  <c r="F58" i="26"/>
  <c r="E58" i="26"/>
  <c r="D58" i="26"/>
  <c r="A58" i="26"/>
  <c r="O57" i="26"/>
  <c r="I57" i="26"/>
  <c r="H57" i="26"/>
  <c r="F57" i="26"/>
  <c r="E57" i="26"/>
  <c r="D57" i="26"/>
  <c r="C57" i="26"/>
  <c r="B57" i="26"/>
  <c r="A57" i="26"/>
  <c r="O56" i="26"/>
  <c r="I56" i="26"/>
  <c r="H56" i="26"/>
  <c r="F56" i="26"/>
  <c r="E56" i="26"/>
  <c r="D56" i="26"/>
  <c r="A56" i="26"/>
  <c r="O55" i="26"/>
  <c r="I55" i="26"/>
  <c r="H55" i="26"/>
  <c r="F55" i="26"/>
  <c r="E55" i="26"/>
  <c r="D55" i="26"/>
  <c r="C55" i="26"/>
  <c r="B55" i="26"/>
  <c r="A55" i="26"/>
  <c r="O54" i="26"/>
  <c r="I54" i="26"/>
  <c r="H54" i="26"/>
  <c r="F54" i="26"/>
  <c r="E54" i="26"/>
  <c r="D54" i="26"/>
  <c r="A54" i="26"/>
  <c r="O53" i="26"/>
  <c r="I53" i="26"/>
  <c r="H53" i="26"/>
  <c r="F53" i="26"/>
  <c r="E53" i="26"/>
  <c r="D53" i="26"/>
  <c r="C53" i="26"/>
  <c r="B53" i="26"/>
  <c r="A53" i="26"/>
  <c r="O52" i="26"/>
  <c r="I52" i="26"/>
  <c r="H52" i="26"/>
  <c r="F52" i="26"/>
  <c r="E52" i="26"/>
  <c r="D52" i="26"/>
  <c r="A52" i="26"/>
  <c r="O51" i="26"/>
  <c r="I51" i="26"/>
  <c r="H51" i="26"/>
  <c r="F51" i="26"/>
  <c r="E51" i="26"/>
  <c r="D51" i="26"/>
  <c r="C51" i="26"/>
  <c r="B51" i="26"/>
  <c r="A51" i="26"/>
  <c r="O50" i="26"/>
  <c r="I50" i="26"/>
  <c r="H50" i="26"/>
  <c r="F50" i="26"/>
  <c r="E50" i="26"/>
  <c r="D50" i="26"/>
  <c r="A50" i="26"/>
  <c r="O49" i="26"/>
  <c r="I49" i="26"/>
  <c r="H49" i="26"/>
  <c r="F49" i="26"/>
  <c r="E49" i="26"/>
  <c r="D49" i="26"/>
  <c r="C49" i="26"/>
  <c r="B49" i="26"/>
  <c r="A49" i="26"/>
  <c r="O48" i="26"/>
  <c r="I48" i="26"/>
  <c r="H48" i="26"/>
  <c r="F48" i="26"/>
  <c r="E48" i="26"/>
  <c r="D48" i="26"/>
  <c r="A48" i="26"/>
  <c r="O47" i="26"/>
  <c r="I47" i="26"/>
  <c r="H47" i="26"/>
  <c r="F47" i="26"/>
  <c r="E47" i="26"/>
  <c r="D47" i="26"/>
  <c r="C47" i="26"/>
  <c r="B47" i="26"/>
  <c r="A47" i="26"/>
  <c r="O46" i="26"/>
  <c r="F46" i="26"/>
  <c r="E46" i="26"/>
  <c r="D46" i="26"/>
  <c r="A46" i="26"/>
  <c r="O45" i="26"/>
  <c r="F45" i="26"/>
  <c r="E45" i="26"/>
  <c r="D45" i="26"/>
  <c r="C45" i="26"/>
  <c r="B45" i="26"/>
  <c r="A45" i="26"/>
  <c r="O44" i="26"/>
  <c r="F44" i="26"/>
  <c r="E44" i="26"/>
  <c r="D44" i="26"/>
  <c r="A44" i="26"/>
  <c r="O43" i="26"/>
  <c r="F43" i="26"/>
  <c r="E43" i="26"/>
  <c r="D43" i="26"/>
  <c r="C43" i="26"/>
  <c r="B43" i="26"/>
  <c r="A43" i="26"/>
  <c r="O42" i="26"/>
  <c r="F42" i="26"/>
  <c r="E42" i="26"/>
  <c r="D42" i="26"/>
  <c r="A42" i="26"/>
  <c r="O41" i="26"/>
  <c r="I41" i="26"/>
  <c r="H41" i="26"/>
  <c r="F41" i="26"/>
  <c r="E41" i="26"/>
  <c r="D41" i="26"/>
  <c r="C41" i="26"/>
  <c r="B41" i="26"/>
  <c r="A41" i="26"/>
  <c r="O40" i="26"/>
  <c r="I40" i="26"/>
  <c r="H40" i="26"/>
  <c r="F40" i="26"/>
  <c r="E40" i="26"/>
  <c r="D40" i="26"/>
  <c r="A40" i="26"/>
  <c r="O39" i="26"/>
  <c r="I39" i="26"/>
  <c r="H39" i="26"/>
  <c r="F39" i="26"/>
  <c r="E39" i="26"/>
  <c r="D39" i="26"/>
  <c r="C39" i="26"/>
  <c r="B39" i="26"/>
  <c r="A39" i="26"/>
  <c r="O38" i="26"/>
  <c r="I38" i="26"/>
  <c r="H38" i="26"/>
  <c r="F38" i="26"/>
  <c r="E38" i="26"/>
  <c r="D38" i="26"/>
  <c r="A38" i="26"/>
  <c r="O37" i="26"/>
  <c r="I37" i="26"/>
  <c r="H37" i="26"/>
  <c r="F37" i="26"/>
  <c r="E37" i="26"/>
  <c r="D37" i="26"/>
  <c r="C37" i="26"/>
  <c r="B37" i="26"/>
  <c r="A37" i="26"/>
  <c r="O36" i="26"/>
  <c r="I36" i="26"/>
  <c r="H36" i="26"/>
  <c r="F36" i="26"/>
  <c r="E36" i="26"/>
  <c r="D36" i="26"/>
  <c r="A36" i="26"/>
  <c r="O35" i="26"/>
  <c r="I35" i="26"/>
  <c r="H35" i="26"/>
  <c r="F35" i="26"/>
  <c r="E35" i="26"/>
  <c r="D35" i="26"/>
  <c r="C35" i="26"/>
  <c r="B35" i="26"/>
  <c r="A35" i="26"/>
  <c r="O34" i="26"/>
  <c r="I34" i="26"/>
  <c r="H34" i="26"/>
  <c r="F34" i="26"/>
  <c r="E34" i="26"/>
  <c r="D34" i="26"/>
  <c r="A34" i="26"/>
  <c r="O33" i="26"/>
  <c r="I33" i="26"/>
  <c r="H33" i="26"/>
  <c r="F33" i="26"/>
  <c r="E33" i="26"/>
  <c r="D33" i="26"/>
  <c r="C33" i="26"/>
  <c r="B33" i="26"/>
  <c r="A33" i="26"/>
  <c r="O32" i="26"/>
  <c r="N32" i="26"/>
  <c r="I32" i="26"/>
  <c r="H32" i="26"/>
  <c r="F32" i="26"/>
  <c r="E32" i="26"/>
  <c r="D32" i="26"/>
  <c r="A32" i="26"/>
  <c r="O31" i="26"/>
  <c r="N31" i="26"/>
  <c r="I31" i="26"/>
  <c r="H31" i="26"/>
  <c r="F31" i="26"/>
  <c r="E31" i="26"/>
  <c r="D31" i="26"/>
  <c r="B31" i="26"/>
  <c r="A31" i="26"/>
  <c r="O30" i="26"/>
  <c r="N30" i="26"/>
  <c r="I30" i="26"/>
  <c r="H30" i="26"/>
  <c r="F30" i="26"/>
  <c r="E30" i="26"/>
  <c r="C30" i="26"/>
  <c r="C32" i="26" s="1"/>
  <c r="B32" i="26" s="1"/>
  <c r="B30" i="26"/>
  <c r="A30" i="26"/>
  <c r="N27" i="26"/>
  <c r="E27" i="26"/>
  <c r="A27" i="26"/>
  <c r="A26" i="26"/>
  <c r="A25" i="26"/>
  <c r="C24" i="26"/>
  <c r="A24" i="26"/>
  <c r="K23" i="26"/>
  <c r="H23" i="26"/>
  <c r="A23" i="26"/>
  <c r="A22" i="26"/>
  <c r="A21" i="26"/>
  <c r="F14" i="26"/>
  <c r="F10" i="26"/>
  <c r="F9" i="26"/>
  <c r="D66" i="33"/>
  <c r="D65" i="33"/>
  <c r="C65" i="33"/>
  <c r="B65" i="33"/>
  <c r="Q62" i="33"/>
  <c r="Q61" i="33"/>
  <c r="D61" i="33"/>
  <c r="Q60" i="33"/>
  <c r="D60" i="33"/>
  <c r="C60" i="33"/>
  <c r="B60" i="33"/>
  <c r="A60" i="33"/>
  <c r="Q59" i="33"/>
  <c r="Q58" i="33"/>
  <c r="Q57" i="33"/>
  <c r="Q56" i="33"/>
  <c r="D56" i="33"/>
  <c r="Q55" i="33"/>
  <c r="D55" i="33"/>
  <c r="C55" i="33"/>
  <c r="B55" i="33"/>
  <c r="A55" i="33"/>
  <c r="Q54" i="33"/>
  <c r="Q53" i="33"/>
  <c r="D53" i="33"/>
  <c r="Q52" i="33"/>
  <c r="D52" i="33"/>
  <c r="C52" i="33"/>
  <c r="B52" i="33"/>
  <c r="D49" i="33"/>
  <c r="C49" i="33"/>
  <c r="B49" i="33"/>
  <c r="W47" i="33"/>
  <c r="H72" i="1" s="1"/>
  <c r="V44" i="33"/>
  <c r="U44" i="33"/>
  <c r="N44" i="33"/>
  <c r="V43" i="33"/>
  <c r="U43" i="33"/>
  <c r="O43" i="33"/>
  <c r="K43" i="33"/>
  <c r="J43" i="33"/>
  <c r="I43" i="33"/>
  <c r="H43" i="33"/>
  <c r="G43" i="33"/>
  <c r="F43" i="33"/>
  <c r="E43" i="33"/>
  <c r="D43" i="33"/>
  <c r="V42" i="33"/>
  <c r="U42" i="33"/>
  <c r="O42" i="33"/>
  <c r="K42" i="33"/>
  <c r="J42" i="33"/>
  <c r="I42" i="33"/>
  <c r="H42" i="33"/>
  <c r="G42" i="33"/>
  <c r="F42" i="33"/>
  <c r="E42" i="33"/>
  <c r="D42" i="33"/>
  <c r="V41" i="33"/>
  <c r="U41" i="33"/>
  <c r="O41" i="33"/>
  <c r="K41" i="33"/>
  <c r="J41" i="33"/>
  <c r="I41" i="33"/>
  <c r="H41" i="33"/>
  <c r="G41" i="33"/>
  <c r="F41" i="33"/>
  <c r="E41" i="33"/>
  <c r="D41" i="33"/>
  <c r="V40" i="33"/>
  <c r="U40" i="33"/>
  <c r="O40" i="33"/>
  <c r="K40" i="33"/>
  <c r="J40" i="33"/>
  <c r="I40" i="33"/>
  <c r="H40" i="33"/>
  <c r="G40" i="33"/>
  <c r="F40" i="33"/>
  <c r="E40" i="33"/>
  <c r="D40" i="33"/>
  <c r="V39" i="33"/>
  <c r="U39" i="33"/>
  <c r="O39" i="33"/>
  <c r="K39" i="33"/>
  <c r="J39" i="33"/>
  <c r="I39" i="33"/>
  <c r="H39" i="33"/>
  <c r="G39" i="33"/>
  <c r="F39" i="33"/>
  <c r="E39" i="33"/>
  <c r="D39" i="33"/>
  <c r="V38" i="33"/>
  <c r="U38" i="33"/>
  <c r="O38" i="33"/>
  <c r="K38" i="33"/>
  <c r="J38" i="33"/>
  <c r="I38" i="33"/>
  <c r="H38" i="33"/>
  <c r="G38" i="33"/>
  <c r="F38" i="33"/>
  <c r="E38" i="33"/>
  <c r="D38" i="33"/>
  <c r="V37" i="33"/>
  <c r="U37" i="33"/>
  <c r="O37" i="33"/>
  <c r="K37" i="33"/>
  <c r="J37" i="33"/>
  <c r="I37" i="33"/>
  <c r="H37" i="33"/>
  <c r="G37" i="33"/>
  <c r="F37" i="33"/>
  <c r="E37" i="33"/>
  <c r="D37" i="33"/>
  <c r="V36" i="33"/>
  <c r="U36" i="33"/>
  <c r="O36" i="33"/>
  <c r="K36" i="33"/>
  <c r="J36" i="33"/>
  <c r="I36" i="33"/>
  <c r="H36" i="33"/>
  <c r="G36" i="33"/>
  <c r="F36" i="33"/>
  <c r="E36" i="33"/>
  <c r="D36" i="33"/>
  <c r="V35" i="33"/>
  <c r="U35" i="33"/>
  <c r="O35" i="33"/>
  <c r="K35" i="33"/>
  <c r="J35" i="33"/>
  <c r="I35" i="33"/>
  <c r="H35" i="33"/>
  <c r="G35" i="33"/>
  <c r="F35" i="33"/>
  <c r="E35" i="33"/>
  <c r="D35" i="33"/>
  <c r="V34" i="33"/>
  <c r="U34" i="33"/>
  <c r="O34" i="33"/>
  <c r="K34" i="33"/>
  <c r="J34" i="33"/>
  <c r="I34" i="33"/>
  <c r="H34" i="33"/>
  <c r="G34" i="33"/>
  <c r="F34" i="33"/>
  <c r="E34" i="33"/>
  <c r="D34" i="33"/>
  <c r="V33" i="33"/>
  <c r="U33" i="33"/>
  <c r="O33" i="33"/>
  <c r="K33" i="33"/>
  <c r="J33" i="33"/>
  <c r="I33" i="33"/>
  <c r="H33" i="33"/>
  <c r="G33" i="33"/>
  <c r="F33" i="33"/>
  <c r="E33" i="33"/>
  <c r="D33" i="33"/>
  <c r="V32" i="33"/>
  <c r="U32" i="33"/>
  <c r="K32" i="33"/>
  <c r="J32" i="33"/>
  <c r="I32" i="33"/>
  <c r="H32" i="33"/>
  <c r="G32" i="33"/>
  <c r="F32" i="33"/>
  <c r="E32" i="33"/>
  <c r="D32" i="33"/>
  <c r="V31" i="33"/>
  <c r="U31" i="33"/>
  <c r="S31" i="33"/>
  <c r="R31" i="33"/>
  <c r="Q31" i="33"/>
  <c r="P31" i="33"/>
  <c r="L31" i="33"/>
  <c r="V28" i="33"/>
  <c r="U28" i="33"/>
  <c r="S28" i="33"/>
  <c r="R28" i="33"/>
  <c r="Q28" i="33"/>
  <c r="P28" i="33"/>
  <c r="U26" i="33"/>
  <c r="P26" i="33"/>
  <c r="C25" i="33"/>
  <c r="B25" i="33"/>
  <c r="D22" i="33"/>
  <c r="C22" i="33"/>
  <c r="B22" i="33"/>
  <c r="A22" i="33"/>
  <c r="C17" i="33"/>
  <c r="B17" i="33"/>
  <c r="C15" i="33"/>
  <c r="B15" i="33"/>
  <c r="B14" i="33"/>
  <c r="C12" i="33"/>
  <c r="C11" i="33"/>
  <c r="C10" i="33"/>
  <c r="C9" i="33"/>
  <c r="B9" i="33"/>
  <c r="E288" i="7"/>
  <c r="E287" i="7"/>
  <c r="E283" i="7"/>
  <c r="C283" i="7"/>
  <c r="E281" i="7"/>
  <c r="E278" i="7"/>
  <c r="C278" i="7"/>
  <c r="E277" i="7"/>
  <c r="E276" i="7"/>
  <c r="I268" i="7"/>
  <c r="G268" i="7"/>
  <c r="E268" i="7"/>
  <c r="C268" i="7"/>
  <c r="H266" i="7"/>
  <c r="B265" i="7"/>
  <c r="C259" i="7"/>
  <c r="H258" i="7"/>
  <c r="H284" i="1" s="1"/>
  <c r="C258" i="7"/>
  <c r="B257" i="7"/>
  <c r="A255" i="7"/>
  <c r="C251" i="7"/>
  <c r="B67" i="31" s="1"/>
  <c r="C249" i="7"/>
  <c r="H247" i="7"/>
  <c r="I240" i="7"/>
  <c r="C240" i="7"/>
  <c r="B69" i="31" s="1"/>
  <c r="H233" i="7"/>
  <c r="H227" i="1" s="1"/>
  <c r="C233" i="7"/>
  <c r="K226" i="7"/>
  <c r="H134" i="1"/>
  <c r="C226" i="7"/>
  <c r="C219" i="7"/>
  <c r="H212" i="7"/>
  <c r="I210" i="7"/>
  <c r="J209" i="7"/>
  <c r="I208" i="7"/>
  <c r="E197" i="7"/>
  <c r="G196" i="7"/>
  <c r="C196" i="7"/>
  <c r="B70" i="31" s="1"/>
  <c r="H193" i="7"/>
  <c r="C193" i="7"/>
  <c r="G192" i="7"/>
  <c r="C191" i="7"/>
  <c r="E188" i="7"/>
  <c r="K174" i="7"/>
  <c r="G174" i="7"/>
  <c r="B171" i="7"/>
  <c r="H164" i="7"/>
  <c r="H163" i="7"/>
  <c r="H165" i="7" s="1"/>
  <c r="I158" i="7"/>
  <c r="I151" i="7"/>
  <c r="G151" i="7"/>
  <c r="E151" i="7"/>
  <c r="I147" i="7"/>
  <c r="G147" i="7"/>
  <c r="E147" i="7"/>
  <c r="I143" i="7"/>
  <c r="G143" i="7"/>
  <c r="E143" i="7"/>
  <c r="H142" i="7"/>
  <c r="F134" i="7"/>
  <c r="F132" i="7"/>
  <c r="C132" i="7"/>
  <c r="F130" i="7"/>
  <c r="F114" i="7"/>
  <c r="F109" i="7"/>
  <c r="E109" i="7"/>
  <c r="F104" i="7"/>
  <c r="F88" i="7"/>
  <c r="F68" i="7"/>
  <c r="H65" i="7"/>
  <c r="F62" i="7"/>
  <c r="C56" i="7"/>
  <c r="C55" i="7"/>
  <c r="F46" i="7"/>
  <c r="H45" i="7"/>
  <c r="F41" i="7"/>
  <c r="H40" i="7"/>
  <c r="F36" i="7"/>
  <c r="F20" i="7"/>
  <c r="B9" i="7"/>
  <c r="B10" i="7" s="1"/>
  <c r="B11" i="7" s="1"/>
  <c r="B12" i="7" s="1"/>
  <c r="B13" i="7" s="1"/>
  <c r="B14" i="7" s="1"/>
  <c r="B15" i="7" s="1"/>
  <c r="B16" i="7" s="1"/>
  <c r="B17" i="7" s="1"/>
  <c r="B18" i="7" s="1"/>
  <c r="B19" i="7" s="1"/>
  <c r="F8" i="7"/>
  <c r="F9" i="7" s="1"/>
  <c r="F10" i="7" s="1"/>
  <c r="F11" i="7" s="1"/>
  <c r="F12" i="7" s="1"/>
  <c r="F13" i="7" s="1"/>
  <c r="F14" i="7" s="1"/>
  <c r="F15" i="7" s="1"/>
  <c r="F16" i="7" s="1"/>
  <c r="F17" i="7" s="1"/>
  <c r="F18" i="7" s="1"/>
  <c r="F19" i="7" s="1"/>
  <c r="B8" i="7"/>
  <c r="F7" i="7"/>
  <c r="F23" i="7" s="1"/>
  <c r="F24" i="7" s="1"/>
  <c r="F25" i="7" s="1"/>
  <c r="F26" i="7" s="1"/>
  <c r="F27" i="7" s="1"/>
  <c r="F28" i="7" s="1"/>
  <c r="F29" i="7" s="1"/>
  <c r="F30" i="7" s="1"/>
  <c r="F31" i="7" s="1"/>
  <c r="F32" i="7" s="1"/>
  <c r="F33" i="7" s="1"/>
  <c r="F34" i="7" s="1"/>
  <c r="F35" i="7" s="1"/>
  <c r="G41" i="6"/>
  <c r="I35" i="6"/>
  <c r="G35" i="6"/>
  <c r="C28" i="6"/>
  <c r="F26" i="6"/>
  <c r="C26" i="6"/>
  <c r="F25" i="6"/>
  <c r="E25" i="6"/>
  <c r="D25" i="6"/>
  <c r="F24" i="6"/>
  <c r="E24" i="6"/>
  <c r="D24" i="6"/>
  <c r="F23" i="6"/>
  <c r="E23" i="6"/>
  <c r="D23" i="6"/>
  <c r="G21" i="6"/>
  <c r="F21" i="6"/>
  <c r="E21" i="6"/>
  <c r="D21" i="6"/>
  <c r="F20" i="6"/>
  <c r="E20" i="6"/>
  <c r="D20" i="6"/>
  <c r="F19" i="6"/>
  <c r="E19" i="6"/>
  <c r="D19" i="6"/>
  <c r="E17" i="6"/>
  <c r="D17" i="6"/>
  <c r="F16" i="6"/>
  <c r="E16" i="6"/>
  <c r="D16" i="6"/>
  <c r="F15" i="6"/>
  <c r="E15" i="6"/>
  <c r="D15" i="6"/>
  <c r="D9" i="6"/>
  <c r="D22" i="105"/>
  <c r="A22" i="105"/>
  <c r="D20" i="105"/>
  <c r="A20" i="105"/>
  <c r="A19" i="105"/>
  <c r="C18" i="105"/>
  <c r="A18" i="105"/>
  <c r="A17" i="105"/>
  <c r="C16" i="105"/>
  <c r="A16" i="105"/>
  <c r="C15" i="105"/>
  <c r="A15" i="105"/>
  <c r="D12" i="105"/>
  <c r="A12" i="105"/>
  <c r="A11" i="105"/>
  <c r="A10" i="105"/>
  <c r="A9" i="105"/>
  <c r="A8" i="105"/>
  <c r="E7" i="105"/>
  <c r="G95" i="76"/>
  <c r="G85" i="76"/>
  <c r="C47" i="76"/>
  <c r="A47" i="76"/>
  <c r="A45" i="76"/>
  <c r="D42" i="76"/>
  <c r="B42" i="76"/>
  <c r="A42" i="76"/>
  <c r="D40" i="76"/>
  <c r="A40" i="76"/>
  <c r="D38" i="76"/>
  <c r="B38" i="76"/>
  <c r="D37" i="76"/>
  <c r="B37" i="76"/>
  <c r="D36" i="76"/>
  <c r="B36" i="76"/>
  <c r="D35" i="76"/>
  <c r="B35" i="76"/>
  <c r="D34" i="76"/>
  <c r="B34" i="76"/>
  <c r="D33" i="76"/>
  <c r="B33" i="76"/>
  <c r="D32" i="76"/>
  <c r="B32" i="76"/>
  <c r="D31" i="76"/>
  <c r="B31" i="76"/>
  <c r="D27" i="76"/>
  <c r="B27" i="76"/>
  <c r="A27" i="76"/>
  <c r="D25" i="76"/>
  <c r="A25" i="76"/>
  <c r="D23" i="76"/>
  <c r="D19" i="76"/>
  <c r="A19" i="76"/>
  <c r="D12" i="76"/>
  <c r="D10" i="76"/>
  <c r="D9" i="76"/>
  <c r="I426" i="116"/>
  <c r="H426" i="116"/>
  <c r="G426" i="116"/>
  <c r="F426" i="116"/>
  <c r="E426" i="116"/>
  <c r="I424" i="116"/>
  <c r="H424" i="116"/>
  <c r="G424" i="116"/>
  <c r="F424" i="116"/>
  <c r="E424" i="116"/>
  <c r="I423" i="116"/>
  <c r="H423" i="116"/>
  <c r="G423" i="116"/>
  <c r="F423" i="116"/>
  <c r="E423" i="116"/>
  <c r="F422" i="116"/>
  <c r="F417" i="116"/>
  <c r="F416" i="116"/>
  <c r="F415" i="116"/>
  <c r="I414" i="116"/>
  <c r="I413" i="116"/>
  <c r="F412" i="116"/>
  <c r="F411" i="116"/>
  <c r="F410" i="116"/>
  <c r="F409" i="116"/>
  <c r="F408" i="116"/>
  <c r="F407" i="116"/>
  <c r="H406" i="116"/>
  <c r="F405" i="116"/>
  <c r="F404" i="116"/>
  <c r="F403" i="116"/>
  <c r="F402" i="116"/>
  <c r="F401" i="116"/>
  <c r="I400" i="116"/>
  <c r="F399" i="116"/>
  <c r="F398" i="116"/>
  <c r="F397" i="116"/>
  <c r="F396" i="116"/>
  <c r="F395" i="116"/>
  <c r="F394" i="116"/>
  <c r="F393" i="116"/>
  <c r="F392" i="116"/>
  <c r="I391" i="116"/>
  <c r="F389" i="116"/>
  <c r="F388" i="116"/>
  <c r="F387" i="116"/>
  <c r="F386" i="116"/>
  <c r="F385" i="116"/>
  <c r="F384" i="116"/>
  <c r="F383" i="116"/>
  <c r="F382" i="116"/>
  <c r="F381" i="116"/>
  <c r="F380" i="116"/>
  <c r="F379" i="116"/>
  <c r="F378" i="116"/>
  <c r="F377" i="116"/>
  <c r="F376" i="116"/>
  <c r="F375" i="116"/>
  <c r="F374" i="116"/>
  <c r="F373" i="116"/>
  <c r="F372" i="116"/>
  <c r="F371" i="116"/>
  <c r="F370" i="116"/>
  <c r="F369" i="116"/>
  <c r="F368" i="116"/>
  <c r="F367" i="116"/>
  <c r="F366" i="116"/>
  <c r="F365" i="116"/>
  <c r="F364" i="116"/>
  <c r="F363" i="116"/>
  <c r="F362" i="116"/>
  <c r="F361" i="116"/>
  <c r="F360" i="116"/>
  <c r="F359" i="116"/>
  <c r="F358" i="116"/>
  <c r="F357" i="116"/>
  <c r="F356" i="116"/>
  <c r="F355" i="116"/>
  <c r="F354" i="116"/>
  <c r="I353" i="116"/>
  <c r="F352" i="116"/>
  <c r="F351" i="116"/>
  <c r="F350" i="116"/>
  <c r="F349" i="116"/>
  <c r="F348" i="116"/>
  <c r="F347" i="116"/>
  <c r="F346" i="116"/>
  <c r="F345" i="116"/>
  <c r="F344" i="116"/>
  <c r="F343" i="116"/>
  <c r="F342" i="116"/>
  <c r="F341" i="116"/>
  <c r="F340" i="116"/>
  <c r="F339" i="116"/>
  <c r="F338" i="116"/>
  <c r="F337" i="116"/>
  <c r="F336" i="116"/>
  <c r="F335" i="116"/>
  <c r="F334" i="116"/>
  <c r="F333" i="116"/>
  <c r="F332" i="116"/>
  <c r="F331" i="116"/>
  <c r="F330" i="116"/>
  <c r="F329" i="116"/>
  <c r="F328" i="116"/>
  <c r="F327" i="116"/>
  <c r="F326" i="116"/>
  <c r="F325" i="116"/>
  <c r="F324" i="116"/>
  <c r="F323" i="116"/>
  <c r="F322" i="116"/>
  <c r="F321" i="116"/>
  <c r="F320" i="116"/>
  <c r="F319" i="116"/>
  <c r="F318" i="116"/>
  <c r="F317" i="116"/>
  <c r="F316" i="116"/>
  <c r="F315" i="116"/>
  <c r="F314" i="116"/>
  <c r="F313" i="116"/>
  <c r="F312" i="116"/>
  <c r="F311" i="116"/>
  <c r="F310" i="116"/>
  <c r="F309" i="116"/>
  <c r="F308" i="116"/>
  <c r="F307" i="116"/>
  <c r="F306" i="116"/>
  <c r="F305" i="116"/>
  <c r="F304" i="116"/>
  <c r="F303" i="116"/>
  <c r="F302" i="116"/>
  <c r="F301" i="116"/>
  <c r="F300" i="116"/>
  <c r="F299" i="116"/>
  <c r="F298" i="116"/>
  <c r="F297" i="116"/>
  <c r="F296" i="116"/>
  <c r="F295" i="116"/>
  <c r="F294" i="116"/>
  <c r="F293" i="116"/>
  <c r="F292" i="116"/>
  <c r="F291" i="116"/>
  <c r="F290" i="116"/>
  <c r="F289" i="116"/>
  <c r="F288" i="116"/>
  <c r="I269" i="116"/>
  <c r="H269" i="116"/>
  <c r="G269" i="116"/>
  <c r="F269" i="116"/>
  <c r="E269" i="116"/>
  <c r="I267" i="116"/>
  <c r="H267" i="116"/>
  <c r="G267" i="116"/>
  <c r="F267" i="116"/>
  <c r="E267" i="116"/>
  <c r="I266" i="116"/>
  <c r="H266" i="116"/>
  <c r="G266" i="116"/>
  <c r="F266" i="116"/>
  <c r="E266" i="116"/>
  <c r="F265" i="116"/>
  <c r="F264" i="116"/>
  <c r="F263" i="116"/>
  <c r="F262" i="116"/>
  <c r="F261" i="116"/>
  <c r="F260" i="116"/>
  <c r="F259" i="116"/>
  <c r="F258" i="116"/>
  <c r="F257" i="116"/>
  <c r="F256" i="116"/>
  <c r="F255" i="116"/>
  <c r="F254" i="116"/>
  <c r="F253" i="116"/>
  <c r="G252" i="116"/>
  <c r="I251" i="116"/>
  <c r="F250" i="116"/>
  <c r="F249" i="116"/>
  <c r="F248" i="116"/>
  <c r="F247" i="116"/>
  <c r="F246" i="116"/>
  <c r="F245" i="116"/>
  <c r="H244" i="116"/>
  <c r="F243" i="116"/>
  <c r="F242" i="116"/>
  <c r="F241" i="116"/>
  <c r="F240" i="116"/>
  <c r="F239" i="116"/>
  <c r="F238" i="116"/>
  <c r="F237" i="116"/>
  <c r="F236" i="116"/>
  <c r="F235" i="116"/>
  <c r="F234" i="116"/>
  <c r="F233" i="116"/>
  <c r="F232" i="116"/>
  <c r="F231" i="116"/>
  <c r="F230" i="116"/>
  <c r="H229" i="116"/>
  <c r="H228" i="116"/>
  <c r="I227" i="116"/>
  <c r="E227" i="116"/>
  <c r="I226" i="116"/>
  <c r="E226" i="116"/>
  <c r="G225" i="116"/>
  <c r="E225" i="116"/>
  <c r="F224" i="116"/>
  <c r="F223" i="116"/>
  <c r="F222" i="116"/>
  <c r="F221" i="116"/>
  <c r="F220" i="116"/>
  <c r="F219" i="116"/>
  <c r="F218" i="116"/>
  <c r="H217" i="116"/>
  <c r="F216" i="116"/>
  <c r="F215" i="116"/>
  <c r="F214" i="116"/>
  <c r="F213" i="116"/>
  <c r="F212" i="116"/>
  <c r="I191" i="116"/>
  <c r="H191" i="116"/>
  <c r="G191" i="116"/>
  <c r="F191" i="116"/>
  <c r="E191" i="116"/>
  <c r="I188" i="116"/>
  <c r="H188" i="116"/>
  <c r="G188" i="116"/>
  <c r="F188" i="116"/>
  <c r="E188" i="116"/>
  <c r="F185" i="116"/>
  <c r="I164" i="116"/>
  <c r="H164" i="116"/>
  <c r="G164" i="116"/>
  <c r="F164" i="116"/>
  <c r="E164" i="116"/>
  <c r="I163" i="116"/>
  <c r="H163" i="116"/>
  <c r="G163" i="116"/>
  <c r="F163" i="116"/>
  <c r="E163" i="116"/>
  <c r="H162" i="116"/>
  <c r="G162" i="116"/>
  <c r="G165" i="116" s="1"/>
  <c r="G13" i="116" s="1"/>
  <c r="G14" i="116" s="1"/>
  <c r="G16" i="116" s="1"/>
  <c r="F162" i="116"/>
  <c r="E162" i="116"/>
  <c r="F161" i="116"/>
  <c r="I162" i="116"/>
  <c r="D19" i="116"/>
  <c r="A19" i="116"/>
  <c r="A18" i="116"/>
  <c r="A17" i="116"/>
  <c r="D16" i="116"/>
  <c r="A16" i="116"/>
  <c r="A15" i="116"/>
  <c r="A14" i="116"/>
  <c r="A13" i="116"/>
  <c r="I12" i="116"/>
  <c r="H12" i="116"/>
  <c r="G12" i="116"/>
  <c r="F12" i="116"/>
  <c r="E12" i="116"/>
  <c r="A12" i="116"/>
  <c r="H11" i="116"/>
  <c r="F11" i="116"/>
  <c r="E11" i="116"/>
  <c r="A11" i="116"/>
  <c r="I10" i="116"/>
  <c r="H10" i="116"/>
  <c r="G10" i="116"/>
  <c r="F10" i="116"/>
  <c r="E10" i="116"/>
  <c r="I464" i="114"/>
  <c r="H464" i="114"/>
  <c r="G464" i="114"/>
  <c r="F464" i="114"/>
  <c r="E464" i="114"/>
  <c r="I462" i="114"/>
  <c r="H462" i="114"/>
  <c r="G462" i="114"/>
  <c r="F462" i="114"/>
  <c r="E462" i="114"/>
  <c r="I461" i="114"/>
  <c r="H461" i="114"/>
  <c r="G461" i="114"/>
  <c r="F461" i="114"/>
  <c r="E461" i="114"/>
  <c r="F456" i="114"/>
  <c r="F455" i="114"/>
  <c r="F454" i="114"/>
  <c r="I453" i="114"/>
  <c r="F452" i="114"/>
  <c r="F451" i="114"/>
  <c r="F450" i="114"/>
  <c r="F449" i="114"/>
  <c r="F448" i="114"/>
  <c r="H447" i="114"/>
  <c r="F446" i="114"/>
  <c r="F445" i="114"/>
  <c r="F444" i="114"/>
  <c r="F443" i="114"/>
  <c r="I442" i="114"/>
  <c r="F441" i="114"/>
  <c r="F440" i="114"/>
  <c r="I439" i="114"/>
  <c r="F438" i="114"/>
  <c r="F437" i="114"/>
  <c r="F436" i="114"/>
  <c r="F435" i="114"/>
  <c r="F434" i="114"/>
  <c r="F433" i="114"/>
  <c r="F432" i="114"/>
  <c r="I431" i="114"/>
  <c r="F429" i="114"/>
  <c r="F428" i="114"/>
  <c r="F427" i="114"/>
  <c r="F426" i="114"/>
  <c r="F425" i="114"/>
  <c r="F424" i="114"/>
  <c r="F423" i="114"/>
  <c r="F422" i="114"/>
  <c r="F421" i="114"/>
  <c r="F420" i="114"/>
  <c r="F419" i="114"/>
  <c r="F418" i="114"/>
  <c r="F417" i="114"/>
  <c r="F416" i="114"/>
  <c r="F415" i="114"/>
  <c r="F414" i="114"/>
  <c r="F413" i="114"/>
  <c r="F412" i="114"/>
  <c r="F411" i="114"/>
  <c r="F410" i="114"/>
  <c r="F409" i="114"/>
  <c r="F408" i="114"/>
  <c r="F407" i="114"/>
  <c r="F406" i="114"/>
  <c r="F405" i="114"/>
  <c r="F404" i="114"/>
  <c r="F403" i="114"/>
  <c r="F402" i="114"/>
  <c r="F401" i="114"/>
  <c r="F400" i="114"/>
  <c r="F399" i="114"/>
  <c r="F398" i="114"/>
  <c r="F397" i="114"/>
  <c r="F396" i="114"/>
  <c r="F395" i="114"/>
  <c r="F394" i="114"/>
  <c r="F393" i="114"/>
  <c r="F392" i="114"/>
  <c r="F391" i="114"/>
  <c r="F390" i="114"/>
  <c r="I389" i="114"/>
  <c r="F388" i="114"/>
  <c r="F387" i="114"/>
  <c r="F386" i="114"/>
  <c r="F385" i="114"/>
  <c r="F384" i="114"/>
  <c r="F383" i="114"/>
  <c r="F382" i="114"/>
  <c r="F381" i="114"/>
  <c r="F380" i="114"/>
  <c r="F379" i="114"/>
  <c r="F378" i="114"/>
  <c r="F377" i="114"/>
  <c r="F376" i="114"/>
  <c r="F375" i="114"/>
  <c r="F374" i="114"/>
  <c r="F373" i="114"/>
  <c r="F372" i="114"/>
  <c r="F371" i="114"/>
  <c r="F370" i="114"/>
  <c r="F369" i="114"/>
  <c r="F368" i="114"/>
  <c r="F367" i="114"/>
  <c r="F366" i="114"/>
  <c r="F365" i="114"/>
  <c r="F364" i="114"/>
  <c r="F363" i="114"/>
  <c r="F362" i="114"/>
  <c r="F361" i="114"/>
  <c r="F360" i="114"/>
  <c r="F359" i="114"/>
  <c r="F358" i="114"/>
  <c r="F357" i="114"/>
  <c r="F356" i="114"/>
  <c r="F355" i="114"/>
  <c r="F354" i="114"/>
  <c r="F353" i="114"/>
  <c r="F352" i="114"/>
  <c r="F351" i="114"/>
  <c r="F350" i="114"/>
  <c r="F349" i="114"/>
  <c r="F348" i="114"/>
  <c r="F347" i="114"/>
  <c r="F346" i="114"/>
  <c r="F345" i="114"/>
  <c r="F344" i="114"/>
  <c r="F343" i="114"/>
  <c r="F342" i="114"/>
  <c r="F341" i="114"/>
  <c r="F340" i="114"/>
  <c r="F339" i="114"/>
  <c r="F338" i="114"/>
  <c r="F337" i="114"/>
  <c r="F336" i="114"/>
  <c r="F335" i="114"/>
  <c r="F334" i="114"/>
  <c r="F333" i="114"/>
  <c r="F332" i="114"/>
  <c r="F331" i="114"/>
  <c r="F330" i="114"/>
  <c r="F329" i="114"/>
  <c r="F328" i="114"/>
  <c r="F327" i="114"/>
  <c r="F326" i="114"/>
  <c r="F325" i="114"/>
  <c r="F324" i="114"/>
  <c r="F323" i="114"/>
  <c r="F322" i="114"/>
  <c r="F321" i="114"/>
  <c r="F320" i="114"/>
  <c r="F319" i="114"/>
  <c r="I299" i="114"/>
  <c r="H299" i="114"/>
  <c r="G299" i="114"/>
  <c r="F299" i="114"/>
  <c r="E299" i="114"/>
  <c r="I297" i="114"/>
  <c r="H297" i="114"/>
  <c r="G297" i="114"/>
  <c r="F297" i="114"/>
  <c r="E297" i="114"/>
  <c r="I296" i="114"/>
  <c r="H296" i="114"/>
  <c r="G296" i="114"/>
  <c r="F296" i="114"/>
  <c r="E296" i="114"/>
  <c r="F295" i="114"/>
  <c r="F294" i="114"/>
  <c r="F293" i="114"/>
  <c r="F292" i="114"/>
  <c r="F291" i="114"/>
  <c r="F290" i="114"/>
  <c r="F289" i="114"/>
  <c r="F288" i="114"/>
  <c r="F287" i="114"/>
  <c r="F286" i="114"/>
  <c r="F285" i="114"/>
  <c r="F284" i="114"/>
  <c r="F283" i="114"/>
  <c r="G282" i="114"/>
  <c r="F281" i="114"/>
  <c r="F280" i="114"/>
  <c r="F279" i="114"/>
  <c r="F278" i="114"/>
  <c r="F277" i="114"/>
  <c r="F276" i="114"/>
  <c r="H275" i="114"/>
  <c r="F274" i="114"/>
  <c r="F273" i="114"/>
  <c r="F272" i="114"/>
  <c r="F271" i="114"/>
  <c r="F270" i="114"/>
  <c r="F269" i="114"/>
  <c r="F268" i="114"/>
  <c r="F267" i="114"/>
  <c r="F266" i="114"/>
  <c r="F265" i="114"/>
  <c r="F264" i="114"/>
  <c r="F263" i="114"/>
  <c r="F262" i="114"/>
  <c r="F261" i="114"/>
  <c r="H260" i="114"/>
  <c r="H259" i="114"/>
  <c r="I258" i="114"/>
  <c r="E258" i="114"/>
  <c r="I257" i="114"/>
  <c r="E257" i="114"/>
  <c r="G256" i="114"/>
  <c r="E256" i="114"/>
  <c r="F255" i="114"/>
  <c r="F254" i="114"/>
  <c r="F253" i="114"/>
  <c r="F252" i="114"/>
  <c r="F251" i="114"/>
  <c r="F250" i="114"/>
  <c r="F249" i="114"/>
  <c r="H248" i="114"/>
  <c r="F247" i="114"/>
  <c r="F246" i="114"/>
  <c r="F245" i="114"/>
  <c r="F244" i="114"/>
  <c r="F243" i="114"/>
  <c r="I224" i="114"/>
  <c r="H224" i="114"/>
  <c r="G224" i="114"/>
  <c r="F224" i="114"/>
  <c r="E224" i="114"/>
  <c r="I221" i="114"/>
  <c r="H221" i="114"/>
  <c r="G221" i="114"/>
  <c r="F221" i="114"/>
  <c r="E221" i="114"/>
  <c r="I198" i="114"/>
  <c r="H198" i="114"/>
  <c r="G198" i="114"/>
  <c r="F198" i="114"/>
  <c r="E198" i="114"/>
  <c r="E199" i="114" s="1"/>
  <c r="E13" i="114" s="1"/>
  <c r="E14" i="114" s="1"/>
  <c r="I197" i="114"/>
  <c r="H197" i="114"/>
  <c r="G197" i="114"/>
  <c r="F197" i="114"/>
  <c r="E197" i="114"/>
  <c r="I196" i="114"/>
  <c r="H196" i="114"/>
  <c r="G196" i="114"/>
  <c r="E196" i="114"/>
  <c r="F195" i="114"/>
  <c r="B52" i="114"/>
  <c r="F196" i="114"/>
  <c r="F199" i="114" s="1"/>
  <c r="F13" i="114" s="1"/>
  <c r="F14" i="114" s="1"/>
  <c r="D16" i="114"/>
  <c r="A16" i="114"/>
  <c r="A15" i="114"/>
  <c r="A14" i="114"/>
  <c r="A13" i="114"/>
  <c r="I12" i="114"/>
  <c r="H12" i="114"/>
  <c r="G12" i="114"/>
  <c r="F12" i="114"/>
  <c r="E12" i="114"/>
  <c r="A12" i="114"/>
  <c r="H11" i="114"/>
  <c r="F11" i="114"/>
  <c r="E11" i="114"/>
  <c r="A11" i="114"/>
  <c r="I10" i="114"/>
  <c r="H10" i="114"/>
  <c r="G10" i="114"/>
  <c r="F10" i="114"/>
  <c r="E10" i="114"/>
  <c r="D46" i="54"/>
  <c r="D44" i="54"/>
  <c r="D39" i="54"/>
  <c r="D37" i="54"/>
  <c r="D32" i="54"/>
  <c r="D30" i="54"/>
  <c r="D28" i="54"/>
  <c r="D14" i="54"/>
  <c r="D13" i="54"/>
  <c r="D12" i="54"/>
  <c r="D29" i="73"/>
  <c r="A29" i="73"/>
  <c r="D28" i="73"/>
  <c r="A28" i="73"/>
  <c r="D26" i="73"/>
  <c r="A26" i="73"/>
  <c r="D25" i="73"/>
  <c r="A25" i="73"/>
  <c r="D23" i="73"/>
  <c r="A23" i="73"/>
  <c r="D22" i="73"/>
  <c r="A22" i="73"/>
  <c r="D21" i="73"/>
  <c r="A21" i="73"/>
  <c r="A19" i="73"/>
  <c r="D15" i="73"/>
  <c r="A15" i="73"/>
  <c r="D12" i="73"/>
  <c r="A12" i="73"/>
  <c r="A11" i="73"/>
  <c r="A10" i="73"/>
  <c r="A9" i="73"/>
  <c r="A8" i="73"/>
  <c r="C302" i="1"/>
  <c r="C301" i="1"/>
  <c r="E290" i="1"/>
  <c r="P284" i="1"/>
  <c r="C279" i="1"/>
  <c r="C269" i="1"/>
  <c r="E257" i="1"/>
  <c r="C256" i="1"/>
  <c r="O228" i="1"/>
  <c r="K228" i="1"/>
  <c r="H228" i="1"/>
  <c r="E227" i="1"/>
  <c r="E233" i="7" s="1"/>
  <c r="H226" i="1"/>
  <c r="O226" i="1" s="1"/>
  <c r="E226" i="1"/>
  <c r="H213" i="1"/>
  <c r="I21" i="6" s="1"/>
  <c r="E213" i="1"/>
  <c r="E286" i="7" s="1"/>
  <c r="E208" i="1"/>
  <c r="F17" i="6" s="1"/>
  <c r="E206" i="1"/>
  <c r="P193" i="1"/>
  <c r="L193" i="1"/>
  <c r="P192" i="1"/>
  <c r="L192" i="1"/>
  <c r="P191" i="1"/>
  <c r="L191" i="1"/>
  <c r="P190" i="1"/>
  <c r="L190" i="1"/>
  <c r="P189" i="1"/>
  <c r="L189" i="1"/>
  <c r="P184" i="1"/>
  <c r="L184" i="1"/>
  <c r="E184" i="1"/>
  <c r="E183" i="1"/>
  <c r="E182" i="1"/>
  <c r="E181" i="1"/>
  <c r="P180" i="1"/>
  <c r="L180" i="1"/>
  <c r="E180" i="1"/>
  <c r="E179" i="1"/>
  <c r="P175" i="1"/>
  <c r="L175" i="1"/>
  <c r="E175" i="1"/>
  <c r="E174" i="1"/>
  <c r="E173" i="1"/>
  <c r="E172" i="1"/>
  <c r="E171" i="1"/>
  <c r="P168" i="1"/>
  <c r="L168" i="1"/>
  <c r="P167" i="1"/>
  <c r="L167" i="1"/>
  <c r="P166" i="1"/>
  <c r="L166" i="1"/>
  <c r="P152" i="1"/>
  <c r="E152" i="1"/>
  <c r="E147" i="1"/>
  <c r="E146" i="1"/>
  <c r="E144" i="1"/>
  <c r="P134" i="1"/>
  <c r="L134" i="1"/>
  <c r="E133" i="1"/>
  <c r="P130" i="1"/>
  <c r="L130" i="1"/>
  <c r="E129" i="1"/>
  <c r="E123" i="1"/>
  <c r="E121" i="1"/>
  <c r="P118" i="1"/>
  <c r="L118" i="1"/>
  <c r="E118" i="1"/>
  <c r="E102" i="1"/>
  <c r="P99" i="1"/>
  <c r="L99" i="1"/>
  <c r="E98" i="1"/>
  <c r="E93" i="1"/>
  <c r="F91" i="1"/>
  <c r="E90" i="1"/>
  <c r="P89" i="1"/>
  <c r="L89" i="1"/>
  <c r="F88" i="1"/>
  <c r="P87" i="1"/>
  <c r="L87" i="1"/>
  <c r="E87" i="1"/>
  <c r="O84" i="1"/>
  <c r="L84" i="1"/>
  <c r="E84" i="1"/>
  <c r="E81" i="1"/>
  <c r="P72" i="1"/>
  <c r="L72" i="1"/>
  <c r="E72" i="1"/>
  <c r="C59" i="1"/>
  <c r="E57" i="1"/>
  <c r="C57" i="1"/>
  <c r="E56" i="1"/>
  <c r="E114" i="7" s="1"/>
  <c r="E54" i="1"/>
  <c r="E88" i="7" s="1"/>
  <c r="E48" i="1"/>
  <c r="E174" i="7" s="1"/>
  <c r="E43" i="1"/>
  <c r="E41" i="7" s="1"/>
  <c r="E42" i="1"/>
  <c r="E46" i="7" s="1"/>
  <c r="E39" i="1"/>
  <c r="E38" i="1"/>
  <c r="E20" i="7" s="1"/>
  <c r="E24" i="1"/>
  <c r="E23" i="1"/>
  <c r="E132" i="7" s="1"/>
  <c r="E21" i="1"/>
  <c r="E68" i="7" s="1"/>
  <c r="A15" i="1"/>
  <c r="A16" i="1" s="1"/>
  <c r="A18" i="1" s="1"/>
  <c r="F125" i="1" s="1"/>
  <c r="H14" i="1"/>
  <c r="A14" i="1"/>
  <c r="F16" i="1" s="1"/>
  <c r="P7" i="1"/>
  <c r="L7" i="1"/>
  <c r="H5" i="1"/>
  <c r="O7" i="1" s="1"/>
  <c r="H26" i="31"/>
  <c r="J82" i="31"/>
  <c r="H17" i="31"/>
  <c r="H55" i="31"/>
  <c r="H23" i="31"/>
  <c r="H16" i="31"/>
  <c r="H36" i="31"/>
  <c r="H71" i="31"/>
  <c r="H80" i="31"/>
  <c r="H53" i="31"/>
  <c r="H76" i="31"/>
  <c r="H59" i="31"/>
  <c r="H69" i="31"/>
  <c r="H27" i="31"/>
  <c r="H81" i="31"/>
  <c r="C7" i="31"/>
  <c r="H61" i="31"/>
  <c r="H78" i="31"/>
  <c r="H65" i="31"/>
  <c r="H73" i="31"/>
  <c r="H19" i="31"/>
  <c r="H39" i="31"/>
  <c r="H79" i="31"/>
  <c r="H30" i="31"/>
  <c r="H82" i="31"/>
  <c r="H56" i="31"/>
  <c r="H24" i="31"/>
  <c r="H75" i="31"/>
  <c r="H57" i="31"/>
  <c r="H52" i="31"/>
  <c r="H25" i="31"/>
  <c r="H58" i="31"/>
  <c r="H28" i="31"/>
  <c r="J81" i="31"/>
  <c r="H29" i="31"/>
  <c r="H67" i="31"/>
  <c r="H37" i="31"/>
  <c r="H50" i="31"/>
  <c r="H54" i="31"/>
  <c r="J80" i="31"/>
  <c r="H74" i="31"/>
  <c r="C10" i="31"/>
  <c r="H22" i="31"/>
  <c r="F149" i="1" l="1"/>
  <c r="F59" i="1"/>
  <c r="A21" i="1"/>
  <c r="F18" i="1"/>
  <c r="F45" i="1"/>
  <c r="H245" i="7"/>
  <c r="K226" i="1"/>
  <c r="C34" i="26"/>
  <c r="I33" i="6"/>
  <c r="E282" i="7"/>
  <c r="G199" i="114"/>
  <c r="G13" i="114" s="1"/>
  <c r="G14" i="114" s="1"/>
  <c r="G16" i="114" s="1"/>
  <c r="G18" i="116" s="1"/>
  <c r="I199" i="114"/>
  <c r="I13" i="114" s="1"/>
  <c r="I14" i="114" s="1"/>
  <c r="H199" i="114"/>
  <c r="H13" i="114" s="1"/>
  <c r="H14" i="114" s="1"/>
  <c r="F165" i="116"/>
  <c r="F13" i="116" s="1"/>
  <c r="F14" i="116" s="1"/>
  <c r="O14" i="100"/>
  <c r="O18" i="100"/>
  <c r="L22" i="104"/>
  <c r="L23" i="104" s="1"/>
  <c r="P10" i="100"/>
  <c r="H12" i="100"/>
  <c r="L12" i="100"/>
  <c r="P14" i="100"/>
  <c r="K15" i="100"/>
  <c r="AB15" i="104"/>
  <c r="D16" i="100"/>
  <c r="H16" i="100"/>
  <c r="L16" i="100"/>
  <c r="P18" i="100"/>
  <c r="D20" i="100"/>
  <c r="E13" i="95"/>
  <c r="C19" i="93"/>
  <c r="H183" i="1" s="1"/>
  <c r="O183" i="1" s="1"/>
  <c r="P183" i="1" s="1"/>
  <c r="H165" i="116"/>
  <c r="H13" i="116" s="1"/>
  <c r="H14" i="116" s="1"/>
  <c r="H75" i="7"/>
  <c r="H246" i="7"/>
  <c r="I20" i="100"/>
  <c r="M20" i="100"/>
  <c r="L19" i="100"/>
  <c r="P12" i="100"/>
  <c r="E15" i="100"/>
  <c r="P16" i="100"/>
  <c r="I17" i="100"/>
  <c r="C40" i="33"/>
  <c r="P40" i="33" s="1"/>
  <c r="R40" i="33" s="1"/>
  <c r="C43" i="33"/>
  <c r="P43" i="33" s="1"/>
  <c r="R43" i="33" s="1"/>
  <c r="K12" i="100"/>
  <c r="K11" i="100"/>
  <c r="G15" i="100"/>
  <c r="G19" i="100"/>
  <c r="K19" i="100"/>
  <c r="K121" i="1"/>
  <c r="L121" i="1" s="1"/>
  <c r="H122" i="1"/>
  <c r="Y14" i="100"/>
  <c r="Z14" i="100" s="1"/>
  <c r="Y18" i="100"/>
  <c r="Z18" i="100" s="1"/>
  <c r="I13" i="100"/>
  <c r="C29" i="93"/>
  <c r="H201" i="1" s="1"/>
  <c r="O201" i="1" s="1"/>
  <c r="P201" i="1" s="1"/>
  <c r="P19" i="100"/>
  <c r="I165" i="116"/>
  <c r="I13" i="116" s="1"/>
  <c r="I14" i="116" s="1"/>
  <c r="E165" i="116"/>
  <c r="E13" i="116" s="1"/>
  <c r="E14" i="116" s="1"/>
  <c r="M18" i="100"/>
  <c r="E13" i="100"/>
  <c r="M13" i="100"/>
  <c r="E17" i="100"/>
  <c r="M17" i="100"/>
  <c r="E21" i="100"/>
  <c r="H319" i="7"/>
  <c r="H120" i="1" s="1"/>
  <c r="J17" i="100"/>
  <c r="F12" i="100"/>
  <c r="J13" i="100"/>
  <c r="N20" i="100"/>
  <c r="J21" i="100"/>
  <c r="Y12" i="100"/>
  <c r="G10" i="100"/>
  <c r="I10" i="100"/>
  <c r="H11" i="100"/>
  <c r="L11" i="100"/>
  <c r="E12" i="100"/>
  <c r="M12" i="100"/>
  <c r="H15" i="100"/>
  <c r="O16" i="100"/>
  <c r="G18" i="100"/>
  <c r="H19" i="100"/>
  <c r="E20" i="100"/>
  <c r="Y15" i="100"/>
  <c r="Z15" i="100" s="1"/>
  <c r="M21" i="100"/>
  <c r="E34" i="105"/>
  <c r="K72" i="1"/>
  <c r="I21" i="100"/>
  <c r="O15" i="100"/>
  <c r="G16" i="100"/>
  <c r="J33" i="102"/>
  <c r="C25" i="93"/>
  <c r="H192" i="1" s="1"/>
  <c r="O192" i="1" s="1"/>
  <c r="C27" i="93"/>
  <c r="H196" i="1" s="1"/>
  <c r="O196" i="1" s="1"/>
  <c r="P196" i="1" s="1"/>
  <c r="C28" i="93"/>
  <c r="H199" i="1" s="1"/>
  <c r="O199" i="1" s="1"/>
  <c r="P199" i="1" s="1"/>
  <c r="K14" i="1"/>
  <c r="L14" i="1" s="1"/>
  <c r="H49" i="7"/>
  <c r="H113" i="7"/>
  <c r="H219" i="7"/>
  <c r="J219" i="7" s="1"/>
  <c r="O134" i="1"/>
  <c r="I12" i="100"/>
  <c r="Y17" i="100"/>
  <c r="Z17" i="100" s="1"/>
  <c r="J41" i="101"/>
  <c r="H14" i="100"/>
  <c r="G17" i="100"/>
  <c r="H18" i="100"/>
  <c r="C13" i="93"/>
  <c r="H174" i="1" s="1"/>
  <c r="K174" i="1" s="1"/>
  <c r="L174" i="1" s="1"/>
  <c r="C17" i="93"/>
  <c r="H181" i="1" s="1"/>
  <c r="K181" i="1" s="1"/>
  <c r="L181" i="1" s="1"/>
  <c r="C18" i="93"/>
  <c r="H182" i="1" s="1"/>
  <c r="O182" i="1" s="1"/>
  <c r="P182" i="1" s="1"/>
  <c r="C36" i="33"/>
  <c r="P36" i="33" s="1"/>
  <c r="R36" i="33" s="1"/>
  <c r="C34" i="33"/>
  <c r="P34" i="33" s="1"/>
  <c r="R34" i="33" s="1"/>
  <c r="C38" i="33"/>
  <c r="P38" i="33" s="1"/>
  <c r="R38" i="33" s="1"/>
  <c r="C33" i="33"/>
  <c r="P33" i="33" s="1"/>
  <c r="R33" i="33" s="1"/>
  <c r="C35" i="33"/>
  <c r="P35" i="33" s="1"/>
  <c r="R35" i="33" s="1"/>
  <c r="C37" i="33"/>
  <c r="P37" i="33" s="1"/>
  <c r="R37" i="33" s="1"/>
  <c r="C39" i="33"/>
  <c r="P39" i="33" s="1"/>
  <c r="R39" i="33" s="1"/>
  <c r="G44" i="33"/>
  <c r="K44" i="33"/>
  <c r="I212" i="7"/>
  <c r="H129" i="1" s="1"/>
  <c r="O129" i="1" s="1"/>
  <c r="P129" i="1" s="1"/>
  <c r="B20" i="7"/>
  <c r="D20" i="7"/>
  <c r="I196" i="7"/>
  <c r="I197" i="7" s="1"/>
  <c r="H133" i="1" s="1"/>
  <c r="O133" i="1" s="1"/>
  <c r="P133" i="1" s="1"/>
  <c r="G41" i="7"/>
  <c r="H43" i="1" s="1"/>
  <c r="K43" i="1" s="1"/>
  <c r="L43" i="1" s="1"/>
  <c r="J212" i="7"/>
  <c r="K284" i="1"/>
  <c r="H268" i="7"/>
  <c r="H102" i="1" s="1"/>
  <c r="O102" i="1" s="1"/>
  <c r="P102" i="1" s="1"/>
  <c r="H39" i="7"/>
  <c r="F17" i="54"/>
  <c r="I34" i="6"/>
  <c r="H229" i="1"/>
  <c r="F39" i="7"/>
  <c r="K227" i="1"/>
  <c r="O227" i="1"/>
  <c r="N12" i="100"/>
  <c r="H44" i="7"/>
  <c r="G46" i="7"/>
  <c r="H42" i="1" s="1"/>
  <c r="O42" i="1" s="1"/>
  <c r="P42" i="1" s="1"/>
  <c r="H130" i="1"/>
  <c r="F10" i="100"/>
  <c r="O17" i="100"/>
  <c r="U12" i="113"/>
  <c r="N18" i="100"/>
  <c r="Y19" i="100"/>
  <c r="K15" i="1"/>
  <c r="L15" i="1" s="1"/>
  <c r="H87" i="7"/>
  <c r="D14" i="100"/>
  <c r="J35" i="101"/>
  <c r="R13" i="102"/>
  <c r="O12" i="100"/>
  <c r="N13" i="100"/>
  <c r="G14" i="100"/>
  <c r="C12" i="93"/>
  <c r="H173" i="1" s="1"/>
  <c r="K173" i="1" s="1"/>
  <c r="C15" i="93"/>
  <c r="H179" i="1" s="1"/>
  <c r="O179" i="1" s="1"/>
  <c r="P179" i="1" s="1"/>
  <c r="H249" i="7"/>
  <c r="J249" i="7" s="1"/>
  <c r="H112" i="1" s="1"/>
  <c r="K112" i="1" s="1"/>
  <c r="L112" i="1" s="1"/>
  <c r="K117" i="1"/>
  <c r="L117" i="1" s="1"/>
  <c r="K12" i="1"/>
  <c r="L12" i="1" s="1"/>
  <c r="E43" i="102"/>
  <c r="Y11" i="100"/>
  <c r="Z11" i="100" s="1"/>
  <c r="J12" i="100"/>
  <c r="O13" i="100"/>
  <c r="J20" i="100"/>
  <c r="H23" i="7"/>
  <c r="H103" i="7"/>
  <c r="X22" i="100"/>
  <c r="X23" i="100" s="1"/>
  <c r="F16" i="100"/>
  <c r="I14" i="100"/>
  <c r="R17" i="102"/>
  <c r="Q22" i="104"/>
  <c r="Q23" i="104" s="1"/>
  <c r="N17" i="100"/>
  <c r="K18" i="100"/>
  <c r="O20" i="100"/>
  <c r="F21" i="100"/>
  <c r="C11" i="93"/>
  <c r="H172" i="1" s="1"/>
  <c r="O172" i="1" s="1"/>
  <c r="P172" i="1" s="1"/>
  <c r="E7" i="73"/>
  <c r="H150" i="7"/>
  <c r="H151" i="7" s="1"/>
  <c r="H93" i="1" s="1"/>
  <c r="O93" i="1" s="1"/>
  <c r="P93" i="1" s="1"/>
  <c r="L42" i="100"/>
  <c r="L43" i="100" s="1"/>
  <c r="X42" i="100"/>
  <c r="X43" i="100" s="1"/>
  <c r="AC42" i="100"/>
  <c r="AC43" i="100" s="1"/>
  <c r="N42" i="100"/>
  <c r="N43" i="100" s="1"/>
  <c r="Y34" i="100"/>
  <c r="L14" i="100"/>
  <c r="F20" i="100"/>
  <c r="Y13" i="100"/>
  <c r="Z13" i="100" s="1"/>
  <c r="P15" i="100"/>
  <c r="S17" i="101"/>
  <c r="P17" i="100"/>
  <c r="L18" i="100"/>
  <c r="S20" i="101"/>
  <c r="M22" i="102"/>
  <c r="J18" i="100"/>
  <c r="J35" i="102"/>
  <c r="J41" i="102"/>
  <c r="G42" i="104"/>
  <c r="G43" i="104" s="1"/>
  <c r="K42" i="104"/>
  <c r="K43" i="104" s="1"/>
  <c r="O42" i="104"/>
  <c r="O43" i="104" s="1"/>
  <c r="S42" i="104"/>
  <c r="S43" i="104" s="1"/>
  <c r="W42" i="104"/>
  <c r="W43" i="104" s="1"/>
  <c r="M42" i="104"/>
  <c r="M43" i="104" s="1"/>
  <c r="C9" i="93"/>
  <c r="H168" i="1" s="1"/>
  <c r="O168" i="1" s="1"/>
  <c r="D46" i="31"/>
  <c r="H288" i="7"/>
  <c r="H147" i="1" s="1"/>
  <c r="K147" i="1" s="1"/>
  <c r="L147" i="1" s="1"/>
  <c r="N10" i="100"/>
  <c r="N14" i="100"/>
  <c r="I15" i="100"/>
  <c r="J16" i="100"/>
  <c r="F18" i="100"/>
  <c r="F13" i="100"/>
  <c r="K14" i="100"/>
  <c r="F17" i="100"/>
  <c r="I18" i="100"/>
  <c r="N21" i="100"/>
  <c r="H143" i="7"/>
  <c r="H87" i="1" s="1"/>
  <c r="O87" i="1" s="1"/>
  <c r="Z16" i="100"/>
  <c r="Q10" i="113"/>
  <c r="K10" i="100" s="1"/>
  <c r="N16" i="100"/>
  <c r="K17" i="100"/>
  <c r="M15" i="100"/>
  <c r="E43" i="101"/>
  <c r="J39" i="102"/>
  <c r="N42" i="104"/>
  <c r="N43" i="104" s="1"/>
  <c r="C7" i="93"/>
  <c r="H166" i="1" s="1"/>
  <c r="O166" i="1" s="1"/>
  <c r="C21" i="93"/>
  <c r="H188" i="1" s="1"/>
  <c r="K188" i="1" s="1"/>
  <c r="L188" i="1" s="1"/>
  <c r="C24" i="93"/>
  <c r="H191" i="1" s="1"/>
  <c r="O191" i="1" s="1"/>
  <c r="L70" i="92"/>
  <c r="P70" i="92"/>
  <c r="T70" i="92"/>
  <c r="Y11" i="92"/>
  <c r="AF11" i="92" s="1"/>
  <c r="Y15" i="92"/>
  <c r="AF15" i="92" s="1"/>
  <c r="Y19" i="92"/>
  <c r="AF19" i="92" s="1"/>
  <c r="Y23" i="92"/>
  <c r="AF23" i="92" s="1"/>
  <c r="Y28" i="92"/>
  <c r="AF28" i="92" s="1"/>
  <c r="Y32" i="92"/>
  <c r="AF32" i="92" s="1"/>
  <c r="Y37" i="92"/>
  <c r="AF37" i="92" s="1"/>
  <c r="Y42" i="92"/>
  <c r="AF42" i="92" s="1"/>
  <c r="Y47" i="92"/>
  <c r="AE47" i="92" s="1"/>
  <c r="Y51" i="92"/>
  <c r="AF51" i="92" s="1"/>
  <c r="Y56" i="92"/>
  <c r="AE56" i="92" s="1"/>
  <c r="L34" i="98"/>
  <c r="C34" i="98" s="1"/>
  <c r="I22" i="113"/>
  <c r="G11" i="100"/>
  <c r="O181" i="1"/>
  <c r="P181" i="1" s="1"/>
  <c r="H278" i="7"/>
  <c r="H144" i="1" s="1"/>
  <c r="K191" i="1"/>
  <c r="O121" i="1"/>
  <c r="P121" i="1" s="1"/>
  <c r="Z12" i="100"/>
  <c r="I43" i="101"/>
  <c r="F22" i="102"/>
  <c r="C31" i="98"/>
  <c r="O122" i="1"/>
  <c r="P122" i="1" s="1"/>
  <c r="O284" i="1"/>
  <c r="H147" i="7"/>
  <c r="H90" i="1" s="1"/>
  <c r="O90" i="1" s="1"/>
  <c r="P90" i="1" s="1"/>
  <c r="J240" i="7"/>
  <c r="H111" i="1" s="1"/>
  <c r="U22" i="100"/>
  <c r="U23" i="100" s="1"/>
  <c r="R22" i="100"/>
  <c r="R23" i="100" s="1"/>
  <c r="G12" i="100"/>
  <c r="N19" i="100"/>
  <c r="J34" i="113"/>
  <c r="J22" i="101"/>
  <c r="D13" i="100"/>
  <c r="H13" i="100"/>
  <c r="L13" i="100"/>
  <c r="P13" i="100"/>
  <c r="H20" i="100"/>
  <c r="L20" i="100"/>
  <c r="P20" i="100"/>
  <c r="P21" i="100"/>
  <c r="H43" i="101"/>
  <c r="J33" i="101"/>
  <c r="R12" i="102"/>
  <c r="R16" i="102"/>
  <c r="R20" i="102"/>
  <c r="G22" i="102"/>
  <c r="J11" i="100"/>
  <c r="AB18" i="104"/>
  <c r="E39" i="113"/>
  <c r="J39" i="113" s="1"/>
  <c r="D19" i="100"/>
  <c r="Z31" i="104"/>
  <c r="Z35" i="104"/>
  <c r="Z39" i="104"/>
  <c r="Y10" i="92"/>
  <c r="AF10" i="92" s="1"/>
  <c r="Y14" i="92"/>
  <c r="AF14" i="92" s="1"/>
  <c r="H119" i="1"/>
  <c r="L152" i="1"/>
  <c r="K152" i="1"/>
  <c r="G36" i="7"/>
  <c r="G104" i="7"/>
  <c r="O113" i="1"/>
  <c r="P113" i="1" s="1"/>
  <c r="O286" i="1"/>
  <c r="P286" i="1" s="1"/>
  <c r="E42" i="100"/>
  <c r="E43" i="100" s="1"/>
  <c r="I42" i="100"/>
  <c r="I43" i="100" s="1"/>
  <c r="M42" i="100"/>
  <c r="M43" i="100" s="1"/>
  <c r="Q42" i="100"/>
  <c r="Q43" i="100" s="1"/>
  <c r="U42" i="100"/>
  <c r="U43" i="100" s="1"/>
  <c r="Y32" i="100"/>
  <c r="G42" i="100"/>
  <c r="G43" i="100" s="1"/>
  <c r="W42" i="100"/>
  <c r="W43" i="100" s="1"/>
  <c r="Y36" i="100"/>
  <c r="Y40" i="100"/>
  <c r="L10" i="113"/>
  <c r="L22" i="113" s="1"/>
  <c r="F11" i="100"/>
  <c r="F19" i="100"/>
  <c r="O19" i="100"/>
  <c r="G43" i="113"/>
  <c r="S10" i="101"/>
  <c r="M11" i="100"/>
  <c r="S15" i="101"/>
  <c r="S16" i="101"/>
  <c r="I16" i="100"/>
  <c r="M16" i="100"/>
  <c r="S18" i="101"/>
  <c r="E19" i="100"/>
  <c r="M19" i="100"/>
  <c r="Q22" i="102"/>
  <c r="J42" i="102"/>
  <c r="C10" i="93"/>
  <c r="H171" i="1" s="1"/>
  <c r="C16" i="93"/>
  <c r="H180" i="1" s="1"/>
  <c r="O180" i="1" s="1"/>
  <c r="C23" i="93"/>
  <c r="H190" i="1" s="1"/>
  <c r="K84" i="1"/>
  <c r="K183" i="1"/>
  <c r="L183" i="1" s="1"/>
  <c r="E11" i="73"/>
  <c r="E42" i="105"/>
  <c r="E9" i="105" s="1"/>
  <c r="H61" i="7"/>
  <c r="H108" i="7"/>
  <c r="G114" i="7"/>
  <c r="H56" i="1" s="1"/>
  <c r="O56" i="1" s="1"/>
  <c r="P56" i="1" s="1"/>
  <c r="H112" i="7"/>
  <c r="L37" i="33"/>
  <c r="S56" i="33" s="1"/>
  <c r="L42" i="33"/>
  <c r="S61" i="33" s="1"/>
  <c r="Z20" i="100"/>
  <c r="F42" i="100"/>
  <c r="F43" i="100" s="1"/>
  <c r="J42" i="100"/>
  <c r="J43" i="100" s="1"/>
  <c r="R42" i="100"/>
  <c r="R43" i="100" s="1"/>
  <c r="V42" i="100"/>
  <c r="V43" i="100" s="1"/>
  <c r="O11" i="100"/>
  <c r="J37" i="101"/>
  <c r="J42" i="101"/>
  <c r="I43" i="102"/>
  <c r="J37" i="102"/>
  <c r="F42" i="104"/>
  <c r="F43" i="104" s="1"/>
  <c r="J42" i="104"/>
  <c r="J43" i="104" s="1"/>
  <c r="R42" i="104"/>
  <c r="R43" i="104" s="1"/>
  <c r="AC42" i="104"/>
  <c r="AC43" i="104" s="1"/>
  <c r="E16" i="79"/>
  <c r="I173" i="7" s="1"/>
  <c r="J173" i="7" s="1"/>
  <c r="C8" i="93"/>
  <c r="H167" i="1" s="1"/>
  <c r="K167" i="1" s="1"/>
  <c r="C21" i="91"/>
  <c r="C27" i="91" s="1"/>
  <c r="H257" i="1" s="1"/>
  <c r="O257" i="1" s="1"/>
  <c r="P257" i="1" s="1"/>
  <c r="E38" i="31"/>
  <c r="Y18" i="92"/>
  <c r="AF18" i="92" s="1"/>
  <c r="Y22" i="92"/>
  <c r="AF22" i="92" s="1"/>
  <c r="Y27" i="92"/>
  <c r="AF27" i="92" s="1"/>
  <c r="Y31" i="92"/>
  <c r="AF31" i="92" s="1"/>
  <c r="Y36" i="92"/>
  <c r="AF36" i="92" s="1"/>
  <c r="Y40" i="92"/>
  <c r="AF40" i="92" s="1"/>
  <c r="Y46" i="92"/>
  <c r="AE46" i="92" s="1"/>
  <c r="Y50" i="92"/>
  <c r="AF50" i="92" s="1"/>
  <c r="C36" i="98"/>
  <c r="H283" i="7"/>
  <c r="H146" i="1" s="1"/>
  <c r="K146" i="1" s="1"/>
  <c r="L146" i="1" s="1"/>
  <c r="H33" i="31"/>
  <c r="H107" i="7"/>
  <c r="I188" i="7"/>
  <c r="H123" i="1" s="1"/>
  <c r="O123" i="1" s="1"/>
  <c r="P123" i="1" s="1"/>
  <c r="W22" i="100"/>
  <c r="W23" i="100" s="1"/>
  <c r="Z19" i="100"/>
  <c r="K16" i="100"/>
  <c r="G13" i="100"/>
  <c r="K13" i="100"/>
  <c r="G21" i="100"/>
  <c r="K21" i="100"/>
  <c r="O21" i="100"/>
  <c r="J34" i="101"/>
  <c r="J36" i="101"/>
  <c r="J39" i="101"/>
  <c r="E22" i="102"/>
  <c r="I22" i="102"/>
  <c r="R11" i="102"/>
  <c r="R15" i="102"/>
  <c r="K22" i="102"/>
  <c r="H43" i="102"/>
  <c r="J32" i="102"/>
  <c r="J34" i="102"/>
  <c r="J38" i="102"/>
  <c r="J40" i="102"/>
  <c r="AB13" i="104"/>
  <c r="J38" i="113"/>
  <c r="Y21" i="100"/>
  <c r="Z21" i="100" s="1"/>
  <c r="Y42" i="104"/>
  <c r="Y43" i="104" s="1"/>
  <c r="C20" i="93"/>
  <c r="H184" i="1" s="1"/>
  <c r="O184" i="1" s="1"/>
  <c r="C26" i="93"/>
  <c r="H193" i="1" s="1"/>
  <c r="O193" i="1" s="1"/>
  <c r="Y9" i="92"/>
  <c r="AF9" i="92" s="1"/>
  <c r="Y13" i="92"/>
  <c r="AF13" i="92" s="1"/>
  <c r="Y17" i="92"/>
  <c r="AF17" i="92" s="1"/>
  <c r="Y21" i="92"/>
  <c r="AF21" i="92" s="1"/>
  <c r="Y25" i="92"/>
  <c r="AE25" i="92" s="1"/>
  <c r="Y30" i="92"/>
  <c r="AF30" i="92" s="1"/>
  <c r="Y34" i="92"/>
  <c r="AF34" i="92" s="1"/>
  <c r="Y39" i="92"/>
  <c r="AF39" i="92" s="1"/>
  <c r="Y45" i="92"/>
  <c r="AE45" i="92" s="1"/>
  <c r="Y49" i="92"/>
  <c r="AF49" i="92" s="1"/>
  <c r="Y54" i="92"/>
  <c r="AE54" i="92" s="1"/>
  <c r="M70" i="92"/>
  <c r="Y59" i="92"/>
  <c r="AE59" i="92" s="1"/>
  <c r="Y69" i="92"/>
  <c r="AE69" i="92" s="1"/>
  <c r="J37" i="98"/>
  <c r="I37" i="98"/>
  <c r="I95" i="97"/>
  <c r="L95" i="97" s="1"/>
  <c r="E18" i="100"/>
  <c r="U21" i="113"/>
  <c r="H21" i="100"/>
  <c r="L21" i="100"/>
  <c r="J37" i="113"/>
  <c r="N11" i="100"/>
  <c r="F14" i="100"/>
  <c r="J14" i="100"/>
  <c r="J15" i="100"/>
  <c r="J19" i="100"/>
  <c r="J38" i="101"/>
  <c r="R10" i="102"/>
  <c r="J22" i="102"/>
  <c r="N22" i="102"/>
  <c r="R14" i="102"/>
  <c r="R18" i="102"/>
  <c r="S22" i="104"/>
  <c r="S23" i="104" s="1"/>
  <c r="H22" i="104"/>
  <c r="H23" i="104" s="1"/>
  <c r="P22" i="104"/>
  <c r="P23" i="104" s="1"/>
  <c r="T22" i="104"/>
  <c r="T23" i="104" s="1"/>
  <c r="U12" i="104"/>
  <c r="M14" i="100"/>
  <c r="U17" i="104"/>
  <c r="K20" i="100"/>
  <c r="Z32" i="104"/>
  <c r="Z40" i="104"/>
  <c r="C6" i="93"/>
  <c r="H165" i="1" s="1"/>
  <c r="O165" i="1" s="1"/>
  <c r="P165" i="1" s="1"/>
  <c r="C14" i="93"/>
  <c r="H175" i="1" s="1"/>
  <c r="C22" i="93"/>
  <c r="H189" i="1" s="1"/>
  <c r="O189" i="1" s="1"/>
  <c r="C30" i="93"/>
  <c r="H202" i="1" s="1"/>
  <c r="Y8" i="92"/>
  <c r="AF8" i="92" s="1"/>
  <c r="Y12" i="92"/>
  <c r="AF12" i="92" s="1"/>
  <c r="Y16" i="92"/>
  <c r="AF16" i="92" s="1"/>
  <c r="Y20" i="92"/>
  <c r="AF20" i="92" s="1"/>
  <c r="Y24" i="92"/>
  <c r="AE24" i="92" s="1"/>
  <c r="Y29" i="92"/>
  <c r="AF29" i="92" s="1"/>
  <c r="Y33" i="92"/>
  <c r="AF33" i="92" s="1"/>
  <c r="Y38" i="92"/>
  <c r="AF38" i="92" s="1"/>
  <c r="Y44" i="92"/>
  <c r="AE44" i="92" s="1"/>
  <c r="Y48" i="92"/>
  <c r="AE48" i="92" s="1"/>
  <c r="Y53" i="92"/>
  <c r="AE53" i="92" s="1"/>
  <c r="Y63" i="92"/>
  <c r="AE63" i="92" s="1"/>
  <c r="Y68" i="92"/>
  <c r="AE68" i="92" s="1"/>
  <c r="L25" i="98"/>
  <c r="C25" i="98" s="1"/>
  <c r="L28" i="98"/>
  <c r="C28" i="98" s="1"/>
  <c r="S22" i="113"/>
  <c r="M10" i="100"/>
  <c r="I43" i="113"/>
  <c r="Y10" i="100"/>
  <c r="R22" i="101"/>
  <c r="H16" i="1"/>
  <c r="H18" i="1" s="1"/>
  <c r="K201" i="1"/>
  <c r="L201" i="1" s="1"/>
  <c r="K257" i="1"/>
  <c r="L257" i="1" s="1"/>
  <c r="C42" i="100"/>
  <c r="C43" i="100" s="1"/>
  <c r="S19" i="101"/>
  <c r="O15" i="1"/>
  <c r="P15" i="1" s="1"/>
  <c r="K134" i="1"/>
  <c r="O152" i="1"/>
  <c r="K168" i="1"/>
  <c r="K286" i="1"/>
  <c r="L286" i="1" s="1"/>
  <c r="G109" i="7"/>
  <c r="H24" i="1" s="1"/>
  <c r="K24" i="1" s="1"/>
  <c r="L24" i="1" s="1"/>
  <c r="G130" i="7"/>
  <c r="Q22" i="100"/>
  <c r="Q23" i="100" s="1"/>
  <c r="V22" i="100"/>
  <c r="V23" i="100" s="1"/>
  <c r="K42" i="100"/>
  <c r="K43" i="100" s="1"/>
  <c r="F15" i="100"/>
  <c r="F43" i="101"/>
  <c r="J31" i="101"/>
  <c r="F43" i="102"/>
  <c r="J31" i="102"/>
  <c r="G22" i="104"/>
  <c r="G23" i="104" s="1"/>
  <c r="G10" i="113"/>
  <c r="K10" i="113"/>
  <c r="K22" i="113" s="1"/>
  <c r="K22" i="104"/>
  <c r="K23" i="104" s="1"/>
  <c r="O22" i="104"/>
  <c r="O23" i="104" s="1"/>
  <c r="O10" i="113"/>
  <c r="U14" i="104"/>
  <c r="G14" i="113"/>
  <c r="E14" i="100" s="1"/>
  <c r="H42" i="104"/>
  <c r="H43" i="104" s="1"/>
  <c r="L42" i="104"/>
  <c r="L43" i="104" s="1"/>
  <c r="P42" i="104"/>
  <c r="P43" i="104" s="1"/>
  <c r="T42" i="104"/>
  <c r="T43" i="104" s="1"/>
  <c r="X42" i="104"/>
  <c r="X43" i="104" s="1"/>
  <c r="O12" i="1"/>
  <c r="P12" i="1" s="1"/>
  <c r="O14" i="1"/>
  <c r="P14" i="1" s="1"/>
  <c r="O174" i="1"/>
  <c r="P174" i="1" s="1"/>
  <c r="Y30" i="100"/>
  <c r="P84" i="1"/>
  <c r="O111" i="1"/>
  <c r="P111" i="1" s="1"/>
  <c r="K113" i="1"/>
  <c r="L113" i="1" s="1"/>
  <c r="O117" i="1"/>
  <c r="P117" i="1" s="1"/>
  <c r="H135" i="1"/>
  <c r="L173" i="1"/>
  <c r="C22" i="100"/>
  <c r="C23" i="100" s="1"/>
  <c r="D12" i="100"/>
  <c r="Q70" i="92"/>
  <c r="K180" i="1"/>
  <c r="K192" i="1"/>
  <c r="L284" i="1"/>
  <c r="G62" i="7"/>
  <c r="G88" i="7"/>
  <c r="H54" i="1" s="1"/>
  <c r="K54" i="1" s="1"/>
  <c r="L54" i="1" s="1"/>
  <c r="H91" i="7"/>
  <c r="J226" i="7"/>
  <c r="H42" i="100"/>
  <c r="H43" i="100" s="1"/>
  <c r="O42" i="100"/>
  <c r="O43" i="100" s="1"/>
  <c r="S42" i="100"/>
  <c r="S43" i="100" s="1"/>
  <c r="N15" i="100"/>
  <c r="I19" i="100"/>
  <c r="M22" i="113"/>
  <c r="E11" i="100"/>
  <c r="G22" i="101"/>
  <c r="K22" i="101"/>
  <c r="I11" i="100"/>
  <c r="S11" i="101"/>
  <c r="S12" i="101"/>
  <c r="F22" i="101"/>
  <c r="N22" i="101"/>
  <c r="O22" i="101"/>
  <c r="G43" i="101"/>
  <c r="AB11" i="104"/>
  <c r="E32" i="113"/>
  <c r="J32" i="113" s="1"/>
  <c r="E22" i="104"/>
  <c r="E23" i="104" s="1"/>
  <c r="E19" i="113"/>
  <c r="U19" i="104"/>
  <c r="E20" i="113"/>
  <c r="U20" i="113"/>
  <c r="G20" i="100"/>
  <c r="U20" i="104"/>
  <c r="AB21" i="104"/>
  <c r="E42" i="113"/>
  <c r="J42" i="113" s="1"/>
  <c r="G20" i="7"/>
  <c r="H38" i="1" s="1"/>
  <c r="H256" i="1" s="1"/>
  <c r="O256" i="1" s="1"/>
  <c r="P256" i="1" s="1"/>
  <c r="D42" i="100"/>
  <c r="D43" i="100" s="1"/>
  <c r="P42" i="100"/>
  <c r="P43" i="100" s="1"/>
  <c r="T42" i="100"/>
  <c r="T43" i="100" s="1"/>
  <c r="Y38" i="100"/>
  <c r="H22" i="113"/>
  <c r="T22" i="113"/>
  <c r="U17" i="113"/>
  <c r="D17" i="100"/>
  <c r="H17" i="100"/>
  <c r="L17" i="100"/>
  <c r="H43" i="113"/>
  <c r="J41" i="113"/>
  <c r="J32" i="101"/>
  <c r="J40" i="101"/>
  <c r="G43" i="102"/>
  <c r="J36" i="102"/>
  <c r="F22" i="104"/>
  <c r="U10" i="104"/>
  <c r="F10" i="113"/>
  <c r="J22" i="104"/>
  <c r="J23" i="104" s="1"/>
  <c r="J10" i="113"/>
  <c r="N22" i="104"/>
  <c r="N23" i="104" s="1"/>
  <c r="N10" i="113"/>
  <c r="R22" i="104"/>
  <c r="R23" i="104" s="1"/>
  <c r="R10" i="113"/>
  <c r="F31" i="113"/>
  <c r="F43" i="113" s="1"/>
  <c r="X22" i="104"/>
  <c r="X23" i="104" s="1"/>
  <c r="AB10" i="104"/>
  <c r="F11" i="113"/>
  <c r="U11" i="104"/>
  <c r="U19" i="113"/>
  <c r="D51" i="106"/>
  <c r="D56" i="106"/>
  <c r="K70" i="92"/>
  <c r="D21" i="100"/>
  <c r="Y31" i="100"/>
  <c r="Y33" i="100"/>
  <c r="Y35" i="100"/>
  <c r="Y37" i="100"/>
  <c r="Y39" i="100"/>
  <c r="Y41" i="100"/>
  <c r="U13" i="113"/>
  <c r="E36" i="113"/>
  <c r="J36" i="113" s="1"/>
  <c r="E22" i="101"/>
  <c r="I22" i="101"/>
  <c r="M22" i="101"/>
  <c r="Q22" i="101"/>
  <c r="S14" i="101"/>
  <c r="R19" i="102"/>
  <c r="O22" i="102"/>
  <c r="M22" i="104"/>
  <c r="M23" i="104" s="1"/>
  <c r="W22" i="104"/>
  <c r="W23" i="104" s="1"/>
  <c r="AA22" i="104"/>
  <c r="AA23" i="104" s="1"/>
  <c r="AB14" i="104"/>
  <c r="AB34" i="104" s="1"/>
  <c r="AD34" i="104" s="1"/>
  <c r="U15" i="104"/>
  <c r="AB35" i="104" s="1"/>
  <c r="AD35" i="104" s="1"/>
  <c r="AF35" i="104" s="1"/>
  <c r="F15" i="113"/>
  <c r="U16" i="104"/>
  <c r="G16" i="113"/>
  <c r="E16" i="100" s="1"/>
  <c r="Y22" i="104"/>
  <c r="Y23" i="104" s="1"/>
  <c r="Z30" i="104"/>
  <c r="I42" i="104"/>
  <c r="I43" i="104" s="1"/>
  <c r="Q42" i="104"/>
  <c r="Q43" i="104" s="1"/>
  <c r="Z36" i="104"/>
  <c r="R70" i="92"/>
  <c r="P22" i="113"/>
  <c r="J33" i="113"/>
  <c r="J35" i="113"/>
  <c r="J40" i="113"/>
  <c r="H22" i="101"/>
  <c r="L22" i="101"/>
  <c r="P22" i="101"/>
  <c r="S13" i="101"/>
  <c r="S21" i="101"/>
  <c r="AB16" i="104"/>
  <c r="AB17" i="104"/>
  <c r="U18" i="104"/>
  <c r="F18" i="113"/>
  <c r="AB19" i="104"/>
  <c r="Z34" i="104"/>
  <c r="Z38" i="104"/>
  <c r="O70" i="92"/>
  <c r="S70" i="92"/>
  <c r="W70" i="92"/>
  <c r="U70" i="92"/>
  <c r="H22" i="102"/>
  <c r="L22" i="102"/>
  <c r="P22" i="102"/>
  <c r="R21" i="102"/>
  <c r="I22" i="104"/>
  <c r="I23" i="104" s="1"/>
  <c r="Z22" i="104"/>
  <c r="Z23" i="104" s="1"/>
  <c r="L27" i="98"/>
  <c r="C27" i="98" s="1"/>
  <c r="J105" i="97"/>
  <c r="AB12" i="104"/>
  <c r="AB32" i="104" s="1"/>
  <c r="AD32" i="104" s="1"/>
  <c r="AF32" i="104" s="1"/>
  <c r="AB20" i="104"/>
  <c r="Z33" i="104"/>
  <c r="Z37" i="104"/>
  <c r="Z41" i="104"/>
  <c r="N70" i="92"/>
  <c r="V70" i="92"/>
  <c r="I106" i="97"/>
  <c r="I105" i="97"/>
  <c r="J106" i="97" s="1"/>
  <c r="I104" i="97"/>
  <c r="I103" i="97"/>
  <c r="J104" i="97" s="1"/>
  <c r="I101" i="97"/>
  <c r="J102" i="97" s="1"/>
  <c r="I100" i="97"/>
  <c r="J101" i="97" s="1"/>
  <c r="I99" i="97"/>
  <c r="J100" i="97" s="1"/>
  <c r="I97" i="97"/>
  <c r="J98" i="97" s="1"/>
  <c r="I96" i="97"/>
  <c r="J96" i="97"/>
  <c r="E46" i="31"/>
  <c r="Y55" i="92"/>
  <c r="AE55" i="92" s="1"/>
  <c r="Y62" i="92"/>
  <c r="AF62" i="92" s="1"/>
  <c r="Y66" i="92"/>
  <c r="AE66" i="92" s="1"/>
  <c r="U13" i="104"/>
  <c r="U21" i="104"/>
  <c r="E42" i="104"/>
  <c r="E43" i="104" s="1"/>
  <c r="U42" i="104"/>
  <c r="U43" i="104" s="1"/>
  <c r="D16" i="79"/>
  <c r="I172" i="7" s="1"/>
  <c r="Y58" i="92"/>
  <c r="AE58" i="92" s="1"/>
  <c r="Y60" i="92"/>
  <c r="AE60" i="92" s="1"/>
  <c r="Y65" i="92"/>
  <c r="AE65" i="92" s="1"/>
  <c r="D54" i="90"/>
  <c r="L26" i="98"/>
  <c r="C26" i="98" s="1"/>
  <c r="L35" i="98"/>
  <c r="C35" i="98" s="1"/>
  <c r="E37" i="98"/>
  <c r="D55" i="106"/>
  <c r="D46" i="106"/>
  <c r="Y57" i="92"/>
  <c r="AE57" i="92" s="1"/>
  <c r="L30" i="98"/>
  <c r="C30" i="98" s="1"/>
  <c r="I98" i="97"/>
  <c r="I102" i="97"/>
  <c r="L32" i="33"/>
  <c r="S51" i="33" s="1"/>
  <c r="H44" i="33"/>
  <c r="L36" i="33"/>
  <c r="S55" i="33" s="1"/>
  <c r="L41" i="33"/>
  <c r="Q41" i="33" s="1"/>
  <c r="S41" i="33" s="1"/>
  <c r="AC70" i="92"/>
  <c r="AC74" i="92" s="1"/>
  <c r="E44" i="33"/>
  <c r="I44" i="33"/>
  <c r="L34" i="33"/>
  <c r="S53" i="33" s="1"/>
  <c r="L40" i="33"/>
  <c r="S59" i="33" s="1"/>
  <c r="AD70" i="92"/>
  <c r="F44" i="33"/>
  <c r="J44" i="33"/>
  <c r="L33" i="33"/>
  <c r="S52" i="33" s="1"/>
  <c r="L38" i="33"/>
  <c r="S57" i="33" s="1"/>
  <c r="K7" i="1"/>
  <c r="O72" i="1"/>
  <c r="L35" i="33"/>
  <c r="L39" i="33"/>
  <c r="L43" i="33"/>
  <c r="C32" i="33"/>
  <c r="C41" i="33"/>
  <c r="P41" i="33" s="1"/>
  <c r="R41" i="33" s="1"/>
  <c r="D44" i="33"/>
  <c r="C42" i="33"/>
  <c r="P42" i="33" s="1"/>
  <c r="R42" i="33" s="1"/>
  <c r="H48" i="31"/>
  <c r="H70" i="31"/>
  <c r="H72" i="31"/>
  <c r="H21" i="31"/>
  <c r="H64" i="31"/>
  <c r="H49" i="31"/>
  <c r="H18" i="31"/>
  <c r="H46" i="31"/>
  <c r="H62" i="31"/>
  <c r="H38" i="31"/>
  <c r="H63" i="31"/>
  <c r="H77" i="31"/>
  <c r="H66" i="31"/>
  <c r="C36" i="26" l="1"/>
  <c r="B34" i="26"/>
  <c r="A23" i="1"/>
  <c r="A68" i="7"/>
  <c r="K179" i="1"/>
  <c r="L179" i="1" s="1"/>
  <c r="H131" i="1"/>
  <c r="AB40" i="104"/>
  <c r="AD40" i="104" s="1"/>
  <c r="AF40" i="104" s="1"/>
  <c r="AB39" i="104"/>
  <c r="AD39" i="104" s="1"/>
  <c r="AF39" i="104" s="1"/>
  <c r="O188" i="1"/>
  <c r="P188" i="1" s="1"/>
  <c r="Q22" i="113"/>
  <c r="K182" i="1"/>
  <c r="L182" i="1" s="1"/>
  <c r="K102" i="1"/>
  <c r="L102" i="1" s="1"/>
  <c r="Q37" i="33"/>
  <c r="S37" i="33" s="1"/>
  <c r="K129" i="1"/>
  <c r="L129" i="1" s="1"/>
  <c r="K196" i="1"/>
  <c r="L196" i="1" s="1"/>
  <c r="K122" i="1"/>
  <c r="L122" i="1" s="1"/>
  <c r="O173" i="1"/>
  <c r="P173" i="1" s="1"/>
  <c r="K199" i="1"/>
  <c r="L199" i="1" s="1"/>
  <c r="H194" i="1"/>
  <c r="K194" i="1" s="1"/>
  <c r="L194" i="1" s="1"/>
  <c r="O167" i="1"/>
  <c r="K166" i="1"/>
  <c r="G22" i="100"/>
  <c r="G23" i="100" s="1"/>
  <c r="D57" i="106"/>
  <c r="E17" i="105" s="1"/>
  <c r="E20" i="105" s="1"/>
  <c r="F13" i="54" s="1"/>
  <c r="K193" i="1"/>
  <c r="AB36" i="104"/>
  <c r="AD36" i="104" s="1"/>
  <c r="AF36" i="104" s="1"/>
  <c r="AF34" i="104"/>
  <c r="AB31" i="104"/>
  <c r="AD31" i="104" s="1"/>
  <c r="AF31" i="104" s="1"/>
  <c r="AB30" i="104"/>
  <c r="AD30" i="104" s="1"/>
  <c r="K189" i="1"/>
  <c r="P22" i="100"/>
  <c r="P23" i="100" s="1"/>
  <c r="K172" i="1"/>
  <c r="L172" i="1" s="1"/>
  <c r="E12" i="73"/>
  <c r="E15" i="73" s="1"/>
  <c r="K42" i="1"/>
  <c r="L42" i="1" s="1"/>
  <c r="Q42" i="33"/>
  <c r="S42" i="33" s="1"/>
  <c r="Q40" i="33"/>
  <c r="S40" i="33" s="1"/>
  <c r="K133" i="1"/>
  <c r="L133" i="1" s="1"/>
  <c r="O146" i="1"/>
  <c r="P146" i="1" s="1"/>
  <c r="O43" i="1"/>
  <c r="P43" i="1" s="1"/>
  <c r="B23" i="7"/>
  <c r="O147" i="1"/>
  <c r="P147" i="1" s="1"/>
  <c r="O130" i="1"/>
  <c r="K93" i="1"/>
  <c r="L93" i="1" s="1"/>
  <c r="K56" i="1"/>
  <c r="L56" i="1" s="1"/>
  <c r="O112" i="1"/>
  <c r="P112" i="1" s="1"/>
  <c r="K131" i="1"/>
  <c r="L131" i="1" s="1"/>
  <c r="O131" i="1"/>
  <c r="P131" i="1" s="1"/>
  <c r="F40" i="7"/>
  <c r="F44" i="7"/>
  <c r="H57" i="1"/>
  <c r="H58" i="1" s="1"/>
  <c r="O58" i="1" s="1"/>
  <c r="P58" i="1" s="1"/>
  <c r="K123" i="1"/>
  <c r="L123" i="1" s="1"/>
  <c r="K130" i="1"/>
  <c r="I36" i="6"/>
  <c r="H230" i="1"/>
  <c r="H148" i="1"/>
  <c r="K148" i="1" s="1"/>
  <c r="L148" i="1" s="1"/>
  <c r="S16" i="100"/>
  <c r="AA36" i="100" s="1"/>
  <c r="AB36" i="100" s="1"/>
  <c r="AD36" i="100" s="1"/>
  <c r="AF36" i="100" s="1"/>
  <c r="K87" i="1"/>
  <c r="E43" i="113"/>
  <c r="AB38" i="104"/>
  <c r="AD38" i="104" s="1"/>
  <c r="AF38" i="104" s="1"/>
  <c r="N22" i="100"/>
  <c r="N23" i="100" s="1"/>
  <c r="K184" i="1"/>
  <c r="H185" i="1"/>
  <c r="K185" i="1" s="1"/>
  <c r="L185" i="1" s="1"/>
  <c r="M22" i="100"/>
  <c r="M23" i="100" s="1"/>
  <c r="K38" i="1"/>
  <c r="L38" i="1" s="1"/>
  <c r="AB33" i="104"/>
  <c r="AD33" i="104" s="1"/>
  <c r="AF33" i="104" s="1"/>
  <c r="E22" i="113"/>
  <c r="U14" i="113"/>
  <c r="H44" i="1"/>
  <c r="AF70" i="92"/>
  <c r="AF74" i="92" s="1"/>
  <c r="K22" i="100"/>
  <c r="K23" i="100" s="1"/>
  <c r="S13" i="100"/>
  <c r="AA33" i="100" s="1"/>
  <c r="AB33" i="100" s="1"/>
  <c r="AD33" i="100" s="1"/>
  <c r="AF33" i="100" s="1"/>
  <c r="H114" i="1"/>
  <c r="Q38" i="33"/>
  <c r="S38" i="33" s="1"/>
  <c r="S60" i="33"/>
  <c r="Q33" i="33"/>
  <c r="S33" i="33" s="1"/>
  <c r="Q32" i="33"/>
  <c r="S32" i="33" s="1"/>
  <c r="O171" i="1"/>
  <c r="P171" i="1" s="1"/>
  <c r="K171" i="1"/>
  <c r="L171" i="1" s="1"/>
  <c r="G132" i="7"/>
  <c r="H23" i="1" s="1"/>
  <c r="H25" i="1" s="1"/>
  <c r="O54" i="1"/>
  <c r="P54" i="1" s="1"/>
  <c r="I174" i="7"/>
  <c r="H48" i="1" s="1"/>
  <c r="K48" i="1" s="1"/>
  <c r="L48" i="1" s="1"/>
  <c r="AB37" i="104"/>
  <c r="AD37" i="104" s="1"/>
  <c r="AF37" i="104" s="1"/>
  <c r="J31" i="113"/>
  <c r="J43" i="113" s="1"/>
  <c r="G68" i="7"/>
  <c r="K111" i="1"/>
  <c r="L111" i="1" s="1"/>
  <c r="S12" i="100"/>
  <c r="AA32" i="100" s="1"/>
  <c r="AB32" i="100" s="1"/>
  <c r="AD32" i="100" s="1"/>
  <c r="AF32" i="100" s="1"/>
  <c r="S14" i="100"/>
  <c r="AA34" i="100" s="1"/>
  <c r="AB34" i="100" s="1"/>
  <c r="AD34" i="100" s="1"/>
  <c r="AF34" i="100" s="1"/>
  <c r="U16" i="113"/>
  <c r="O202" i="1"/>
  <c r="P202" i="1" s="1"/>
  <c r="K202" i="1"/>
  <c r="L202" i="1" s="1"/>
  <c r="H258" i="1"/>
  <c r="H259" i="1" s="1"/>
  <c r="O24" i="1"/>
  <c r="P24" i="1" s="1"/>
  <c r="R22" i="102"/>
  <c r="S21" i="100"/>
  <c r="AA41" i="100" s="1"/>
  <c r="AB41" i="100" s="1"/>
  <c r="AD41" i="100" s="1"/>
  <c r="AF41" i="100" s="1"/>
  <c r="S20" i="100"/>
  <c r="AA40" i="100" s="1"/>
  <c r="AB40" i="100" s="1"/>
  <c r="AD40" i="100" s="1"/>
  <c r="AF40" i="100" s="1"/>
  <c r="J172" i="7"/>
  <c r="F22" i="100"/>
  <c r="F23" i="100" s="1"/>
  <c r="Y22" i="100"/>
  <c r="Y23" i="100" s="1"/>
  <c r="O190" i="1"/>
  <c r="K190" i="1"/>
  <c r="O119" i="1"/>
  <c r="P119" i="1" s="1"/>
  <c r="K119" i="1"/>
  <c r="L119" i="1" s="1"/>
  <c r="K165" i="1"/>
  <c r="L165" i="1" s="1"/>
  <c r="K90" i="1"/>
  <c r="L90" i="1" s="1"/>
  <c r="AE70" i="92"/>
  <c r="C37" i="98"/>
  <c r="Z10" i="100"/>
  <c r="Z22" i="100" s="1"/>
  <c r="Z23" i="100" s="1"/>
  <c r="S19" i="100"/>
  <c r="AA39" i="100" s="1"/>
  <c r="AB39" i="100" s="1"/>
  <c r="AD39" i="100" s="1"/>
  <c r="AF39" i="100" s="1"/>
  <c r="G134" i="7"/>
  <c r="H169" i="1"/>
  <c r="O169" i="1" s="1"/>
  <c r="P169" i="1" s="1"/>
  <c r="O175" i="1"/>
  <c r="K175" i="1"/>
  <c r="O144" i="1"/>
  <c r="P144" i="1" s="1"/>
  <c r="K144" i="1"/>
  <c r="L144" i="1" s="1"/>
  <c r="J103" i="97"/>
  <c r="J107" i="97"/>
  <c r="I107" i="97"/>
  <c r="Z42" i="104"/>
  <c r="Z43" i="104" s="1"/>
  <c r="U15" i="113"/>
  <c r="D15" i="100"/>
  <c r="S15" i="100" s="1"/>
  <c r="AA35" i="100" s="1"/>
  <c r="AB35" i="100" s="1"/>
  <c r="AD35" i="100" s="1"/>
  <c r="AF35" i="100" s="1"/>
  <c r="AB22" i="104"/>
  <c r="AB23" i="104" s="1"/>
  <c r="O194" i="1"/>
  <c r="P194" i="1" s="1"/>
  <c r="Y42" i="100"/>
  <c r="Y43" i="100" s="1"/>
  <c r="L37" i="98"/>
  <c r="N22" i="113"/>
  <c r="J10" i="100"/>
  <c r="J22" i="100" s="1"/>
  <c r="J23" i="100" s="1"/>
  <c r="U10" i="113"/>
  <c r="F22" i="113"/>
  <c r="D10" i="100"/>
  <c r="I22" i="100"/>
  <c r="I23" i="100" s="1"/>
  <c r="L56" i="115"/>
  <c r="L57" i="115" s="1"/>
  <c r="I15" i="116"/>
  <c r="I16" i="116" s="1"/>
  <c r="AE73" i="92"/>
  <c r="I15" i="114"/>
  <c r="I16" i="114" s="1"/>
  <c r="I18" i="116" s="1"/>
  <c r="H88" i="1"/>
  <c r="H59" i="1"/>
  <c r="H45" i="1"/>
  <c r="H91" i="1"/>
  <c r="H92" i="1" s="1"/>
  <c r="E35" i="105"/>
  <c r="E36" i="105" s="1"/>
  <c r="E11" i="105" s="1"/>
  <c r="E12" i="105" s="1"/>
  <c r="E19" i="76"/>
  <c r="F19" i="76" s="1"/>
  <c r="H125" i="1"/>
  <c r="K18" i="1"/>
  <c r="L18" i="1" s="1"/>
  <c r="H149" i="1"/>
  <c r="O18" i="1"/>
  <c r="P18" i="1" s="1"/>
  <c r="O22" i="113"/>
  <c r="O10" i="100"/>
  <c r="O22" i="100" s="1"/>
  <c r="O23" i="100" s="1"/>
  <c r="Q34" i="33"/>
  <c r="S34" i="33" s="1"/>
  <c r="Y70" i="92"/>
  <c r="H212" i="1"/>
  <c r="S22" i="101"/>
  <c r="K135" i="1"/>
  <c r="L135" i="1" s="1"/>
  <c r="O135" i="1"/>
  <c r="P135" i="1" s="1"/>
  <c r="J99" i="97"/>
  <c r="S17" i="100"/>
  <c r="AA37" i="100" s="1"/>
  <c r="AB37" i="100" s="1"/>
  <c r="AD37" i="100" s="1"/>
  <c r="AF37" i="100" s="1"/>
  <c r="G22" i="113"/>
  <c r="E10" i="100"/>
  <c r="E22" i="100" s="1"/>
  <c r="E23" i="100" s="1"/>
  <c r="K256" i="1"/>
  <c r="L256" i="1" s="1"/>
  <c r="O38" i="1"/>
  <c r="P38" i="1" s="1"/>
  <c r="AB41" i="104"/>
  <c r="AD41" i="104" s="1"/>
  <c r="AF41" i="104" s="1"/>
  <c r="J43" i="101"/>
  <c r="I191" i="7"/>
  <c r="I192" i="7"/>
  <c r="K96" i="97"/>
  <c r="L96" i="97" s="1"/>
  <c r="J97" i="97"/>
  <c r="K97" i="97" s="1"/>
  <c r="K98" i="97" s="1"/>
  <c r="L98" i="97" s="1"/>
  <c r="U18" i="113"/>
  <c r="D18" i="100"/>
  <c r="S18" i="100" s="1"/>
  <c r="AA38" i="100" s="1"/>
  <c r="AB38" i="100" s="1"/>
  <c r="AD38" i="100" s="1"/>
  <c r="AF38" i="100" s="1"/>
  <c r="D11" i="100"/>
  <c r="S11" i="100" s="1"/>
  <c r="AA31" i="100" s="1"/>
  <c r="AB31" i="100" s="1"/>
  <c r="AD31" i="100" s="1"/>
  <c r="AF31" i="100" s="1"/>
  <c r="U11" i="113"/>
  <c r="L10" i="100"/>
  <c r="L22" i="100" s="1"/>
  <c r="L23" i="100" s="1"/>
  <c r="R22" i="113"/>
  <c r="H10" i="100"/>
  <c r="H22" i="100" s="1"/>
  <c r="H23" i="100" s="1"/>
  <c r="J22" i="113"/>
  <c r="U22" i="104"/>
  <c r="U23" i="104" s="1"/>
  <c r="F23" i="104"/>
  <c r="J43" i="102"/>
  <c r="H129" i="7"/>
  <c r="O185" i="1"/>
  <c r="P185" i="1" s="1"/>
  <c r="O16" i="1"/>
  <c r="P16" i="1" s="1"/>
  <c r="K16" i="1"/>
  <c r="L16" i="1" s="1"/>
  <c r="Q36" i="33"/>
  <c r="S36" i="33" s="1"/>
  <c r="P32" i="33"/>
  <c r="C44" i="33"/>
  <c r="Q35" i="33"/>
  <c r="S35" i="33" s="1"/>
  <c r="S54" i="33"/>
  <c r="S62" i="33"/>
  <c r="Q43" i="33"/>
  <c r="S43" i="33" s="1"/>
  <c r="Q39" i="33"/>
  <c r="S39" i="33" s="1"/>
  <c r="S58" i="33"/>
  <c r="L44" i="33"/>
  <c r="H31" i="31"/>
  <c r="H200" i="1" l="1"/>
  <c r="A132" i="7"/>
  <c r="A24" i="1"/>
  <c r="F25" i="1"/>
  <c r="B36" i="26"/>
  <c r="C38" i="26"/>
  <c r="K169" i="1"/>
  <c r="L169" i="1" s="1"/>
  <c r="H176" i="1"/>
  <c r="K176" i="1" s="1"/>
  <c r="L176" i="1" s="1"/>
  <c r="H46" i="1"/>
  <c r="K46" i="1" s="1"/>
  <c r="L46" i="1" s="1"/>
  <c r="H21" i="1"/>
  <c r="K21" i="1" s="1"/>
  <c r="L21" i="1" s="1"/>
  <c r="O48" i="1"/>
  <c r="P48" i="1" s="1"/>
  <c r="B24" i="7"/>
  <c r="B25" i="7" s="1"/>
  <c r="B26" i="7" s="1"/>
  <c r="B27" i="7" s="1"/>
  <c r="B28" i="7" s="1"/>
  <c r="B29" i="7" s="1"/>
  <c r="B30" i="7" s="1"/>
  <c r="B31" i="7" s="1"/>
  <c r="B32" i="7" s="1"/>
  <c r="B33" i="7" s="1"/>
  <c r="B34" i="7" s="1"/>
  <c r="B35" i="7" s="1"/>
  <c r="B36" i="7" s="1"/>
  <c r="O57" i="1"/>
  <c r="P57" i="1" s="1"/>
  <c r="K58" i="1"/>
  <c r="L58" i="1" s="1"/>
  <c r="K57" i="1"/>
  <c r="L57" i="1" s="1"/>
  <c r="O148" i="1"/>
  <c r="P148" i="1" s="1"/>
  <c r="H60" i="1"/>
  <c r="H62" i="1" s="1"/>
  <c r="O23" i="1"/>
  <c r="P23" i="1" s="1"/>
  <c r="O44" i="1"/>
  <c r="P44" i="1" s="1"/>
  <c r="H150" i="1"/>
  <c r="K150" i="1" s="1"/>
  <c r="L150" i="1" s="1"/>
  <c r="O258" i="1"/>
  <c r="P258" i="1" s="1"/>
  <c r="K44" i="1"/>
  <c r="L44" i="1" s="1"/>
  <c r="I38" i="6"/>
  <c r="I37" i="6"/>
  <c r="F49" i="7"/>
  <c r="F45" i="7"/>
  <c r="K114" i="1"/>
  <c r="L114" i="1" s="1"/>
  <c r="O114" i="1"/>
  <c r="P114" i="1" s="1"/>
  <c r="O120" i="1"/>
  <c r="P120" i="1" s="1"/>
  <c r="K120" i="1"/>
  <c r="L120" i="1" s="1"/>
  <c r="K258" i="1"/>
  <c r="L258" i="1" s="1"/>
  <c r="K23" i="1"/>
  <c r="L23" i="1" s="1"/>
  <c r="AE74" i="92"/>
  <c r="I108" i="97"/>
  <c r="J108" i="97"/>
  <c r="AF30" i="104"/>
  <c r="AF42" i="104" s="1"/>
  <c r="AF43" i="104" s="1"/>
  <c r="AD42" i="104"/>
  <c r="AD43" i="104" s="1"/>
  <c r="I20" i="6"/>
  <c r="O212" i="1"/>
  <c r="K212" i="1"/>
  <c r="D22" i="100"/>
  <c r="S10" i="100"/>
  <c r="AA30" i="100" s="1"/>
  <c r="AB42" i="104"/>
  <c r="AB43" i="104" s="1"/>
  <c r="I42" i="26"/>
  <c r="I43" i="26" s="1"/>
  <c r="K99" i="97"/>
  <c r="F12" i="54"/>
  <c r="F14" i="54" s="1"/>
  <c r="E22" i="105"/>
  <c r="H264" i="1" s="1"/>
  <c r="K88" i="1"/>
  <c r="L88" i="1" s="1"/>
  <c r="O88" i="1"/>
  <c r="P88" i="1" s="1"/>
  <c r="H89" i="1"/>
  <c r="O92" i="1"/>
  <c r="P92" i="1" s="1"/>
  <c r="K92" i="1"/>
  <c r="L92" i="1" s="1"/>
  <c r="L97" i="97"/>
  <c r="I193" i="7"/>
  <c r="H118" i="1" s="1"/>
  <c r="U22" i="113"/>
  <c r="O200" i="1"/>
  <c r="P200" i="1" s="1"/>
  <c r="H203" i="1"/>
  <c r="K200" i="1"/>
  <c r="L200" i="1" s="1"/>
  <c r="S63" i="33"/>
  <c r="K27" i="26" s="1"/>
  <c r="L70" i="26" s="1"/>
  <c r="Q44" i="33"/>
  <c r="S44" i="33"/>
  <c r="O60" i="1"/>
  <c r="P60" i="1" s="1"/>
  <c r="K25" i="1"/>
  <c r="L25" i="1" s="1"/>
  <c r="O25" i="1"/>
  <c r="P25" i="1" s="1"/>
  <c r="P44" i="33"/>
  <c r="R32" i="33"/>
  <c r="R44" i="33" s="1"/>
  <c r="W46" i="33" s="1"/>
  <c r="H39" i="1" s="1"/>
  <c r="A25" i="1" l="1"/>
  <c r="F57" i="1"/>
  <c r="A109" i="7"/>
  <c r="C40" i="26"/>
  <c r="B38" i="26"/>
  <c r="H154" i="1"/>
  <c r="O154" i="1" s="1"/>
  <c r="P154" i="1" s="1"/>
  <c r="O176" i="1"/>
  <c r="P176" i="1" s="1"/>
  <c r="H211" i="1"/>
  <c r="I19" i="6" s="1"/>
  <c r="K60" i="1"/>
  <c r="L60" i="1" s="1"/>
  <c r="O46" i="1"/>
  <c r="P46" i="1" s="1"/>
  <c r="O21" i="1"/>
  <c r="P21" i="1" s="1"/>
  <c r="H27" i="1"/>
  <c r="K27" i="1" s="1"/>
  <c r="L27" i="1" s="1"/>
  <c r="B39" i="7"/>
  <c r="D36" i="7"/>
  <c r="O150" i="1"/>
  <c r="P150" i="1" s="1"/>
  <c r="F75" i="7"/>
  <c r="F50" i="7"/>
  <c r="F51" i="7" s="1"/>
  <c r="F52" i="7" s="1"/>
  <c r="F53" i="7" s="1"/>
  <c r="F54" i="7" s="1"/>
  <c r="F55" i="7" s="1"/>
  <c r="F56" i="7" s="1"/>
  <c r="F57" i="7" s="1"/>
  <c r="F58" i="7" s="1"/>
  <c r="F59" i="7" s="1"/>
  <c r="F60" i="7" s="1"/>
  <c r="F61" i="7" s="1"/>
  <c r="L30" i="26"/>
  <c r="L57" i="26"/>
  <c r="L43" i="26"/>
  <c r="L48" i="26"/>
  <c r="L66" i="26"/>
  <c r="L60" i="26"/>
  <c r="L64" i="26"/>
  <c r="L35" i="26"/>
  <c r="L50" i="26"/>
  <c r="L45" i="26"/>
  <c r="O89" i="1"/>
  <c r="H94" i="1"/>
  <c r="K89" i="1"/>
  <c r="O211" i="1"/>
  <c r="E19" i="73"/>
  <c r="K26" i="26"/>
  <c r="K63" i="26" s="1"/>
  <c r="L38" i="26"/>
  <c r="L32" i="26"/>
  <c r="L47" i="26"/>
  <c r="L63" i="26"/>
  <c r="L53" i="26"/>
  <c r="L69" i="26"/>
  <c r="L51" i="26"/>
  <c r="L67" i="26"/>
  <c r="L46" i="26"/>
  <c r="L62" i="26"/>
  <c r="O118" i="1"/>
  <c r="K118" i="1"/>
  <c r="H124" i="1"/>
  <c r="K100" i="97"/>
  <c r="L99" i="97"/>
  <c r="H248" i="1"/>
  <c r="L33" i="26"/>
  <c r="L34" i="26"/>
  <c r="L52" i="26"/>
  <c r="L68" i="26"/>
  <c r="L58" i="26"/>
  <c r="L39" i="26"/>
  <c r="L56" i="26"/>
  <c r="L37" i="26"/>
  <c r="L49" i="26"/>
  <c r="L65" i="26"/>
  <c r="K203" i="1"/>
  <c r="L203" i="1" s="1"/>
  <c r="H208" i="1"/>
  <c r="O203" i="1"/>
  <c r="P203" i="1" s="1"/>
  <c r="H206" i="1"/>
  <c r="H207" i="1"/>
  <c r="AA42" i="100"/>
  <c r="AA43" i="100" s="1"/>
  <c r="AB30" i="100"/>
  <c r="J109" i="97"/>
  <c r="I109" i="97"/>
  <c r="L31" i="26"/>
  <c r="L36" i="26"/>
  <c r="L40" i="26"/>
  <c r="L55" i="26"/>
  <c r="L41" i="26"/>
  <c r="L61" i="26"/>
  <c r="L44" i="26"/>
  <c r="L59" i="26"/>
  <c r="L42" i="26"/>
  <c r="L54" i="26"/>
  <c r="K264" i="1"/>
  <c r="L264" i="1" s="1"/>
  <c r="O264" i="1"/>
  <c r="P264" i="1" s="1"/>
  <c r="D23" i="100"/>
  <c r="S22" i="100"/>
  <c r="S23" i="100" s="1"/>
  <c r="K39" i="1"/>
  <c r="L39" i="1" s="1"/>
  <c r="H40" i="1"/>
  <c r="O39" i="1"/>
  <c r="P39" i="1" s="1"/>
  <c r="O62" i="1"/>
  <c r="P62" i="1" s="1"/>
  <c r="K62" i="1"/>
  <c r="L62" i="1" s="1"/>
  <c r="O27" i="1"/>
  <c r="P27" i="1" s="1"/>
  <c r="B40" i="26" l="1"/>
  <c r="C42" i="26"/>
  <c r="K154" i="1"/>
  <c r="L154" i="1" s="1"/>
  <c r="K211" i="1"/>
  <c r="A27" i="1"/>
  <c r="A29" i="1" s="1"/>
  <c r="F27" i="1"/>
  <c r="K33" i="26"/>
  <c r="K69" i="26"/>
  <c r="K57" i="26"/>
  <c r="K41" i="26"/>
  <c r="K52" i="26"/>
  <c r="K64" i="26"/>
  <c r="K30" i="26"/>
  <c r="K50" i="26"/>
  <c r="K44" i="26"/>
  <c r="K42" i="26"/>
  <c r="K62" i="26"/>
  <c r="K55" i="26"/>
  <c r="K34" i="26"/>
  <c r="K53" i="26"/>
  <c r="K51" i="26"/>
  <c r="K45" i="26"/>
  <c r="K70" i="26"/>
  <c r="K31" i="26"/>
  <c r="K66" i="26"/>
  <c r="K59" i="26"/>
  <c r="K46" i="26"/>
  <c r="K43" i="26"/>
  <c r="B40" i="7"/>
  <c r="B41" i="7" s="1"/>
  <c r="F91" i="7"/>
  <c r="F76" i="7"/>
  <c r="F77" i="7" s="1"/>
  <c r="F78" i="7" s="1"/>
  <c r="F79" i="7" s="1"/>
  <c r="F80" i="7" s="1"/>
  <c r="F81" i="7" s="1"/>
  <c r="F82" i="7" s="1"/>
  <c r="F83" i="7" s="1"/>
  <c r="F84" i="7" s="1"/>
  <c r="F85" i="7" s="1"/>
  <c r="F86" i="7" s="1"/>
  <c r="F87" i="7" s="1"/>
  <c r="K36" i="26"/>
  <c r="L26" i="26" s="1"/>
  <c r="K35" i="26"/>
  <c r="K61" i="26"/>
  <c r="K48" i="26"/>
  <c r="K67" i="26"/>
  <c r="K54" i="26"/>
  <c r="K40" i="26"/>
  <c r="K60" i="26"/>
  <c r="K32" i="26"/>
  <c r="K38" i="26"/>
  <c r="K58" i="26"/>
  <c r="K39" i="26"/>
  <c r="K56" i="26"/>
  <c r="K37" i="26"/>
  <c r="K49" i="26"/>
  <c r="K65" i="26"/>
  <c r="K47" i="26"/>
  <c r="K68" i="26"/>
  <c r="K101" i="97"/>
  <c r="L100" i="97"/>
  <c r="O206" i="1"/>
  <c r="I15" i="6"/>
  <c r="I23" i="6" s="1"/>
  <c r="H216" i="1"/>
  <c r="K206" i="1"/>
  <c r="H126" i="1"/>
  <c r="K124" i="1"/>
  <c r="L124" i="1" s="1"/>
  <c r="O124" i="1"/>
  <c r="P124" i="1" s="1"/>
  <c r="O94" i="1"/>
  <c r="P94" i="1" s="1"/>
  <c r="K94" i="1"/>
  <c r="L94" i="1" s="1"/>
  <c r="AB42" i="100"/>
  <c r="AB43" i="100" s="1"/>
  <c r="AD30" i="100"/>
  <c r="I110" i="97"/>
  <c r="J110" i="97"/>
  <c r="I17" i="6"/>
  <c r="I25" i="6" s="1"/>
  <c r="H218" i="1"/>
  <c r="O208" i="1"/>
  <c r="K208" i="1"/>
  <c r="I16" i="6"/>
  <c r="I24" i="6" s="1"/>
  <c r="H217" i="1"/>
  <c r="K207" i="1"/>
  <c r="O207" i="1"/>
  <c r="E23" i="73"/>
  <c r="E22" i="73"/>
  <c r="E21" i="73"/>
  <c r="K248" i="1"/>
  <c r="L248" i="1" s="1"/>
  <c r="O248" i="1"/>
  <c r="P248" i="1" s="1"/>
  <c r="H270" i="1"/>
  <c r="H279" i="1"/>
  <c r="H50" i="1"/>
  <c r="K40" i="1"/>
  <c r="L40" i="1" s="1"/>
  <c r="O40" i="1"/>
  <c r="P40" i="1" s="1"/>
  <c r="B42" i="26" l="1"/>
  <c r="C44" i="26"/>
  <c r="A30" i="1"/>
  <c r="F30" i="1"/>
  <c r="B44" i="7"/>
  <c r="D41" i="7"/>
  <c r="F92" i="7"/>
  <c r="F93" i="7" s="1"/>
  <c r="F94" i="7" s="1"/>
  <c r="F95" i="7" s="1"/>
  <c r="F96" i="7" s="1"/>
  <c r="F97" i="7" s="1"/>
  <c r="F98" i="7" s="1"/>
  <c r="F99" i="7" s="1"/>
  <c r="F100" i="7" s="1"/>
  <c r="F101" i="7" s="1"/>
  <c r="F102" i="7" s="1"/>
  <c r="F103" i="7" s="1"/>
  <c r="F107" i="7"/>
  <c r="E25" i="73"/>
  <c r="E28" i="73" s="1"/>
  <c r="E26" i="73"/>
  <c r="E29" i="73" s="1"/>
  <c r="H219" i="1"/>
  <c r="L101" i="97"/>
  <c r="K102" i="97"/>
  <c r="I26" i="6"/>
  <c r="J111" i="97"/>
  <c r="I111" i="97"/>
  <c r="O126" i="1"/>
  <c r="P126" i="1" s="1"/>
  <c r="K126" i="1"/>
  <c r="L126" i="1" s="1"/>
  <c r="AD42" i="100"/>
  <c r="AD43" i="100" s="1"/>
  <c r="AF30" i="100"/>
  <c r="AF42" i="100" s="1"/>
  <c r="AF43" i="100" s="1"/>
  <c r="H290" i="1" s="1"/>
  <c r="K270" i="1"/>
  <c r="L270" i="1" s="1"/>
  <c r="O270" i="1"/>
  <c r="P270" i="1" s="1"/>
  <c r="K50" i="1"/>
  <c r="L50" i="1" s="1"/>
  <c r="H64" i="1"/>
  <c r="O50" i="1"/>
  <c r="P50" i="1" s="1"/>
  <c r="H29" i="1"/>
  <c r="K279" i="1"/>
  <c r="L279" i="1" s="1"/>
  <c r="O279" i="1"/>
  <c r="P279" i="1" s="1"/>
  <c r="F136" i="1" l="1"/>
  <c r="A32" i="1"/>
  <c r="B44" i="26"/>
  <c r="C46" i="26"/>
  <c r="K290" i="1"/>
  <c r="L290" i="1" s="1"/>
  <c r="F23" i="54"/>
  <c r="O290" i="1"/>
  <c r="P290" i="1" s="1"/>
  <c r="B45" i="7"/>
  <c r="B46" i="7" s="1"/>
  <c r="F112" i="7"/>
  <c r="F108" i="7"/>
  <c r="O219" i="1"/>
  <c r="K219" i="1"/>
  <c r="J112" i="97"/>
  <c r="I112" i="97"/>
  <c r="L102" i="97"/>
  <c r="K103" i="97"/>
  <c r="H243" i="1"/>
  <c r="K64" i="1"/>
  <c r="L64" i="1" s="1"/>
  <c r="H32" i="1"/>
  <c r="O64" i="1"/>
  <c r="P64" i="1" s="1"/>
  <c r="K29" i="1"/>
  <c r="L29" i="1" s="1"/>
  <c r="H30" i="1"/>
  <c r="O29" i="1"/>
  <c r="P29" i="1" s="1"/>
  <c r="C48" i="26" l="1"/>
  <c r="B46" i="26"/>
  <c r="F33" i="1"/>
  <c r="A33" i="1"/>
  <c r="A38" i="1" s="1"/>
  <c r="B49" i="7"/>
  <c r="D46" i="7"/>
  <c r="F117" i="7"/>
  <c r="F118" i="7" s="1"/>
  <c r="F119" i="7" s="1"/>
  <c r="F120" i="7" s="1"/>
  <c r="F121" i="7" s="1"/>
  <c r="F122" i="7" s="1"/>
  <c r="F123" i="7" s="1"/>
  <c r="F124" i="7" s="1"/>
  <c r="F125" i="7" s="1"/>
  <c r="F126" i="7" s="1"/>
  <c r="F127" i="7" s="1"/>
  <c r="F128" i="7" s="1"/>
  <c r="F129" i="7" s="1"/>
  <c r="F113" i="7"/>
  <c r="K104" i="97"/>
  <c r="L103" i="97"/>
  <c r="I113" i="97"/>
  <c r="J113" i="97"/>
  <c r="AD73" i="92"/>
  <c r="AD74" i="92" s="1"/>
  <c r="AG74" i="92" s="1"/>
  <c r="AG76" i="92" s="1"/>
  <c r="H78" i="1" s="1"/>
  <c r="K30" i="1"/>
  <c r="L30" i="1" s="1"/>
  <c r="H136" i="1"/>
  <c r="H137" i="1" s="1"/>
  <c r="O30" i="1"/>
  <c r="P30" i="1" s="1"/>
  <c r="H33" i="1"/>
  <c r="O32" i="1"/>
  <c r="P32" i="1" s="1"/>
  <c r="K32" i="1"/>
  <c r="L32" i="1" s="1"/>
  <c r="O243" i="1"/>
  <c r="P243" i="1" s="1"/>
  <c r="K243" i="1"/>
  <c r="L243" i="1" s="1"/>
  <c r="F256" i="1" l="1"/>
  <c r="A20" i="7"/>
  <c r="A39" i="1"/>
  <c r="F40" i="1"/>
  <c r="B48" i="26"/>
  <c r="C50" i="26"/>
  <c r="B50" i="7"/>
  <c r="B51" i="7" s="1"/>
  <c r="B52" i="7" s="1"/>
  <c r="B53" i="7" s="1"/>
  <c r="B54" i="7" s="1"/>
  <c r="B55" i="7" s="1"/>
  <c r="B56" i="7" s="1"/>
  <c r="B57" i="7" s="1"/>
  <c r="B58" i="7" s="1"/>
  <c r="B59" i="7" s="1"/>
  <c r="B60" i="7" s="1"/>
  <c r="B61" i="7" s="1"/>
  <c r="B62" i="7" s="1"/>
  <c r="K105" i="97"/>
  <c r="L104" i="97"/>
  <c r="I114" i="97"/>
  <c r="J114" i="97"/>
  <c r="K137" i="1"/>
  <c r="L137" i="1" s="1"/>
  <c r="H139" i="1"/>
  <c r="O137" i="1"/>
  <c r="P137" i="1" s="1"/>
  <c r="K56" i="115"/>
  <c r="K57" i="115" s="1"/>
  <c r="H59" i="115" s="1"/>
  <c r="H81" i="1" s="1"/>
  <c r="I159" i="7"/>
  <c r="J159" i="7" s="1"/>
  <c r="H233" i="1" s="1"/>
  <c r="E12" i="76"/>
  <c r="F12" i="76" s="1"/>
  <c r="H15" i="116"/>
  <c r="H16" i="116" s="1"/>
  <c r="J17" i="116" s="1"/>
  <c r="H15" i="114"/>
  <c r="H16" i="114" s="1"/>
  <c r="I165" i="7"/>
  <c r="J165" i="7" s="1"/>
  <c r="H75" i="1" s="1"/>
  <c r="E25" i="76"/>
  <c r="F25" i="76" s="1"/>
  <c r="K33" i="1"/>
  <c r="L33" i="1" s="1"/>
  <c r="O33" i="1"/>
  <c r="P33" i="1" s="1"/>
  <c r="K78" i="1"/>
  <c r="L78" i="1" s="1"/>
  <c r="O78" i="1"/>
  <c r="P78" i="1" s="1"/>
  <c r="A40" i="1" l="1"/>
  <c r="P46" i="33"/>
  <c r="C297" i="1"/>
  <c r="B50" i="26"/>
  <c r="C52" i="26"/>
  <c r="B65" i="7"/>
  <c r="B68" i="7" s="1"/>
  <c r="B75" i="7" s="1"/>
  <c r="D68" i="7"/>
  <c r="D62" i="7"/>
  <c r="F27" i="76"/>
  <c r="H158" i="1" s="1"/>
  <c r="K158" i="1" s="1"/>
  <c r="L158" i="1" s="1"/>
  <c r="J115" i="97"/>
  <c r="I115" i="97"/>
  <c r="K106" i="97"/>
  <c r="L105" i="97"/>
  <c r="H18" i="116"/>
  <c r="J19" i="114"/>
  <c r="J18" i="116" s="1"/>
  <c r="J19" i="116" s="1"/>
  <c r="H69" i="1" s="1"/>
  <c r="K81" i="1"/>
  <c r="L81" i="1" s="1"/>
  <c r="O81" i="1"/>
  <c r="P81" i="1" s="1"/>
  <c r="K75" i="1"/>
  <c r="L75" i="1" s="1"/>
  <c r="O75" i="1"/>
  <c r="P75" i="1" s="1"/>
  <c r="I41" i="6"/>
  <c r="I44" i="6" s="1"/>
  <c r="K233" i="1"/>
  <c r="L233" i="1" s="1"/>
  <c r="H234" i="1"/>
  <c r="O233" i="1"/>
  <c r="P233" i="1" s="1"/>
  <c r="H247" i="1"/>
  <c r="K139" i="1"/>
  <c r="L139" i="1" s="1"/>
  <c r="O139" i="1"/>
  <c r="P139" i="1" s="1"/>
  <c r="H97" i="1"/>
  <c r="C54" i="26" l="1"/>
  <c r="B52" i="26"/>
  <c r="A42" i="1"/>
  <c r="O158" i="1"/>
  <c r="P158" i="1" s="1"/>
  <c r="B76" i="7"/>
  <c r="B77" i="7" s="1"/>
  <c r="B78" i="7" s="1"/>
  <c r="B79" i="7" s="1"/>
  <c r="B80" i="7" s="1"/>
  <c r="B81" i="7" s="1"/>
  <c r="B82" i="7" s="1"/>
  <c r="B83" i="7" s="1"/>
  <c r="B84" i="7" s="1"/>
  <c r="B85" i="7" s="1"/>
  <c r="B86" i="7" s="1"/>
  <c r="B87" i="7" s="1"/>
  <c r="B88" i="7" s="1"/>
  <c r="H160" i="1"/>
  <c r="H249" i="1" s="1"/>
  <c r="O69" i="1"/>
  <c r="P69" i="1" s="1"/>
  <c r="K69" i="1"/>
  <c r="L69" i="1" s="1"/>
  <c r="J116" i="97"/>
  <c r="I116" i="97"/>
  <c r="L106" i="97"/>
  <c r="K107" i="97"/>
  <c r="K97" i="1"/>
  <c r="L97" i="1" s="1"/>
  <c r="H99" i="1"/>
  <c r="O97" i="1"/>
  <c r="P97" i="1" s="1"/>
  <c r="K234" i="1"/>
  <c r="L234" i="1" s="1"/>
  <c r="O234" i="1"/>
  <c r="P234" i="1" s="1"/>
  <c r="O247" i="1"/>
  <c r="P247" i="1" s="1"/>
  <c r="K247" i="1"/>
  <c r="L247" i="1" s="1"/>
  <c r="A46" i="7" l="1"/>
  <c r="A43" i="1"/>
  <c r="F44" i="1"/>
  <c r="B54" i="26"/>
  <c r="C56" i="26"/>
  <c r="O160" i="1"/>
  <c r="P160" i="1" s="1"/>
  <c r="K160" i="1"/>
  <c r="L160" i="1" s="1"/>
  <c r="D88" i="7"/>
  <c r="B91" i="7"/>
  <c r="I117" i="97"/>
  <c r="J117" i="97"/>
  <c r="L107" i="97"/>
  <c r="K108" i="97"/>
  <c r="M106" i="97"/>
  <c r="K99" i="1"/>
  <c r="O99" i="1"/>
  <c r="H104" i="1"/>
  <c r="K249" i="1"/>
  <c r="L249" i="1" s="1"/>
  <c r="O249" i="1"/>
  <c r="P249" i="1" s="1"/>
  <c r="C58" i="26" l="1"/>
  <c r="B56" i="26"/>
  <c r="A44" i="1"/>
  <c r="A41" i="7"/>
  <c r="B92" i="7"/>
  <c r="B93" i="7" s="1"/>
  <c r="B94" i="7" s="1"/>
  <c r="B95" i="7" s="1"/>
  <c r="B96" i="7" s="1"/>
  <c r="B97" i="7" s="1"/>
  <c r="B98" i="7" s="1"/>
  <c r="B99" i="7" s="1"/>
  <c r="B100" i="7" s="1"/>
  <c r="B101" i="7" s="1"/>
  <c r="B102" i="7" s="1"/>
  <c r="B103" i="7" s="1"/>
  <c r="B104" i="7" s="1"/>
  <c r="H42" i="26"/>
  <c r="H43" i="26" s="1"/>
  <c r="H26" i="26"/>
  <c r="H27" i="26" s="1"/>
  <c r="I118" i="97"/>
  <c r="J118" i="97"/>
  <c r="L108" i="97"/>
  <c r="K109" i="97"/>
  <c r="H244" i="1"/>
  <c r="K104" i="1"/>
  <c r="L104" i="1" s="1"/>
  <c r="O104" i="1"/>
  <c r="P104" i="1" s="1"/>
  <c r="H106" i="1"/>
  <c r="A45" i="1" l="1"/>
  <c r="A46" i="1" s="1"/>
  <c r="B58" i="26"/>
  <c r="C60" i="26"/>
  <c r="B107" i="7"/>
  <c r="D104" i="7"/>
  <c r="I44" i="26"/>
  <c r="I45" i="26" s="1"/>
  <c r="L109" i="97"/>
  <c r="K110" i="97"/>
  <c r="I28" i="6"/>
  <c r="K106" i="1"/>
  <c r="L106" i="1" s="1"/>
  <c r="H221" i="1"/>
  <c r="O106" i="1"/>
  <c r="P106" i="1" s="1"/>
  <c r="K244" i="1"/>
  <c r="L244" i="1" s="1"/>
  <c r="O244" i="1"/>
  <c r="P244" i="1" s="1"/>
  <c r="H245" i="1"/>
  <c r="A48" i="1" l="1"/>
  <c r="F50" i="1"/>
  <c r="B60" i="26"/>
  <c r="C62" i="26"/>
  <c r="F46" i="1"/>
  <c r="B108" i="7"/>
  <c r="B109" i="7" s="1"/>
  <c r="L110" i="97"/>
  <c r="K111" i="97"/>
  <c r="I48" i="6"/>
  <c r="I50" i="6" s="1"/>
  <c r="I8" i="6" s="1"/>
  <c r="H277" i="1" s="1"/>
  <c r="O245" i="1"/>
  <c r="P245" i="1" s="1"/>
  <c r="K245" i="1"/>
  <c r="L245" i="1" s="1"/>
  <c r="H250" i="1"/>
  <c r="K221" i="1"/>
  <c r="L221" i="1" s="1"/>
  <c r="O221" i="1"/>
  <c r="P221" i="1" s="1"/>
  <c r="H236" i="1"/>
  <c r="B62" i="26" l="1"/>
  <c r="C64" i="26"/>
  <c r="A174" i="7"/>
  <c r="A50" i="1"/>
  <c r="B112" i="7"/>
  <c r="D109" i="7"/>
  <c r="L111" i="97"/>
  <c r="K112" i="97"/>
  <c r="K277" i="1"/>
  <c r="L277" i="1" s="1"/>
  <c r="O277" i="1"/>
  <c r="P277" i="1" s="1"/>
  <c r="K236" i="1"/>
  <c r="L236" i="1" s="1"/>
  <c r="O236" i="1"/>
  <c r="P236" i="1" s="1"/>
  <c r="H238" i="1"/>
  <c r="O250" i="1"/>
  <c r="P250" i="1" s="1"/>
  <c r="K250" i="1"/>
  <c r="L250" i="1" s="1"/>
  <c r="A54" i="1" l="1"/>
  <c r="F29" i="1"/>
  <c r="B64" i="26"/>
  <c r="C66" i="26"/>
  <c r="D114" i="7"/>
  <c r="B113" i="7"/>
  <c r="B114" i="7" s="1"/>
  <c r="L112" i="97"/>
  <c r="K113" i="97"/>
  <c r="H251" i="1"/>
  <c r="K238" i="1"/>
  <c r="L238" i="1" s="1"/>
  <c r="O238" i="1"/>
  <c r="P238" i="1" s="1"/>
  <c r="B66" i="26" l="1"/>
  <c r="C68" i="26"/>
  <c r="B68" i="26" s="1"/>
  <c r="A56" i="1"/>
  <c r="A88" i="7"/>
  <c r="B117" i="7"/>
  <c r="L113" i="97"/>
  <c r="K114" i="97"/>
  <c r="O251" i="1"/>
  <c r="P251" i="1" s="1"/>
  <c r="K251" i="1"/>
  <c r="L251" i="1" s="1"/>
  <c r="H253" i="1"/>
  <c r="A114" i="7" l="1"/>
  <c r="A57" i="1"/>
  <c r="A58" i="1" s="1"/>
  <c r="F58" i="1"/>
  <c r="B118" i="7"/>
  <c r="B119" i="7" s="1"/>
  <c r="B120" i="7" s="1"/>
  <c r="B121" i="7" s="1"/>
  <c r="B122" i="7" s="1"/>
  <c r="B123" i="7" s="1"/>
  <c r="B124" i="7" s="1"/>
  <c r="B125" i="7" s="1"/>
  <c r="B126" i="7" s="1"/>
  <c r="B127" i="7" s="1"/>
  <c r="B128" i="7" s="1"/>
  <c r="B129" i="7" s="1"/>
  <c r="B130" i="7" s="1"/>
  <c r="L114" i="97"/>
  <c r="K115" i="97"/>
  <c r="H260" i="1"/>
  <c r="K253" i="1"/>
  <c r="L253" i="1" s="1"/>
  <c r="O253" i="1"/>
  <c r="P253" i="1" s="1"/>
  <c r="A59" i="1" l="1"/>
  <c r="A60" i="1" s="1"/>
  <c r="D130" i="7"/>
  <c r="B132" i="7"/>
  <c r="B134" i="7" s="1"/>
  <c r="D132" i="7"/>
  <c r="D134" i="7"/>
  <c r="L115" i="97"/>
  <c r="K116" i="97"/>
  <c r="O260" i="1"/>
  <c r="P260" i="1" s="1"/>
  <c r="H269" i="1"/>
  <c r="K260" i="1"/>
  <c r="L260" i="1" s="1"/>
  <c r="H276" i="1"/>
  <c r="H261" i="1"/>
  <c r="A62" i="1" l="1"/>
  <c r="F62" i="1"/>
  <c r="F60" i="1"/>
  <c r="L116" i="97"/>
  <c r="K117" i="97"/>
  <c r="K276" i="1"/>
  <c r="L276" i="1" s="1"/>
  <c r="H278" i="1"/>
  <c r="O276" i="1"/>
  <c r="P276" i="1" s="1"/>
  <c r="H266" i="1"/>
  <c r="O261" i="1"/>
  <c r="P261" i="1" s="1"/>
  <c r="K261" i="1"/>
  <c r="L261" i="1" s="1"/>
  <c r="F8" i="54"/>
  <c r="H272" i="1"/>
  <c r="O269" i="1"/>
  <c r="P269" i="1" s="1"/>
  <c r="H273" i="1"/>
  <c r="K269" i="1"/>
  <c r="L269" i="1" s="1"/>
  <c r="H271" i="1"/>
  <c r="A64" i="1" l="1"/>
  <c r="F64" i="1"/>
  <c r="L117" i="97"/>
  <c r="K118" i="97"/>
  <c r="L118" i="97" s="1"/>
  <c r="M118" i="97" s="1"/>
  <c r="H44" i="26" s="1"/>
  <c r="H45" i="26" s="1"/>
  <c r="K271" i="1"/>
  <c r="O271" i="1"/>
  <c r="O272" i="1"/>
  <c r="M9" i="26"/>
  <c r="K272" i="1"/>
  <c r="H283" i="1"/>
  <c r="K266" i="1"/>
  <c r="L266" i="1" s="1"/>
  <c r="O266" i="1"/>
  <c r="P266" i="1" s="1"/>
  <c r="M14" i="26"/>
  <c r="O273" i="1"/>
  <c r="K273" i="1"/>
  <c r="O278" i="1"/>
  <c r="P278" i="1" s="1"/>
  <c r="H281" i="1"/>
  <c r="M10" i="26" s="1"/>
  <c r="H280" i="1"/>
  <c r="K278" i="1"/>
  <c r="L278" i="1" s="1"/>
  <c r="A69" i="1" l="1"/>
  <c r="F243" i="1"/>
  <c r="F32" i="1"/>
  <c r="E24" i="26"/>
  <c r="N24" i="26"/>
  <c r="K24" i="26"/>
  <c r="H24" i="26"/>
  <c r="M11" i="26"/>
  <c r="K283" i="1"/>
  <c r="L283" i="1" s="1"/>
  <c r="O283" i="1"/>
  <c r="P283" i="1" s="1"/>
  <c r="A72" i="1" l="1"/>
  <c r="G68" i="26"/>
  <c r="G60" i="26"/>
  <c r="G52" i="26"/>
  <c r="G40" i="26"/>
  <c r="G62" i="26"/>
  <c r="G54" i="26"/>
  <c r="G42" i="26"/>
  <c r="G64" i="26"/>
  <c r="G56" i="26"/>
  <c r="G48" i="26"/>
  <c r="G44" i="26"/>
  <c r="G66" i="26"/>
  <c r="G58" i="26"/>
  <c r="G50" i="26"/>
  <c r="G46" i="26"/>
  <c r="G34" i="26"/>
  <c r="G32" i="26"/>
  <c r="G30" i="26"/>
  <c r="G36" i="26"/>
  <c r="G38" i="26"/>
  <c r="J66" i="26"/>
  <c r="J58" i="26"/>
  <c r="J50" i="26"/>
  <c r="J38" i="26"/>
  <c r="J68" i="26"/>
  <c r="J60" i="26"/>
  <c r="J52" i="26"/>
  <c r="J40" i="26"/>
  <c r="J62" i="26"/>
  <c r="J54" i="26"/>
  <c r="J46" i="26"/>
  <c r="J42" i="26"/>
  <c r="J64" i="26"/>
  <c r="J56" i="26"/>
  <c r="J48" i="26"/>
  <c r="J44" i="26"/>
  <c r="J34" i="26"/>
  <c r="J32" i="26"/>
  <c r="J30" i="26"/>
  <c r="J36" i="26"/>
  <c r="M30" i="26"/>
  <c r="M44" i="26"/>
  <c r="M52" i="26"/>
  <c r="M36" i="26"/>
  <c r="M66" i="26"/>
  <c r="M32" i="26"/>
  <c r="M56" i="26"/>
  <c r="M34" i="26"/>
  <c r="M68" i="26"/>
  <c r="M48" i="26"/>
  <c r="M40" i="26"/>
  <c r="M38" i="26"/>
  <c r="M46" i="26"/>
  <c r="M42" i="26"/>
  <c r="M64" i="26"/>
  <c r="M58" i="26"/>
  <c r="M60" i="26"/>
  <c r="M54" i="26"/>
  <c r="M62" i="26"/>
  <c r="M50" i="26"/>
  <c r="N25" i="26"/>
  <c r="K25" i="26"/>
  <c r="H25" i="26"/>
  <c r="E25" i="26"/>
  <c r="P68" i="26"/>
  <c r="P60" i="26"/>
  <c r="P52" i="26"/>
  <c r="P40" i="26"/>
  <c r="P62" i="26"/>
  <c r="P54" i="26"/>
  <c r="P46" i="26"/>
  <c r="P42" i="26"/>
  <c r="P64" i="26"/>
  <c r="P56" i="26"/>
  <c r="P48" i="26"/>
  <c r="P44" i="26"/>
  <c r="P66" i="26"/>
  <c r="P58" i="26"/>
  <c r="P50" i="26"/>
  <c r="P38" i="26"/>
  <c r="P32" i="26"/>
  <c r="P30" i="26"/>
  <c r="P34" i="26"/>
  <c r="P36" i="26"/>
  <c r="P47" i="33" l="1"/>
  <c r="A75" i="1"/>
  <c r="G61" i="33"/>
  <c r="G66" i="33"/>
  <c r="G50" i="33"/>
  <c r="G23" i="33"/>
  <c r="G53" i="33"/>
  <c r="F270" i="1"/>
  <c r="F279" i="1"/>
  <c r="P63" i="26"/>
  <c r="P55" i="26"/>
  <c r="P47" i="26"/>
  <c r="P43" i="26"/>
  <c r="P65" i="26"/>
  <c r="P57" i="26"/>
  <c r="P49" i="26"/>
  <c r="P45" i="26"/>
  <c r="P37" i="26"/>
  <c r="P67" i="26"/>
  <c r="P59" i="26"/>
  <c r="P51" i="26"/>
  <c r="P39" i="26"/>
  <c r="P69" i="26"/>
  <c r="P61" i="26"/>
  <c r="P53" i="26"/>
  <c r="P41" i="26"/>
  <c r="P35" i="26"/>
  <c r="P33" i="26"/>
  <c r="P31" i="26"/>
  <c r="Q34" i="26"/>
  <c r="S34" i="26" s="1"/>
  <c r="Q64" i="26"/>
  <c r="S64" i="26" s="1"/>
  <c r="Q62" i="26"/>
  <c r="S62" i="26" s="1"/>
  <c r="Q68" i="26"/>
  <c r="S68" i="26" s="1"/>
  <c r="Q66" i="26"/>
  <c r="S66" i="26" s="1"/>
  <c r="G63" i="26"/>
  <c r="G55" i="26"/>
  <c r="G47" i="26"/>
  <c r="G43" i="26"/>
  <c r="G65" i="26"/>
  <c r="G57" i="26"/>
  <c r="G49" i="26"/>
  <c r="G45" i="26"/>
  <c r="G67" i="26"/>
  <c r="G59" i="26"/>
  <c r="G51" i="26"/>
  <c r="G39" i="26"/>
  <c r="G69" i="26"/>
  <c r="G61" i="26"/>
  <c r="G53" i="26"/>
  <c r="G41" i="26"/>
  <c r="G35" i="26"/>
  <c r="G31" i="26"/>
  <c r="G37" i="26"/>
  <c r="G33" i="26"/>
  <c r="Q36" i="26"/>
  <c r="S36" i="26" s="1"/>
  <c r="Q44" i="26"/>
  <c r="S44" i="26" s="1"/>
  <c r="Q42" i="26"/>
  <c r="S42" i="26" s="1"/>
  <c r="Q40" i="26"/>
  <c r="S40" i="26" s="1"/>
  <c r="Q38" i="26"/>
  <c r="S38" i="26" s="1"/>
  <c r="J69" i="26"/>
  <c r="J61" i="26"/>
  <c r="J53" i="26"/>
  <c r="J41" i="26"/>
  <c r="J63" i="26"/>
  <c r="J55" i="26"/>
  <c r="J47" i="26"/>
  <c r="J43" i="26"/>
  <c r="J65" i="26"/>
  <c r="J57" i="26"/>
  <c r="J49" i="26"/>
  <c r="J45" i="26"/>
  <c r="J67" i="26"/>
  <c r="J59" i="26"/>
  <c r="J51" i="26"/>
  <c r="J39" i="26"/>
  <c r="J33" i="26"/>
  <c r="J35" i="26"/>
  <c r="J31" i="26"/>
  <c r="J37" i="26"/>
  <c r="Q30" i="26"/>
  <c r="S30" i="26" s="1"/>
  <c r="Q48" i="26"/>
  <c r="S48" i="26" s="1"/>
  <c r="Q46" i="26"/>
  <c r="S46" i="26" s="1"/>
  <c r="Q52" i="26"/>
  <c r="S52" i="26" s="1"/>
  <c r="Q50" i="26"/>
  <c r="S50" i="26" s="1"/>
  <c r="M33" i="26"/>
  <c r="M57" i="26"/>
  <c r="M51" i="26"/>
  <c r="M47" i="26"/>
  <c r="M69" i="26"/>
  <c r="M59" i="26"/>
  <c r="M67" i="26"/>
  <c r="M37" i="26"/>
  <c r="M63" i="26"/>
  <c r="M41" i="26"/>
  <c r="M53" i="26"/>
  <c r="M31" i="26"/>
  <c r="M55" i="26"/>
  <c r="M43" i="26"/>
  <c r="M49" i="26"/>
  <c r="M61" i="26"/>
  <c r="M45" i="26"/>
  <c r="M35" i="26"/>
  <c r="M39" i="26"/>
  <c r="M65" i="26"/>
  <c r="Q32" i="26"/>
  <c r="S32" i="26" s="1"/>
  <c r="Q56" i="26"/>
  <c r="S56" i="26" s="1"/>
  <c r="Q54" i="26"/>
  <c r="S54" i="26" s="1"/>
  <c r="Q60" i="26"/>
  <c r="S60" i="26" s="1"/>
  <c r="Q58" i="26"/>
  <c r="S58" i="26" s="1"/>
  <c r="A165" i="7" l="1"/>
  <c r="A78" i="1"/>
  <c r="A81" i="1" s="1"/>
  <c r="A84" i="1" s="1"/>
  <c r="A87" i="1" s="1"/>
  <c r="Q59" i="26"/>
  <c r="R59" i="26" s="1"/>
  <c r="T59" i="26" s="1"/>
  <c r="Q35" i="26"/>
  <c r="R35" i="26" s="1"/>
  <c r="T35" i="26" s="1"/>
  <c r="Q57" i="26"/>
  <c r="R57" i="26" s="1"/>
  <c r="T57" i="26" s="1"/>
  <c r="Q61" i="26"/>
  <c r="R61" i="26" s="1"/>
  <c r="T61" i="26" s="1"/>
  <c r="Q67" i="26"/>
  <c r="R67" i="26" s="1"/>
  <c r="T67" i="26" s="1"/>
  <c r="Q63" i="26"/>
  <c r="R63" i="26" s="1"/>
  <c r="T63" i="26" s="1"/>
  <c r="Q37" i="26"/>
  <c r="R37" i="26" s="1"/>
  <c r="T37" i="26" s="1"/>
  <c r="Q39" i="26"/>
  <c r="R39" i="26" s="1"/>
  <c r="T39" i="26" s="1"/>
  <c r="Q45" i="26"/>
  <c r="R45" i="26" s="1"/>
  <c r="T45" i="26" s="1"/>
  <c r="Q43" i="26"/>
  <c r="R43" i="26" s="1"/>
  <c r="T43" i="26" s="1"/>
  <c r="Q41" i="26"/>
  <c r="R41" i="26" s="1"/>
  <c r="T41" i="26" s="1"/>
  <c r="Q55" i="26"/>
  <c r="R55" i="26" s="1"/>
  <c r="T55" i="26" s="1"/>
  <c r="Q33" i="26"/>
  <c r="R33" i="26" s="1"/>
  <c r="T33" i="26" s="1"/>
  <c r="Q65" i="26"/>
  <c r="R65" i="26" s="1"/>
  <c r="T65" i="26" s="1"/>
  <c r="Q69" i="26"/>
  <c r="R69" i="26" s="1"/>
  <c r="T69" i="26" s="1"/>
  <c r="Q31" i="26"/>
  <c r="R31" i="26" s="1"/>
  <c r="T31" i="26" s="1"/>
  <c r="Q51" i="26"/>
  <c r="R51" i="26" s="1"/>
  <c r="T51" i="26" s="1"/>
  <c r="Q49" i="26"/>
  <c r="R49" i="26" s="1"/>
  <c r="T49" i="26" s="1"/>
  <c r="Q47" i="26"/>
  <c r="R47" i="26" s="1"/>
  <c r="T47" i="26" s="1"/>
  <c r="Q53" i="26"/>
  <c r="R53" i="26" s="1"/>
  <c r="T53" i="26" s="1"/>
  <c r="A143" i="7" l="1"/>
  <c r="A88" i="1"/>
  <c r="A89" i="1" s="1"/>
  <c r="F89" i="1"/>
  <c r="F19" i="54"/>
  <c r="F21" i="54" s="1"/>
  <c r="F28" i="54" s="1"/>
  <c r="H285" i="1"/>
  <c r="A90" i="1" l="1"/>
  <c r="F30" i="54"/>
  <c r="F32" i="54"/>
  <c r="K285" i="1"/>
  <c r="L285" i="1" s="1"/>
  <c r="O285" i="1"/>
  <c r="P285" i="1" s="1"/>
  <c r="H287" i="1"/>
  <c r="A147" i="7" l="1"/>
  <c r="A91" i="1"/>
  <c r="A92" i="1" s="1"/>
  <c r="F92" i="1"/>
  <c r="H291" i="1"/>
  <c r="K287" i="1"/>
  <c r="L287" i="1" s="1"/>
  <c r="O287" i="1"/>
  <c r="P287" i="1" s="1"/>
  <c r="F37" i="54"/>
  <c r="F44" i="54" s="1"/>
  <c r="F39" i="54"/>
  <c r="F46" i="54" s="1"/>
  <c r="A93" i="1" l="1"/>
  <c r="H293" i="1"/>
  <c r="O291" i="1"/>
  <c r="P291" i="1" s="1"/>
  <c r="K291" i="1"/>
  <c r="L291" i="1" s="1"/>
  <c r="A151" i="7" l="1"/>
  <c r="A94" i="1"/>
  <c r="F94" i="1"/>
  <c r="K293" i="1"/>
  <c r="L293" i="1" s="1"/>
  <c r="O293" i="1"/>
  <c r="P293" i="1" s="1"/>
  <c r="A97" i="1" l="1"/>
  <c r="F99" i="1" l="1"/>
  <c r="A98" i="1"/>
  <c r="H10" i="31"/>
  <c r="A99" i="1" l="1"/>
  <c r="A102" i="1" l="1"/>
  <c r="F104" i="1"/>
  <c r="A268" i="7" l="1"/>
  <c r="A104" i="1"/>
  <c r="F244" i="1" l="1"/>
  <c r="A106" i="1"/>
  <c r="F106" i="1"/>
  <c r="F245" i="1" l="1"/>
  <c r="A111" i="1"/>
  <c r="A240" i="7" l="1"/>
  <c r="A112" i="1"/>
  <c r="A249" i="7" l="1"/>
  <c r="A113" i="1"/>
  <c r="A114" i="1" l="1"/>
  <c r="A251" i="7"/>
  <c r="F114" i="1"/>
  <c r="A117" i="1" l="1"/>
  <c r="J73" i="31"/>
  <c r="A118" i="1" l="1"/>
  <c r="A193" i="7" l="1"/>
  <c r="A119" i="1"/>
  <c r="A120" i="1" s="1"/>
  <c r="A121" i="1" s="1"/>
  <c r="J71" i="31"/>
  <c r="A319" i="7" l="1"/>
  <c r="A122" i="1"/>
  <c r="J72" i="31"/>
  <c r="A123" i="1" l="1"/>
  <c r="A188" i="7" l="1"/>
  <c r="A124" i="1"/>
  <c r="F124" i="1"/>
  <c r="F126" i="1" l="1"/>
  <c r="A125" i="1"/>
  <c r="A126" i="1" s="1"/>
  <c r="A129" i="1" l="1"/>
  <c r="A130" i="1" l="1"/>
  <c r="A212" i="7"/>
  <c r="A219" i="7" l="1"/>
  <c r="A131" i="1"/>
  <c r="F131" i="1"/>
  <c r="A133" i="1" l="1"/>
  <c r="A197" i="7" l="1"/>
  <c r="A134" i="1"/>
  <c r="F135" i="1"/>
  <c r="A226" i="7" l="1"/>
  <c r="A135" i="1"/>
  <c r="A136" i="1" l="1"/>
  <c r="A137" i="1" s="1"/>
  <c r="A139" i="1" l="1"/>
  <c r="F139" i="1"/>
  <c r="F137" i="1"/>
  <c r="A144" i="1" l="1"/>
  <c r="F247" i="1"/>
  <c r="F97" i="1"/>
  <c r="A278" i="7" l="1"/>
  <c r="A146" i="1"/>
  <c r="F148" i="1" l="1"/>
  <c r="A147" i="1"/>
  <c r="A283" i="7"/>
  <c r="A288" i="7" l="1"/>
  <c r="A148" i="1"/>
  <c r="F150" i="1" l="1"/>
  <c r="A149" i="1"/>
  <c r="A150" i="1" s="1"/>
  <c r="A152" i="1" l="1"/>
  <c r="A154" i="1" s="1"/>
  <c r="F248" i="1" l="1"/>
  <c r="A158" i="1"/>
  <c r="F154" i="1"/>
  <c r="F160" i="1" l="1"/>
  <c r="A160" i="1"/>
  <c r="A165" i="1" l="1"/>
  <c r="F249" i="1"/>
  <c r="F169" i="1" l="1"/>
  <c r="A166" i="1"/>
  <c r="A167" i="1" s="1"/>
  <c r="A168" i="1" s="1"/>
  <c r="A169" i="1" s="1"/>
  <c r="A171" i="1" l="1"/>
  <c r="A172" i="1" s="1"/>
  <c r="A173" i="1" s="1"/>
  <c r="A174" i="1" s="1"/>
  <c r="A175" i="1" s="1"/>
  <c r="A176" i="1" s="1"/>
  <c r="A179" i="1" s="1"/>
  <c r="F185" i="1" l="1"/>
  <c r="A180" i="1"/>
  <c r="A181" i="1" s="1"/>
  <c r="A182" i="1" s="1"/>
  <c r="A183" i="1" s="1"/>
  <c r="A184" i="1" s="1"/>
  <c r="A185" i="1" s="1"/>
  <c r="F176" i="1"/>
  <c r="F211" i="1" l="1"/>
  <c r="G19" i="6" s="1"/>
  <c r="A188" i="1"/>
  <c r="A189" i="1" l="1"/>
  <c r="A190" i="1" s="1"/>
  <c r="A191" i="1" s="1"/>
  <c r="A192" i="1" s="1"/>
  <c r="A193" i="1" s="1"/>
  <c r="A194" i="1" s="1"/>
  <c r="F200" i="1" l="1"/>
  <c r="A196" i="1"/>
  <c r="F194" i="1"/>
  <c r="A199" i="1" l="1"/>
  <c r="F212" i="1"/>
  <c r="G20" i="6" s="1"/>
  <c r="A200" i="1" l="1"/>
  <c r="A201" i="1" s="1"/>
  <c r="A202" i="1" s="1"/>
  <c r="A203" i="1" s="1"/>
  <c r="A206" i="1" l="1"/>
  <c r="F208" i="1"/>
  <c r="G17" i="6" s="1"/>
  <c r="F206" i="1"/>
  <c r="G15" i="6" s="1"/>
  <c r="F207" i="1"/>
  <c r="G16" i="6" s="1"/>
  <c r="F203" i="1"/>
  <c r="A207" i="1" l="1"/>
  <c r="A15" i="6"/>
  <c r="A16" i="6" l="1"/>
  <c r="A208" i="1"/>
  <c r="A211" i="1" l="1"/>
  <c r="A17" i="6"/>
  <c r="A212" i="1" l="1"/>
  <c r="A19" i="6"/>
  <c r="F216" i="1"/>
  <c r="G23" i="6" s="1"/>
  <c r="H7" i="31"/>
  <c r="A213" i="1" l="1"/>
  <c r="A20" i="6"/>
  <c r="F217" i="1"/>
  <c r="G24" i="6" s="1"/>
  <c r="A21" i="6" l="1"/>
  <c r="A216" i="1"/>
  <c r="F218" i="1"/>
  <c r="G25" i="6" s="1"/>
  <c r="A217" i="1" l="1"/>
  <c r="A23" i="6"/>
  <c r="A218" i="1" l="1"/>
  <c r="A24" i="6"/>
  <c r="A25" i="6" l="1"/>
  <c r="A219" i="1"/>
  <c r="F219" i="1"/>
  <c r="A26" i="6" l="1"/>
  <c r="A28" i="6" s="1"/>
  <c r="G26" i="6"/>
  <c r="A221" i="1"/>
  <c r="F221" i="1"/>
  <c r="G28" i="6" s="1"/>
  <c r="A33" i="6" l="1"/>
  <c r="A34" i="6" s="1"/>
  <c r="A35" i="6" s="1"/>
  <c r="A36" i="6" s="1"/>
  <c r="A37" i="6" s="1"/>
  <c r="A38" i="6" s="1"/>
  <c r="A41" i="6" s="1"/>
  <c r="A226" i="1"/>
  <c r="A227" i="1" s="1"/>
  <c r="F250" i="1"/>
  <c r="G44" i="6" l="1"/>
  <c r="A44" i="6"/>
  <c r="A48" i="6" s="1"/>
  <c r="A50" i="6" s="1"/>
  <c r="G8" i="6" s="1"/>
  <c r="A233" i="7"/>
  <c r="A228" i="1"/>
  <c r="A229" i="1" s="1"/>
  <c r="A230" i="1" s="1"/>
  <c r="A233" i="1" l="1"/>
  <c r="F236" i="1"/>
  <c r="A234" i="1" l="1"/>
  <c r="F234" i="1"/>
  <c r="A159" i="7"/>
  <c r="A236" i="1" l="1"/>
  <c r="A238" i="1" s="1"/>
  <c r="A243" i="1" l="1"/>
  <c r="A244" i="1" s="1"/>
  <c r="A245" i="1" s="1"/>
  <c r="A247" i="1" s="1"/>
  <c r="F251" i="1"/>
  <c r="F238" i="1"/>
  <c r="A248" i="1" l="1"/>
  <c r="A249" i="1" s="1"/>
  <c r="A250" i="1" s="1"/>
  <c r="A251" i="1" s="1"/>
  <c r="A253" i="1" s="1"/>
  <c r="F260" i="1" l="1"/>
  <c r="A256" i="1"/>
  <c r="F253" i="1"/>
  <c r="F258" i="1" l="1"/>
  <c r="A257" i="1"/>
  <c r="A258" i="1" s="1"/>
  <c r="F259" i="1" l="1"/>
  <c r="A259" i="1"/>
  <c r="F261" i="1" l="1"/>
  <c r="A260" i="1"/>
  <c r="F269" i="1" l="1"/>
  <c r="F276" i="1"/>
  <c r="A261" i="1"/>
  <c r="A264" i="1" l="1"/>
  <c r="A266" i="1" s="1"/>
  <c r="D8" i="54"/>
  <c r="F283" i="1" l="1"/>
  <c r="A269" i="1"/>
  <c r="F266" i="1"/>
  <c r="F273" i="1" l="1"/>
  <c r="A270" i="1"/>
  <c r="A271" i="1" s="1"/>
  <c r="A272" i="1" s="1"/>
  <c r="D9" i="26" l="1"/>
  <c r="A273" i="1"/>
  <c r="F272" i="1"/>
  <c r="F271" i="1"/>
  <c r="D14" i="26" l="1"/>
  <c r="A276" i="1"/>
  <c r="A277" i="1" l="1"/>
  <c r="A278" i="1" s="1"/>
  <c r="F281" i="1" l="1"/>
  <c r="A279" i="1"/>
  <c r="A280" i="1" s="1"/>
  <c r="A281" i="1" s="1"/>
  <c r="F280" i="1"/>
  <c r="F278" i="1"/>
  <c r="D10" i="26" l="1"/>
  <c r="A283" i="1"/>
  <c r="A284" i="1" l="1"/>
  <c r="A285" i="1" l="1"/>
  <c r="A258" i="7"/>
  <c r="IH284" i="1"/>
  <c r="A286" i="1" l="1"/>
  <c r="A259" i="7" l="1"/>
  <c r="A287" i="1"/>
  <c r="F287" i="1"/>
  <c r="F291" i="1" l="1"/>
  <c r="A290" i="1"/>
  <c r="B47" i="105" l="1"/>
  <c r="A291" i="1"/>
  <c r="D23" i="54"/>
  <c r="F293" i="1" l="1"/>
  <c r="A293" i="1"/>
</calcChain>
</file>

<file path=xl/comments1.xml><?xml version="1.0" encoding="utf-8"?>
<comments xmlns="http://schemas.openxmlformats.org/spreadsheetml/2006/main">
  <authors>
    <author>Kwitman, Eva</author>
  </authors>
  <commentList>
    <comment ref="D89" authorId="0" shapeId="0">
      <text>
        <r>
          <rPr>
            <b/>
            <sz val="9"/>
            <color indexed="81"/>
            <rFont val="Tahoma"/>
            <family val="2"/>
          </rPr>
          <t>Kwitman, Eva:</t>
        </r>
        <r>
          <rPr>
            <sz val="9"/>
            <color indexed="81"/>
            <rFont val="Tahoma"/>
            <family val="2"/>
          </rPr>
          <t xml:space="preserve">
changed from263.1 to 263</t>
        </r>
      </text>
    </comment>
    <comment ref="D94" authorId="0" shapeId="0">
      <text>
        <r>
          <rPr>
            <b/>
            <sz val="9"/>
            <color indexed="81"/>
            <rFont val="Tahoma"/>
            <family val="2"/>
          </rPr>
          <t>Kwitman, Eva:</t>
        </r>
        <r>
          <rPr>
            <sz val="9"/>
            <color indexed="81"/>
            <rFont val="Tahoma"/>
            <family val="2"/>
          </rPr>
          <t xml:space="preserve">
changed from 263.2 to 263.1</t>
        </r>
      </text>
    </comment>
  </commentList>
</comments>
</file>

<file path=xl/comments2.xml><?xml version="1.0" encoding="utf-8"?>
<comments xmlns="http://schemas.openxmlformats.org/spreadsheetml/2006/main">
  <authors>
    <author>Bronner, Natalia</author>
  </authors>
  <commentList>
    <comment ref="E88" authorId="0" shapeId="0">
      <text>
        <r>
          <rPr>
            <b/>
            <sz val="9"/>
            <color indexed="81"/>
            <rFont val="Tahoma"/>
            <family val="2"/>
          </rPr>
          <t>Bronner, Natalia:</t>
        </r>
        <r>
          <rPr>
            <sz val="9"/>
            <color indexed="81"/>
            <rFont val="Tahoma"/>
            <family val="2"/>
          </rPr>
          <t xml:space="preserve">
Confirmed with B. Fritz that there were no facilities which would qualify for Sec 30.9 credit. See the confirmation in the "received" correspondance folder.
</t>
        </r>
      </text>
    </comment>
    <comment ref="D100" authorId="0" shapeId="0">
      <text>
        <r>
          <rPr>
            <b/>
            <sz val="9"/>
            <color indexed="81"/>
            <rFont val="Tahoma"/>
            <family val="2"/>
          </rPr>
          <t>Bronner, Natalia:</t>
        </r>
        <r>
          <rPr>
            <sz val="9"/>
            <color indexed="81"/>
            <rFont val="Tahoma"/>
            <family val="2"/>
          </rPr>
          <t xml:space="preserve">
Updated 3/28/2017
</t>
        </r>
      </text>
    </comment>
    <comment ref="E100" authorId="0" shapeId="0">
      <text>
        <r>
          <rPr>
            <b/>
            <sz val="9"/>
            <color indexed="81"/>
            <rFont val="Tahoma"/>
            <family val="2"/>
          </rPr>
          <t xml:space="preserve"> EK: Updated</t>
        </r>
        <r>
          <rPr>
            <sz val="9"/>
            <color indexed="81"/>
            <rFont val="Tahoma"/>
            <family val="2"/>
          </rPr>
          <t xml:space="preserve"> 4/10-exactly the same amount as 2015</t>
        </r>
      </text>
    </comment>
    <comment ref="D101" authorId="0" shapeId="0">
      <text>
        <r>
          <rPr>
            <b/>
            <sz val="9"/>
            <color indexed="81"/>
            <rFont val="Tahoma"/>
            <family val="2"/>
          </rPr>
          <t>Bronner, Natalia:</t>
        </r>
        <r>
          <rPr>
            <sz val="9"/>
            <color indexed="81"/>
            <rFont val="Tahoma"/>
            <family val="2"/>
          </rPr>
          <t xml:space="preserve">
Updated 3/28/2017
</t>
        </r>
      </text>
    </comment>
    <comment ref="E101" authorId="0" shapeId="0">
      <text>
        <r>
          <rPr>
            <b/>
            <sz val="9"/>
            <color indexed="81"/>
            <rFont val="Tahoma"/>
            <family val="2"/>
          </rPr>
          <t>Bronner, Natalia:</t>
        </r>
        <r>
          <rPr>
            <sz val="9"/>
            <color indexed="81"/>
            <rFont val="Tahoma"/>
            <family val="2"/>
          </rPr>
          <t xml:space="preserve">
Updated 3/28/2017
</t>
        </r>
      </text>
    </comment>
  </commentList>
</comments>
</file>

<file path=xl/sharedStrings.xml><?xml version="1.0" encoding="utf-8"?>
<sst xmlns="http://schemas.openxmlformats.org/spreadsheetml/2006/main" count="5109" uniqueCount="2456">
  <si>
    <t xml:space="preserve">  </t>
  </si>
  <si>
    <t>Adjusted Total</t>
  </si>
  <si>
    <t>Property Insurance excludes prior period adjustment in the first year of the formula's operation and reconciliation for the first year.</t>
  </si>
  <si>
    <t xml:space="preserve">Rent from Electric Property - Transmission Related </t>
  </si>
  <si>
    <t>Total Net Property, Plant &amp; Equipment</t>
  </si>
  <si>
    <t>Total Adjustment to Rate Base</t>
  </si>
  <si>
    <t>Adjustments to Transmission O&amp;M</t>
  </si>
  <si>
    <t>Appendix A Line #s, Descriptions, Notes, Form 1 Page #s and Instructions</t>
  </si>
  <si>
    <t>Line</t>
  </si>
  <si>
    <t>Plant Held for Future Use (Account 105)</t>
  </si>
  <si>
    <t>Facility Credits under Section 30.9</t>
  </si>
  <si>
    <t>Total Wages Less A&amp;G Wages Expense</t>
  </si>
  <si>
    <t>Wage &amp; Salary Allocator</t>
  </si>
  <si>
    <t>Total Transmission Plant</t>
  </si>
  <si>
    <t>In filling out this attachment, a full and complete description of each item and justification for the allocation to Columns B-F and each separate ADIT item will be listed,</t>
  </si>
  <si>
    <t>dissimilar items with amounts exceeding $100,000 will be listed separately.</t>
  </si>
  <si>
    <t>Total Undistributed Stores Expense Allocated to Transmission</t>
  </si>
  <si>
    <t>Subtotal - Accounts 928 and 930.1 - Transmission Related</t>
  </si>
  <si>
    <t>5. Deferred income taxes arise when items are included in taxable income in different periods than they are included in rates, therefore if the item giving rise to the ADIT is not included in the formula, the associated ADIT amount shall be excluded.</t>
  </si>
  <si>
    <t>Operations &amp; Maintenance Expense</t>
  </si>
  <si>
    <t>Revenue Requirement</t>
  </si>
  <si>
    <t>Taxes Other than Income Taxes</t>
  </si>
  <si>
    <t>Total Taxes Other than Income Taxes</t>
  </si>
  <si>
    <t>Return \ Capitalization Calculations</t>
  </si>
  <si>
    <t>Description</t>
  </si>
  <si>
    <t>H</t>
  </si>
  <si>
    <t>Source</t>
  </si>
  <si>
    <t>I</t>
  </si>
  <si>
    <t>1 / (1-T)</t>
  </si>
  <si>
    <t>CIT = T / (1-T)</t>
  </si>
  <si>
    <t xml:space="preserve">Line </t>
  </si>
  <si>
    <t>No</t>
  </si>
  <si>
    <t>321.96b</t>
  </si>
  <si>
    <t>321.112b</t>
  </si>
  <si>
    <t>323.185b</t>
  </si>
  <si>
    <t>323.189b</t>
  </si>
  <si>
    <t>Federal FICA</t>
  </si>
  <si>
    <t>Federal Unemployment</t>
  </si>
  <si>
    <t>323.191b</t>
  </si>
  <si>
    <t xml:space="preserve">Other taxes that are incurred through ownership of plant, including transmission plant, will be allocated based on the Net Plant </t>
  </si>
  <si>
    <t>Allocator.  If the taxes are 100% recovered at retail, they shall not be included.</t>
  </si>
  <si>
    <t xml:space="preserve">Other taxes, except as provided for in A, B and C above, which are incurred and (1) are not fully recovered at retail or (2) are </t>
  </si>
  <si>
    <t xml:space="preserve">directly or indirectly related to transmission service, will be allocated based on the Net Plant Allocator; provided, however, that </t>
  </si>
  <si>
    <t>From line 3 above if "No" on line 13 and from line 7 above if "Yes" on line 13</t>
  </si>
  <si>
    <t>354.21b</t>
  </si>
  <si>
    <t>354.27b</t>
  </si>
  <si>
    <t>354.28b</t>
  </si>
  <si>
    <t>Other taxes that are assessed based on labor will be allocated based on the Wages and Salary Allocator.</t>
  </si>
  <si>
    <t>Net Plant Carrying Charge</t>
  </si>
  <si>
    <t>Net Plant Carrying Charge Calculation per 100 Basis Point increase in ROE</t>
  </si>
  <si>
    <t>Net Revenue Requirement per 100 Basis Point increase in ROE</t>
  </si>
  <si>
    <t>Net Plant Carrying Charge per 100 Basis Point increase in ROE</t>
  </si>
  <si>
    <t>Net Plant Carrying Charge per 100 Basis Point in ROE without Depreciation</t>
  </si>
  <si>
    <t xml:space="preserve">Net Plant Carrying Charge </t>
  </si>
  <si>
    <t>Net Plant Carrying Charge without Depreciation</t>
  </si>
  <si>
    <t>Net Plant Carrying Charge without Depreciation, Return, nor Income Taxes</t>
  </si>
  <si>
    <t>Weighted Cost of Preferred</t>
  </si>
  <si>
    <t>Transmission</t>
  </si>
  <si>
    <t>ADIT-190</t>
  </si>
  <si>
    <t>ADIT-283</t>
  </si>
  <si>
    <t>Accumulated Deferred Income Taxes</t>
  </si>
  <si>
    <t xml:space="preserve">Plant </t>
  </si>
  <si>
    <t>Related</t>
  </si>
  <si>
    <t>Labor</t>
  </si>
  <si>
    <t>Instructions for Account 190:</t>
  </si>
  <si>
    <t>Instructions for Account 283:</t>
  </si>
  <si>
    <t>(O)</t>
  </si>
  <si>
    <t>(P)</t>
  </si>
  <si>
    <t>(Q)</t>
  </si>
  <si>
    <t>(R)</t>
  </si>
  <si>
    <t>Instructions for Account 282:</t>
  </si>
  <si>
    <t>Subtotal - p234</t>
  </si>
  <si>
    <t>Plant Related</t>
  </si>
  <si>
    <t>Labor Related</t>
  </si>
  <si>
    <t>Other Included</t>
  </si>
  <si>
    <t>Total Plant Related</t>
  </si>
  <si>
    <t>Total Labor Related</t>
  </si>
  <si>
    <t>Total Other Included</t>
  </si>
  <si>
    <t>Currently Excluded</t>
  </si>
  <si>
    <t>Amount</t>
  </si>
  <si>
    <t>ADIT net of FASB 106 and 109</t>
  </si>
  <si>
    <t>Life</t>
  </si>
  <si>
    <t>CIAC</t>
  </si>
  <si>
    <t>Details</t>
  </si>
  <si>
    <t>Invest Yr</t>
  </si>
  <si>
    <t>FCR for This Project</t>
  </si>
  <si>
    <t xml:space="preserve">Line B less Line A </t>
  </si>
  <si>
    <t>Subtotal General and Intangible Accum. Depreciation Allocated to Transmission</t>
  </si>
  <si>
    <t>Total General and Intangible Plant</t>
  </si>
  <si>
    <t>Allocated Administrative &amp; General Expenses</t>
  </si>
  <si>
    <t>Administrative &amp; General Expenses</t>
  </si>
  <si>
    <t>Administrative &amp; General Expenses Allocated to Transmission</t>
  </si>
  <si>
    <t>Structures and Improvements</t>
  </si>
  <si>
    <t>Revenue</t>
  </si>
  <si>
    <t>Depreciation</t>
  </si>
  <si>
    <t>….</t>
  </si>
  <si>
    <t>…..</t>
  </si>
  <si>
    <t>Incentive Charged</t>
  </si>
  <si>
    <t>Formula Line</t>
  </si>
  <si>
    <t>New Plant Carrying Charge</t>
  </si>
  <si>
    <t>p = percent of federal income tax deductible for state purposes</t>
  </si>
  <si>
    <t>Net Zonal Revenue Requirement</t>
  </si>
  <si>
    <t>by a 40% rate in effect for the remainder of the year will be calculated as: ((.3500 x 120) + (.4000 x 245))/365 = .3836.</t>
  </si>
  <si>
    <t>Transmission Related</t>
  </si>
  <si>
    <t>Other</t>
  </si>
  <si>
    <t>Transmission Depreciation Expense Including Amortization of Limited Term Plant</t>
  </si>
  <si>
    <t>General Depreciation Expense Including Amortization of Limited Term Plant</t>
  </si>
  <si>
    <t>F</t>
  </si>
  <si>
    <t>Operation &amp; Maintenance Expense</t>
  </si>
  <si>
    <t>ITC Adjust. Allocated to Trans. - Grossed Up</t>
  </si>
  <si>
    <t xml:space="preserve">Includes Transmission portion only.  </t>
  </si>
  <si>
    <t>323.197b</t>
  </si>
  <si>
    <t>Land Held for Future Use</t>
  </si>
  <si>
    <t>TO adds weighted Cap Adds to plant in service in Formula</t>
  </si>
  <si>
    <t>(D)</t>
  </si>
  <si>
    <t>(E)</t>
  </si>
  <si>
    <t>(F)</t>
  </si>
  <si>
    <t>(G)</t>
  </si>
  <si>
    <t>(H)</t>
  </si>
  <si>
    <t>(I)</t>
  </si>
  <si>
    <t>(J)</t>
  </si>
  <si>
    <t>(K)</t>
  </si>
  <si>
    <t>(L)</t>
  </si>
  <si>
    <t>(M)</t>
  </si>
  <si>
    <t>Monthly Additions</t>
  </si>
  <si>
    <t>New Transmission Plant Additions  and CWIP (weighted by months in service)</t>
  </si>
  <si>
    <t>(N)</t>
  </si>
  <si>
    <t>Transmission Gross Plant (excluding Land Held for Future Use)</t>
  </si>
  <si>
    <t>Transmission Net Plant (excluding Land Held for Future Use)</t>
  </si>
  <si>
    <t>Rev Req based on Year 1 data</t>
  </si>
  <si>
    <t>Increased Return and Taxes</t>
  </si>
  <si>
    <t>Account 456 - Other Electric Revenues (Note 1)</t>
  </si>
  <si>
    <t>1.  ADIT items related only to Non-Electric Operations (e.g., Gas, Water, Sewer) or Production are directly assigned to Column C</t>
  </si>
  <si>
    <t>2.  ADIT items related only to Transmission are directly assigned to Column D</t>
  </si>
  <si>
    <t>Composite Income Taxes</t>
  </si>
  <si>
    <t>W Increased ROE</t>
  </si>
  <si>
    <t>Year 2</t>
  </si>
  <si>
    <t>Year 3</t>
  </si>
  <si>
    <t xml:space="preserve">Composite Income Taxes                                                                                                       </t>
  </si>
  <si>
    <t>Step</t>
  </si>
  <si>
    <t>Month</t>
  </si>
  <si>
    <t>Year</t>
  </si>
  <si>
    <t>Action</t>
  </si>
  <si>
    <t>April</t>
  </si>
  <si>
    <t>May</t>
  </si>
  <si>
    <t>June</t>
  </si>
  <si>
    <t>Weighting</t>
  </si>
  <si>
    <t>Jan</t>
  </si>
  <si>
    <t>Feb</t>
  </si>
  <si>
    <t>Mar</t>
  </si>
  <si>
    <t>Apr</t>
  </si>
  <si>
    <t>Jun</t>
  </si>
  <si>
    <t>Jul</t>
  </si>
  <si>
    <t>Aug</t>
  </si>
  <si>
    <t>Sep</t>
  </si>
  <si>
    <t>Oct</t>
  </si>
  <si>
    <t>Nov</t>
  </si>
  <si>
    <t>Dec</t>
  </si>
  <si>
    <t>Balance</t>
  </si>
  <si>
    <t>New Transmission Plant Additions for Current Calendar Year  (weighted by months in service)</t>
  </si>
  <si>
    <t>Non-transmission Related</t>
  </si>
  <si>
    <t>Non-safety Related</t>
  </si>
  <si>
    <t>Useful life of the project</t>
  </si>
  <si>
    <t>"Yes" if the customer has paid a lumpsum payment in the amount of the investment on line 29, Otherwise "No"</t>
  </si>
  <si>
    <t>Input the allowed increase in ROE</t>
  </si>
  <si>
    <t>Investment</t>
  </si>
  <si>
    <t>Transmission / Non-transmission Cost Support</t>
  </si>
  <si>
    <t>Regulatory Expense Related to Transmission Cost Support</t>
  </si>
  <si>
    <t>Safety Related Advertising Cost Support</t>
  </si>
  <si>
    <t>Education and Out Reach Cost Support</t>
  </si>
  <si>
    <t>Return Calculation</t>
  </si>
  <si>
    <t>Therefore actual revenues collected in a year do not change based on cost data for subsequent years</t>
  </si>
  <si>
    <t>Rev Req based on Prior Year data</t>
  </si>
  <si>
    <t>Account 454 - Rent from Electric Property</t>
  </si>
  <si>
    <t>Attachment 2 - Taxes Other Than Income Worksheet</t>
  </si>
  <si>
    <t>Attachment 7 - Transmission Enhancement Charge Worksheet</t>
  </si>
  <si>
    <t>Attachment 6</t>
  </si>
  <si>
    <t>Attachment 5</t>
  </si>
  <si>
    <t>Attachment 3</t>
  </si>
  <si>
    <t>Attachment 4</t>
  </si>
  <si>
    <t>Station Equipment</t>
  </si>
  <si>
    <t>Towers and Fixtures</t>
  </si>
  <si>
    <t>Poles and Fixtures</t>
  </si>
  <si>
    <t>Overhead Conductors and Devices</t>
  </si>
  <si>
    <t>Underground Conduit</t>
  </si>
  <si>
    <t>Underground Conductors and Devices</t>
  </si>
  <si>
    <t>Land Rights</t>
  </si>
  <si>
    <t>Store Equipment</t>
  </si>
  <si>
    <t>Laboratory Equipment</t>
  </si>
  <si>
    <t>Communication Equipment</t>
  </si>
  <si>
    <t>Miscellaneous Equipment</t>
  </si>
  <si>
    <t xml:space="preserve">CWIP for Incentive Transmission Projects </t>
  </si>
  <si>
    <t xml:space="preserve">CWIP Balances for Current Rate Year  </t>
  </si>
  <si>
    <t>Accumulated Amortization</t>
  </si>
  <si>
    <t>Adjustments to A &amp; G Expense</t>
  </si>
  <si>
    <t>Total Plant In Rate Base</t>
  </si>
  <si>
    <t>Attachment 2</t>
  </si>
  <si>
    <t>The FCR resulting from Formula in a given year is used for that year only.</t>
  </si>
  <si>
    <t>Less FASB 109 Above if not separately removed</t>
  </si>
  <si>
    <t>Less FASB 106 Above if not separately removed</t>
  </si>
  <si>
    <t>(A)</t>
  </si>
  <si>
    <t>(B)</t>
  </si>
  <si>
    <t xml:space="preserve">Attachment 5 </t>
  </si>
  <si>
    <t>Other taxes that are incurred through ownership of only general or intangible plant will be allocated based on the Wages and Salary</t>
  </si>
  <si>
    <t>321.86b</t>
  </si>
  <si>
    <t>321.88b</t>
  </si>
  <si>
    <t>Appendix A Line #s, Descriptions, Notes, Form No. 1 Page #s and Instructions</t>
  </si>
  <si>
    <t>Form No. 1 Amount</t>
  </si>
  <si>
    <t>Justification</t>
  </si>
  <si>
    <t>Total Income Taxes</t>
  </si>
  <si>
    <t>Summary</t>
  </si>
  <si>
    <t>Net Property, Plant &amp; Equipment</t>
  </si>
  <si>
    <t>Taxes Other than Income</t>
  </si>
  <si>
    <t>Common Stock</t>
  </si>
  <si>
    <t>Revenue Credits</t>
  </si>
  <si>
    <t>C</t>
  </si>
  <si>
    <t>Gross Plant Allocator</t>
  </si>
  <si>
    <t>Total Long Term Debt</t>
  </si>
  <si>
    <t>Total Long Term Debt (WCLTD)</t>
  </si>
  <si>
    <t>J</t>
  </si>
  <si>
    <t>Depreciation Expense</t>
  </si>
  <si>
    <t>Accumulated Depreciation (Total Electric Plant)</t>
  </si>
  <si>
    <t>(Yes or No)</t>
  </si>
  <si>
    <t>Transmission Wages Expense</t>
  </si>
  <si>
    <t>Total Wages Expense</t>
  </si>
  <si>
    <t xml:space="preserve"> </t>
  </si>
  <si>
    <t>E</t>
  </si>
  <si>
    <t>A</t>
  </si>
  <si>
    <t>D</t>
  </si>
  <si>
    <t>G</t>
  </si>
  <si>
    <t>Preferred Stock</t>
  </si>
  <si>
    <t>K</t>
  </si>
  <si>
    <t>Other Taxes</t>
  </si>
  <si>
    <t>Total Cash Working Capital Allocated to Transmission</t>
  </si>
  <si>
    <t>Transmission Materials &amp; Supplies</t>
  </si>
  <si>
    <t>Directly Assigned A&amp;G</t>
  </si>
  <si>
    <t>A&amp;G Directly Assigned to Transmission</t>
  </si>
  <si>
    <t>Adjustment to Remove Revenue Requirements Associated with Excluded Transmission Facilities</t>
  </si>
  <si>
    <t>Excluded Transmission Facilities</t>
  </si>
  <si>
    <t>Included Transmission Facilities</t>
  </si>
  <si>
    <t>Inclusion Ratio</t>
  </si>
  <si>
    <t>Adjusted Gross Revenue Requirement</t>
  </si>
  <si>
    <t>Total Materials &amp; Supplies Allocated to Transmission</t>
  </si>
  <si>
    <t>Materials and Supplies</t>
  </si>
  <si>
    <t>Prepayments</t>
  </si>
  <si>
    <t>Cash Working Capital</t>
  </si>
  <si>
    <t>Allocators</t>
  </si>
  <si>
    <t>Attachment 3 - Revenue Credit Worksheet</t>
  </si>
  <si>
    <t>Less A&amp;G Wages Expense</t>
  </si>
  <si>
    <t>Total Accumulated Depreciation</t>
  </si>
  <si>
    <t>Wages &amp; Salary Allocation Factor</t>
  </si>
  <si>
    <t>Plant In Service</t>
  </si>
  <si>
    <t>Intangible Amortization</t>
  </si>
  <si>
    <t>ITC Adjustment</t>
  </si>
  <si>
    <t>Account 190</t>
  </si>
  <si>
    <t>Account 282</t>
  </si>
  <si>
    <t>Account 283</t>
  </si>
  <si>
    <t>Gas, Prod,</t>
  </si>
  <si>
    <t>Dist Or Other</t>
  </si>
  <si>
    <t>Total Accounts 924 and 930.1 - General</t>
  </si>
  <si>
    <t xml:space="preserve">Net Transmission Plant </t>
  </si>
  <si>
    <t>Gross Revenue Requirement Less Return and Taxes</t>
  </si>
  <si>
    <t>3.  ADIT items related to Plant and not in Columns C &amp; D are included in Column E</t>
  </si>
  <si>
    <t>Amortized Investment Tax Credit - Transmission Related</t>
  </si>
  <si>
    <t>4.  ADIT items related to labor and not in Columns C &amp; D are included in Column F</t>
  </si>
  <si>
    <t>Investment Return = Rate Base * Rate of Return</t>
  </si>
  <si>
    <t>Income Tax Rates</t>
  </si>
  <si>
    <t>Depreciation &amp; Amortization Expense</t>
  </si>
  <si>
    <t>Total Transmission Depreciation &amp; Amortization</t>
  </si>
  <si>
    <t>L</t>
  </si>
  <si>
    <t>Transmission O&amp;M</t>
  </si>
  <si>
    <t>Wages &amp; Salary Allocator</t>
  </si>
  <si>
    <t>Total Transmission O&amp;M</t>
  </si>
  <si>
    <t>Total A&amp;G</t>
  </si>
  <si>
    <t>Transmission Plant In Service</t>
  </si>
  <si>
    <t>Plant Calculations</t>
  </si>
  <si>
    <t>Net Plant</t>
  </si>
  <si>
    <t>Net Plant Allocator</t>
  </si>
  <si>
    <t>Rate Base</t>
  </si>
  <si>
    <t xml:space="preserve">Income Tax Component = </t>
  </si>
  <si>
    <t>Plant Allocation Factors</t>
  </si>
  <si>
    <t>1/8th Rule</t>
  </si>
  <si>
    <t>Total</t>
  </si>
  <si>
    <t>B</t>
  </si>
  <si>
    <t>Proprietary Capital</t>
  </si>
  <si>
    <t>T / (1-T)</t>
  </si>
  <si>
    <t>Amortized Investment Tax Credit</t>
  </si>
  <si>
    <t>Transmission Accumulated Depreciation</t>
  </si>
  <si>
    <t>Electric Plant in Service</t>
  </si>
  <si>
    <t>Investment Return</t>
  </si>
  <si>
    <t>Income Taxes</t>
  </si>
  <si>
    <t>Criteria for Allocation:</t>
  </si>
  <si>
    <t>Attachment 5 - Cost Support</t>
  </si>
  <si>
    <t>336.1d</t>
  </si>
  <si>
    <t>336.7d</t>
  </si>
  <si>
    <t>336.7b</t>
  </si>
  <si>
    <t>336.10d</t>
  </si>
  <si>
    <t>336.10b</t>
  </si>
  <si>
    <t>Attachment 6 - Estimate and Reconciliation Worksheet</t>
  </si>
  <si>
    <t>Result of Formula for Reconciliation</t>
  </si>
  <si>
    <t>The calculation of the Reconciliation revenue requirement according to Step 7 of Attachment 6 ("Estimate and Reconciliation Worksheet") shall reflect the</t>
  </si>
  <si>
    <t>Gross Revenue Requirement</t>
  </si>
  <si>
    <t>p</t>
  </si>
  <si>
    <t>(percent of federal income tax deductible for state purposes)</t>
  </si>
  <si>
    <t>Notes</t>
  </si>
  <si>
    <t>Allocator</t>
  </si>
  <si>
    <t>Fixed</t>
  </si>
  <si>
    <t>T</t>
  </si>
  <si>
    <t>Net Revenue Requirement</t>
  </si>
  <si>
    <t xml:space="preserve">    Less Property Insurance Account 924</t>
  </si>
  <si>
    <t xml:space="preserve">    Less Regulatory Commission Exp Account 928</t>
  </si>
  <si>
    <t xml:space="preserve">    Less General Advertising Exp Account 930.1</t>
  </si>
  <si>
    <t>Regulatory Commission Exp Account 928</t>
  </si>
  <si>
    <t>Property Insurance Account 924</t>
  </si>
  <si>
    <t>Debt Cost</t>
  </si>
  <si>
    <t>Common Cost</t>
  </si>
  <si>
    <t>Weighted Cost of Debt</t>
  </si>
  <si>
    <t>Weighted Cost of Common</t>
  </si>
  <si>
    <t>Accumulated General Depreciation</t>
  </si>
  <si>
    <t>Preferred Cost</t>
  </si>
  <si>
    <t>Rate of Return on Rate Base ( ROR )</t>
  </si>
  <si>
    <t>Undistributed Stores Expense</t>
  </si>
  <si>
    <t xml:space="preserve">Subtotal - p277  </t>
  </si>
  <si>
    <t xml:space="preserve">Subtotal - p275  </t>
  </si>
  <si>
    <t>Excludes prior period adjustments in the first year of the formula's operation and reconciliation for the first year.</t>
  </si>
  <si>
    <t>(S)</t>
  </si>
  <si>
    <t>Value</t>
  </si>
  <si>
    <t>Page</t>
  </si>
  <si>
    <t>Column</t>
  </si>
  <si>
    <t>227.16c</t>
  </si>
  <si>
    <t>227.8c</t>
  </si>
  <si>
    <t>336.1e</t>
  </si>
  <si>
    <t>214.47d</t>
  </si>
  <si>
    <t>234.18c</t>
  </si>
  <si>
    <t>i</t>
  </si>
  <si>
    <t>Appendix A</t>
  </si>
  <si>
    <t>Real Property (Arizona)</t>
  </si>
  <si>
    <t>Real Property (California)</t>
  </si>
  <si>
    <t>Real Property (Colorado)</t>
  </si>
  <si>
    <t>Real Property (Idaho)</t>
  </si>
  <si>
    <t>Real Property (Montana)</t>
  </si>
  <si>
    <t>Real Property (New Mexico)</t>
  </si>
  <si>
    <t>Real Property (Oregon)</t>
  </si>
  <si>
    <t>Real Property (Utah)</t>
  </si>
  <si>
    <t>Real Property (Washington)</t>
  </si>
  <si>
    <t>Real Property (Wyoming)</t>
  </si>
  <si>
    <t>Transmission CWIP</t>
  </si>
  <si>
    <t>Employee Benefits</t>
  </si>
  <si>
    <t>Possessory taxes</t>
  </si>
  <si>
    <t xml:space="preserve">Description &amp; Documentation </t>
  </si>
  <si>
    <t>January</t>
  </si>
  <si>
    <t>February</t>
  </si>
  <si>
    <t>March</t>
  </si>
  <si>
    <t>July</t>
  </si>
  <si>
    <t>August</t>
  </si>
  <si>
    <t>September</t>
  </si>
  <si>
    <t>October</t>
  </si>
  <si>
    <t>November</t>
  </si>
  <si>
    <t>December</t>
  </si>
  <si>
    <t>e</t>
  </si>
  <si>
    <t>g</t>
  </si>
  <si>
    <t xml:space="preserve">Facility Credits under Section 30.9 of the OATT </t>
  </si>
  <si>
    <t>Energy Gateway</t>
  </si>
  <si>
    <t>Construction Materials &amp; Supplies</t>
  </si>
  <si>
    <t>Construction Materials &amp; Supplies Allocated to Transmission</t>
  </si>
  <si>
    <t>PacifiCorp</t>
  </si>
  <si>
    <t>FERC Account</t>
  </si>
  <si>
    <t>Account Number</t>
  </si>
  <si>
    <t>A/Amort-Soft Dev</t>
  </si>
  <si>
    <t>A/Amort-Oth Intang</t>
  </si>
  <si>
    <t>A/Amort-Oth Lic/Hydr</t>
  </si>
  <si>
    <t>Prepaid Dues</t>
  </si>
  <si>
    <t>Prepaid Rent</t>
  </si>
  <si>
    <t>Prepaid Royalties</t>
  </si>
  <si>
    <t>Prepaid Mining Costs</t>
  </si>
  <si>
    <t>Total Prepayments</t>
  </si>
  <si>
    <t>(Gateway only)</t>
  </si>
  <si>
    <t>Transmission Incentive Credit</t>
  </si>
  <si>
    <t>Attachment 7</t>
  </si>
  <si>
    <t>State income tax rate</t>
  </si>
  <si>
    <t>Federal income tax rate</t>
  </si>
  <si>
    <t>Percent of federal income tax deductible for state purposes</t>
  </si>
  <si>
    <t>Common cost of equity</t>
  </si>
  <si>
    <t>Based on FERC 930.1 download</t>
  </si>
  <si>
    <t>Total Common Stock</t>
  </si>
  <si>
    <t>ID</t>
  </si>
  <si>
    <t>ff1_page</t>
  </si>
  <si>
    <t>ff1_line</t>
  </si>
  <si>
    <t>ff1_col</t>
  </si>
  <si>
    <t>column_name</t>
  </si>
  <si>
    <t>c</t>
  </si>
  <si>
    <t>current_yr_total</t>
  </si>
  <si>
    <t>amt2</t>
  </si>
  <si>
    <t>yr_end_bal</t>
  </si>
  <si>
    <t>d</t>
  </si>
  <si>
    <t>balance</t>
  </si>
  <si>
    <t>electric_plant</t>
  </si>
  <si>
    <t>f</t>
  </si>
  <si>
    <t>k</t>
  </si>
  <si>
    <t>end_yr_bal</t>
  </si>
  <si>
    <t>b</t>
  </si>
  <si>
    <t>crnt_yr_amt</t>
  </si>
  <si>
    <t>amount</t>
  </si>
  <si>
    <t>depr_expn</t>
  </si>
  <si>
    <t>limterm_elc_plnt</t>
  </si>
  <si>
    <t>othr_elc_plnt</t>
  </si>
  <si>
    <t>drct_pyrl_dstrbt</t>
  </si>
  <si>
    <t>ff1_map</t>
  </si>
  <si>
    <t>227.5c</t>
  </si>
  <si>
    <t>114.19c</t>
  </si>
  <si>
    <t xml:space="preserve">    Less Membership Dues</t>
  </si>
  <si>
    <t>Post results of Step 3</t>
  </si>
  <si>
    <t>Real Property</t>
  </si>
  <si>
    <t>Possessory - Goshute</t>
  </si>
  <si>
    <t>Possessory - Sho-Ban</t>
  </si>
  <si>
    <t>Possessory - Navajo</t>
  </si>
  <si>
    <t>Possessory - Ute</t>
  </si>
  <si>
    <t>Possessory - Crow</t>
  </si>
  <si>
    <t>Possessory - Umatilla</t>
  </si>
  <si>
    <t>State Unemployment</t>
  </si>
  <si>
    <t>Annual Report - Wyoming</t>
  </si>
  <si>
    <t>Annual Report</t>
  </si>
  <si>
    <t xml:space="preserve">     Less: Account 565</t>
  </si>
  <si>
    <t>321.87b</t>
  </si>
  <si>
    <t>321.89b</t>
  </si>
  <si>
    <t>Short-term firm and non-firm service revenues for which the load is not included in the divisor received by Transmission Owner</t>
  </si>
  <si>
    <t>Network Upgrade Balance</t>
  </si>
  <si>
    <t>Interest on Network Upgrade Facilities</t>
  </si>
  <si>
    <t>Other adjustments to rate base</t>
  </si>
  <si>
    <t>Other Transmission PIS</t>
  </si>
  <si>
    <t>Supervisory Equipment</t>
  </si>
  <si>
    <t>Clearing &amp; Grading</t>
  </si>
  <si>
    <t>Structures and Improvements - Office Panels</t>
  </si>
  <si>
    <t>Office Furniture and Equipment</t>
  </si>
  <si>
    <t>Office Furniture and Equipment - Personal Computers</t>
  </si>
  <si>
    <t>Tools, Shop and Garage Equipment</t>
  </si>
  <si>
    <t>Communication Equipment - Mobile Radio Equipment</t>
  </si>
  <si>
    <t>FAS 133 Derivatives:</t>
  </si>
  <si>
    <t>Electric:</t>
  </si>
  <si>
    <t>Rounding</t>
  </si>
  <si>
    <t>Roads &amp; Trails</t>
  </si>
  <si>
    <t>A/C</t>
  </si>
  <si>
    <t> Rate</t>
  </si>
  <si>
    <t>Rate</t>
  </si>
  <si>
    <t>(a)</t>
  </si>
  <si>
    <t>(b)</t>
  </si>
  <si>
    <t>( c )</t>
  </si>
  <si>
    <t>( d)</t>
  </si>
  <si>
    <t>(e)</t>
  </si>
  <si>
    <t>(f)</t>
  </si>
  <si>
    <t>(i)</t>
  </si>
  <si>
    <t>Notes:</t>
  </si>
  <si>
    <t>Montana taxes based on generation from the Colstrip and Big Fork plants</t>
  </si>
  <si>
    <t>Idaho tax based on generation</t>
  </si>
  <si>
    <t>Oregon tax assessed by the state Department of Energy, based primarily on retail sales to our customers in the state</t>
  </si>
  <si>
    <t>Miscellaneous taxes, audit settlements, and other charges unrelated to wholesale transactions</t>
  </si>
  <si>
    <t>City fees based on retail revenue to the end customers served</t>
  </si>
  <si>
    <t>Washington tax based on retail revenue to end customers</t>
  </si>
  <si>
    <t>Oregon</t>
  </si>
  <si>
    <t>Washington</t>
  </si>
  <si>
    <t>California</t>
  </si>
  <si>
    <t>Utah</t>
  </si>
  <si>
    <t>Idaho</t>
  </si>
  <si>
    <t>Attachment 10 - Accumulated Amortization of Plant in Service</t>
  </si>
  <si>
    <t>Attachment 11 - Prepayments</t>
  </si>
  <si>
    <t>Attachment 12 - Plant Held for Future Use</t>
  </si>
  <si>
    <t>General and Intangible Allocated to Transmission</t>
  </si>
  <si>
    <t>General Depreciation and Intangible Amortization Functionalized to Transmission</t>
  </si>
  <si>
    <t>Class</t>
  </si>
  <si>
    <t>General Plant</t>
  </si>
  <si>
    <t>Acquisition value</t>
  </si>
  <si>
    <t>Attachment 8 - Depreciation Rates</t>
  </si>
  <si>
    <t>Attachment 14</t>
  </si>
  <si>
    <t>Attachment 15 - GSU and Associated Equipment</t>
  </si>
  <si>
    <t>Attachment 15</t>
  </si>
  <si>
    <t>( g )</t>
  </si>
  <si>
    <t>( h)</t>
  </si>
  <si>
    <t>(j)</t>
  </si>
  <si>
    <t>(k)</t>
  </si>
  <si>
    <t>(l)</t>
  </si>
  <si>
    <t>(m)</t>
  </si>
  <si>
    <t>(n)</t>
  </si>
  <si>
    <t>Rate ($/MW-year)</t>
  </si>
  <si>
    <t>A/Amort-LsHld Imprmt</t>
  </si>
  <si>
    <t>Prep Ins-All Purpose Insurance</t>
  </si>
  <si>
    <t>Prep Ins-D&amp;O Liability</t>
  </si>
  <si>
    <t>Prep Ins-Minority Owned Plants</t>
  </si>
  <si>
    <t>Prepaid Workers Compensation</t>
  </si>
  <si>
    <t>Prepaid Employee Benefit Costs</t>
  </si>
  <si>
    <t>I/C Prepaid Captive Prop Insur - MEHC</t>
  </si>
  <si>
    <t>I/C Prepaid Captive Liab Insur - MEHC</t>
  </si>
  <si>
    <t>OR-Prepaid Property Tax</t>
  </si>
  <si>
    <t>Prepaid Taxes (Federal, State, Local)</t>
  </si>
  <si>
    <t>Other Prepayments - Oregon DOE Fee</t>
  </si>
  <si>
    <t>Prepaid Emissions Permit Fees (UT)</t>
  </si>
  <si>
    <t>Prepaid Rating Agency Fees</t>
  </si>
  <si>
    <t>Other Prepay-Ashton Plant Land</t>
  </si>
  <si>
    <t>Other Prepay - Lease Commissions</t>
  </si>
  <si>
    <t>Prepayments - Water Rights Lease</t>
  </si>
  <si>
    <t>Prepayments - Water Rights (Ferron Canal)</t>
  </si>
  <si>
    <t>Prepayments - Water Rights (Hntngtn-Clev)</t>
  </si>
  <si>
    <t>Prepaid OR Renewal &amp; Habitat Restoration</t>
  </si>
  <si>
    <t>Prepaid Pole Contact Rental</t>
  </si>
  <si>
    <t>Prepaid O&amp;M - Wind</t>
  </si>
  <si>
    <t>Prepaid LGIA Transmission</t>
  </si>
  <si>
    <t>Prepaid BPA Transmission - Wine Country</t>
  </si>
  <si>
    <t>Prepayments - Other</t>
  </si>
  <si>
    <t>Prep Fees-Oregon Pub Util Commission</t>
  </si>
  <si>
    <t>Prep Fees-Utah Public Service Commission</t>
  </si>
  <si>
    <t>Prep Fees-Idaho Pub Util Commission</t>
  </si>
  <si>
    <t>Prepayments - Hardware &amp; Software</t>
  </si>
  <si>
    <t>Prepayments - Insurance - Reclass to L-T</t>
  </si>
  <si>
    <t>Prepayments - Reclass to Long-Term</t>
  </si>
  <si>
    <t>Long-Term Prepayments - Reclass from Current</t>
  </si>
  <si>
    <t>Prepaid Interest Company-Owned Life Ins</t>
  </si>
  <si>
    <t>Prepaid Interest - SERP Life Insurance</t>
  </si>
  <si>
    <t>TO populates the formula with Year 1 data from FERC Form No. 1 data for Year 1 (e.g., 2010)</t>
  </si>
  <si>
    <t>TO estimates all transmission Cap Adds and CWIP for Year 2 weighted based on Months expected to be in service in Year 2 (e.g., 2011)</t>
  </si>
  <si>
    <t>Results of Step 3 go into effect for the Rate Year 1 (e.g., June 1, 2011 - May 31, 2012)</t>
  </si>
  <si>
    <t>TO populates the formula with Year 2 data from FERC Form No. 1 for Year 2 (e.g., 2011)</t>
  </si>
  <si>
    <t>TO estimates Cap Adds and CWIP during Year 3 weighted based on Months expected to be in service in Year 3 (e.g., 2012)</t>
  </si>
  <si>
    <t>Taxes Other Than Income</t>
  </si>
  <si>
    <t>ATTACHMENT H-1</t>
  </si>
  <si>
    <t>Revenue Credits:</t>
  </si>
  <si>
    <t>Summary of Rates</t>
  </si>
  <si>
    <t>Reference</t>
  </si>
  <si>
    <t>OATT Transmission Rate Formula Template Using Form 1 Data</t>
  </si>
  <si>
    <t>Total Revenue Credits</t>
  </si>
  <si>
    <t>Annual Transmission Revenue Requirement</t>
  </si>
  <si>
    <t>Interest on Network Upgrades</t>
  </si>
  <si>
    <t>FERC Acct</t>
  </si>
  <si>
    <t>ADIT-282</t>
  </si>
  <si>
    <t>(C)</t>
  </si>
  <si>
    <t>Sch. 282 Below</t>
  </si>
  <si>
    <t>Sch. 283 Below</t>
  </si>
  <si>
    <t>Sch. 190 Below</t>
  </si>
  <si>
    <t>Company</t>
  </si>
  <si>
    <t>Schedule ADIT-190</t>
  </si>
  <si>
    <t>Form 1 Reference</t>
  </si>
  <si>
    <t>Subtotal ADIT</t>
  </si>
  <si>
    <t>Sub-total Transmission Related ADIT</t>
  </si>
  <si>
    <t>Total Transmission ADIT</t>
  </si>
  <si>
    <t>Schedule ADIT-282</t>
  </si>
  <si>
    <t>Segment B</t>
  </si>
  <si>
    <t>Segment C</t>
  </si>
  <si>
    <t>Segment D</t>
  </si>
  <si>
    <t>Segment E</t>
  </si>
  <si>
    <t>Segment F</t>
  </si>
  <si>
    <t>Segment G</t>
  </si>
  <si>
    <t>Segment H</t>
  </si>
  <si>
    <t>Total (Segments A-H)</t>
  </si>
  <si>
    <t>Amount (K x L)</t>
  </si>
  <si>
    <t>Amount (J x L)</t>
  </si>
  <si>
    <t>Amount (A x L)</t>
  </si>
  <si>
    <t>No change in ROE will be made absent a filing at FERC.</t>
  </si>
  <si>
    <t>Includes Regulatory Commission Expenses directly related to transmission service.</t>
  </si>
  <si>
    <t>Accrued CIC Severance</t>
  </si>
  <si>
    <t>FAS 158 Pension Liability</t>
  </si>
  <si>
    <t>FAS 158 Post-Retirement Liability</t>
  </si>
  <si>
    <t>FAS 158 SERP Liability</t>
  </si>
  <si>
    <t>FAS 133 Derivatives - Current</t>
  </si>
  <si>
    <t>Regulatory Liabilities:</t>
  </si>
  <si>
    <t>SB 1149 Costs</t>
  </si>
  <si>
    <t>Other Deferred Assets:</t>
  </si>
  <si>
    <t>- - - - -</t>
  </si>
  <si>
    <t>Deferred Revenue - Citibank</t>
  </si>
  <si>
    <t>FAS 143 ARO Liability</t>
  </si>
  <si>
    <t>Redding Contract - Prepaid</t>
  </si>
  <si>
    <t>Bear River Settlement Agreement</t>
  </si>
  <si>
    <t>Reverse Accrued Final Reclamation</t>
  </si>
  <si>
    <t>Accrued Royalties</t>
  </si>
  <si>
    <t>Coal Pile Inventory Adjustment</t>
  </si>
  <si>
    <t>Accrued Insurance Premium Tax</t>
  </si>
  <si>
    <t>Account 281</t>
  </si>
  <si>
    <t>Accelerated Pollution Control Facilities Depreciation</t>
  </si>
  <si>
    <t>Instructions for Account 281:</t>
  </si>
  <si>
    <t>Book Depreciation</t>
  </si>
  <si>
    <t>Sec. 481a Adjustment - Repair Deduction</t>
  </si>
  <si>
    <t>Tax Depreciation</t>
  </si>
  <si>
    <t>Capitalized Depreciation</t>
  </si>
  <si>
    <t>Reimbursements</t>
  </si>
  <si>
    <t xml:space="preserve">Avoided Costs </t>
  </si>
  <si>
    <t>Capitalization of Test Energy</t>
  </si>
  <si>
    <t>§1031 Exchange</t>
  </si>
  <si>
    <t>Coal Mine Development</t>
  </si>
  <si>
    <t>R &amp; E - Sec.174 Deduction</t>
  </si>
  <si>
    <t>Reclass to Pollution Control Facilities Depreciation</t>
  </si>
  <si>
    <t>Basis Intangible Difference</t>
  </si>
  <si>
    <t>Amortization NOPAs 99-00 RAR</t>
  </si>
  <si>
    <t>Tax Depletion-SRC</t>
  </si>
  <si>
    <t>Deferred Coal Costs - Naughton Contract Settlement</t>
  </si>
  <si>
    <t>TGS Buyout</t>
  </si>
  <si>
    <t>Joseph Settlement</t>
  </si>
  <si>
    <t>Hermiston Swap</t>
  </si>
  <si>
    <t>Prepaid Taxes - OR PUC</t>
  </si>
  <si>
    <t>Prepaid Taxes - UT PUC</t>
  </si>
  <si>
    <t>Prepaid Taxes - ID PUC</t>
  </si>
  <si>
    <t>Prepaid Membership Fees</t>
  </si>
  <si>
    <t xml:space="preserve">Prepaid Taxes - Property Taxes </t>
  </si>
  <si>
    <t>Trapper Mining Stock Basis</t>
  </si>
  <si>
    <t>Unrealized Gain/Loss from Trading Securities</t>
  </si>
  <si>
    <t>ADIT-281</t>
  </si>
  <si>
    <t>Sch. 281 Below</t>
  </si>
  <si>
    <t>Navajo Nation</t>
  </si>
  <si>
    <t>WA Bus &amp; Occup</t>
  </si>
  <si>
    <t>Without Incentive</t>
  </si>
  <si>
    <t>Enter negative</t>
  </si>
  <si>
    <t>Sum (Lines 1 to 4)</t>
  </si>
  <si>
    <t>Plant in Service Worksheet</t>
  </si>
  <si>
    <t>Attachment A Line #s, Descriptions, Notes, Form 1 Page #s and Instructions</t>
  </si>
  <si>
    <t>Calculation of Transmission  Plant In Service</t>
  </si>
  <si>
    <t xml:space="preserve">June </t>
  </si>
  <si>
    <t xml:space="preserve">October </t>
  </si>
  <si>
    <t>Calculation of Distribution Plant In Service</t>
  </si>
  <si>
    <t>Distribution Plant In Service</t>
  </si>
  <si>
    <t>Calculation of Intangible Plant In Service</t>
  </si>
  <si>
    <t>Intangible Plant In Service</t>
  </si>
  <si>
    <t>Calculation of General Plant In Service</t>
  </si>
  <si>
    <t>General Plant In Service</t>
  </si>
  <si>
    <t>Calculation of Production Plant In Service</t>
  </si>
  <si>
    <t>Production Plant In Service</t>
  </si>
  <si>
    <t>Total Plant In Service</t>
  </si>
  <si>
    <t>Accumulated Depreciation Worksheet</t>
  </si>
  <si>
    <t>Calculation of Transmission Accumulated Depreciation</t>
  </si>
  <si>
    <t>Calculation of Distribution Accumulated Depreciation</t>
  </si>
  <si>
    <t>Distribution Accumulated Depreciation</t>
  </si>
  <si>
    <t>Calculation of Intangible Accumulated Depreciation</t>
  </si>
  <si>
    <t>Accumulated Intangible Depreciation</t>
  </si>
  <si>
    <t>Calculation of General Accumulated Depreciation</t>
  </si>
  <si>
    <t>Calculation of Production Accumulated Depreciation</t>
  </si>
  <si>
    <t>Production Accumulated Depreciation</t>
  </si>
  <si>
    <t>Monthly Balances</t>
  </si>
  <si>
    <t>Prior Year</t>
  </si>
  <si>
    <t>Current Year</t>
  </si>
  <si>
    <t>Materials &amp; Supplies</t>
  </si>
  <si>
    <t>M</t>
  </si>
  <si>
    <t>N</t>
  </si>
  <si>
    <t>O</t>
  </si>
  <si>
    <t>begin_yr_bal</t>
  </si>
  <si>
    <t>Electric Plant Sold</t>
  </si>
  <si>
    <t>321.84b</t>
  </si>
  <si>
    <t>12 CP Monthly Peak (MW)</t>
  </si>
  <si>
    <t>Divisor - 12 Month Average Transmission Peak (MW)</t>
  </si>
  <si>
    <t xml:space="preserve">     Less: Cost of Providing Ancillary Services Accounts 561.0-5</t>
  </si>
  <si>
    <t>MW</t>
  </si>
  <si>
    <t>Short-term firm</t>
  </si>
  <si>
    <t>Short-term non-firm</t>
  </si>
  <si>
    <t xml:space="preserve">Schedule 1 Reconciliation </t>
  </si>
  <si>
    <t>Losses</t>
  </si>
  <si>
    <t>Abandoned Plant Amortization</t>
  </si>
  <si>
    <t>Abandoned Plant</t>
  </si>
  <si>
    <t xml:space="preserve">Unamortized Abandoned Plant </t>
  </si>
  <si>
    <t xml:space="preserve">actual tax rates in effect for the Rate Year, as defined in Attachment H-2, being reconciled ("Test Year").  When statutory marginal tax rates change during such Test Year, </t>
  </si>
  <si>
    <t xml:space="preserve">The 12 CP monthly peak is the average of the 12 monthly system peaks calculated as the Network customers Monthly Network Load (Section 34.2 of the OATT) plus the </t>
  </si>
  <si>
    <t xml:space="preserve">Any gain from the sale of land included in Land Held for Future Use in the Formula Rate received during the Rate Year, as defined in Attachment H-2,  </t>
  </si>
  <si>
    <t>shall be used to reduce the ATRR in the Rate Year.  The Formula Rate shall not include any losses on sales of such land.</t>
  </si>
  <si>
    <t>Includes all Regulatory Commission Expenses.</t>
  </si>
  <si>
    <t>Adjustment reflects exclusion of tax receivables due to 2008 NOLs, which resulted in MidAmerican Energy Holdings Company delivering refund to PacifiCorp.</t>
  </si>
  <si>
    <t>Placeholder that is zero until PacifiCorp receives authorization by FERC to include amounts.</t>
  </si>
  <si>
    <t>The Update uses end of year balances and the True-up uses 13 monthly averages shown on Attachment 5.</t>
  </si>
  <si>
    <t>reserve capacity of all long term firm point-to-point customers.</t>
  </si>
  <si>
    <t xml:space="preserve">the effective tax rates used in the formula shall be weighted by the number of days each such rate was in effect.  For example, a 35% rate in effect for 120 days superseded </t>
  </si>
  <si>
    <t>Attachment 1A - Accumulated Deferred Income Taxes (ADIT) Worksheet</t>
  </si>
  <si>
    <t>Schedule ADIT-281</t>
  </si>
  <si>
    <t>Schedule ADIT-283</t>
  </si>
  <si>
    <t>Line 14 plus (line 5 times line 13)/100</t>
  </si>
  <si>
    <t xml:space="preserve">with plant expected to be energized and placed in service (as defined by the Uniform System of Accounts) in that month.  The True-Up Adjustment will reflect the actual </t>
  </si>
  <si>
    <t>Beginning of Year Total  (Attachment 1)</t>
  </si>
  <si>
    <t>Total End of Year Transmission ADIT</t>
  </si>
  <si>
    <t>(o)</t>
  </si>
  <si>
    <t xml:space="preserve">Wind Generation Facilities </t>
  </si>
  <si>
    <t>34.5 kV Facilities</t>
  </si>
  <si>
    <t>Unfunded Reserves</t>
  </si>
  <si>
    <t>Direct Assignment: Transmission Fixed Assets</t>
  </si>
  <si>
    <t>Direct Assignment: Intangible Fixed Assets</t>
  </si>
  <si>
    <t>Direct Assignment: General Fixed Assets</t>
  </si>
  <si>
    <t>Plant</t>
  </si>
  <si>
    <t xml:space="preserve">    Less Regulatory Asset Amortizations Account 930.2</t>
  </si>
  <si>
    <t>Pole Attachments - Transmission Related</t>
  </si>
  <si>
    <t>Distribution Underbuild - Transmission Related</t>
  </si>
  <si>
    <t>Various Rents - Transmission Related</t>
  </si>
  <si>
    <t>Distribution Underbuild</t>
  </si>
  <si>
    <t>Wyoming</t>
  </si>
  <si>
    <t>AZ, CO, MT, NM</t>
  </si>
  <si>
    <t>The columns labeled "Balance" are the amount of investment physically located in each state.</t>
  </si>
  <si>
    <t>The plant balance is updated each month as new plant is added.</t>
  </si>
  <si>
    <t>The balances to be reported in the columns labeled "Balances" in any update are the weighted 13-month average balances for the rate year.</t>
  </si>
  <si>
    <t>FERC Form No. 1 Data</t>
  </si>
  <si>
    <t>Attachment  11</t>
  </si>
  <si>
    <t xml:space="preserve">date the plant was energized and placed in service. </t>
  </si>
  <si>
    <t>P</t>
  </si>
  <si>
    <t>Projected capital additions will include only the capital costs associated with plant expected to be energized and placed in service (as defined by the Uniform System of Accounts) in that month.  The True-Up Adjustment will reflect the actual date the plant was energized and placed in service.</t>
  </si>
  <si>
    <t>CWIP</t>
  </si>
  <si>
    <t>Row</t>
  </si>
  <si>
    <t>Unclassified Transmission</t>
  </si>
  <si>
    <t>Unclassified General</t>
  </si>
  <si>
    <t>Leasehold Improvements - Gen</t>
  </si>
  <si>
    <t xml:space="preserve">Depreciation Rates shown in rows 1 through 24 were approved by each of the Company's respective state jurisdictions during the last depreciation study. </t>
  </si>
  <si>
    <t>"Company Rate" shows the depreciation rate approved by all of the jurisdictions on a total company basis.</t>
  </si>
  <si>
    <t xml:space="preserve">Unclassified Transmission represents the transmission additions placed in service but not yet classified to a FERC level account. Monthly depreciation is calculated by multiplying the month's beginning unclassified balance by the monthly transmission composite depreciation rate. </t>
  </si>
  <si>
    <t xml:space="preserve">Unclassified General represents the general plant additions placed in service but not yet classified to a FERC level account. Monthly depreciation is calculated by multiplying the month's beginning unclassified balance by the monthly state general plant composite depreciation rate. </t>
  </si>
  <si>
    <t>Transfers into the General amortized accounts (rows 15 through 20, 22, and 23) are depreciated over the remaining life based on the account life.</t>
  </si>
  <si>
    <t>Depreciation expense for General plant is decreased by the amount that is billed to joint owners for computer hardware.</t>
  </si>
  <si>
    <t>Amortization expense for Intangible is decreased by the amount that is billed to joint owners for computer software.</t>
  </si>
  <si>
    <t>Q</t>
  </si>
  <si>
    <t>R</t>
  </si>
  <si>
    <t>S</t>
  </si>
  <si>
    <t>Total Accumulated Depreciation and Amortization</t>
  </si>
  <si>
    <t>Accumulated Depreciation and Amortization</t>
  </si>
  <si>
    <t>Form 1, pg 256, various ln, col a,b</t>
  </si>
  <si>
    <t>Net Proceeds Long Term Debt</t>
  </si>
  <si>
    <t>Total Long Term Debt Cost</t>
  </si>
  <si>
    <t>Form 1, pg 112, ln 3 c, d</t>
  </si>
  <si>
    <t>Form 1, pg 112, ln 13 c, d (portion)</t>
  </si>
  <si>
    <t>Form 1, pg 112, ln 6 c, d (portion)</t>
  </si>
  <si>
    <t>Form 1, pg 112, ln 10 c, d (portion)</t>
  </si>
  <si>
    <t xml:space="preserve">Total Preferred Stock </t>
  </si>
  <si>
    <t>Preferred Dividend</t>
  </si>
  <si>
    <t>Form 1, pg 118, ln 29 c</t>
  </si>
  <si>
    <t>Common Stock Issued (201)</t>
  </si>
  <si>
    <t>Preferred Stock Issued (204)</t>
  </si>
  <si>
    <t>Premium on Preferred Stock (207)</t>
  </si>
  <si>
    <t>Other Paid-In Capital (211)</t>
  </si>
  <si>
    <t>Accumulated Other Comprehensive Income (219)</t>
  </si>
  <si>
    <t>Bonds (221)</t>
  </si>
  <si>
    <t>Reacquired Bonds (222)</t>
  </si>
  <si>
    <t>Advances from Associated Companies (223)</t>
  </si>
  <si>
    <t>Other Long-Term Debt (224)</t>
  </si>
  <si>
    <t>Unamortized Premium (225)</t>
  </si>
  <si>
    <t>Unamortized Discount (226)</t>
  </si>
  <si>
    <t>Unamortized Gain On Reacquired Debt (257)</t>
  </si>
  <si>
    <t>Return and Taxes with 100 Basis Point increase in ROE</t>
  </si>
  <si>
    <t>100 Basis Point increase in ROE and Income Taxes</t>
  </si>
  <si>
    <t>Long Term Debt Cost</t>
  </si>
  <si>
    <t>Preferred Stock and Dividend</t>
  </si>
  <si>
    <t>Federal Energy Regulatory Commission:</t>
  </si>
  <si>
    <t>Annual Fee</t>
  </si>
  <si>
    <t>Transmission Rate Case</t>
  </si>
  <si>
    <t xml:space="preserve">Accumulated General and Intangible Depreciation </t>
  </si>
  <si>
    <t>Excluded Membership Dues Expense</t>
  </si>
  <si>
    <t>National Electric Energy Testing Research and Application Center</t>
  </si>
  <si>
    <t>Sept</t>
  </si>
  <si>
    <t xml:space="preserve">Jul </t>
  </si>
  <si>
    <t>RS / SA</t>
  </si>
  <si>
    <t>Network + OS + LTP</t>
  </si>
  <si>
    <t>Total LTP</t>
  </si>
  <si>
    <t>LTP</t>
  </si>
  <si>
    <t>Divisor</t>
  </si>
  <si>
    <t>Iberdrola</t>
  </si>
  <si>
    <t>Idaho Power</t>
  </si>
  <si>
    <t>Black Hills, Inc.</t>
  </si>
  <si>
    <t>Customer</t>
  </si>
  <si>
    <t>g13</t>
  </si>
  <si>
    <t>g12</t>
  </si>
  <si>
    <t>g10</t>
  </si>
  <si>
    <t>g8</t>
  </si>
  <si>
    <t>g7</t>
  </si>
  <si>
    <t>g6</t>
  </si>
  <si>
    <t>g5</t>
  </si>
  <si>
    <t>g4</t>
  </si>
  <si>
    <t>g3</t>
  </si>
  <si>
    <t>g2</t>
  </si>
  <si>
    <t>g1</t>
  </si>
  <si>
    <t>&amp; OS</t>
  </si>
  <si>
    <t>RS 280</t>
  </si>
  <si>
    <t>RS 637</t>
  </si>
  <si>
    <t>RS 297</t>
  </si>
  <si>
    <t>SA 175</t>
  </si>
  <si>
    <t>SA 506</t>
  </si>
  <si>
    <t>SA 347</t>
  </si>
  <si>
    <t>SA 505</t>
  </si>
  <si>
    <t>SA 299</t>
  </si>
  <si>
    <t>SA 628</t>
  </si>
  <si>
    <t>SA 538</t>
  </si>
  <si>
    <t>SA 539</t>
  </si>
  <si>
    <t>SA 229</t>
  </si>
  <si>
    <t>SA 328</t>
  </si>
  <si>
    <t>Total Network</t>
  </si>
  <si>
    <t>Total OS</t>
  </si>
  <si>
    <t>OS</t>
  </si>
  <si>
    <t>Total NFO</t>
  </si>
  <si>
    <t>NFO</t>
  </si>
  <si>
    <t>NFS</t>
  </si>
  <si>
    <t>Deseret</t>
  </si>
  <si>
    <t>UMPA</t>
  </si>
  <si>
    <t>UAMPS</t>
  </si>
  <si>
    <t>WAPA</t>
  </si>
  <si>
    <t xml:space="preserve">USBR </t>
  </si>
  <si>
    <t>Black Hills</t>
  </si>
  <si>
    <t>Basin Electric</t>
  </si>
  <si>
    <t xml:space="preserve"> Tri-State</t>
  </si>
  <si>
    <t>BPA Oregon Wind</t>
  </si>
  <si>
    <t>BPA: Benton REA</t>
  </si>
  <si>
    <t>BPA Gazley</t>
  </si>
  <si>
    <t>BPA Yakama</t>
  </si>
  <si>
    <t>j</t>
  </si>
  <si>
    <t>j4</t>
  </si>
  <si>
    <t>j3</t>
  </si>
  <si>
    <t>j2</t>
  </si>
  <si>
    <t>j1</t>
  </si>
  <si>
    <t>f12</t>
  </si>
  <si>
    <t>f11</t>
  </si>
  <si>
    <t>f10</t>
  </si>
  <si>
    <t>f9</t>
  </si>
  <si>
    <t>f8</t>
  </si>
  <si>
    <t>f7</t>
  </si>
  <si>
    <t>f6</t>
  </si>
  <si>
    <t>f5</t>
  </si>
  <si>
    <t>f4</t>
  </si>
  <si>
    <t>f3</t>
  </si>
  <si>
    <t>f2</t>
  </si>
  <si>
    <t>f1</t>
  </si>
  <si>
    <t>Other Service</t>
  </si>
  <si>
    <t>OATT (Part III - Network Service)</t>
  </si>
  <si>
    <t>Time</t>
  </si>
  <si>
    <t>Day</t>
  </si>
  <si>
    <t xml:space="preserve">Behind-the </t>
  </si>
  <si>
    <t>Meter</t>
  </si>
  <si>
    <t xml:space="preserve">Total Network </t>
  </si>
  <si>
    <t>Load</t>
  </si>
  <si>
    <t>100% Transmission</t>
  </si>
  <si>
    <t>Account Calculation</t>
  </si>
  <si>
    <t>Charged to:</t>
  </si>
  <si>
    <t>Accrued Liability:</t>
  </si>
  <si>
    <t>g19</t>
  </si>
  <si>
    <t>g11</t>
  </si>
  <si>
    <t>g14</t>
  </si>
  <si>
    <t>g15</t>
  </si>
  <si>
    <t>Powerex</t>
  </si>
  <si>
    <t>Miscellaneous Intangible Plant</t>
  </si>
  <si>
    <t>Franchises and Consents</t>
  </si>
  <si>
    <t>These line items will include only the balances associated with long-term debt and shall exclude balances associated with short-term debt.</t>
  </si>
  <si>
    <t>Unamortized Loss On Reacquired Debt (189)</t>
  </si>
  <si>
    <t>Unappropriated Undistributed Subsidiary Earnings (216.1)</t>
  </si>
  <si>
    <t>Specific Transmission related Regulatory Expenses</t>
  </si>
  <si>
    <t>Intangible Plant</t>
  </si>
  <si>
    <t>Worksheet</t>
  </si>
  <si>
    <t>Attachment 13</t>
  </si>
  <si>
    <t>Distribution Underbuild - Transmission related</t>
  </si>
  <si>
    <t>detail below</t>
  </si>
  <si>
    <t>Detail for selected items above</t>
  </si>
  <si>
    <t>Miscellaneous General Revenues</t>
  </si>
  <si>
    <t xml:space="preserve">Weekly Firm/Non-Firm Rate ($/kW-week) </t>
  </si>
  <si>
    <t xml:space="preserve">Transmission Rate ($/kW-month) </t>
  </si>
  <si>
    <t>Line 1 - Line 4 + Line 5 + Line 6</t>
  </si>
  <si>
    <t>Acct 454 - Allocable to Transmission</t>
  </si>
  <si>
    <t xml:space="preserve">Acct 456 - Allocable to Transmission </t>
  </si>
  <si>
    <t>Rates:</t>
  </si>
  <si>
    <t>Daily Firm/Non-Firm Rates:</t>
  </si>
  <si>
    <t>On-Peak Days ($/kW)</t>
  </si>
  <si>
    <t>Off-Peak Days ($/kW)</t>
  </si>
  <si>
    <t>Non-Firm Hourly Rates:</t>
  </si>
  <si>
    <t>On-Peak Hours ($/MWh)</t>
  </si>
  <si>
    <t>Off-Peak Hours ($/MWh)</t>
  </si>
  <si>
    <t>BoY-EoY Average</t>
  </si>
  <si>
    <t>Plant-related</t>
  </si>
  <si>
    <t>Labor-related</t>
  </si>
  <si>
    <t>Category</t>
  </si>
  <si>
    <t>Account Description</t>
  </si>
  <si>
    <t>13-month average</t>
  </si>
  <si>
    <t>12-month sum</t>
  </si>
  <si>
    <t>12-month sum 
(enter positive)</t>
  </si>
  <si>
    <t>Form 1, pg 112, ln 18 c,d</t>
  </si>
  <si>
    <t>Form 1, pg 112, ln 19 c,d</t>
  </si>
  <si>
    <t>Form 1, pg 112, ln 21 c,d</t>
  </si>
  <si>
    <t>Form 1, pg 112, ln 12 c, d</t>
  </si>
  <si>
    <t>Form 1, pg 112, ln 15 c, d</t>
  </si>
  <si>
    <t>Form 1, pg 112, ln 16 c,d</t>
  </si>
  <si>
    <t>13-month average 
(enter negative)</t>
  </si>
  <si>
    <t>T = 1 - {[(1 - SIT) * (1 - FIT)] / (1 - SIT * FIT * p)} =</t>
  </si>
  <si>
    <t>FIT = Federal Income Tax Rate</t>
  </si>
  <si>
    <t>SIT = State Income Tax Rate or Composite</t>
  </si>
  <si>
    <t>Account 221 Bonds</t>
  </si>
  <si>
    <t>Account 204 Preferred Stock Issued</t>
  </si>
  <si>
    <t>Less Account 214 Capital Stock Expense (preferred)</t>
  </si>
  <si>
    <t>Account 207 Premium on Preferred Stock</t>
  </si>
  <si>
    <t>Appendix A Line</t>
  </si>
  <si>
    <t>Account 223 Long-term Advances from Associated Cos.</t>
  </si>
  <si>
    <t>Long-Term Debt</t>
  </si>
  <si>
    <t>Account 224 Other Long-term Debt</t>
  </si>
  <si>
    <t>Gross Proceeds Outstanding Long-term Debt</t>
  </si>
  <si>
    <t>Less Account 429 Amortized Premium</t>
  </si>
  <si>
    <t>Account 428 Amortized Debt Discount and Expense</t>
  </si>
  <si>
    <t>Less: Account 216.1 Unappropriated Undistributed Subsidiary Earnings</t>
  </si>
  <si>
    <t>Account 207-208 Other Paid-In Capital (preferred)</t>
  </si>
  <si>
    <t>Less: Account 219</t>
  </si>
  <si>
    <r>
      <t xml:space="preserve">Reacquired Capital Stock (217) </t>
    </r>
    <r>
      <rPr>
        <b/>
        <sz val="10"/>
        <color rgb="FFFF0000"/>
        <rFont val="Arial"/>
        <family val="2"/>
      </rPr>
      <t>PREFERRED ONLY</t>
    </r>
  </si>
  <si>
    <r>
      <t xml:space="preserve">Other Paid-In Capital (207-208) </t>
    </r>
    <r>
      <rPr>
        <b/>
        <sz val="10"/>
        <color rgb="FFFF0000"/>
        <rFont val="Arial"/>
        <family val="2"/>
      </rPr>
      <t>PREFERRED ONLY</t>
    </r>
  </si>
  <si>
    <r>
      <t xml:space="preserve">Discount on Capital Stock (213) </t>
    </r>
    <r>
      <rPr>
        <b/>
        <sz val="10"/>
        <color rgb="FFFF0000"/>
        <rFont val="Arial"/>
        <family val="2"/>
      </rPr>
      <t>PREFERRED ONLY</t>
    </r>
  </si>
  <si>
    <r>
      <t xml:space="preserve">Capital Stock Expense (214) </t>
    </r>
    <r>
      <rPr>
        <b/>
        <sz val="10"/>
        <color rgb="FFFF0000"/>
        <rFont val="Arial"/>
        <family val="2"/>
      </rPr>
      <t>PREFERRED ONLY</t>
    </r>
  </si>
  <si>
    <r>
      <t xml:space="preserve">Reference </t>
    </r>
    <r>
      <rPr>
        <sz val="12"/>
        <rFont val="Arial"/>
        <family val="2"/>
      </rPr>
      <t>(FERC Form 1 reference, attachment, or instruction)</t>
    </r>
  </si>
  <si>
    <t>Amort Debt Discount and Expense (428)</t>
  </si>
  <si>
    <t>Amort Loss on Reacquired Debt (428.1)</t>
  </si>
  <si>
    <t>Amort Premium (429)</t>
  </si>
  <si>
    <t>Amort Gain on Reacquired Debt (429.1)</t>
  </si>
  <si>
    <t>Unamortized Debt Expense (181)</t>
  </si>
  <si>
    <t>Note 3</t>
  </si>
  <si>
    <t>Transmission for Others</t>
  </si>
  <si>
    <t>Net revenues associated with Network Integration Transmission Service (NITS) for which the load is not included in the divisor</t>
  </si>
  <si>
    <t>Note 2</t>
  </si>
  <si>
    <t>Facilities Charges including Interconnection Agreements</t>
  </si>
  <si>
    <t>Account 456.2</t>
  </si>
  <si>
    <t xml:space="preserve">Transmission maintenance revenue </t>
  </si>
  <si>
    <t>Account 454 subtotal</t>
  </si>
  <si>
    <t>Account 456 subtotal</t>
  </si>
  <si>
    <t>Note 1</t>
  </si>
  <si>
    <t>If the costs associated with the Directly Assigned Transmission Facility Charges are included in the Rates, the associated revenues are included in the Rates.  If the costs associated with the Directly Assigned Transmission Facility Charges are not included in the Rates, the associated revenues are not included in the Rates.</t>
  </si>
  <si>
    <r>
      <t xml:space="preserve">Reference </t>
    </r>
    <r>
      <rPr>
        <sz val="12"/>
        <rFont val="Arial"/>
        <family val="2"/>
      </rPr>
      <t>(Appendix A Line or Source)</t>
    </r>
  </si>
  <si>
    <t>Third party attachments</t>
  </si>
  <si>
    <t>Common pole location fixed annual revenue credit</t>
  </si>
  <si>
    <t>Long Term Debt Cost = 
Long Term Debt Cost / 
Net Proceeds Long Term Debt</t>
  </si>
  <si>
    <t>Preferred Stock cost  =  Preferred Dividends / 
Total Preferred Stock</t>
  </si>
  <si>
    <t>Per state tax code</t>
  </si>
  <si>
    <t>Debt percent</t>
  </si>
  <si>
    <t>Preferred percent</t>
  </si>
  <si>
    <t>Common percent</t>
  </si>
  <si>
    <t>Accounts with Unfunded Reserve Balances contributed by customers</t>
  </si>
  <si>
    <t>Total Transmission-related Unfunded Reserves</t>
  </si>
  <si>
    <t>SAP Account</t>
  </si>
  <si>
    <t>Reserve type</t>
  </si>
  <si>
    <t>Adjustments To Rate Base</t>
  </si>
  <si>
    <t>Shaded cells are inputs</t>
  </si>
  <si>
    <t>353.4 Class Assets</t>
  </si>
  <si>
    <t>Total 353.4 Class Assets</t>
  </si>
  <si>
    <t>Totals</t>
  </si>
  <si>
    <t>Total ($ millions)</t>
  </si>
  <si>
    <t>CIT = (T/1-T) * Investment Return * (1-(WCLTD/R)) =</t>
  </si>
  <si>
    <t>ITC Adjustment x 1 / (1-T)</t>
  </si>
  <si>
    <t>(T/1-T) * Investment Return * (1-(WCLTD/ROR)) =</t>
  </si>
  <si>
    <t>Network Service Rate</t>
  </si>
  <si>
    <r>
      <t xml:space="preserve">Description </t>
    </r>
    <r>
      <rPr>
        <sz val="10"/>
        <rFont val="Arial"/>
        <family val="2"/>
      </rPr>
      <t>(Account)</t>
    </r>
  </si>
  <si>
    <t>Less Account 213 Discount on Capital Stock (preferred)</t>
  </si>
  <si>
    <t>(Enter positive)</t>
  </si>
  <si>
    <t>Less Hedging Expense</t>
  </si>
  <si>
    <t>Page 263, 
Col (i)</t>
  </si>
  <si>
    <t>Allocated Amount</t>
  </si>
  <si>
    <t>n/a</t>
  </si>
  <si>
    <t>Attachment 1A</t>
  </si>
  <si>
    <t>Total - PacifiCorp</t>
  </si>
  <si>
    <t>Plant in Service - Accumulated Amortization Detail</t>
  </si>
  <si>
    <t>Revenue Credit Detail</t>
  </si>
  <si>
    <t>Attachment 13 - Revenue Credit Detail</t>
  </si>
  <si>
    <t>Total Miscellaneous General Revenue</t>
  </si>
  <si>
    <r>
      <t xml:space="preserve">As Filed 
</t>
    </r>
    <r>
      <rPr>
        <sz val="11"/>
        <color theme="1"/>
        <rFont val="As Filed "/>
      </rPr>
      <t>1=Revenue credit 
0=Denominator Treatment</t>
    </r>
  </si>
  <si>
    <t>Third parties</t>
  </si>
  <si>
    <t>Total short-term firm</t>
  </si>
  <si>
    <t>Total short-term non-firm</t>
  </si>
  <si>
    <t>Short-term revenue</t>
  </si>
  <si>
    <t>Total Allocated Miscellaneous General Revenue</t>
  </si>
  <si>
    <t>PacifiCorp Commercial and Trading (C&amp;T)</t>
  </si>
  <si>
    <t>Total Allocated to Transmission by Category</t>
  </si>
  <si>
    <t>Other Service (OS) contracts</t>
  </si>
  <si>
    <r>
      <rPr>
        <b/>
        <sz val="10"/>
        <rFont val="Arial"/>
        <family val="2"/>
      </rPr>
      <t>Prior Year</t>
    </r>
    <r>
      <rPr>
        <sz val="10"/>
        <rFont val="Arial"/>
        <family val="2"/>
      </rPr>
      <t xml:space="preserve"> (month end)</t>
    </r>
  </si>
  <si>
    <r>
      <rPr>
        <b/>
        <sz val="10"/>
        <rFont val="Arial"/>
        <family val="2"/>
      </rPr>
      <t xml:space="preserve">Current Year </t>
    </r>
    <r>
      <rPr>
        <sz val="10"/>
        <rFont val="Arial"/>
        <family val="2"/>
      </rPr>
      <t>(month end)</t>
    </r>
  </si>
  <si>
    <t>(Dollar values in millions)</t>
  </si>
  <si>
    <t>j5</t>
  </si>
  <si>
    <t>APS</t>
  </si>
  <si>
    <t>RS 436</t>
  </si>
  <si>
    <t>CWIP Balance Dec (prior year)</t>
  </si>
  <si>
    <t>Instruction Summary</t>
  </si>
  <si>
    <t xml:space="preserve">Worksheet </t>
  </si>
  <si>
    <t xml:space="preserve">    Less Actual PBOP Expense Adjustment</t>
  </si>
  <si>
    <t>Short term firm and non-firm</t>
  </si>
  <si>
    <t>Att 1a</t>
  </si>
  <si>
    <t>Columns and rows may be added to accommodate more projects</t>
  </si>
  <si>
    <t>Company records</t>
  </si>
  <si>
    <t>Total Company</t>
  </si>
  <si>
    <t>Gas, Prod., Dist., or Other</t>
  </si>
  <si>
    <r>
      <t xml:space="preserve">Attachment 9a1 - Load </t>
    </r>
    <r>
      <rPr>
        <sz val="12"/>
        <color theme="1"/>
        <rFont val="Arial"/>
        <family val="2"/>
      </rPr>
      <t>(Current Year)</t>
    </r>
  </si>
  <si>
    <r>
      <t xml:space="preserve">Network Service Rate </t>
    </r>
    <r>
      <rPr>
        <sz val="14"/>
        <rFont val="Arial"/>
        <family val="2"/>
      </rPr>
      <t>($/MW-year)</t>
    </r>
  </si>
  <si>
    <t>By Category</t>
  </si>
  <si>
    <t>Form 1, pg 257, ln 33 i</t>
  </si>
  <si>
    <t>Form 1, pg 112, ln 23 c,d</t>
  </si>
  <si>
    <t>Form 1, pg 111, ln 69 c,d</t>
  </si>
  <si>
    <t>Form 1, pg 111, ln 81 c,d</t>
  </si>
  <si>
    <t>Form 1, pg 112, ln 22 c,d</t>
  </si>
  <si>
    <t>Form 1, pg 113, ln 61 c,d</t>
  </si>
  <si>
    <t>Form 1, pg 112, ln 7 c, d (portion)</t>
  </si>
  <si>
    <t>Form 1, pg 112, ln 9 c, d (portion)</t>
  </si>
  <si>
    <t>Form 1, pg 117, ln 66 c (portion)</t>
  </si>
  <si>
    <t>Form 1, pg 117, ln 65 c (portion)</t>
  </si>
  <si>
    <t>Form 1, pg 117, ln 64 c (portion)</t>
  </si>
  <si>
    <t>Form 1, pg 117, ln 63 c (portion)</t>
  </si>
  <si>
    <t>Hedging Expense (as noted in Appendix A, Note R)</t>
  </si>
  <si>
    <t>Total Intangible Amortization</t>
  </si>
  <si>
    <t>Beginning of Current Year</t>
  </si>
  <si>
    <t>End of Current Year for Projection and Average of Beginning and End of Current Year for True-up</t>
  </si>
  <si>
    <t>PBOP</t>
  </si>
  <si>
    <t>Actual PBOP expense</t>
  </si>
  <si>
    <t>Property Insurance</t>
  </si>
  <si>
    <r>
      <t xml:space="preserve">Operation 
</t>
    </r>
    <r>
      <rPr>
        <sz val="10"/>
        <rFont val="Arial"/>
        <family val="2"/>
      </rPr>
      <t>to apply to monthly input columns at right</t>
    </r>
  </si>
  <si>
    <t>Less: Total Preferred Stock</t>
  </si>
  <si>
    <t>OATT Part II Long-Term Firm Point-to-Point Transmission Service</t>
  </si>
  <si>
    <t xml:space="preserve">Transmission Rate ($/kW-year) </t>
  </si>
  <si>
    <t>Annual amortization for gains and losses on hedges.</t>
  </si>
  <si>
    <t>Unamortized balance for gains and losses on hedges.</t>
  </si>
  <si>
    <t>Fixed Charge Rate (FCR) if not Contributions in Aid of Construction (CIAC)</t>
  </si>
  <si>
    <t>FCR if CIAC</t>
  </si>
  <si>
    <r>
      <t xml:space="preserve">Appendix A input value 
</t>
    </r>
    <r>
      <rPr>
        <sz val="10"/>
        <rFont val="Arial"/>
        <family val="2"/>
      </rPr>
      <t>(result of operation specified in column to left on monthly data)</t>
    </r>
  </si>
  <si>
    <t xml:space="preserve">fixed </t>
  </si>
  <si>
    <t>Accounts 427 and 430 Long Term Interest Expense</t>
  </si>
  <si>
    <r>
      <t xml:space="preserve">Interest on Long Term (427) and Associated Companies (430) 
</t>
    </r>
    <r>
      <rPr>
        <b/>
        <sz val="10"/>
        <color rgb="FFFF0000"/>
        <rFont val="Arial"/>
        <family val="2"/>
      </rPr>
      <t>LONG TERM ONLY</t>
    </r>
  </si>
  <si>
    <t>-</t>
  </si>
  <si>
    <t>Allocator (100% Transmission; Net Plant; Wages &amp; Salary)</t>
  </si>
  <si>
    <t>Att 1</t>
  </si>
  <si>
    <t>Sum Cols. (C), (D), (E)</t>
  </si>
  <si>
    <t>Asset Class 353.40 - GSU (generator step-up) and Associated Equipment &amp; 
Asset Class 345 - Accessory Electrical Equipment</t>
  </si>
  <si>
    <t>Input/Total</t>
  </si>
  <si>
    <t>Reconciliation - actual data</t>
  </si>
  <si>
    <t>Less Regulatory Asset Amortizations Account 930.2</t>
  </si>
  <si>
    <t>Utility Investment Tax Credit Adj. - Net (411.4)</t>
  </si>
  <si>
    <t>The equity ratio is capped at 53%, and if the actual equity ratio exceeds 53%, then the debt ratio will be equal to 1 minus the preferred stock ratio minus 53%.</t>
  </si>
  <si>
    <t>Attachment 9b - Load Divisor for True up</t>
  </si>
  <si>
    <t>Unprinted notes</t>
  </si>
  <si>
    <t>Appendix A input</t>
  </si>
  <si>
    <t>Attachment 9a - Load Divisor for Projection</t>
  </si>
  <si>
    <t>Appendix A Input</t>
  </si>
  <si>
    <t>If the facilities associated with the revenues are not included in the formula, the revenue is shown here, but not included in the total above and explained in the Cost Support, (e.g., revenues associated with distribution facilities).</t>
  </si>
  <si>
    <t>(561.1) Load Dispatch-Reliability</t>
  </si>
  <si>
    <t>(561.2) Load Dispatch-Monitor and Operate Transmission System</t>
  </si>
  <si>
    <t>(561.3) Load Dispatch-Transmission Service and Scheduling</t>
  </si>
  <si>
    <t>(561.4) Scheduling, System Control and Dispatch Services</t>
  </si>
  <si>
    <t>(561.5) Reliability, Planning and Standards Development</t>
  </si>
  <si>
    <t>Total 561 Costs for Schedule 1 Annual Revenue Requirement</t>
  </si>
  <si>
    <t>Schedule 1 Annual Revenue Requirement</t>
  </si>
  <si>
    <t>Average 12-Month Demand - Current Year (kW)</t>
  </si>
  <si>
    <t>Rate in $/kW - Yearly</t>
  </si>
  <si>
    <t>Rate in $/kW - Monthly</t>
  </si>
  <si>
    <t>Rate in $/kW - Weekly</t>
  </si>
  <si>
    <t>Rate in $/kW - Daily On-Peak</t>
  </si>
  <si>
    <t>Rate in $/kW - Daily Off-Peak</t>
  </si>
  <si>
    <t>Rate in $/MW - Hourly On-Peak</t>
  </si>
  <si>
    <t>Rate in $/MW - Hourly Off-Peak</t>
  </si>
  <si>
    <t>&lt;--Appendix A input</t>
  </si>
  <si>
    <t>&lt;-- Appendix A input.</t>
  </si>
  <si>
    <t>&lt;-- Attachment 3 input</t>
  </si>
  <si>
    <t>Detail for transmission-related value on Attachment 12</t>
  </si>
  <si>
    <t>Enter Average State Income Tax Rate</t>
  </si>
  <si>
    <t>True-up</t>
  </si>
  <si>
    <t>Detail/notes</t>
  </si>
  <si>
    <t>Footnotes</t>
  </si>
  <si>
    <t>Attachment 9a/9b</t>
  </si>
  <si>
    <t>The Update uses end of year balances and the True-up uses the average of beginning of year and end of year balances shown on Attachments.</t>
  </si>
  <si>
    <t xml:space="preserve">General Advertising Exp Account 930.1 - Education and Outreach </t>
  </si>
  <si>
    <t xml:space="preserve">General Advertising Exp Account 930.1 - Safety-related Advertising </t>
  </si>
  <si>
    <t>Multistate worksheet</t>
  </si>
  <si>
    <t>(Note R)</t>
  </si>
  <si>
    <t>Interest Locks</t>
  </si>
  <si>
    <r>
      <t xml:space="preserve">December 
</t>
    </r>
    <r>
      <rPr>
        <sz val="10"/>
        <rFont val="Arial"/>
        <family val="2"/>
      </rPr>
      <t>month end</t>
    </r>
  </si>
  <si>
    <r>
      <t xml:space="preserve">January 
</t>
    </r>
    <r>
      <rPr>
        <sz val="10"/>
        <rFont val="Arial"/>
        <family val="2"/>
      </rPr>
      <t>month end</t>
    </r>
  </si>
  <si>
    <r>
      <t xml:space="preserve">February 
</t>
    </r>
    <r>
      <rPr>
        <sz val="10"/>
        <rFont val="Arial"/>
        <family val="2"/>
      </rPr>
      <t>month end</t>
    </r>
  </si>
  <si>
    <r>
      <t xml:space="preserve">March 
</t>
    </r>
    <r>
      <rPr>
        <sz val="10"/>
        <rFont val="Arial"/>
        <family val="2"/>
      </rPr>
      <t>month end</t>
    </r>
  </si>
  <si>
    <r>
      <t xml:space="preserve">April 
</t>
    </r>
    <r>
      <rPr>
        <sz val="10"/>
        <rFont val="Arial"/>
        <family val="2"/>
      </rPr>
      <t>month end</t>
    </r>
  </si>
  <si>
    <r>
      <t xml:space="preserve">May 
</t>
    </r>
    <r>
      <rPr>
        <sz val="10"/>
        <rFont val="Arial"/>
        <family val="2"/>
      </rPr>
      <t>month end</t>
    </r>
  </si>
  <si>
    <r>
      <t xml:space="preserve">June 
</t>
    </r>
    <r>
      <rPr>
        <sz val="10"/>
        <rFont val="Arial"/>
        <family val="2"/>
      </rPr>
      <t>month end</t>
    </r>
  </si>
  <si>
    <r>
      <t xml:space="preserve">July 
</t>
    </r>
    <r>
      <rPr>
        <sz val="10"/>
        <rFont val="Arial"/>
        <family val="2"/>
      </rPr>
      <t>month end</t>
    </r>
  </si>
  <si>
    <r>
      <t xml:space="preserve">August 
</t>
    </r>
    <r>
      <rPr>
        <sz val="10"/>
        <rFont val="Arial"/>
        <family val="2"/>
      </rPr>
      <t>month end</t>
    </r>
  </si>
  <si>
    <r>
      <t xml:space="preserve">September
</t>
    </r>
    <r>
      <rPr>
        <sz val="10"/>
        <rFont val="Arial"/>
        <family val="2"/>
      </rPr>
      <t>month end</t>
    </r>
  </si>
  <si>
    <r>
      <t xml:space="preserve">October
</t>
    </r>
    <r>
      <rPr>
        <sz val="10"/>
        <rFont val="Arial"/>
        <family val="2"/>
      </rPr>
      <t>month end</t>
    </r>
  </si>
  <si>
    <r>
      <t xml:space="preserve">November 
</t>
    </r>
    <r>
      <rPr>
        <sz val="10"/>
        <rFont val="Arial"/>
        <family val="2"/>
      </rPr>
      <t>month end</t>
    </r>
  </si>
  <si>
    <t>FERC Form 1 page # / Reference</t>
  </si>
  <si>
    <r>
      <t xml:space="preserve">Transmission CWIP 
</t>
    </r>
    <r>
      <rPr>
        <sz val="10"/>
        <rFont val="Arial Narrow"/>
        <family val="2"/>
      </rPr>
      <t>(Energy Gateway only)</t>
    </r>
  </si>
  <si>
    <t>Schedule 1 - Rate Calculations</t>
  </si>
  <si>
    <r>
      <rPr>
        <sz val="11"/>
        <rFont val="Arial"/>
        <family val="2"/>
      </rPr>
      <t xml:space="preserve">Att 3 input: </t>
    </r>
    <r>
      <rPr>
        <b/>
        <sz val="11"/>
        <rFont val="Arial"/>
        <family val="2"/>
      </rPr>
      <t>Total OS contract revenue credits</t>
    </r>
  </si>
  <si>
    <r>
      <rPr>
        <sz val="11"/>
        <color theme="1"/>
        <rFont val="Arial"/>
        <family val="2"/>
      </rPr>
      <t xml:space="preserve">Att. 3 input: </t>
    </r>
    <r>
      <rPr>
        <b/>
        <sz val="11"/>
        <color theme="1"/>
        <rFont val="Arial"/>
        <family val="2"/>
      </rPr>
      <t>Total short term-firm and non-firm revenue</t>
    </r>
  </si>
  <si>
    <r>
      <rPr>
        <sz val="10"/>
        <rFont val="Arial"/>
        <family val="2"/>
      </rPr>
      <t xml:space="preserve">Attachment 5 input: </t>
    </r>
    <r>
      <rPr>
        <b/>
        <sz val="10"/>
        <rFont val="Arial"/>
        <family val="2"/>
      </rPr>
      <t>Total - Transmission</t>
    </r>
  </si>
  <si>
    <r>
      <rPr>
        <sz val="10"/>
        <color theme="1"/>
        <rFont val="Arial"/>
        <family val="2"/>
      </rPr>
      <t xml:space="preserve">Appendix A input: </t>
    </r>
    <r>
      <rPr>
        <b/>
        <sz val="10"/>
        <color theme="1"/>
        <rFont val="Arial"/>
        <family val="2"/>
      </rPr>
      <t>Total Allocated to Transmission</t>
    </r>
  </si>
  <si>
    <r>
      <rPr>
        <sz val="10"/>
        <rFont val="Arial"/>
        <family val="2"/>
      </rPr>
      <t xml:space="preserve">Appendix A input: </t>
    </r>
    <r>
      <rPr>
        <b/>
        <sz val="10"/>
        <rFont val="Arial"/>
        <family val="2"/>
      </rPr>
      <t>Total Assets to Exclude</t>
    </r>
  </si>
  <si>
    <t>Attachment 4 - Calculation of 100 Basis Point Increase in ROE</t>
  </si>
  <si>
    <t>Attachment 14 - Cost of Capital Detail</t>
  </si>
  <si>
    <t>PacifiCorp will include only the gains and losses on interest rate locks for new debt issuances. Attachment 14 – Cost of Capital Detail will list the unamortized balance and annual amortization for all gains and losses on hedges.</t>
  </si>
  <si>
    <t>Attachment 16 - Unfunded Reserves</t>
  </si>
  <si>
    <t>Attachment 16</t>
  </si>
  <si>
    <t>Appendix B - Schedule 1: Scheduling, System Control and Dispatch Service</t>
  </si>
  <si>
    <t>Appendix A - Formula Rate</t>
  </si>
  <si>
    <t>Subtotal Excluded Taxes</t>
  </si>
  <si>
    <t xml:space="preserve">(b) PacifiCorp shall provide a draft to the other Parties of any such lead-lag study at least sixty (60) days prior to making any filing described in (a) with the Commission; and </t>
  </si>
  <si>
    <t xml:space="preserve">PacifiCorp shall use FERC’s 1/8th method for cash working capital subject to the following limitations: </t>
  </si>
  <si>
    <t xml:space="preserve">(a) PacifiCorp shall be required to file a lead-lag study justifying the appropriate cash working capital allowance to be effective, subject to refund, as of June 1, 2014; provided, however, that if PacifiCorp does not file a study in the time required, the amount of cash working capital allowance includable in the calculation of the ATRR under the Formula shall be zero dollars ($0.00)  as of June 1, 2014, and shall remain at zero until such time as the Commission, in response to a PacifiCorp filing of a lead-lag study, authorizes a cash working capital allowance;  </t>
  </si>
  <si>
    <t>IRC 46(f)1 adjustment</t>
  </si>
  <si>
    <t>(enter negative in Appendix A)</t>
  </si>
  <si>
    <t>Rate Base Adjustment</t>
  </si>
  <si>
    <t>Internal Revenue Code (IRC) 46(f)(1) adjustment to rate base</t>
  </si>
  <si>
    <t>Inputs_FF1_Map</t>
  </si>
  <si>
    <t>Inputs_EndYrBal</t>
  </si>
  <si>
    <t>Address where used</t>
  </si>
  <si>
    <t>FERC Form 1 reference</t>
  </si>
  <si>
    <t>Description, account, classification</t>
  </si>
  <si>
    <t>Location in model</t>
  </si>
  <si>
    <t>fixed</t>
  </si>
  <si>
    <t>Linked description, account, classification</t>
  </si>
  <si>
    <t>ROE basis point adder for Energy Gateway projects</t>
  </si>
  <si>
    <t xml:space="preserve">Fixed Inputs </t>
  </si>
  <si>
    <t>Line number/
cell reference</t>
  </si>
  <si>
    <t>Value/reference check</t>
  </si>
  <si>
    <t>Inputs_EndYrBal_prior</t>
  </si>
  <si>
    <t>Prior year</t>
  </si>
  <si>
    <t>Current year</t>
  </si>
  <si>
    <t>sum</t>
  </si>
  <si>
    <t>Amortization of limited term electric plant (404)</t>
  </si>
  <si>
    <t>Depreciation expense (403)</t>
  </si>
  <si>
    <t>Transmission Plant</t>
  </si>
  <si>
    <t>Intangible plant</t>
  </si>
  <si>
    <t>Amortization of other electric plant (405)</t>
  </si>
  <si>
    <t>FERC Form 1 Data Consolidation</t>
  </si>
  <si>
    <t>Increased ROE (basis points)</t>
  </si>
  <si>
    <t>Att 5 - Cost Support</t>
  </si>
  <si>
    <t>Materials and Supplies section</t>
  </si>
  <si>
    <t>Total is informational only</t>
  </si>
  <si>
    <t>Input value</t>
  </si>
  <si>
    <t>Fixed settlement value</t>
  </si>
  <si>
    <t>(561) Load Dispatching</t>
  </si>
  <si>
    <t>321.85b</t>
  </si>
  <si>
    <t>Adjustment for Ancillary Services Accounts 561-561.5</t>
  </si>
  <si>
    <t>Plus adjustments</t>
  </si>
  <si>
    <r>
      <t xml:space="preserve">Transmission Related 
</t>
    </r>
    <r>
      <rPr>
        <b/>
        <sz val="12"/>
        <color theme="0"/>
        <rFont val="Arial"/>
        <family val="2"/>
      </rPr>
      <t>Appendix A input</t>
    </r>
  </si>
  <si>
    <t>Adj to transmission O&amp;M section</t>
  </si>
  <si>
    <t>Att 5 - Cost Support, Att 12 - Plant held for future use</t>
  </si>
  <si>
    <r>
      <t xml:space="preserve">Safety Related </t>
    </r>
    <r>
      <rPr>
        <b/>
        <sz val="12"/>
        <color theme="0"/>
        <rFont val="Arial"/>
        <family val="2"/>
      </rPr>
      <t>Appendix A Input</t>
    </r>
  </si>
  <si>
    <r>
      <t xml:space="preserve">Education &amp; Outreach </t>
    </r>
    <r>
      <rPr>
        <b/>
        <sz val="12"/>
        <color theme="0"/>
        <rFont val="Arial"/>
        <family val="2"/>
      </rPr>
      <t>Appendix A Input</t>
    </r>
  </si>
  <si>
    <t>Adj to A&amp;G expense section</t>
  </si>
  <si>
    <t>Depreciation Expense section</t>
  </si>
  <si>
    <t>Check</t>
  </si>
  <si>
    <t>Model worksheet</t>
  </si>
  <si>
    <r>
      <t xml:space="preserve">Data from Company records </t>
    </r>
    <r>
      <rPr>
        <sz val="11"/>
        <color indexed="10"/>
        <rFont val="Arial"/>
        <family val="2"/>
      </rPr>
      <t>(Manual Input)</t>
    </r>
  </si>
  <si>
    <t>Att 3 - Revenue Credits</t>
  </si>
  <si>
    <t>Transmission related portion</t>
  </si>
  <si>
    <t xml:space="preserve">Appendix A input  </t>
  </si>
  <si>
    <t>(M / 13)</t>
  </si>
  <si>
    <t>(N / 13)</t>
  </si>
  <si>
    <t>(O / 13)</t>
  </si>
  <si>
    <t>Actual or estimated depreciation expense</t>
  </si>
  <si>
    <t>13 Month Net Plant or CWIP Balance</t>
  </si>
  <si>
    <t>Estimated Life</t>
  </si>
  <si>
    <t>Total  Estimated Depreciation for Attachment 7</t>
  </si>
  <si>
    <t>Annual Depreciation Expense</t>
  </si>
  <si>
    <t>Current end of year balance</t>
  </si>
  <si>
    <t>Current beg of year balance</t>
  </si>
  <si>
    <t>Average</t>
  </si>
  <si>
    <t>Estimated Depreciation for Attachment 7</t>
  </si>
  <si>
    <t>In the True-up, the actual depreciation expense will be used.</t>
  </si>
  <si>
    <r>
      <rPr>
        <b/>
        <sz val="10"/>
        <rFont val="Arial Narrow"/>
        <family val="2"/>
      </rPr>
      <t xml:space="preserve">Transmission Incentive Credit
</t>
    </r>
    <r>
      <rPr>
        <sz val="10"/>
        <rFont val="Arial Narrow"/>
        <family val="2"/>
      </rPr>
      <t>(incentive minus without)</t>
    </r>
  </si>
  <si>
    <t>'Appendix A'!$H$212</t>
  </si>
  <si>
    <t>Att 7 - Transmission Enhancement Charge</t>
  </si>
  <si>
    <t>114.14c</t>
  </si>
  <si>
    <t>Att 2 - Other Taxes</t>
  </si>
  <si>
    <t xml:space="preserve">Informational. </t>
  </si>
  <si>
    <t>Total Other Taxes</t>
  </si>
  <si>
    <t xml:space="preserve">Depreciation rates shown in Attachment 8 are fixed until changed as the result of a filing at FERC. </t>
  </si>
  <si>
    <t>(c) Filing of the lead-lag study in (a) above, but not any subsequent filing affecting or relating to PacifiCorp’s cash working capital allowance as permitted in subsection (a) above, may be a single issue FPA Section 205 filing.</t>
  </si>
  <si>
    <t>TO estimates all transmission Cap Adds and CWIP for Year 2 weighted based on Months expected to be in service in Year 2 (e.g., 2011) in projection and populates for actuals as inputs to Attachment 7 (but not Appendix A) for true up.</t>
  </si>
  <si>
    <t>Amount of transmission plant excluded from rates per Attachment 15.</t>
  </si>
  <si>
    <t>Percent change</t>
  </si>
  <si>
    <t>Book accruals recorded for AIP (Incentive Plan), 401(k) match of AIP, payroll tax (employer portion), and LTI (Long Term Incentive).</t>
  </si>
  <si>
    <t>Non-qualified deferred compensation plan under IRC Subsection 409A.</t>
  </si>
  <si>
    <t>Severance accruals related to regular employment downsizing.</t>
  </si>
  <si>
    <t>Accrued retiree payment obligations outside of the regular PacifiCorp retirement plan, most constituting payments made above the IRC Subsection 415 limitations.</t>
  </si>
  <si>
    <t>Book accruals recorded for unused vacation and sick leave due to employees in future periods or upon termination.</t>
  </si>
  <si>
    <t>Change in control severance accruals brought about by the sale of PacifiCorp to MEHC.</t>
  </si>
  <si>
    <t>Total unfunded pension liability as required under FAS 158.</t>
  </si>
  <si>
    <t>Total unfunded Other Post-Employment Benefit Obligation (OPEB) liability as required under FAS 158.</t>
  </si>
  <si>
    <t>Total Supplemental Executive Retirement Plan (SERP) obligations, as required by FAS 158.</t>
  </si>
  <si>
    <t>Unrealized derivative gains and losses under FASB Statement No. 133 which requires that certain financial instruments be valued at FMV for book purposes.</t>
  </si>
  <si>
    <t>The giveback entails capital investments in emission control equipment in coal-fueled generation units self owned and operated.</t>
  </si>
  <si>
    <t>Regulatory liability used to record the Oregon allocation of injury and damage insurance recovered in excess of insurance claims incurred.</t>
  </si>
  <si>
    <t>Regulatory liability used to record the Oregon allocation of storm-related property damage recovered in excess of insurance claims incurred.</t>
  </si>
  <si>
    <t>Regulatory liability used to record the Idaho allocation of storm-related property damage recovered in excess of insurance claims incurred.</t>
  </si>
  <si>
    <t>Regulatory liability used to record the Utah allocation of storm-related property damage recovered in excess of insurances claims incurred.</t>
  </si>
  <si>
    <t>Regulatory liability used to record the Wyoming allocation of storm-related property damage recovered in excess of insurance claims incurred.</t>
  </si>
  <si>
    <t>Income tax gross-up on unamortized Investment Tax Credits pursuant to IRC Subsection 46(f)(2).</t>
  </si>
  <si>
    <t>Reclass of miscellaneous regulatory assets/liabilities that have flipped to debit/credit balances.</t>
  </si>
  <si>
    <t>Regulatory liability used to record the Oregon allowed deferral of Grid West, an RTO (regional transmission organization).</t>
  </si>
  <si>
    <t xml:space="preserve">Regulatory liability established to record the Oregon Energy Conservation Charge and related expenses which are predominantly remitted to the Energy Trust of Oregon (ETO) for energy efficiency programs. </t>
  </si>
  <si>
    <t>Regulatory liability established to consolidate small inactive Oregon specific regulatory balances, which are then amortized into book income per approved rate order or tariff.</t>
  </si>
  <si>
    <t>Regulatory liability used to record the depreciation/accretion associated with FAS 143 asset retirement obligations.</t>
  </si>
  <si>
    <t>Regulatory liability established as a balancing account for a pass-through benefit to Oregon customers from BPA (Bonneville Power Administration) under the Northwest Power Act where qualifying customers receive a credit to their bill.</t>
  </si>
  <si>
    <t>Regulatory liability established for imputed revenue associated with a the SMUD (Sacramento Municipal Utility District) power sale equal to the difference between commission ordered fixed rate and the actual variable contract rate.</t>
  </si>
  <si>
    <t>Income Tax WA Flow-through</t>
  </si>
  <si>
    <t>Regulatory liability established for flow-through accounting of income taxes required by the state of Washington on certain non-property related temporary book-tax differences.</t>
  </si>
  <si>
    <t xml:space="preserve">Regulatory asset established for the recovery of costs incurred to explore the organization of Grid West, an RTO (regional transmission organization).  </t>
  </si>
  <si>
    <t xml:space="preserve">Regulatory asset established for the recovery of costs incurred to explore the organization Grid West, an RTO (regional transmission organization).  </t>
  </si>
  <si>
    <t xml:space="preserve">Regulatory asset established for the recovery of the Idaho allocated portion of costs incurred to explore the organization Grid West, an RTO (regional transmission organization).  </t>
  </si>
  <si>
    <t>Regulatory asset established for incremental costs associated with the implementation of the open access option prescribed by Oregon Senate Bill 1149.</t>
  </si>
  <si>
    <t>Regulatory liability established to record revenues received from customers which are then granted to qualifying low income recipients through bill credits.</t>
  </si>
  <si>
    <t>Regulatory liability established to record revenues received from customers participating in the company's Blue Sky renewable energy program, which are then used to purchase renewable energy certificates.</t>
  </si>
  <si>
    <t>Current federal benefit of interest on corrections.</t>
  </si>
  <si>
    <t>Current state benefit of interest on corrections.</t>
  </si>
  <si>
    <t>Regulated environmental remediation costs required at various abandoned/closed mines and other work sites.</t>
  </si>
  <si>
    <t>Non-regulated environmental remediation costs required at various abandoned/closed mines and other work sites.</t>
  </si>
  <si>
    <t>Reclass current liability from derivative regulatory liability to an other regulatory liability for frozen derivative.</t>
  </si>
  <si>
    <t>Reclass non-current liability from derivative regulatory liability to an other regulatory liability for frozen derivative.</t>
  </si>
  <si>
    <t>Valuation allowance against state tax credits that may not be realized before they expire.</t>
  </si>
  <si>
    <t>Accrued liability associated with the acceptance of the Rogue River (Prospects 1, 2, &amp; 4) FERC license, PacifiCorp is obligated to pay the Oregon Department of Fish and Wildlife $1,000,000, escalated, over a period of 9 years for habitat enhancement.</t>
  </si>
  <si>
    <t>Accrued liability associated with the acceptance of the Lewis River FERC license for habitat enhancement.</t>
  </si>
  <si>
    <t>Accrued liability used to defer credits for book purposes that are received from Citibank in connection with PacifiCorp's use of the Citibank One Card. The credits from Citibank are deferred until such time as it is known that requisite spending thresholds have been met and PacifiCorp is entitled to the credits.</t>
  </si>
  <si>
    <t>ITC</t>
  </si>
  <si>
    <t>Unamortized Investment Tax Credits pursuant to IRC Subsection 46(f)(2).</t>
  </si>
  <si>
    <t>Accrued liability for paid, but unearned lease revenue. The lease revenue is recognized ratably over the annual service agreement period.</t>
  </si>
  <si>
    <t>Accrued liability for refundable cash deposits received from customers who wish to reserve transmission line services.  These deposits are fully refundable.  The deposits are recognized as income when the service contract is fulfilled.</t>
  </si>
  <si>
    <t>Asset Retirement Obligation liability accrued pursuant to FASB Statement No. 143.</t>
  </si>
  <si>
    <t>Accrued liability established to reserve for accounts receivable for which collection is not expected.</t>
  </si>
  <si>
    <t>Accrued liability established as a reserve for anticipated injury and damage expense.</t>
  </si>
  <si>
    <t>Accrued prepayment from the Eugene Water &amp; Electric Board for the use of transmission facilities in the Foote Creek area of Wyoming.</t>
  </si>
  <si>
    <t>Accrued prepayment from the Redding Joint Powers Financing Authority transmission services to be provided by the company over the 20-year period from 1996 - 2015.</t>
  </si>
  <si>
    <t>Accrued estimated liability for distribution projects that are estimated to not be recovered.</t>
  </si>
  <si>
    <t>Miscellaneous accrued liabilities related to Energy West Mining Company.</t>
  </si>
  <si>
    <t>Miscellaneous accrued liabilities related to PacifiCorp.</t>
  </si>
  <si>
    <t>Accrued liability for estimated reserves for environmental remediation related to certain operating facilities.</t>
  </si>
  <si>
    <t>Accrued liability for prepaid rents on company owned utility poles.</t>
  </si>
  <si>
    <t>Accrued liability for the expected claims related to workers compensation previously held by Wasatch Crest.  PacifiCorp holds this liability due to the insolvency of Wasatch Crest.</t>
  </si>
  <si>
    <t>Accrued liability associated with the acceptance of the North Umpqua FERC license for habitat enhancement.</t>
  </si>
  <si>
    <t>Accrued liability associated with the acceptance of the Bear River FERC license for various settlement obligations.</t>
  </si>
  <si>
    <t>Accrued liability for worker's compensation benefits pursuant to FASB Statement No. 112.</t>
  </si>
  <si>
    <t>Accrued liability for estimated obsolete or excess inventory that will be sold for scrap.</t>
  </si>
  <si>
    <t>Accrued liability for various reclamation costs for the site reclamation of the closed mines.</t>
  </si>
  <si>
    <t>Accrued liability for royalty payments to the Mineral Management Service on coal production.</t>
  </si>
  <si>
    <t>Accrued liability for monthly fee collected through customer bills awaiting quarterly remittance.</t>
  </si>
  <si>
    <t>Accrued post-retirement liabilities pursuant to FASB Statement No. 106 for Western Coal Carriers, a third-party carrier service that contracted with PacifiCorp to haul coal from the Trail Mountain Mine to the Hunter plant.</t>
  </si>
  <si>
    <t>Book-tax difference for safe harbor lease agreement between PacifiCorp and General Electric Credit Corp for the Cholla generation plant.</t>
  </si>
  <si>
    <t>Book-tax difference related to the reporting of book income from Bridger Coal Company on the books of PacifiCorp.</t>
  </si>
  <si>
    <t>Accrued liability related to USA Power.</t>
  </si>
  <si>
    <t>Non-current federal benefit of interest on corrections.</t>
  </si>
  <si>
    <t>Non-current federal benefit of interest on uncertain positions.</t>
  </si>
  <si>
    <t>Non-current state benefit of interest on corrections.</t>
  </si>
  <si>
    <t>Non-current state benefit of interest on uncertain positions.</t>
  </si>
  <si>
    <t>Regulatory liability related to removal costs.</t>
  </si>
  <si>
    <t>Book-tax basis difference related to the amount of labor costs capitalized to fixed assets.</t>
  </si>
  <si>
    <t>Book-tax basis difference related to the amount of labor overhead costs capitalized to fixed assets.</t>
  </si>
  <si>
    <t>Accounting adjustment to record the amount of tax benefits associated with fixed assets that have previously been flowed through to customers and are probable of recovery as the temporary book-tax differences reverse and result in higher taxable income as compared to book income.</t>
  </si>
  <si>
    <t>Book-tax difference for book depreciation.</t>
  </si>
  <si>
    <t>Book-tax basis difference for expenditures which are capitalized and depreciation for book purposes and for income tax  purposes are deductible in the period they are paid and incurred.</t>
  </si>
  <si>
    <t>Book-tax difference related to a one-time adjustment required by the Internal Revenue Code for a change in accounting method for income tax purposes.  In 2008, PacifiCorp changed its method of accounting for income tax purposes for certain expenditures which were previously being capitalized and depreciated.  Under the new method of accounting, the expenditures are deductible for income tax purposes in the period they are paid and incurred.</t>
  </si>
  <si>
    <t>Book-tax difference for tax depreciation.</t>
  </si>
  <si>
    <t>Book-tax basis difference related to contributions in aid of construction.</t>
  </si>
  <si>
    <t>Safe Harbor Lease Rate Differential</t>
  </si>
  <si>
    <t>Book-tax basis difference related to safe harbor lease rate differential.  (Federal ONLY vs. Federal + State).</t>
  </si>
  <si>
    <t>Book-tax basis difference for the capitalization of vehicle depreciation.</t>
  </si>
  <si>
    <t>Book-tax basis difference related to relocation reimbursements, which depending on whether or not the benefit of the relocation is for the benefit of the general public may or may not be taxable and depreciable for income tax purposes.</t>
  </si>
  <si>
    <t>Book-tax basis difference related to the Allowance for Funds Used During Construction, which consists of a debt and equity component.  Equity is not capitalizable or deductible for income tax purposes, and the Internal Revenue Code requires a different formula related to the capitalization of interest on debt.</t>
  </si>
  <si>
    <t>Book-tax basis difference for the capitalization of interest for income tax purposes.</t>
  </si>
  <si>
    <t>Book-tax basis difference related to test energy revenues which are received/earned for power produced by generating plants during the construction period and sold or used by the utility.</t>
  </si>
  <si>
    <t>Book-tax difference for a taxable gain or loss that is deferred pursuant to Internal Revenue Code Section 1031, otherwise knows as a "like-kind exchange."</t>
  </si>
  <si>
    <t>Book-tax basis difference for qualified advanced mine safety equipment, 50% of which is deductible in the period paid and incurred for income tax purposes.</t>
  </si>
  <si>
    <t>book-tax difference related to the disposition of capital assets.</t>
  </si>
  <si>
    <t>Book-tax basis difference for coal mine development costs, which are capitalized for book purposes. For income tax purposes, 70% of coal mine development costs are deductible in the year incurred and the remaining 30% are capitalized for tax and amortized over 60 months.</t>
  </si>
  <si>
    <t>Book-tax difference basis difference for costs incurred to maintain normal mine production in view of the recession of the working face of the mine.  For book purposes, these costs are capitalized.  For income tax purposes the costs are deductible in the period paid or incurred.</t>
  </si>
  <si>
    <t>Book-tax difference for removal costs, which are applied to the depreciation/depreciation reserve for book purposes and are deductible for income tax purposes in the year paid and incurred.</t>
  </si>
  <si>
    <t>Book-tax difference related to land sales.</t>
  </si>
  <si>
    <t>Book-tax difference for eligible costs under Internal Revenue Code Section 174 for internally developed software which are deductible in the period paid and incurred for income tax purposes.  These costs are capitalized for book purposes.</t>
  </si>
  <si>
    <t>Reclassification of pollution controls facilities depreciation from FERC account 282 to FERC account 281.</t>
  </si>
  <si>
    <t>PowerTax Report #257: Transmission Book Allocation Group.</t>
  </si>
  <si>
    <t xml:space="preserve">Book-tax difference for safe harbor lease agreement between PacifiCorp and General Electric Credit Corp for the Cholla generation plant. </t>
  </si>
  <si>
    <t>Book-tax basis difference for the capitalization of interest for income tax purposes specifically related to hydro-relicensing costs transferred to plant-in-service.</t>
  </si>
  <si>
    <t>Book-tax difference related to different methods for computing deductible periodic depletion for book and tax purposes.</t>
  </si>
  <si>
    <t>Book-tax difference for the capitalization and depreciation of legal fees associated with the re-licensing of specific hydro generation facilities.</t>
  </si>
  <si>
    <t>Tax adjustment to account for the difference between federal and state depreciation methodologies; primarily resulting from states that have not adopted bonus depreciation.</t>
  </si>
  <si>
    <t>Regulatory asset/liability established to record funding for qualifying intervenors that are collected from customers through California rates.</t>
  </si>
  <si>
    <t>Regulatory asset for the Wyoming allocated portion of a settlement associated with damages sustained at the Lake Side generating plant.</t>
  </si>
  <si>
    <t>Regulatory asset established for the  Oregon allocated share of a pension curtailment gain and measurement date change transitional adjustment recorded in December 2008.</t>
  </si>
  <si>
    <t>Regulatory asset established for the Utah allocated share of a pension measurement date change transitional adjustment recorded in December 2008.</t>
  </si>
  <si>
    <t>Regulatory asset established for the California allocated share of a pension curtailment gain and measurement date change transitional adjustment recorded in December 2008.</t>
  </si>
  <si>
    <t>Regulatory asset established for the Oregon allocated share of a post-retirement benefits measurement date change transitional adjustment recorded in December 2008.</t>
  </si>
  <si>
    <t>Regulatory asset established for the Utah allocated share of a post-retirement benefits measurement date change transitional adjustment recorded in December 2008.</t>
  </si>
  <si>
    <t>Regulatory asset established for the California allocated share of a post-retirement benefits measurement date change transitional adjustment recorded in December 2008.</t>
  </si>
  <si>
    <t>Regulatory liability established for the portion of environmental remediation costs for which the state of Washington does not allow deferred treatment.</t>
  </si>
  <si>
    <t>Regulatory asset for the Wyoming allocated portion of a settlement associated with damages sustained at the Goodnoe Hills generating plant.</t>
  </si>
  <si>
    <t>Regulatory asset established to record costs incurred for environmental clean-up, which are amortized over a ten-year period for state regulatory purposes.</t>
  </si>
  <si>
    <t>Regulatory asset established for the costs incurred to acquire the Cholla generation plant from eh Arizona Public Service Company.</t>
  </si>
  <si>
    <t>Regulatory asset established for the Washington disallowed portion of AFUDC on the Colstrip #3 generating plant.</t>
  </si>
  <si>
    <t>Regulatory asset/liability established to record funding for qualifying intervenors that are collected from customers through Oregon rates.</t>
  </si>
  <si>
    <t>Regulatory asset used to record the depreciation/accretion associated with FAS 143 asset retirement obligations.</t>
  </si>
  <si>
    <t>Regulatory asset/liability established to record funding for qualifying intervenors that are collected from customers through Idaho rates.</t>
  </si>
  <si>
    <t>Regulatory assets established to record the effects of the accounting pursuant to FASB Statement No. 133, which requires that certain financial instruments be valued at FMV for book purposes.</t>
  </si>
  <si>
    <t>Regulatory asset established to track the recoverable expenses associated with pension liability.</t>
  </si>
  <si>
    <t>Regulatory asset established to track the recoverable expenses associated with post-retirement benefits liability.</t>
  </si>
  <si>
    <t>Regulatory asset established for the recovery of the estimated revenue requirement associated with the Chehalis Generating plant between the time the plant was acquired and first reflected in rates.</t>
  </si>
  <si>
    <t>Regulatory asset established for the unrecovered portion of the Powerdale hydroelectric generating facility and decommissioning costs. The Powerdale hydroelectric facility was severely damaged by flooding and the related debris flow and is being removed rather than being repaired.</t>
  </si>
  <si>
    <t>Regulatory asset established for the Utah allocated share of evaluator fees and costs related to a request for proposal for new generation.</t>
  </si>
  <si>
    <t>Regulatory asset established for the Idaho allocated portion of overburden costs pursuant to a regulatory order.</t>
  </si>
  <si>
    <t>Regulatory asset established for the unrecovered portion of the Powerdale hydroelectric generating facility and decommissioning costs allocable to Idaho. The Powerdale hydroelectric facility was severely damaged by flooding and the related debris flow and is being removed rather than being repaired.</t>
  </si>
  <si>
    <t>Regulatory asset established for the unrecovered portion of the Powerdale hydroelectric generating facility and decommissioning costs allocable to Washington. The Powerdale hydroelectric facility was severely damaged by flooding and the related debris flow and is being removed rather than being repaired.</t>
  </si>
  <si>
    <t>Regulatory asset established for the Wyoming allocated portion of overburden costs pursuant to a regulatory order.</t>
  </si>
  <si>
    <t>Regulatory asset established for the California allocated portion of a one-time adjustment to income tax expense related to the deductibility of prescription drug post-retirement benefits.  The deductibility of prescription drug post-retirement benefits was limited by the Patient Protection and Affordable Care Act of 2010.</t>
  </si>
  <si>
    <t>Regulatory asset established for the Idaho allocated portion of a one-time adjustment to income tax expense related to the deductibility of prescription drug post-retirement benefits.  The deductibility of prescription drug post-retirement benefits was limited by the Patient Protection and Affordable Care Act of 2010.</t>
  </si>
  <si>
    <t>Regulatory asset established for the Oregon allocated portion of a one-time adjustment to income tax expense related to the deductibility of prescription drug post-retirement benefits.  The deductibility of prescription drug post-retirement benefits was limited by the Patient Protection and Affordable Care Act of 2010.</t>
  </si>
  <si>
    <t>Regulatory asset established for the Utah allocated portion of a one-time adjustment to income tax expense related to the deductibility of prescription drug post-retirement benefits.  The deductibility of prescription drug post-retirement benefits was limited by the Patient Protection and Affordable Care Act of 2010.</t>
  </si>
  <si>
    <t>Regulatory asset established for the Wyoming allocated portion of a one-time adjustment to income tax expense related to the deductibility of prescription drug post-retirement benefits.  The deductibility of prescription drug post-retirement benefits was limited by the Patient Protection and Affordable Care Act of 2010.</t>
  </si>
  <si>
    <t>Regulatory asset established for the Utah allocated portion of deferred net power costs under the Utah Public Service Commission's energy cost adjustment mechanism (ECAM).</t>
  </si>
  <si>
    <t>Regulatory asset established for a payment made by PacifiCorp related to an amended and restated coal supply agreement, which will be amortized over the life of the agreement.</t>
  </si>
  <si>
    <t>Commission authorized regulatory asset/liability for the difference between revenue requirement calculated using estimates for a certain tax deduction and revenue requirement calculated using the amounts actually filed in the company's income tax returns.</t>
  </si>
  <si>
    <t>Reclass of regulatory asset from derivative regulatory asset to an other regulatory asset for frozen derivative.</t>
  </si>
  <si>
    <t>Regulatory asset established for the Idaho allocation of costs incurred to acquire the Cholla generation plant from eh Arizona Public Service Company.</t>
  </si>
  <si>
    <t>Regulatory asset established for the Oregon allocation of costs incurred to acquire the Cholla generation plant from eh Arizona Public Service Company.</t>
  </si>
  <si>
    <t>Regulatory asset established for the Washington allocation of costs incurred to acquire the Cholla generation plant from eh Arizona Public Service Company.</t>
  </si>
  <si>
    <t>Asset accrued for a deferred expense related to costs incurred for the termination of a power purchase agreement. For book purposes, the costs are being amortized over the remaining life of the original contract.</t>
  </si>
  <si>
    <t>Asset accrued for a deferred expense related to a termination fee incurred by PacifiCorp when it acquired a 50% interest in the Hermiston generating plant.  For book purposes, the cost is being amortized over the remaining life of the plant.</t>
  </si>
  <si>
    <t>Asset accrued for prepaid Oregon commission fee, amortized for book purposes over a period of 12 months or less.</t>
  </si>
  <si>
    <t>Asset accrued for prepaid Utah commission fee, amortized for book purposes over a period of 12 months or less.</t>
  </si>
  <si>
    <t>Asset accrued for prepaid Idaho commission fee, amortized for book purposes over a period of 12 months or less.</t>
  </si>
  <si>
    <t>Asset accrued for prepaid membership fees, amortized for book purposes over a period of 12 months or less.</t>
  </si>
  <si>
    <t>Asset accrued for required debt, amortized for book purposes over the remaining life of the original issuance, or over the life of the new issuance if the original issuance was refinanced.</t>
  </si>
  <si>
    <t>Book-tax difference associated with the timing of deductibility of property taxes.</t>
  </si>
  <si>
    <t>Hydro Relicensing Obligation</t>
  </si>
  <si>
    <t xml:space="preserve">Equity earnings for Trapper Mine.  The equity method of accounting does not apply for income tax purposes.                                                                                                                                                                                                                                                                                           </t>
  </si>
  <si>
    <t>Book-tax difference for unrealized gains and losses on deferred compensation plan investments.</t>
  </si>
  <si>
    <t>Book-tax difference for safe harbor lease agreement between PacifiCorp and Amoco for the 500 Kv Transmission line running from Malin, OR to Midpoint, ID.</t>
  </si>
  <si>
    <t>The book-tax difference resulting from this regulatory asset.</t>
  </si>
  <si>
    <t>Current Asset - Frozen MTM</t>
  </si>
  <si>
    <t>Regulatory liability established to record the reclass of a derivative regulatory asset to an other regulatory asset for frozen derivative.</t>
  </si>
  <si>
    <t>Book-tax difference on interest income calculated on the prefunded amount of Local 57 pension funding.</t>
  </si>
  <si>
    <t>Book-tax difference associated with Pollution control project costs - UT.</t>
  </si>
  <si>
    <t>Book-tax difference associated with Pollution control project costs - WY.</t>
  </si>
  <si>
    <t>Regulatory asset established as an offset to the increase in post-employment obligations.</t>
  </si>
  <si>
    <t>Book-tax difference associated with Pollution control project costs - ID.</t>
  </si>
  <si>
    <t>Absolute change</t>
  </si>
  <si>
    <t xml:space="preserve">overheads shall be treated, as described in footnote B above. </t>
  </si>
  <si>
    <t>Form 1 data</t>
  </si>
  <si>
    <t>Items not related to wholesale transactions</t>
  </si>
  <si>
    <t>Local Franchise</t>
  </si>
  <si>
    <t>see detail</t>
  </si>
  <si>
    <t>…</t>
  </si>
  <si>
    <t>Local Franchise (California)</t>
  </si>
  <si>
    <t>City fees based on retail revenue to the end customers served CA</t>
  </si>
  <si>
    <t>Local Franchise (Oregon)</t>
  </si>
  <si>
    <t>City fees based on retail revenue to the end customers served OR</t>
  </si>
  <si>
    <t>Local Franchise (Wyoming)</t>
  </si>
  <si>
    <t>City fees based on retail revenue to the end customers served WY</t>
  </si>
  <si>
    <t>Montana Energy License</t>
  </si>
  <si>
    <t>Montana Wholesale Energy</t>
  </si>
  <si>
    <t>Idaho Generation Tax (KWh)</t>
  </si>
  <si>
    <t>Oregon Department of Energy</t>
  </si>
  <si>
    <t>Wyoming Wind Generation Tax</t>
  </si>
  <si>
    <t>WY tax based on mwh of production from WY wind turbines</t>
  </si>
  <si>
    <t>Washington Public Utility Tax</t>
  </si>
  <si>
    <t>Other (Navajo Nation, Business &amp; Occupation, Other)</t>
  </si>
  <si>
    <t>If the depreciation rates shown differ from the depreciation rates used to calculate the depreciation expense reported in FN1, then PacifiCorp is required to file under Section 205 for a modification of this Attachment or the calculation of depreciation expense and accumulated depreciation under this formula</t>
  </si>
  <si>
    <t>Discount on Short-Term Securities</t>
  </si>
  <si>
    <t>Prepaid Vehicle Licensing Fees</t>
  </si>
  <si>
    <t>Prepaid RECs for RPS (WA)</t>
  </si>
  <si>
    <t>or capital surcharge.</t>
  </si>
  <si>
    <t>not reflect amounts capitalized through activity rates</t>
  </si>
  <si>
    <t>include expenses for the mining companies and do</t>
  </si>
  <si>
    <t>Amounts are net of joint-venture cutback, do not</t>
  </si>
  <si>
    <r>
      <rPr>
        <sz val="10"/>
        <rFont val="Arial"/>
        <family val="2"/>
      </rPr>
      <t xml:space="preserve">Attachment 5 input: </t>
    </r>
    <r>
      <rPr>
        <b/>
        <sz val="10"/>
        <rFont val="Arial"/>
        <family val="2"/>
      </rPr>
      <t>Total PBOP</t>
    </r>
  </si>
  <si>
    <t>g16</t>
  </si>
  <si>
    <t>207.58g</t>
  </si>
  <si>
    <t>206.58b</t>
  </si>
  <si>
    <t>206.75b</t>
  </si>
  <si>
    <t>204.5b</t>
  </si>
  <si>
    <t>204.5g</t>
  </si>
  <si>
    <t>206.99b</t>
  </si>
  <si>
    <t>207.99g</t>
  </si>
  <si>
    <t>204.46b</t>
  </si>
  <si>
    <t>204.46g</t>
  </si>
  <si>
    <t>206.75g</t>
  </si>
  <si>
    <t>219.25c</t>
  </si>
  <si>
    <t>219.26c</t>
  </si>
  <si>
    <t>200.21c</t>
  </si>
  <si>
    <t>219.28c</t>
  </si>
  <si>
    <t>219.20c</t>
  </si>
  <si>
    <t>219.21c</t>
  </si>
  <si>
    <t>219.22c</t>
  </si>
  <si>
    <t>219.23c</t>
  </si>
  <si>
    <t>219.24c</t>
  </si>
  <si>
    <t>219.20 through 219.24</t>
  </si>
  <si>
    <t>Prior year 219.20 through 219.24</t>
  </si>
  <si>
    <t>Prior year 219.28c</t>
  </si>
  <si>
    <t>Prior year 219.26c</t>
  </si>
  <si>
    <t>Prior year 219.25c</t>
  </si>
  <si>
    <t>Prior year 200.21c</t>
  </si>
  <si>
    <t>PowerTax Report #257: Intangible Book Allocation Group.</t>
  </si>
  <si>
    <t>PowerTax Report #257: General Book Allocation Group.</t>
  </si>
  <si>
    <t>206.102g</t>
  </si>
  <si>
    <r>
      <t xml:space="preserve">Transmission PIS Actuals 
</t>
    </r>
    <r>
      <rPr>
        <sz val="10"/>
        <rFont val="Arial Narrow"/>
        <family val="2"/>
      </rPr>
      <t xml:space="preserve">(Energy Gateway Segment B-H) </t>
    </r>
  </si>
  <si>
    <r>
      <t xml:space="preserve">Transmission PIS Projection
 </t>
    </r>
    <r>
      <rPr>
        <sz val="10"/>
        <rFont val="Arial Narrow"/>
        <family val="2"/>
      </rPr>
      <t>(Energy Gateway Segment B-H)</t>
    </r>
    <r>
      <rPr>
        <b/>
        <sz val="10"/>
        <rFont val="Arial Narrow"/>
        <family val="2"/>
      </rPr>
      <t xml:space="preserve"> </t>
    </r>
  </si>
  <si>
    <t>Excludes $714,679.22 written off October 2011 for TORM/2008/C/002/10037321=Hemingway Capt Jack PG&amp;E Agreement</t>
  </si>
  <si>
    <t>Grand Total</t>
  </si>
  <si>
    <t>Intangible</t>
  </si>
  <si>
    <t>Distribution</t>
  </si>
  <si>
    <t>Mo</t>
  </si>
  <si>
    <t>FERC BS Account : 101/ 106 only</t>
  </si>
  <si>
    <t>Energy Gateway Projects (IR=NN)</t>
  </si>
  <si>
    <t>Montlhly dep rate</t>
  </si>
  <si>
    <t>Cumulative EG transmission total</t>
  </si>
  <si>
    <t>Energy Gateway (EG) Transmission</t>
  </si>
  <si>
    <t>EG accumulated depreciation</t>
  </si>
  <si>
    <t>EG depreciation expense</t>
  </si>
  <si>
    <t>EG net plant</t>
  </si>
  <si>
    <t>EG 13-month balance</t>
  </si>
  <si>
    <t>Total (Segments B-H)</t>
  </si>
  <si>
    <t>Current year values</t>
  </si>
  <si>
    <t>Prior year values</t>
  </si>
  <si>
    <t>National Joint Utilities</t>
  </si>
  <si>
    <t>Other Regulatory</t>
  </si>
  <si>
    <t xml:space="preserve">Annual Fee - hydro </t>
  </si>
  <si>
    <r>
      <t>Calculated from historical data</t>
    </r>
    <r>
      <rPr>
        <sz val="10"/>
        <color rgb="FF0000FF"/>
        <rFont val="Calibri"/>
        <family val="2"/>
      </rPr>
      <t>—</t>
    </r>
    <r>
      <rPr>
        <sz val="10"/>
        <color rgb="FF0000FF"/>
        <rFont val="Arial"/>
        <family val="2"/>
      </rPr>
      <t>no true-up</t>
    </r>
  </si>
  <si>
    <t>&lt;--should indicate only rounding error</t>
  </si>
  <si>
    <t>.</t>
  </si>
  <si>
    <t>&lt;--fixed</t>
  </si>
  <si>
    <t>ATT 5 - Cost Support</t>
  </si>
  <si>
    <t>OATT (Part III - Network Service) - Average of current year and prior two years</t>
  </si>
  <si>
    <t>OATT (Part II Long-Term Firm Point-to-Point Transmission Service) - Projection</t>
  </si>
  <si>
    <t>bgn_yr_bal</t>
  </si>
  <si>
    <t>assumptions.</t>
  </si>
  <si>
    <t>Current Year &gt;&gt;</t>
  </si>
  <si>
    <t xml:space="preserve">Prior year </t>
  </si>
  <si>
    <t>Prepaid Aircraft Maint</t>
  </si>
  <si>
    <t>Prepaid Surety Bond</t>
  </si>
  <si>
    <r>
      <rPr>
        <sz val="10"/>
        <rFont val="Arial"/>
        <family val="2"/>
      </rPr>
      <t xml:space="preserve">Attachment 5 input: </t>
    </r>
    <r>
      <rPr>
        <b/>
        <sz val="10"/>
        <rFont val="Arial"/>
        <family val="2"/>
      </rPr>
      <t>Total Accumulated Amortization</t>
    </r>
  </si>
  <si>
    <t>Some intangible assets in FERC accounts 302 and 303 have been excluded from balances in the calculation of composite Company depreciation rates: Hydro License Settlement Obligations, Gas Plant Intangibles, and Mining Intangibles.</t>
  </si>
  <si>
    <t>Excludes TORM/2008/C/002-"Hemingway Capt Jack Transmission Line" Mar-Apr 2013 account 106 acivity</t>
  </si>
  <si>
    <t>Centre for Energy Advancement through Technological Innovation (CEATI)</t>
  </si>
  <si>
    <t>National Automated Clearinghouse Association (NACHA)</t>
  </si>
  <si>
    <t>350.37d</t>
  </si>
  <si>
    <t>350.38d</t>
  </si>
  <si>
    <t>WECC phase shifting fee (Form No. 1: 300.21b footnote)</t>
  </si>
  <si>
    <t>Gen Interconnect and TSR study revenues(Form No. 1: 300.21b footnote)</t>
  </si>
  <si>
    <t>WY Service territory fixed cost recovery fee (Form No. 1: 300.21b footnote)</t>
  </si>
  <si>
    <t>Transmission imbalance penalty refunds in FERC 566</t>
  </si>
  <si>
    <t>Appendix A, line 33 input</t>
  </si>
  <si>
    <t>Accrued Severance</t>
  </si>
  <si>
    <t>Accrued Bonus</t>
  </si>
  <si>
    <t>Accrued Vacation</t>
  </si>
  <si>
    <t>Deferred Comp. Accrual</t>
  </si>
  <si>
    <t>Pension/Retirement Accrual</t>
  </si>
  <si>
    <t>Wasach workers comp reserve</t>
  </si>
  <si>
    <t>FAS 112 Book Reserve - Post</t>
  </si>
  <si>
    <t>Western Coal Carr Ret Med Accrual</t>
  </si>
  <si>
    <t>Curr Liab - Frozen MTM</t>
  </si>
  <si>
    <t>FAS 133 Derivatives - Book</t>
  </si>
  <si>
    <t>NonCurr Liab - Frozen MTM</t>
  </si>
  <si>
    <t>RL OR Def NPC - Current</t>
  </si>
  <si>
    <t>RL WA Def NPC - Current</t>
  </si>
  <si>
    <t>RL UT RECs in Rate - Current</t>
  </si>
  <si>
    <t>RL WA RECs in Rate - Current</t>
  </si>
  <si>
    <t>RL CA Solar Feed-in Tariff - Current</t>
  </si>
  <si>
    <t>RL UT Solar Feed-in Tariff - Current</t>
  </si>
  <si>
    <t>RL CA GHG RL - C</t>
  </si>
  <si>
    <t>RL Other Reg Liabilities - Current</t>
  </si>
  <si>
    <t>RL - BPA Balancing Acct OR</t>
  </si>
  <si>
    <t>RL - BPA Balancing Acct ID</t>
  </si>
  <si>
    <t>RL - BPA Balancing Acct WA</t>
  </si>
  <si>
    <t>RL-Alt Rate Energy Prgm CA</t>
  </si>
  <si>
    <t>Reg Liability Current - DSM</t>
  </si>
  <si>
    <t xml:space="preserve">Regulatory asset established to record current portion of costs incurred for demand side management which are amortized according to guidelines established by each state regulatory jurisdiction.                                                                                                                                                                                   
</t>
  </si>
  <si>
    <t>RL - UT Home Energy</t>
  </si>
  <si>
    <t>RL - WA Low Energy Program</t>
  </si>
  <si>
    <t>RL - OR Energy Conserv Chrg</t>
  </si>
  <si>
    <t>RL - Blue Sky OR</t>
  </si>
  <si>
    <t>RL - Blue Sky WA</t>
  </si>
  <si>
    <t>RL - Blue Sky CA</t>
  </si>
  <si>
    <t>RL - Blue Sky UT</t>
  </si>
  <si>
    <t>RL - Blue Sky ID</t>
  </si>
  <si>
    <t>RL - Blue Sky WY</t>
  </si>
  <si>
    <t>RL - OR 2012 GRC Giveback</t>
  </si>
  <si>
    <t>ARO/Reg Diff - Trojan - WA</t>
  </si>
  <si>
    <t>This account is created to record a contra regulatory liability for Washington's share of the ARO regulatory difference on Trojan unrecovered plant and decommissioning costs . The reason for this contra account is that substantially all Trojan - related costs were disallowed in Washington; therefore, the Washington portion of any decommissioning costs associated with Trojan should be reflected below-the-line.</t>
  </si>
  <si>
    <t>RL-Noncurrent Reclass-Other</t>
  </si>
  <si>
    <t>Reg Lia - OR Property Ins Reserve</t>
  </si>
  <si>
    <t>Reg Lia - ID Property Ins Reserve</t>
  </si>
  <si>
    <t>Reg Lia - UT Property Ins Reserve</t>
  </si>
  <si>
    <t>RL ITC</t>
  </si>
  <si>
    <t>Reg Liability-Other - Balance Reclass</t>
  </si>
  <si>
    <t>RTO Grid West N/R - OR</t>
  </si>
  <si>
    <t>OR Reg Asset/Liab Cons</t>
  </si>
  <si>
    <t>ARO Reg Liabilities</t>
  </si>
  <si>
    <t>SMUD Revenue Imputation-UT</t>
  </si>
  <si>
    <t>RTO Grid West N/R Allowance</t>
  </si>
  <si>
    <t>RTO Grid West Notes Rec - WY</t>
  </si>
  <si>
    <t>RTO Grid West Notes Rec - ID</t>
  </si>
  <si>
    <t>Trojan Decom Cost-Regulatory Asset</t>
  </si>
  <si>
    <t xml:space="preserve"> State Carryforwards</t>
  </si>
  <si>
    <t>DTA NOL Carryforward State Current</t>
  </si>
  <si>
    <t>DTA State NOL Fed Detriment - Current</t>
  </si>
  <si>
    <t>DTA State Charitable Contribution Limit</t>
  </si>
  <si>
    <t xml:space="preserve">DTA Net Operating Loss Carryforwrd-State </t>
  </si>
  <si>
    <t>DTA Federal Detriment of State NOL</t>
  </si>
  <si>
    <t>DTA 930.100 Oregon BETC Credits</t>
  </si>
  <si>
    <t>DTA BETC Purchased Credits</t>
  </si>
  <si>
    <t>DTA BETC Purchased Gain</t>
  </si>
  <si>
    <t>DTA Idaho ITC Carryforward</t>
  </si>
  <si>
    <t>DTA Colorado Tax Credit Carryforward</t>
  </si>
  <si>
    <t>DTA AZ State Tax Credit Carryforward</t>
  </si>
  <si>
    <t>DTA CA AMT Credit Carryforward</t>
  </si>
  <si>
    <t>Loss Contingencies</t>
  </si>
  <si>
    <t>USA Power Accrual</t>
  </si>
  <si>
    <t>Injuries &amp; Damages</t>
  </si>
  <si>
    <t>Asset Retirement Obligations</t>
  </si>
  <si>
    <t>Valuation Allowance for DTA - Current</t>
  </si>
  <si>
    <t>Section 383 capital loss CF</t>
  </si>
  <si>
    <t>PMI Fuel Cost Adjustment</t>
  </si>
  <si>
    <t>M&amp;S Inventory Write-off</t>
  </si>
  <si>
    <t>Bad Debts Allowance - Cash</t>
  </si>
  <si>
    <t>N Umpqua Settlement Agmt</t>
  </si>
  <si>
    <t>Energy West Accrued Liab</t>
  </si>
  <si>
    <t>Misc Current &amp; Accrued Liab</t>
  </si>
  <si>
    <t>CA PUC Fee</t>
  </si>
  <si>
    <t>Curr def fed tax corr ben of int</t>
  </si>
  <si>
    <t>Curr def fed tax unc tax pos ben of int</t>
  </si>
  <si>
    <t>Current federal benefit of interest on position.</t>
  </si>
  <si>
    <t>Curr def state tax corr ben of int</t>
  </si>
  <si>
    <t>Environmental Liab- Reg</t>
  </si>
  <si>
    <t>Environmental Liab- NonReg</t>
  </si>
  <si>
    <t>Rogue River-Habitat Enhance</t>
  </si>
  <si>
    <t>Lewis River- LWD Fund Liab</t>
  </si>
  <si>
    <t>ERC Impairment Reserve</t>
  </si>
  <si>
    <t>MCI F.O.G. Wire Lease</t>
  </si>
  <si>
    <t>Def Reg Asset-Transmission</t>
  </si>
  <si>
    <t>Def Reg Asset-Foote Creek Contract</t>
  </si>
  <si>
    <t>Distribution O&amp;M Amort of W</t>
  </si>
  <si>
    <t>Other Environmental Liabili</t>
  </si>
  <si>
    <t>Unearned Joint Use Pole Con</t>
  </si>
  <si>
    <t>Safe Harbor Leases - Cholla</t>
  </si>
  <si>
    <t>Deseret Settlement Rec</t>
  </si>
  <si>
    <t>Non-curr def fed tax cor ben of int</t>
  </si>
  <si>
    <t>Non-curr def fed unc tax pos ben of int</t>
  </si>
  <si>
    <t>Non-curr def sta tax cor ben of int</t>
  </si>
  <si>
    <t>Non-curr def sta unc tax pos ben of int</t>
  </si>
  <si>
    <t>Depreciation on pollution control facilities.</t>
  </si>
  <si>
    <t>ARO Removal Costs</t>
  </si>
  <si>
    <t>Book Cost Depletion</t>
  </si>
  <si>
    <t>Book Fixed Asset Gain/Loss</t>
  </si>
  <si>
    <t xml:space="preserve">Capitalized labor and benefit costs </t>
  </si>
  <si>
    <t>Capitalized labor costs - Medicare Subsidy</t>
  </si>
  <si>
    <t>Cholla SHL (Amortization of SHL Gain)</t>
  </si>
  <si>
    <t>Cholla SHL NOPA (Lease Amortization)</t>
  </si>
  <si>
    <t>Coal Mine Extension Costs</t>
  </si>
  <si>
    <t>Contribution in Aid of Construction</t>
  </si>
  <si>
    <t>Cost of Removal</t>
  </si>
  <si>
    <t>Debt AFUDC</t>
  </si>
  <si>
    <t>Effects of Ratemaking - Fixed Assets Flowthrough</t>
  </si>
  <si>
    <t>Federal Tax Bonus Depreciation</t>
  </si>
  <si>
    <t>Fixed Assets - State Modifications</t>
  </si>
  <si>
    <t>Mine Safety Sec. 179E Election</t>
  </si>
  <si>
    <t>Non-ARO Removal Costs</t>
  </si>
  <si>
    <t>Percentage Depletion - Temp</t>
  </si>
  <si>
    <t>RA - Effects of Ratemaking - Fixed Assets</t>
  </si>
  <si>
    <t>Repairs Deduction</t>
  </si>
  <si>
    <t>RL - Non-ARO Liability</t>
  </si>
  <si>
    <t>UT Klamath Relicensing Costs</t>
  </si>
  <si>
    <t>FERC 283 - Regulatory Assets</t>
  </si>
  <si>
    <t>RA - ARO</t>
  </si>
  <si>
    <t>RA - Chehalis Generating Facility Deferral - WA</t>
  </si>
  <si>
    <t>RA - Cholla Plant Transaction Costs</t>
  </si>
  <si>
    <t>RA - Cholla Plant Transaction Costs - ID</t>
  </si>
  <si>
    <t>RA - Cholla Plant Transaction Costs - OR</t>
  </si>
  <si>
    <t>RA - Cholla Plant Transaction Costs - WA</t>
  </si>
  <si>
    <t>RA - Contra Pension MMT &amp; CTG - CA</t>
  </si>
  <si>
    <t>RA - Contra Pension MMT &amp; CTG - OR</t>
  </si>
  <si>
    <t>RA - Deferred Excess NPC - CA - Current</t>
  </si>
  <si>
    <t>Regulatory asset established for reclass current portion of CA Deferred Excess NPC.</t>
  </si>
  <si>
    <t>RA - Deferred Excess NPC - CA - Noncurrent</t>
  </si>
  <si>
    <t>Regulatory asset established for reclass non-current portion of CA Deferred Excess NPC.</t>
  </si>
  <si>
    <t>RA - Deferred Excess NPC - ID - Current</t>
  </si>
  <si>
    <t>Regulatory asset established for current portion of recoverable net power costs in Idaho pursuant to an energy cost adjustment mechanism.</t>
  </si>
  <si>
    <t>RA - Deferred Excess NPC - ID - Noncurrent</t>
  </si>
  <si>
    <t>Regulatory asset established for noncurrent portion of recoverable net power costs in Idaho pursuant to an energy cost adjustment mechanism.</t>
  </si>
  <si>
    <t>RA - Deferred Excess NPC - UT - Current</t>
  </si>
  <si>
    <t xml:space="preserve">Regulatory asset established for current portion of recoverable net power costs in Utah pursuant to an energy cost adjustment clause.
</t>
  </si>
  <si>
    <t>RA - Deferred Excess NPC - UT - Noncurrent</t>
  </si>
  <si>
    <t xml:space="preserve">Regulatory asset established for noncurrent portion of recoverable net power costs in Utah pursuant to an energy cost adjustment clause.
</t>
  </si>
  <si>
    <t>RA - Deferred Excess NPC - WY - Current</t>
  </si>
  <si>
    <t>Regulatory asset established for current portion of recoverable net power costs in Wyoming pursuant to a power costs adjustment mechanism.</t>
  </si>
  <si>
    <t>RA - Deferred Excess NPC - WY '09 &amp; After - Noncurrent</t>
  </si>
  <si>
    <t>Regulatory asset established for noncurrent portion of recoverable net power costs in Wyoming pursuant to a power costs adjustment mechanism.</t>
  </si>
  <si>
    <t>RA - Deferred Independent Evaluator Fee - UT</t>
  </si>
  <si>
    <t>RA - Deferred Intervenor Funding Grants - CA</t>
  </si>
  <si>
    <t>RA - Deferred Intervenor Funding Grants - ID</t>
  </si>
  <si>
    <t>RA - Deferred Intervenor Funding Grants - OR</t>
  </si>
  <si>
    <t>RA - Deferred Overburden Costs - ID</t>
  </si>
  <si>
    <t>RA - Deferred Overburden Costs - WY</t>
  </si>
  <si>
    <t>RA - Demand Side Management - Current</t>
  </si>
  <si>
    <t xml:space="preserve">Regulatory asset established to record current portion of costs incurred for demand side management which are amortized according to guidelines established by each state regulatory jurisdiction.                                                                                                                                                                                   
</t>
  </si>
  <si>
    <t>RA - Demand Side Management - Noncurrent</t>
  </si>
  <si>
    <t xml:space="preserve">Regulatory asset established to record costs incurred for demand side management which are amortized according to guidelines established by each state regulatory jurisdiction.                                                                                                                                                                                   
</t>
  </si>
  <si>
    <t>RA - DSM Balance Reclass</t>
  </si>
  <si>
    <t>RA - Effects of Ratemaking - Fixed Assets - Gross up</t>
  </si>
  <si>
    <t>RA - Environmental Costs</t>
  </si>
  <si>
    <t>RA - Environmental Costs - WA</t>
  </si>
  <si>
    <t>RA - FAS 158 Pension Liability</t>
  </si>
  <si>
    <t>RA - FAS 158 Post Retirement Liability</t>
  </si>
  <si>
    <t>RA - GHG Allowances - CA - Current</t>
  </si>
  <si>
    <t>California implemented a cap and trade program on the carbon emission for energy transmitted into California. One allowance is required to be surrendered for each metric ton of CO2e of green house gas emission in energy transmitted into California. The regulatory asset established to record current portion of CA GHG allowance.</t>
  </si>
  <si>
    <t>RA - Goodnoe Hills Settlement - WY</t>
  </si>
  <si>
    <t>RA - Klamath Hydroelectric Relicensing Costs - UT</t>
  </si>
  <si>
    <t>RA - Lake Side Settlement - WY</t>
  </si>
  <si>
    <t>RA - Liquidation Damages - N2 - WY</t>
  </si>
  <si>
    <t>Regulatory asset established to record Wyoming's share of liquidating damages on outages at Naughton 2 that are being returned to Wyoming customers on an accelerated basis through the 2013 Energy Cost Adjustment Mechanism (ECAM).</t>
  </si>
  <si>
    <t>RA - Naughton Unit #3 Costs - CA</t>
  </si>
  <si>
    <t>Book-tax difference associated with Pollution control project costs allocated to CA.</t>
  </si>
  <si>
    <t>RA - Naughton Unit #3 Costs - ID</t>
  </si>
  <si>
    <t>RA - Naughton Unit #3 Costs - UT</t>
  </si>
  <si>
    <t>RA - Naughton Unit #3 Costs - WY</t>
  </si>
  <si>
    <t>RA - Noncurrent Reclass - Other</t>
  </si>
  <si>
    <t>RA - OR Asset Sale Gain GB - Current</t>
  </si>
  <si>
    <t>RA - OR Asset Sale Gain GB - Noncurrent</t>
  </si>
  <si>
    <t>RA - OR Sch94 Distribution Safety Surcharge</t>
  </si>
  <si>
    <t xml:space="preserve">Regulatory asset established to record asset position for the deferral of the costs of collecting the Distribution Safety Surcharge over two year period for recovery in Oregon. </t>
  </si>
  <si>
    <t>RA - Other - Balance Reclass</t>
  </si>
  <si>
    <t>RA - Pension MMT - UT</t>
  </si>
  <si>
    <t>RA - Post Employment Costs</t>
  </si>
  <si>
    <t>RA - Post Merger Loss - Reacquired Debt *NEW*</t>
  </si>
  <si>
    <t>RA - Post-Ret MMT - CA</t>
  </si>
  <si>
    <t>RA - Post-Ret MMT - OR</t>
  </si>
  <si>
    <t>RA - Post-Ret MMT - UT</t>
  </si>
  <si>
    <t>RA - Powerdale Decommissioning</t>
  </si>
  <si>
    <t>RA - Powerdale Decommissioning - ID</t>
  </si>
  <si>
    <t>RA - Powerdale Decommissioning - WA</t>
  </si>
  <si>
    <t>RA - REC Sales Deferral - OR - Current</t>
  </si>
  <si>
    <t>RA - REC Sales Deferral - OR - Noncurrent</t>
  </si>
  <si>
    <t>RA - REC Sales Deferral - UT - Current</t>
  </si>
  <si>
    <t>RA - REC Sales Deferral - UT - Noncurrent</t>
  </si>
  <si>
    <t>RA - REC Sales Deferral - WY - Current</t>
  </si>
  <si>
    <t>RA - REC Sales Deferral - WY - Noncurrent</t>
  </si>
  <si>
    <t>RA - Solar Feed-in Tariff Deferral - OR - Current</t>
  </si>
  <si>
    <t>Regulatory asset established for the current portion of costs incurred with an Oregon photovoltaic feed-in tariff program (Oregon House Bill 3039).</t>
  </si>
  <si>
    <t>RA - Solar Feed-In Tariff Deferral - OR - Noncurrent</t>
  </si>
  <si>
    <t>Regulatory asset established for the noncurrent portion of costs incurred with an Oregon photovoltaic feed-in tariff program (Oregon House Bill 3039).</t>
  </si>
  <si>
    <t>RA - Tax Revenue Requirement Adj - WY</t>
  </si>
  <si>
    <t>RA - UT Liquidation Damages</t>
  </si>
  <si>
    <t>Regulatory asset established for Utah portion of liquidated damages payments for outages at Jim Bridger Unit4, Naughton Unit 1 and Unit 2.</t>
  </si>
  <si>
    <t>RA - Utah ECAM</t>
  </si>
  <si>
    <t>RA - WA Colstrip #3</t>
  </si>
  <si>
    <t>RA Amort - Tax PR Adj CA</t>
  </si>
  <si>
    <t>RA Amort - Tax PR Adj ID</t>
  </si>
  <si>
    <t>RA Amort - Tax PR Adj OR</t>
  </si>
  <si>
    <t>RA Amort - Tax PR Adj UT</t>
  </si>
  <si>
    <t>RA Amort - Tax PR Adj WY</t>
  </si>
  <si>
    <t>RL - Injuries &amp; Damages Reserve - OR</t>
  </si>
  <si>
    <t>RL - Property Insurance Reserve - OR</t>
  </si>
  <si>
    <t>RL - Property Insurance Reserve - WY</t>
  </si>
  <si>
    <t>RA - FAS133 Unrealized Gain/Loss</t>
  </si>
  <si>
    <t>RA - Frozen MTM</t>
  </si>
  <si>
    <t>FERC 283 - Other</t>
  </si>
  <si>
    <t>LT Prepaid IBEW 57 Pension Contribution</t>
  </si>
  <si>
    <t>Malin SHL (Tax Int. - Tax Rent + Book Depreciation)</t>
  </si>
  <si>
    <t>Prepaid Aircraft Maintenance</t>
  </si>
  <si>
    <t>Book - tax difference on prepaid account for any major overhaul and amortization.</t>
  </si>
  <si>
    <t>Noncurrent Asset - Frozen MTM</t>
  </si>
  <si>
    <t>OR BETC - Purchased Credits - Non-Cash</t>
  </si>
  <si>
    <t xml:space="preserve">Attachment 1a input --&gt; </t>
  </si>
  <si>
    <t>SA 742</t>
  </si>
  <si>
    <t>g17</t>
  </si>
  <si>
    <t>g18</t>
  </si>
  <si>
    <t>growth</t>
  </si>
  <si>
    <r>
      <rPr>
        <sz val="10"/>
        <rFont val="Arial"/>
        <family val="2"/>
      </rPr>
      <t xml:space="preserve">Appendix A input: </t>
    </r>
    <r>
      <rPr>
        <b/>
        <sz val="10"/>
        <rFont val="Arial"/>
        <family val="2"/>
      </rPr>
      <t>Gross Revenue Credits</t>
    </r>
  </si>
  <si>
    <t>&lt;-- MW value from Att 9b</t>
  </si>
  <si>
    <t>&lt;-- 'Summary of Rates' input</t>
  </si>
  <si>
    <t>&lt;--'Appendix A' input</t>
  </si>
  <si>
    <t>&lt;-- unreserved use</t>
  </si>
  <si>
    <t>266 footnotes</t>
  </si>
  <si>
    <t>Interest on Network Upgrade Balance</t>
  </si>
  <si>
    <t xml:space="preserve">  Zero</t>
  </si>
  <si>
    <t xml:space="preserve">Accrued liability for purchased Oregon Business Energy Tax Credits (BETC's).                                                                                                                                                                                                                                                                                                                                                                                    </t>
  </si>
  <si>
    <t xml:space="preserve">Book-tax difference related to the Gain on purchased Business Energy Tax Credits.                                                                                                                                                                                                                                                                                                                                                                                                                                                     </t>
  </si>
  <si>
    <t>A settlement receivable from Deseret Generation and Transmission Cooperative (Deseret) regarding a payment dispute over pollution upgrades at the Hunter Unit 2 coal plant.</t>
  </si>
  <si>
    <t>Equity AFUDC</t>
  </si>
  <si>
    <t>SAP account used for financial statement presentation purposes to reclass the current and noncurrent portion of regulatory assets to liabilities when the balance of the regulatory assets result in a credit balance.</t>
  </si>
  <si>
    <t>Regulatory asset established for current portion of Utah renewable energy credits included in rates that differ from actual renewable energy credits.</t>
  </si>
  <si>
    <t>Regulatory asset established for the noncurrent portion of Utah renewable energy credits included in rates that differ from actual renewable energy credits.</t>
  </si>
  <si>
    <t>Regulatory asset established for the current portion of Wyoming renewable energy credits included in rates that differ from actual renewable energy credits.</t>
  </si>
  <si>
    <t>Regulatory asset established for the noncurrent portion of Wyoming renewable energy credits included in rates that differ from actual renewable energy credits.</t>
  </si>
  <si>
    <t xml:space="preserve">Book-tax difference related to the Gain on purchased Business Energy Tax Credits.                                                                                                                                                                                                                                                                                                                                                                                                                                                         </t>
  </si>
  <si>
    <t>Tax Fixed Asset Gain/Loss</t>
  </si>
  <si>
    <t>Goodnoe Hills Settlement</t>
  </si>
  <si>
    <t>Lake Side Settlement</t>
  </si>
  <si>
    <t>(Excl Energy Gateway)</t>
  </si>
  <si>
    <t>Data_description</t>
  </si>
  <si>
    <t>='ATT 2 - Other Taxes'!$D$45</t>
  </si>
  <si>
    <t>='ATT 5 - Cost Support'!$H$159</t>
  </si>
  <si>
    <t>='ATT 5 - Cost Support'!$G$108</t>
  </si>
  <si>
    <t>='ATT 5 - Cost Support'!$G$65</t>
  </si>
  <si>
    <t>206.104g</t>
  </si>
  <si>
    <t>='ATT 5 - Cost Support'!$G$61</t>
  </si>
  <si>
    <t>='ATT 5 - Cost Support'!$G$49</t>
  </si>
  <si>
    <t>='ATT 5 - Cost Support'!$G$40</t>
  </si>
  <si>
    <t>='ATT 5 - Cost Support'!$G$39</t>
  </si>
  <si>
    <t>='ATT 5 - Cost Support'!$G$68</t>
  </si>
  <si>
    <t>='ATT 5 - Cost Support'!$G$7</t>
  </si>
  <si>
    <t>='ATT 5 - Cost Support'!$G$19</t>
  </si>
  <si>
    <t>='ATT 5 - Cost Support'!$G$23</t>
  </si>
  <si>
    <t>='ATT 5 - Cost Support'!$G$35</t>
  </si>
  <si>
    <t>='ATT 5 - Cost Support'!$G$44</t>
  </si>
  <si>
    <t>='ATT 5 - Cost Support'!$G$45</t>
  </si>
  <si>
    <t>='ATT 5 - Cost Support'!$G$87</t>
  </si>
  <si>
    <t>='ATT 5 - Cost Support'!$G$103</t>
  </si>
  <si>
    <t>='ATT 5 - Cost Support'!$G$113</t>
  </si>
  <si>
    <t>='ATT 5 - Cost Support'!$H$146</t>
  </si>
  <si>
    <t>='ATT 5 - Cost Support'!$H$150</t>
  </si>
  <si>
    <t>='ATT 5 - Cost Support'!$H$142</t>
  </si>
  <si>
    <t>234.18b</t>
  </si>
  <si>
    <t>272.17b</t>
  </si>
  <si>
    <t>272.17k</t>
  </si>
  <si>
    <t>274.9b</t>
  </si>
  <si>
    <t>274.9k</t>
  </si>
  <si>
    <t>276.19b</t>
  </si>
  <si>
    <t>276.19k</t>
  </si>
  <si>
    <t>='ATT 5 - Cost Support'!$H$246</t>
  </si>
  <si>
    <t>='ATT 5 - Cost Support'!$H$247</t>
  </si>
  <si>
    <t>='Appendix A'!$H$121</t>
  </si>
  <si>
    <t>='Appendix A'!$H$122</t>
  </si>
  <si>
    <t>='Appendix A'!$H$117</t>
  </si>
  <si>
    <t>='Appendix A'!$H$12</t>
  </si>
  <si>
    <t>='Appendix A'!$H$15</t>
  </si>
  <si>
    <t>='Appendix A'!$H$14</t>
  </si>
  <si>
    <t>Label</t>
  </si>
  <si>
    <t>Att 10 - Acc Amort of PIS</t>
  </si>
  <si>
    <t>Change sign</t>
  </si>
  <si>
    <t>Cash Working Capital - 1/8 rule</t>
  </si>
  <si>
    <t>'Appendix A'!$H$98</t>
  </si>
  <si>
    <t>Settlement value: 1/8 now zero absent filed lead-lag study</t>
  </si>
  <si>
    <t>='Att 3 - Revenue Credits'!$E$41</t>
  </si>
  <si>
    <t>='Att 7 - Trans Enhance Charge'</t>
  </si>
  <si>
    <t>='ATT 5 - Cost Support'!$G$129</t>
  </si>
  <si>
    <t>Component of total below</t>
  </si>
  <si>
    <t>Used as check for input values.  Asset on BS.</t>
  </si>
  <si>
    <t>Used as check for input values.  Liability on BS =&gt; change sign.</t>
  </si>
  <si>
    <t>Used as check for input value</t>
  </si>
  <si>
    <t xml:space="preserve">Used as check </t>
  </si>
  <si>
    <r>
      <t>Used as check (</t>
    </r>
    <r>
      <rPr>
        <b/>
        <sz val="10"/>
        <color rgb="FF0000FF"/>
        <rFont val="Arial"/>
        <family val="2"/>
      </rPr>
      <t>valid for Projection only</t>
    </r>
    <r>
      <rPr>
        <sz val="10"/>
        <color rgb="FF0000FF"/>
        <rFont val="Arial"/>
        <family val="2"/>
      </rPr>
      <t>)</t>
    </r>
  </si>
  <si>
    <t>Total Proprietary Capital</t>
  </si>
  <si>
    <t>Avg 12CP</t>
  </si>
  <si>
    <t>Attachment 1 - Accumulated Deferred Income Taxes (ADIT) Worksheet</t>
  </si>
  <si>
    <t>A/Amort-Hydr-Klamath</t>
  </si>
  <si>
    <t>Prepaid Lake Side CUWCD Water Fee</t>
  </si>
  <si>
    <t>Adjustment to exclude the write-offs that were booked to Account 573</t>
  </si>
  <si>
    <t>component of 335 Ln 1b</t>
  </si>
  <si>
    <t>Utah 2013 EBA Settlement (Naughton Plant)</t>
  </si>
  <si>
    <t>Wyoming 2013 Settlement (Naughton Plant)</t>
  </si>
  <si>
    <t>350.39d</t>
  </si>
  <si>
    <t>350.40d</t>
  </si>
  <si>
    <t>Docket No. EL08-75-00 (10/21/2008)</t>
  </si>
  <si>
    <t>Sacramento Muncipal Utility District</t>
  </si>
  <si>
    <t xml:space="preserve">NextEra: </t>
  </si>
  <si>
    <t>f13</t>
  </si>
  <si>
    <t xml:space="preserve">Pension </t>
  </si>
  <si>
    <t>Regulatory liability established to record a pension liability for the Energy West Mining UMWA pension trust withdrawal obligation.</t>
  </si>
  <si>
    <t>LTIP - non current</t>
  </si>
  <si>
    <t>Regulatory liability established to record the long-term portion of the BHE incentive plan liability related to PacifiCorp employees.</t>
  </si>
  <si>
    <t>RL OR RECs in Rate - Current</t>
  </si>
  <si>
    <t>RL - Deferred Excess NPC - OR - noncurrent</t>
  </si>
  <si>
    <t>Regulatory liability established for noncurrent portion of recoverable net power costs in Oregon pursuant to an energy cost adjustment mechanism.</t>
  </si>
  <si>
    <t>Reg Lia - OR Inj &amp; Dam Reserve</t>
  </si>
  <si>
    <t xml:space="preserve">Regulatory asset/liability established for the Asset Retirement Obligation (ARO) Liability representing future reclamation costs associated with the decommissioning of the Trojan Nuclear Plant that are in excess of those approved for recovery by regulatory authorities.   </t>
  </si>
  <si>
    <t>RL - Depre</t>
  </si>
  <si>
    <t>Regulatory liability established to record Oregon's share of the deferral of decreased depreciation due to the implementation of new rates on January 1, 2014.</t>
  </si>
  <si>
    <t xml:space="preserve">Regulatory liability established to record Washington's share of the deferral of decreased depreciation due to the implementation of new rates on January 1, 2014. </t>
  </si>
  <si>
    <t>Ins Resv</t>
  </si>
  <si>
    <t>Accrued liability established reserves (contingent liabilities) for anticipated injury and damage expenses.</t>
  </si>
  <si>
    <t>Tenant Lease Allowances</t>
  </si>
  <si>
    <t>Cash received for improvements to the Lloyd Center Mall Learning Center leased by PacifiCorp will be amortized as expenses are incurred.</t>
  </si>
  <si>
    <t>CWIP Reserve</t>
  </si>
  <si>
    <t xml:space="preserve">PacifiCorp will open a customer work order for construction of a capital project and capitalize various costs incurred on these utility-related projects (i.e., generation facilities, transmission and distribution facilities, mining operations and corporate operations) for book purposes. Projects with less than 5% activity within the prior 6-month period are deemed inactive.   Those inactive projects with capitalized costs are analyzed for potential recovery. For the amounts not expected to be recovered, a reserve is established, CWIP Reserve.  </t>
  </si>
  <si>
    <t>PacifiCorp accrues a liability for various stream enhancement obligations entered into for the new North Umpqua FERC license pursuant to Financial Accounting Standard 143.</t>
  </si>
  <si>
    <t>RA- Solar ITC Basis Adj. - Fixed Assets</t>
  </si>
  <si>
    <t>PacifiCorp installed solar arrays. The projects are qualified for the 30% solar investment tax credit (ITC). The tax basis of the solar arrays needs to be reduced by one-half of the solar ITC, therefore creating basis differences between book basis and tax basis for the solar arrays.</t>
  </si>
  <si>
    <t>RL - Contra-Carbon Decommissioning - ID</t>
  </si>
  <si>
    <t>This account was set up to record a contra regulatory liability for Idaho's share of Carbon Plant's decommissioning accrual that was directed to be a regulatory asset per the Idaho general rate order/stipulation (Docket PAC-E-13-04).</t>
  </si>
  <si>
    <t>RL - Contra-Carbon Decommissioning - UT</t>
  </si>
  <si>
    <t>This account was set up to record a contra regulatory liability for Utah's share of Carbon Plant's decommissioning accrual that was directed to be a regulatory asset per the Utah general rate order/stipulation (Docket 11-035-200).</t>
  </si>
  <si>
    <t>RL - Contra-Carbon Decommissioning - WY</t>
  </si>
  <si>
    <t>This account was set up to record a contra regulatory liability for Wyoming's share of Carbon Plant's decommissioning accrual that was directed to be a regulatory asset per the Wyoming general rate order/stipulation (Docket 20000-405-ER11).</t>
  </si>
  <si>
    <t>Solar ITC Basis Adjustment</t>
  </si>
  <si>
    <t xml:space="preserve"> The projects are qualified for the 30% solar investment tax credit (ITC). The tax basis of the solar arrays needs to be reduced by one-half of the solar ITC, therefore creating basis differences between book basis and tax basis for the solar arrays.</t>
  </si>
  <si>
    <t>Contra RA -  PP&amp;E Deer Creek</t>
  </si>
  <si>
    <t>Contra RA -  Deer Creek Abandonment</t>
  </si>
  <si>
    <t>RA - BPA Balancing Account - OR</t>
  </si>
  <si>
    <t>RA - BPA Balancing Account - WA</t>
  </si>
  <si>
    <t>RA - Carbon Unrecovered Plant - ID</t>
  </si>
  <si>
    <t>Regulatory asset established to record Idaho's share of the deferral of Carbon Plant's increased depreciation due to the implementation of new rates on January 1, 2014.</t>
  </si>
  <si>
    <t>RA - Carbon Unrecovered Plant - UT</t>
  </si>
  <si>
    <t>Regulatory asset established to record Utah's share of the deferral of Carbon Plant's increased depreciation due to the implementation of new rates on January 1, 2014.</t>
  </si>
  <si>
    <t>RA - Carbon Unrecovered Plant - WY</t>
  </si>
  <si>
    <t>Regulatory asset established to record Wyoming's share of the deferral of Carbon Plant's increased depreciation due to the implementation of new rates on January 1, 2014.</t>
  </si>
  <si>
    <t>RA - Depreciation Increase - Idaho</t>
  </si>
  <si>
    <t>Regulatory asset  established to record Idaho's share of the deferral of increased depreciation due to the implementation of new rates on January 1, 2014.</t>
  </si>
  <si>
    <t>RA - Depreciation Increase - Utah</t>
  </si>
  <si>
    <t xml:space="preserve"> Regulatory asset  established to record Utah's share of the deferral of increased depreciation due to the implementation of new rates on January 1, 2014.</t>
  </si>
  <si>
    <t>RA - Depreciation Increase - Wyoming</t>
  </si>
  <si>
    <t>Regulatory asset  established to record Wyoming's share of the deferral of increased depreciation due to the implementation of new rates on January 1, 2014.</t>
  </si>
  <si>
    <t>RA - Effects of Ratemaking - WA Flowthrough</t>
  </si>
  <si>
    <t>Regulatory asset established for flow-through accounting of income taxes required by the state of Washington on certain non-property related temporary book-tax differences.</t>
  </si>
  <si>
    <t>RA - Energy West Mining</t>
  </si>
  <si>
    <t>In December 2014, abandonment costs were recorded in connection with the anticipated closure of the Deer Creek mine in Emery County, UT. The Company filed a deferred accounting application with the applicable state commissions.</t>
  </si>
  <si>
    <t>RA - OR Sch 203 Black Cap Solar</t>
  </si>
  <si>
    <t>Black Cap Solar Project (Black Cap), a renewable resource, wherein PacifiCorp owns the project rights and the land under the facility, but leases the equipment.</t>
  </si>
  <si>
    <t>RA - Preferred Stock Redemption - WY</t>
  </si>
  <si>
    <t>Reg Asset - WY - Preferred Stock Redemption Cost was set up in August 2014 to record Utah's portion of redemption cost.</t>
  </si>
  <si>
    <t>RA - Preferred Stock Redemption Loss - UT</t>
  </si>
  <si>
    <t>Reg Asset - UT - Preferred Stock Redemption Cost was set up in August 2014 to record Utah's portion of redemption cost.</t>
  </si>
  <si>
    <t>RA - REC Sales Deferral - WA - Current</t>
  </si>
  <si>
    <t xml:space="preserve"> Regulatory asset established to capture the current portion of the difference between renewable energy credits (RECs) included in rates and actual RECs for the Washington jurisdiction.</t>
  </si>
  <si>
    <t>RA - REC Sales Deferral - WA - Noncurrent</t>
  </si>
  <si>
    <t>Regulatory asset established to capture the noncurrent portion of the difference between renewable energy credits (RECs) included in rates and actual RECs for the Washington jurisdiction.</t>
  </si>
  <si>
    <t>Regulatory liability established to record changes in control (CIC) severance accruals.  Amounts in this account are accruals for both departing executives and rank-and-file employees.</t>
  </si>
  <si>
    <t xml:space="preserve">Accrued estimated liability for insurance premium taxes related to the company's captive insurance premiums.
</t>
  </si>
  <si>
    <t xml:space="preserve">Intangible asset for hydroelectric obligations associated with the acceptance of the North Umpqua FERC license for habitat enhancement.                                                                                                                                                                                                                                                                    
</t>
  </si>
  <si>
    <t>Prepaid IBEW 57 Pension Contribution - Current</t>
  </si>
  <si>
    <t>Prefunded contributions to Local 57 pension fund are recorded as prepaid expense.</t>
  </si>
  <si>
    <t>Prepaid Water Rights</t>
  </si>
  <si>
    <t>RA - Solar ITC Basis Adjustment - Gross-up</t>
  </si>
  <si>
    <t>Regulatory liability established as a balancing account for a pass-through benefit to Idaho customers from BPA (Bonneville Power Administration) under the Northwest Power Act where qualifying customers receive a credit to their bill.</t>
  </si>
  <si>
    <t>Regulatory liability established as a balancing account for a pass-through benefit to WA customers from BPA (Bonneville Power Administration) under the Northwest Power Act where qualifying customers receive a credit to their bill.</t>
  </si>
  <si>
    <t>This account is to reclass the noncurrent portion of regulatory assets for insurance reserves and intervenor fees to liabilities when the balance of the regulatory assets result in a credit balance instead of a debit balance, or vice versa.</t>
  </si>
  <si>
    <t>The reserve was established to record the impairment loss of PacifiCorp Energy write off $2.0M of emission reduction credit.</t>
  </si>
  <si>
    <t>Book-tax difference related to relicensing cost for Klamath Dam.</t>
  </si>
  <si>
    <t>Regulatory asset established for the current portion of deferral of Oregon prepaid renewable energy credit purchases for Renewable Portfolio Standard compliance and the related interest income.</t>
  </si>
  <si>
    <t>Regulatory asset established for noncurrent portion of deferral of Oregon prepaid renewable energy credit purchases for Renewable Portfolio Standard compliance and the related interest income.</t>
  </si>
  <si>
    <t>Regulatory asset established to reflect the book-tax difference in the cost of the Deer Creek and Trail Mountain coal inventory.</t>
  </si>
  <si>
    <t>Regulatory liability established to record OR Def NPC current portion.</t>
  </si>
  <si>
    <t>Regulatory liability established to record WA Def NPC current portion.</t>
  </si>
  <si>
    <t>Regulatory liability established to record current portion of other regulatory liabilities.</t>
  </si>
  <si>
    <t>Regulatory liability established to record UT solar Feed in Tariff reclass to current.</t>
  </si>
  <si>
    <t>Regulatory liability established to record CA solar Feed in Tariff reclass to current.</t>
  </si>
  <si>
    <t>Regulatory liability established to record OR REC's current portion.</t>
  </si>
  <si>
    <t>Regulatory liability established to record UT REC's current portion.</t>
  </si>
  <si>
    <t>Regulatory liability established to record WA REC's current portion.</t>
  </si>
  <si>
    <t>Regulatory asset to record the pass-through benefit to Washington customers from the BPA. Qualifying customers, such as those who meet specified reductions in energy use during peak hours, are rewarded with a credit to their bill.</t>
  </si>
  <si>
    <t>='Att 10 - Acc Amort of PIS'!$E$13</t>
  </si>
  <si>
    <t>Subtotal - p273</t>
  </si>
  <si>
    <t>Fixed settlement value and a product of PacifiCorp underbuild attachments to transmission poles or towers of 46,314 multiplied by $12.00 per pole.</t>
  </si>
  <si>
    <t>EIM: Capital Cost of upgrade of substation and power plant meters to 5-min memory capability.</t>
  </si>
  <si>
    <t>Interconnection Customer Interconnection Facilities (ICIFs).</t>
  </si>
  <si>
    <t>&lt;--billing demand from FF1 p328 values</t>
  </si>
  <si>
    <r>
      <rPr>
        <b/>
        <sz val="10"/>
        <color rgb="FF0000FF"/>
        <rFont val="Garamond"/>
        <family val="1"/>
      </rPr>
      <t xml:space="preserve">&lt;-- </t>
    </r>
    <r>
      <rPr>
        <sz val="10"/>
        <color rgb="FF0000FF"/>
        <rFont val="Garamond"/>
        <family val="1"/>
      </rPr>
      <t>Form 1 data year</t>
    </r>
  </si>
  <si>
    <r>
      <rPr>
        <b/>
        <sz val="10"/>
        <color rgb="FF0000FF"/>
        <rFont val="Garamond"/>
        <family val="1"/>
      </rPr>
      <t xml:space="preserve">&lt;&lt;-- </t>
    </r>
    <r>
      <rPr>
        <sz val="10"/>
        <color rgb="FF0000FF"/>
        <rFont val="Garamond"/>
        <family val="1"/>
      </rPr>
      <t>Toggle data</t>
    </r>
  </si>
  <si>
    <t>Western Area Power Administration</t>
  </si>
  <si>
    <t>Att 5 - Cost Support, Line 166 "Facility Credits under Section 30.9 of the OATT"</t>
  </si>
  <si>
    <t>Att 5 - Cost Support, Line 168 "Interest on Network Upgrade Facilities"</t>
  </si>
  <si>
    <t>Att 5 - Cost Support, Line 50 "Network Upgrade Balance"</t>
  </si>
  <si>
    <t>Attachment A, Line 128 "FIT = Federal Income Tax Rate"</t>
  </si>
  <si>
    <t>Attachment A, Line 129 "SIT = State Income Tax Rate or Composite"</t>
  </si>
  <si>
    <t>Attachment A, Line 130</t>
  </si>
  <si>
    <t>Attachment 3, Line 1 "Rent from Electric Property - Transmission Related "</t>
  </si>
  <si>
    <t>Att 5 - Cost Support, Line 53 "Transmission O&amp;M adjustment"</t>
  </si>
  <si>
    <t>Attachment 3, Line 10 "Facilities Charges including Interconnection Agreements"</t>
  </si>
  <si>
    <t>Model worksheet input</t>
  </si>
  <si>
    <t xml:space="preserve">Inputs  
</t>
  </si>
  <si>
    <t>Attachment 15 - GSU and Associated Equipment, "Wind Generation Facilities adjustment"</t>
  </si>
  <si>
    <t xml:space="preserve">Attachment 2 (Other Taxes) Supporting Details </t>
  </si>
  <si>
    <t>Generating Plant Liquidated Damages-WY (detail below)</t>
  </si>
  <si>
    <t>Generating Plant Liquidated Damages-UT (detail below)</t>
  </si>
  <si>
    <t xml:space="preserve">Docket no. EL08-75-000, Order No. 125 (2008), FERC Stats. &amp; Regs. ¶61,076. </t>
  </si>
  <si>
    <t>2015 Projection (as-filed)</t>
  </si>
  <si>
    <t xml:space="preserve">2014 data in Settlement model </t>
  </si>
  <si>
    <t>Exclude transmission facilities from Transmission Plant in-Service as these charges are directly assigned to non-transmission customers.</t>
  </si>
  <si>
    <t xml:space="preserve">Based on the Resolution of Preliminary Challenges to the 2013 Annual Update, PacifiCorp agreed to exclude the write-offs that were booked to FERC Account 573 from the transmission revenue requirement. </t>
  </si>
  <si>
    <t>Nevada Commerce Tax</t>
  </si>
  <si>
    <t>232.29e</t>
  </si>
  <si>
    <t>232.30e</t>
  </si>
  <si>
    <t>Authorized Filled Expense minus Actual Expense</t>
  </si>
  <si>
    <t>Annual Update Informational Filing</t>
  </si>
  <si>
    <t>PacifiCorp will include actual PBOP expense until changed as the result of a filing at FERC. PacifiCorp will include in the Annual Update Informational Filing its annual actuarial valuation report to support its actual PBOP expense.</t>
  </si>
  <si>
    <t xml:space="preserve"> Regulatory asset accrued for prepaid water rights and water fees. Moved from 2014 account 137511.</t>
  </si>
  <si>
    <t>Regulatory asset established to segregate the accumulated Wyoming carrying charges to be recovered on Wyoming's allocable share of the post-retirement medical settlement loss.</t>
  </si>
  <si>
    <t>RA - Post Retirement Settlement Loss - CC -WY</t>
  </si>
  <si>
    <t>RA - Post Retirement Settlement Loss CC - UT</t>
  </si>
  <si>
    <t>Regulatory asset established to record a FAS 106 regulatory asset for the settlement loss on retiree medical obligations.</t>
  </si>
  <si>
    <t>RA - Post Retirement Settlement Loss</t>
  </si>
  <si>
    <t>RA - WA Merwin Project</t>
  </si>
  <si>
    <t>Regulatory asset established for the UT Subscriber Solar Program.</t>
  </si>
  <si>
    <t>RA - UT Subscriber Solar Program</t>
  </si>
  <si>
    <t xml:space="preserve">Deferral of California prepaid renewable energy credit (REC) purchases in compliance with the Renewable Portfolio Standard (RPS).  </t>
  </si>
  <si>
    <t>RA - REC Sales Deferral - CA</t>
  </si>
  <si>
    <t>Reg Asset established to record Washington's portion of stock redemption costs.</t>
  </si>
  <si>
    <t>RA - Preferred Stock Redemption Loss - WA</t>
  </si>
  <si>
    <t xml:space="preserve">California implemented a cap and trade program on the carbon emission for energy transmitted into California. One allowance is required to be surrendered for each metric ton of CO2e of green house gas (GHG) emission in energy transmitted into California. The regulatory asset established to record current portion of CA GHG allowance. </t>
  </si>
  <si>
    <t>RA - GHG Allowances - CA - Non Current</t>
  </si>
  <si>
    <t xml:space="preserve">Balancing account to record the program costs for the conversion of master metered mobile home parks to direct utility service. </t>
  </si>
  <si>
    <t>RA - CA Mobile Home Park Conversion</t>
  </si>
  <si>
    <t xml:space="preserve"> Regulatory asset to record the pass-through benefit to Oregon customers from the BPA. Qualifying customers, such as those who meet specified reductions in energy use during peak hours, are rewarded with a credit to their bill. Moved from 2014 account 137332.</t>
  </si>
  <si>
    <t>Regulatory asset to record benefits and administrative costs related to the California Alternative Rate for Energy, or CARE, program.</t>
  </si>
  <si>
    <t>RA - Alt Rate for Energy Program (CARE) - CA</t>
  </si>
  <si>
    <t xml:space="preserve">Contra regulatory asset for all the WA related recovery (amortization) and other adjustments to the UMWA pension trust withdrawal obligation regulatory asset included in the Deer Creek Mine disposition. </t>
  </si>
  <si>
    <t>Contra RA - UMWA Pension - WA</t>
  </si>
  <si>
    <t xml:space="preserve">Contra regulatory asset for all the CA related recovery (amortization) and other adjustments to the UMWA pension trust withdrawal obligation regulatory asset included in the Deer Creek Mine disposition. </t>
  </si>
  <si>
    <t>Contra RA - UMWA Pension - CA</t>
  </si>
  <si>
    <t xml:space="preserve">Contra regulatory asset for all the recovery (amortization) and other adjustments to the UMWA pension trust withdrawal obligation regulatory asset included in the Deer Creek Mine disposition. </t>
  </si>
  <si>
    <t>Contra RA - UMWA Pension</t>
  </si>
  <si>
    <t xml:space="preserve"> Regulatory asset to record WY contra regulatory asset for Deer Creek abandonment.</t>
  </si>
  <si>
    <t>Contra RA -  Deer Creek Abandonment - WY</t>
  </si>
  <si>
    <t xml:space="preserve"> Regulatory asset to record WA contra regulatory asset for Deer Creek abandonment.</t>
  </si>
  <si>
    <t>Contra RA -  Deer Creek Abandonment - WA</t>
  </si>
  <si>
    <t xml:space="preserve"> Regulatory asset to record UT contra regulatory asset for Deer Creek abandonment.</t>
  </si>
  <si>
    <t>Contra RA -  Deer Creek Abandonment - UT</t>
  </si>
  <si>
    <t xml:space="preserve"> Regulatory asset to record OR contra regulatory asset for Deer Creek abandonment.</t>
  </si>
  <si>
    <t>Contra RA -  Deer Creek Abandonment - OR</t>
  </si>
  <si>
    <t xml:space="preserve"> Regulatory asset to record ID contra regulatory asset for Deer Creek abandonment.</t>
  </si>
  <si>
    <t>Contra RA -  Deer Creek Abandonment - ID</t>
  </si>
  <si>
    <t xml:space="preserve"> Regulatory asset to record CA contra regulatory asset for Deer Creek abandonment.</t>
  </si>
  <si>
    <t>Contra RA -  Deer Creek Abandonment - CA</t>
  </si>
  <si>
    <t xml:space="preserve"> Regulatory asset used to record a contra regulatory asset for Deer Creek abandonment.</t>
  </si>
  <si>
    <t xml:space="preserve"> Regulatory asset used to record a contra PP&amp;E account within electric plant-in-service (EPIS) for the abandonment of Deer Creek Mine related EPIS. </t>
  </si>
  <si>
    <t>Reclass to separately state the exclusion of ADIT from §1031 Exchange pursuant to the income tax normalization rules.</t>
  </si>
  <si>
    <t>Reclass to §1031 Exchange Normalization Adj</t>
  </si>
  <si>
    <t>Eagle Mountain contract liabilities not currently deductible for income tax purposes.</t>
  </si>
  <si>
    <t>Contract LiabilityBasis Adj - Eagle Mountain</t>
  </si>
  <si>
    <t>Accrued liabilities related to the purchase of the Chehalis plant not currently deductible for income tax purposes.</t>
  </si>
  <si>
    <t>Contract LiabilityBasis Adj - Chehalis</t>
  </si>
  <si>
    <t>Exclusion of ADIT from §1031 Exchange due pursuant to the income tax normalization rules.</t>
  </si>
  <si>
    <t>§1031 Exchange Normalization Adjustment</t>
  </si>
  <si>
    <t xml:space="preserve">Accrued liability for royalty payments to the Mineral Management Service on coal production. </t>
  </si>
  <si>
    <t xml:space="preserve">Accrued liability associated with the acceptance of the North Umpqua FERC license for habitat enhancement. </t>
  </si>
  <si>
    <t xml:space="preserve">Accrued liability established to reserve for accounts receivable for which collection is not expected. </t>
  </si>
  <si>
    <t>Bad Debts Allowance - Cash Basis</t>
  </si>
  <si>
    <t>Valuation allowance against items that may not be realized before they expire.</t>
  </si>
  <si>
    <t xml:space="preserve">Valuation Allowance for DTA </t>
  </si>
  <si>
    <t>Chehalis Mitigation Oblig</t>
  </si>
  <si>
    <t>Eagle Mtn Contract Liab</t>
  </si>
  <si>
    <t xml:space="preserve">To record unrealized gains/losses from the long term incentive plan. </t>
  </si>
  <si>
    <t>LTIP Mark to Mkt Gain/Loss</t>
  </si>
  <si>
    <t>Accrued final reclamation expenditures for the Trapper mine.</t>
  </si>
  <si>
    <t>Trapper Mine Contract Oblig</t>
  </si>
  <si>
    <t>Reserve against receivable due from joint owners.</t>
  </si>
  <si>
    <t>Contra Rec Joint Owners</t>
  </si>
  <si>
    <t>Advanced payments recognized for tax and not for book.</t>
  </si>
  <si>
    <t>Deferred Revenue - Other</t>
  </si>
  <si>
    <t>Accrual to reserve for sales and use tax.</t>
  </si>
  <si>
    <t>Sales &amp; Use Tax Audit Exp</t>
  </si>
  <si>
    <t>Miscellaneous accrued liabilityies related to PacifiCorp.</t>
  </si>
  <si>
    <t>Capital loss carryforward for income tax purposes pursuant to Internal Revenue Code Section 383.</t>
  </si>
  <si>
    <t>Ins Rec Accrual</t>
  </si>
  <si>
    <t>California state income tax credit carryforward.</t>
  </si>
  <si>
    <t>Arizona state income tax credit carryforward.</t>
  </si>
  <si>
    <t>Colorado state income tax credit carryforward.</t>
  </si>
  <si>
    <t>Idaho state income tax credit carryforward.</t>
  </si>
  <si>
    <t>Oregon state income tax credit carryforward.</t>
  </si>
  <si>
    <t>Federal income benefit for the deduction state taxes associated with state net operating loss carryforward.</t>
  </si>
  <si>
    <t>State net operating loss carryforward for income tax purposes.</t>
  </si>
  <si>
    <t>Charitable contribution carryforward for state income tax purposes.</t>
  </si>
  <si>
    <t>RL - Blue Sky Program WY</t>
  </si>
  <si>
    <t xml:space="preserve">Regulatory liability established to record revenues received from customers participating in the company's Blue Sky renewable energy program, which are then used to purchase renewable energy certificates. </t>
  </si>
  <si>
    <t>RL - Blue Sky Program ID</t>
  </si>
  <si>
    <t>RL - Blue Sky Program UT</t>
  </si>
  <si>
    <t>RL - Blue Sky Program CA</t>
  </si>
  <si>
    <t>RL - Blue Sky Program WA</t>
  </si>
  <si>
    <t>RL - Blue Sky Program OR</t>
  </si>
  <si>
    <t xml:space="preserve">Regulatory liability established to record revenues received from customers which are then granted to qualifying low income recipients through bill credits. </t>
  </si>
  <si>
    <t>RL - UT Home Energy LifeLine</t>
  </si>
  <si>
    <t>NW Power Act is funded by Bonneville Power Administration (BPA).  Qualifying customers receive a benefit on their bill from the Company which is subsequently reimbursed by BPA. The Company receives a fixed monthly payment from BPA. The payment is deferred as a credit in this balancing account.</t>
  </si>
  <si>
    <t>NW Power Act - WA</t>
  </si>
  <si>
    <t xml:space="preserve">Regulatory liability established to record the Oregon Energy Conservation Charge and related expenses which are predominantly remitted to the Energy Trust of Oregon (ETO) for energy efficiency programs.  </t>
  </si>
  <si>
    <t xml:space="preserve">Regulatory liability established to record OR REC's. </t>
  </si>
  <si>
    <t>RL - Sale of RECs - OR</t>
  </si>
  <si>
    <t xml:space="preserve">Regulatory liability for a Wyoming revenue requirement adjustment related to bonus tax depreciation.  </t>
  </si>
  <si>
    <t>RL - 50% Bonus Tax Depr - WY</t>
  </si>
  <si>
    <t>RL - CA GHG Allowance Rev</t>
  </si>
  <si>
    <t>Regulatory liability established to record WA Def NPC.</t>
  </si>
  <si>
    <t>RL WA Def NPC - Noncurrent</t>
  </si>
  <si>
    <t>RL CA Solar Feed-in Tariff - NC</t>
  </si>
  <si>
    <t>RL UT Solar Feed-in Tariff - NC</t>
  </si>
  <si>
    <t>RL - BPA Balance Act - ID</t>
  </si>
  <si>
    <t>Accruals recorded for book purposes for unused vacation and sick leave due to employees in future periods or upon termination.</t>
  </si>
  <si>
    <t>Vacation Accrual-Cash Basis (2.5 mos)</t>
  </si>
  <si>
    <t>Severance accruals related to regular employment downsizing. Amounts contained in these accounts represent accruals for both departing executives and rank and file employees.</t>
  </si>
  <si>
    <t>Severance Accrual - Cash Basis</t>
  </si>
  <si>
    <t xml:space="preserve">Accrued expenses recorded for book purposes under PacifiCorp's Annual Incentive Plan (AIP), 401(k) match of AIP, payroll tax (employer portion), and LTI. </t>
  </si>
  <si>
    <t>Bonus Liab. Elec. - Cash Basis (2.5 mos)</t>
  </si>
  <si>
    <t xml:space="preserve">Regulatory liability established to record UT solar Feed in Tariff. </t>
  </si>
  <si>
    <t>Regulatory liability established to record CA solar Feed in Tariff.</t>
  </si>
  <si>
    <t>Regulatory asset established to record the deferral of the Merwin Project costs approved by the Washington Utility and Transportation Commission (WUTC).</t>
  </si>
  <si>
    <t>Regulatory asset established to segregate the accumulated Utah carrying charges to be recovered on Utah's allocable share of the post-retirement medical settlement loss.</t>
  </si>
  <si>
    <t>Regulatory liability established to record current portion of regulatory liability for purchase of California greenhouse gas pollution emission allowances.</t>
  </si>
  <si>
    <t>Regulatory liability established to record benefits and administrative costs related to the California Alternative Rate for Energy, or CARE, program.</t>
  </si>
  <si>
    <t>Regulatory liability established to record noncurrent portion of reg liability for purchase of California greenhouse gas pollution emission allowances.</t>
  </si>
  <si>
    <t>Regulatory asset established to reclass current portion of OR asset sale gain giveback.</t>
  </si>
  <si>
    <t>Regulatory asset established to reclass noncurrent portion of OR asset sale gain giveback.</t>
  </si>
  <si>
    <t xml:space="preserve"> Regulatory asset accrued for prepaid surety bond costs (e.g., supersedes bond obligations) that will be amortized ratably over the period of coverage. Moved from 2014 account 137513.</t>
  </si>
  <si>
    <t>The projects are qualified for the 30% solar investment tax credit (ITC). The tax basis of the solar arrays needs to be reduced by one-half of the solar ITC, therefore creating basis differences between book basis and tax basis for the solar arrays.  This is the revenue requirement gross-up for that difference.</t>
  </si>
  <si>
    <t>Electric Plant Purchased</t>
  </si>
  <si>
    <t>206.101g</t>
  </si>
  <si>
    <t>='ATT 5 - Cost Support'!$G$64</t>
  </si>
  <si>
    <t>='Att 12 - Plant Held Future Use'!$E$20</t>
  </si>
  <si>
    <t>='ATT 5 - Cost Support'!$H$245</t>
  </si>
  <si>
    <t>='ATT 5 - Cost Support'!$H$248</t>
  </si>
  <si>
    <t>Fiber Optic Leases</t>
  </si>
  <si>
    <t xml:space="preserve">Based on the Resolution of Preliminary Challenges to 2013 Annual Update, PacifiCorp agreed to include the WECC phase shifting fees for a reduction of loop flows on transmission assets as a revenue credit on Attachment 3 of the Formula. </t>
  </si>
  <si>
    <t>Based on the Resolution of Preliminary Challenges to 2013 Annual Update, PacifiCorp agreed to include as a revenue credit on Attachment 3 of the Formula the reimbursements for generator interconnection studies booked to Account 456 as the associated costs are booked to Account 561.7 and recovered in transmission ATRR.</t>
  </si>
  <si>
    <t>2015 FERC Form No.1, page 300.21b footnote</t>
  </si>
  <si>
    <t>PacifiCorp tax rate assumptions - 2015</t>
  </si>
  <si>
    <t>Company Records: Sum of SAP GL  585914 (Interest Expense - Transmission Deposits(third party) and 385914 (C&amp;T).</t>
  </si>
  <si>
    <t>Company Records: Sum of SAP GL accounts # 285461(Transm Interconnection Deposits - w/3rd Party ) and #285460 (Transm interconnetion Deposits C&amp;T).</t>
  </si>
  <si>
    <t>Company Records: Sum of SAP GL accounts #301863 and #301872 (PC 1192).</t>
  </si>
  <si>
    <t>Company Records: SAP FERC 573 details</t>
  </si>
  <si>
    <t>Company Records: FERC Account 353 details</t>
  </si>
  <si>
    <t>Company Records: Sum of SAP GL 505962 &amp; 505964 (FERC 566).</t>
  </si>
  <si>
    <t xml:space="preserve">Based on the Resolution of Preliminary Challenges to 2013 Annual Update, PacifiCorp agreed to include a portion of the service territory fixed cost recovery fee received from a former retail customer in Wyoming as a revenue credit on Attachment 3 of the Formula. The FERC Form No. 1 value in footnotes to page 300  for the service territory fixed cost recovery fee is multiplied by a share of target revenue requirement functionalized to transmission in Wyoming.  </t>
  </si>
  <si>
    <t>During the stakeholder process in PacifiCorp’s EIM filing in Docket No. ER14-1578, PacifiCorp agreed to remove the EIM-related capital costs for substation and power plant meter upgrades to five-minute memory capability booked to FERC Account 353 from its transmission rate base. This capital cost is added to the list of assets which are excluded from the transmission plant in-service on line 147 of Appendix A of the Formula.</t>
  </si>
  <si>
    <t>Based on the Resolution of Preliminary Challenges to 2013 Annual Update, PacifiCorp agreed to exclude the expenses associated with the refunds for transmission imbalance penalties booked to FERC Account 566 from the transmission ATRR.</t>
  </si>
  <si>
    <t>BPA Clarke PUD</t>
  </si>
  <si>
    <t>Noble Americas/ (Sempra)</t>
  </si>
  <si>
    <t>SA 370</t>
  </si>
  <si>
    <t>SA 789</t>
  </si>
  <si>
    <t>g9</t>
  </si>
  <si>
    <t>g20</t>
  </si>
  <si>
    <t>BPA</t>
  </si>
  <si>
    <t>State of SD</t>
  </si>
  <si>
    <t>Eugene Water &amp; Electric Board</t>
  </si>
  <si>
    <t>(see note)</t>
  </si>
  <si>
    <t>&lt;-- Contractual value of zero (included in PacifiCorp Energy amount)</t>
  </si>
  <si>
    <t>g21</t>
  </si>
  <si>
    <t>Salt River Project</t>
  </si>
  <si>
    <t>g22</t>
  </si>
  <si>
    <t>RS 262/263</t>
  </si>
  <si>
    <t>f14</t>
  </si>
  <si>
    <t>f15</t>
  </si>
  <si>
    <t>Exelon</t>
  </si>
  <si>
    <t>BPA South East Idaho</t>
  </si>
  <si>
    <t>BPA Idaho Falls</t>
  </si>
  <si>
    <t>SA 746</t>
  </si>
  <si>
    <t>SA 747</t>
  </si>
  <si>
    <t>&lt;-- Item is included in FF1 214.20d, Miscellaneous, each under $250,000</t>
  </si>
  <si>
    <t>&lt;--linked to 'Inputs' adjustments</t>
  </si>
  <si>
    <t>FERC 408.1  - Taxes Other than Income</t>
  </si>
  <si>
    <t>FERC 411.4 - Net ITC adjustment</t>
  </si>
  <si>
    <t xml:space="preserve"> Amort of Other Utility Plant</t>
  </si>
  <si>
    <t>FERC 303 - Misc intangible plant (BoY)</t>
  </si>
  <si>
    <t>FERC 303 - Misc intangible plant (EoY)</t>
  </si>
  <si>
    <t>Total production plant (BoY)</t>
  </si>
  <si>
    <t>Total production plant (EoY)</t>
  </si>
  <si>
    <t>Total transmission plant (BoY)</t>
  </si>
  <si>
    <t>Total transmission plant (EoY)</t>
  </si>
  <si>
    <t>Total distribution plant (BoY)</t>
  </si>
  <si>
    <t>Total distribution plant (EoY)</t>
  </si>
  <si>
    <t>Total general plant (BoY)</t>
  </si>
  <si>
    <t>Total general plant (EoY)</t>
  </si>
  <si>
    <t>Electric plant sold</t>
  </si>
  <si>
    <t>Total electric plant in service (BoY)</t>
  </si>
  <si>
    <t>Total electric plant in service (EoY)</t>
  </si>
  <si>
    <t>Electric plant held for future use</t>
  </si>
  <si>
    <t>Accum Dep - Steam production</t>
  </si>
  <si>
    <t>Accum Dep - Nuclear production</t>
  </si>
  <si>
    <t>Accum Dep - Hydro (conventional) production</t>
  </si>
  <si>
    <t>Accum Dep - Hydro (pumped storage) production</t>
  </si>
  <si>
    <t>Accum Dep - Other production</t>
  </si>
  <si>
    <t>Accum Dep - Transmission</t>
  </si>
  <si>
    <t>Accum Dep - Distribution</t>
  </si>
  <si>
    <t>Accum Dep - General</t>
  </si>
  <si>
    <t>Accum Dep - Total</t>
  </si>
  <si>
    <t>Materials and supplies - est construction (EoY)</t>
  </si>
  <si>
    <t>Materials and supplies - transmission (EoY)</t>
  </si>
  <si>
    <t>FERC 163 - Undistributed stores expense</t>
  </si>
  <si>
    <t>FERC 190 - ADIT (BoY)</t>
  </si>
  <si>
    <t>FERC 190 - ADIT (EoY)</t>
  </si>
  <si>
    <t>FERC 281 - ADIT (BoY)</t>
  </si>
  <si>
    <t>FERC 281 - ADIT (EoY)</t>
  </si>
  <si>
    <t>FERC 282 - ADIT (BoY)</t>
  </si>
  <si>
    <t>FERC 282 - ADIT (EoY)</t>
  </si>
  <si>
    <t>FERC 283 - ADIT (BoY)</t>
  </si>
  <si>
    <t>FERC 283 - ADIT (EoY)</t>
  </si>
  <si>
    <t>FERC 561 - Load Dispatch (LD)</t>
  </si>
  <si>
    <t>FERC 561.1 - LD reliability</t>
  </si>
  <si>
    <t>FERC 561.2 - LD monitor operate</t>
  </si>
  <si>
    <t>FERC 561.3 - LD service scheduling</t>
  </si>
  <si>
    <t>FERC 561.4 - Sched, sys control, dispatch</t>
  </si>
  <si>
    <t>FERC 561.5 - Reliability, plan, standards</t>
  </si>
  <si>
    <t>FERC 561.8 - Reliability, plan, standards services</t>
  </si>
  <si>
    <t>FERC 565  - Transmission by others</t>
  </si>
  <si>
    <t>Total Transmission Expenses</t>
  </si>
  <si>
    <t>FERC 924 - Property Insurance</t>
  </si>
  <si>
    <t>FERC 928 - Regulatory Commission Expenses</t>
  </si>
  <si>
    <t>FERC 930.1 - General Advertising Expenses</t>
  </si>
  <si>
    <t>Total A&amp;G Expenses</t>
  </si>
  <si>
    <t>Industry association dues</t>
  </si>
  <si>
    <t>Amort - Intangible, ltd term (FERC 404)</t>
  </si>
  <si>
    <t>Amort exp - Intangible (FERC 405)</t>
  </si>
  <si>
    <t>Dep exp - Transmission (FERC 403)</t>
  </si>
  <si>
    <t>Dep exp - Transmission, ltd term (FERC 404)</t>
  </si>
  <si>
    <t>Dep exp - General (FERC 403)</t>
  </si>
  <si>
    <t>Dep exp - General, ltd term (FERC 404)</t>
  </si>
  <si>
    <t>Transmisison wages and salaries</t>
  </si>
  <si>
    <t>A&amp;G wages and salaries</t>
  </si>
  <si>
    <t>Total O&amp;M salaries</t>
  </si>
  <si>
    <t>Less Account 222 Reacquired Bonds</t>
  </si>
  <si>
    <t>Less Account 226 Unamortized Discount</t>
  </si>
  <si>
    <t>Less Account 181 Unamortized Debt Expense</t>
  </si>
  <si>
    <t>Less Account 189 Unamortized Loss on Reacquired Debt</t>
  </si>
  <si>
    <t>Plus Account 225 Unamortized Premium</t>
  </si>
  <si>
    <t>Plus Account 257 Unamortized Gain on Reacquired Debt</t>
  </si>
  <si>
    <t>Account 428.1 Amortized Loss on Reacquired Debt</t>
  </si>
  <si>
    <t>Less Account 429.1 Amortized Gain on Reacquired Debt</t>
  </si>
  <si>
    <t>Less Account 217 Reacquired Capital Stock (preferred)</t>
  </si>
  <si>
    <t>&lt;-- This item includes all Interconnection Customer Interconnection Facilities (ICIFs) and EIM assets that should be excluded from the rate base.</t>
  </si>
  <si>
    <r>
      <t xml:space="preserve">Attachment 9a2 - Load </t>
    </r>
    <r>
      <rPr>
        <sz val="12"/>
        <color theme="1"/>
        <rFont val="Arial"/>
        <family val="2"/>
      </rPr>
      <t>(One Year Prior)</t>
    </r>
  </si>
  <si>
    <r>
      <t xml:space="preserve">Attachment 9a3 - Load </t>
    </r>
    <r>
      <rPr>
        <sz val="12"/>
        <color theme="1"/>
        <rFont val="Arial"/>
        <family val="2"/>
      </rPr>
      <t>(Two Years Prior)</t>
    </r>
  </si>
  <si>
    <t>2016 Projection (as-filed)</t>
  </si>
  <si>
    <t xml:space="preserve">2015 data in Settlement model </t>
  </si>
  <si>
    <t>2009-2016 Plant Additions including Unclassified Plant and Dec 2010 transfer of Goshen Cap Bank from 102 to 101</t>
  </si>
  <si>
    <t>Applied Depreciation Rates by State - 2016</t>
  </si>
  <si>
    <t>Intangible and Leasehold Improvements (rows 25 through 27) are composite rates based on the 13 month average balance divided into the 2016 amortization expense for each account.</t>
  </si>
  <si>
    <r>
      <t xml:space="preserve"> &lt;--</t>
    </r>
    <r>
      <rPr>
        <sz val="10"/>
        <color rgb="FF0000FF"/>
        <rFont val="Arial"/>
        <family val="2"/>
      </rPr>
      <t xml:space="preserve"> Matches 2016 FERC Form No. 1, page 200.21c </t>
    </r>
  </si>
  <si>
    <r>
      <t xml:space="preserve">Plant/Land Held For Future Use </t>
    </r>
    <r>
      <rPr>
        <sz val="10"/>
        <color theme="1"/>
        <rFont val="Arial"/>
        <family val="2"/>
      </rPr>
      <t>- Assets associated with Transmission at December 31, 2015 and 2016</t>
    </r>
  </si>
  <si>
    <t>(At December 31, 2016)</t>
  </si>
  <si>
    <t>Company Records: FERC 345 capital assets details</t>
  </si>
  <si>
    <t>PacifiCorp tax rate assumptions - 2016</t>
  </si>
  <si>
    <t>Total expense is negative for 2016.</t>
  </si>
  <si>
    <t>The decrease in expense in 2016 as compared to</t>
  </si>
  <si>
    <t>2015 is primarily due to changes in actuarial</t>
  </si>
  <si>
    <t>2016 Expense</t>
  </si>
  <si>
    <t>Prepayments Detail - 2016</t>
  </si>
  <si>
    <t>2015 Year-end Balance</t>
  </si>
  <si>
    <t>2016 Year-end Balance</t>
  </si>
  <si>
    <t>Prep Ins-Publ Liab &amp; Prop Damage</t>
  </si>
  <si>
    <t>Prepaid CA GHG Cap &amp; Trade Allowances Retail</t>
  </si>
  <si>
    <t>Prepaid CA GHG Cap &amp; Trade Allowances Wholesale</t>
  </si>
  <si>
    <t>415.710</t>
  </si>
  <si>
    <t>RL - WA Accelerated Depreciation</t>
  </si>
  <si>
    <t>Regulatory Liability established to record difference between the approved accelerated depreciation in the 2015 WA GRC and the current depreciation amounts from the last depreciation study for all units at the Jim Bridger Plant and Colstrip Unit 4.</t>
  </si>
  <si>
    <t>RL - Energy Savings Assistance (ESA) - CA</t>
  </si>
  <si>
    <t xml:space="preserve">Regulatory Liability established to record Energy Savings Assistance (ESA) Program activities (ESA collections from California offset by ESA program expenditures incurred) in a regulatory liability balancing account for California. </t>
  </si>
  <si>
    <t>RL - OR Direct Access 5 Yr Opt out</t>
  </si>
  <si>
    <t xml:space="preserve">Regulatory Liability established per Order No. 15-060 in Docket UE267, PacifiCorp is required to implement a 5 year customer opt-out plan. Customers that elect to go on the opt-out program and leave PacifiCorp's system will be required to pay an opt-out charge for up to 5 years. </t>
  </si>
  <si>
    <t>RL - Deferred Excess NPC - WY - Noncurrent</t>
  </si>
  <si>
    <t xml:space="preserve">Regulatory Liability established to record the  costs in excess of base net power costs according to established calculations and were created to accommodate the recovery of excess net power costs through the Wyoming Energy Cost Adjustment Mechanism, or WY ECAM.  </t>
  </si>
  <si>
    <t>RL - Deferred Excess NPC - UT - Noncurrent</t>
  </si>
  <si>
    <t xml:space="preserve">Regulatory Liability established to record the  costs in excess of base net power costs according to established calculations and were created to accommodate the recovery of excess net power costs through the UT Energy Cost Adjustment Mechanism, or UT ECAM.  </t>
  </si>
  <si>
    <t>RL - Sale of REC - UT - Noncurrent</t>
  </si>
  <si>
    <t>Regulatory Liability, a Revenue Balancing Account, or RBA, was established to track the difference between REC revenue included in rates and Utah’s allocation of the actual REC revenue received by the Company.</t>
  </si>
  <si>
    <t>RL - Sale of REC - WY - Noncurrent</t>
  </si>
  <si>
    <t>Regulatory Liability, a Revenue Balancing Account, or RBA, was established to track the difference between REC revenue included in rates and Wyoming’s allocation of the actual REC revenue received by the Company.</t>
  </si>
  <si>
    <t>RL- DSM Balance Reclass</t>
  </si>
  <si>
    <t>§1031 &amp; 1033 Exchange Normalization Adjustment</t>
  </si>
  <si>
    <t>Reclass to §1031 &amp; 1033 Exchange Normalization Adj - General Fixed Assets</t>
  </si>
  <si>
    <t>Reclass to §1031 &amp;1033 Exchange Normalization Adj - Transmission</t>
  </si>
  <si>
    <t xml:space="preserve">RA - Carbon Plant Decomm/Inventory </t>
  </si>
  <si>
    <t>Regulatory asset established to record the deferral of Carbon Plant's write off and sales proceeds of inventory from decommissioning.</t>
  </si>
  <si>
    <t xml:space="preserve">RA - Carbon Plant Decomm/Inventory - CA </t>
  </si>
  <si>
    <t>Regulatory asset established to record CA's share of the deferral of Carbon Plant's write off and sales proceeds of inventory from decommissioning.</t>
  </si>
  <si>
    <t>RA - Carbon Plant Decomm/Inventory - WA</t>
  </si>
  <si>
    <t>Regulatory asset established to record WA's share of the deferral of Carbon Plant's write off and sales proceeds of inventory from decommissioning.</t>
  </si>
  <si>
    <t>RA - Contra RA - Pension Plan CTG</t>
  </si>
  <si>
    <t xml:space="preserve">RA - Post Merger Loss - Reacquired Debt </t>
  </si>
  <si>
    <t>RA - RPS Compliance Purchases</t>
  </si>
  <si>
    <t xml:space="preserve">Regulatory Asset established for the deferral of  prepaid renewable energy credit (REC) purchases for Renewable Portfolio Standard (RPS) compliance and the related interest income - non state specific.  </t>
  </si>
  <si>
    <t>RA - Storm Damage Deferral - CA</t>
  </si>
  <si>
    <t>Injuries &amp; Damages Accrual - Cash Basis</t>
  </si>
  <si>
    <t>Insurance Reserve - Current</t>
  </si>
  <si>
    <t xml:space="preserve"> Regulatory asset accrued for prepaid surety bond costs (e.g., supersedes bond obligations) that will be amortized ratably over the period of coverage. Moved from 2014 account 137513</t>
  </si>
  <si>
    <t xml:space="preserve"> The projects are qualified for the 30% solar investment tax credit (ITC). The tax basis of the solar arrays needs to be reduced by one-half of the solar ITC, therefore creating basis differences between book basis and tax basis for the solar arrays.  This is the revenue requirement gross-up for that difference.</t>
  </si>
  <si>
    <t xml:space="preserve">Regulatory asset established to record a contra regulatory asset for the curtailment gain/loss on the elimination of the cash balance option in the company pension plan. </t>
  </si>
  <si>
    <t xml:space="preserve">Regulatory Asset established based on CA Decision 16-03-015 which provided for a surcharge to recover $545,000 of costs recorded related to a storm in California.                                                                                                                                                                                                                                                                                                                                                            </t>
  </si>
  <si>
    <t>Book-tax difference basis difference for costs incurred to maintain normal mine production in view of the recession of the working face of the mine. For book purposes, these costs are capitalized. For income tax purposes the costs are deductible in the period paid or incurred.</t>
  </si>
  <si>
    <t xml:space="preserve">PacifiCorp will open a customer work order for construction of a capital project and capitalize various costs incurred on these utility-related projects (i.e., generation facilities, transmission and distribution facilities, mining operations and corporate operations) for book purposes. Projects with less than 5% activity within the prior 6-month period are deemed inactive. Those inactive projects with capitalized costs are analyzed for potential recovery. For the amounts not expected to be recovered, a reserve is established, CWIP Reserve.  </t>
  </si>
  <si>
    <t>Book-tax difference for eligible costs under Internal Revenue Code Section 174 for internally developed software which are deductible in the period paid and incurred for income tax purposes. These costs are capitalized for book purposes.</t>
  </si>
  <si>
    <t>Regulatory asset established for Utah portion of liquidated damages payments for outages at Jim Bridger Unit 4, Naughton Unit 1 and Unit 2.</t>
  </si>
  <si>
    <t>Accrued liability for refundable cash deposits received from customers who wish to reserve transmission line services. These deposits are fully refundable. The deposits are recognized as income when the service contract is fulfilled.</t>
  </si>
  <si>
    <t>Accrued liability for the expected claims related to workers compensation previously held by Wasatch Crest. PacifiCorp holds this liability due to the insolvency of Wasatch Crest.</t>
  </si>
  <si>
    <t>Exclusion of ADIT from §1031 &amp; §1033 Exchanges pursuant to the income tax normalization rules.</t>
  </si>
  <si>
    <t>Reclass to separately state the exclusion of ADIT from §1031 &amp; §1033 Exchanges pursuant to the income tax normalization rules.</t>
  </si>
  <si>
    <t>Account 190 Subtotal - p234</t>
  </si>
  <si>
    <t xml:space="preserve">Account 281 Subtotal - p275  </t>
  </si>
  <si>
    <t>Account 281 Subtotal - p273</t>
  </si>
  <si>
    <t xml:space="preserve">Account 282 Subtotal - p275  </t>
  </si>
  <si>
    <t xml:space="preserve">Account 283 Subtotal - p277  </t>
  </si>
  <si>
    <t>FERC pension curtailment gain</t>
  </si>
  <si>
    <t>Regulatory asset remeasurement adjustment for pension benefits recorded as a credit to FERC Account 920</t>
  </si>
  <si>
    <t xml:space="preserve">Regulatory asset remeasurement adjustment for other post-retirement benefits recorded in FERC Account 920  </t>
  </si>
  <si>
    <t>Environmental Cost Amortization</t>
  </si>
  <si>
    <t>BPA S. Idaho</t>
  </si>
  <si>
    <t>Calpine Energy Solutions LLC/ (Noble Americas)</t>
  </si>
  <si>
    <t xml:space="preserve">Avangrid Renewables, LLC (Iberdrola) </t>
  </si>
  <si>
    <t>USBR</t>
  </si>
  <si>
    <t>Basin</t>
  </si>
  <si>
    <t>Thermo No 1 (CRYQ)</t>
  </si>
  <si>
    <t>Olene</t>
  </si>
  <si>
    <t>&lt;--2016 value (FERC 408.1)</t>
  </si>
  <si>
    <t>='ATT 5 - Cost Support'!$H$240</t>
  </si>
  <si>
    <t>='ATT 5 - Cost Support'!$i$197</t>
  </si>
  <si>
    <t>='ATT 5 - Cost Support'!$H$286</t>
  </si>
  <si>
    <t>='ATT 5 - Cost Support'!$H$287</t>
  </si>
  <si>
    <t>='ATT 5 - Cost Support'!$H$276</t>
  </si>
  <si>
    <t>='ATT 5 - Cost Support'!$H$277</t>
  </si>
  <si>
    <t>='ATT 5 - Cost Support'!$H$281</t>
  </si>
  <si>
    <t>='ATT 5 - Cost Support'!$H$282</t>
  </si>
  <si>
    <t>='ATT 5 - Cost Support'!$H$243</t>
  </si>
  <si>
    <t>='ATT 5 - Cost Support'!$H$244</t>
  </si>
  <si>
    <t>='ATT 5 - Cost Support'!$H$251</t>
  </si>
  <si>
    <t>='Att 1 - ADIT'!$E$196</t>
  </si>
  <si>
    <t>='Att 1 - ADIT'!$E$221</t>
  </si>
  <si>
    <t>='Att 1 - ADIT'!$E$296</t>
  </si>
  <si>
    <t>='Att 1 - ADIT'!$E$461</t>
  </si>
  <si>
    <t>='Att 1a - ADIT'!$E$162</t>
  </si>
  <si>
    <t>='Att 1a - ADIT'!$E$188</t>
  </si>
  <si>
    <t>='Att 1a - ADIT'!$E$266</t>
  </si>
  <si>
    <t>='Att 1a - ADIT'!$E$423</t>
  </si>
  <si>
    <t>&lt;-- 2016</t>
  </si>
  <si>
    <t>Thermo No. 1</t>
  </si>
  <si>
    <t>Clatskanie People's Utilitiy District</t>
  </si>
  <si>
    <t>Various</t>
  </si>
  <si>
    <t>SA 67</t>
  </si>
  <si>
    <t>SA 179</t>
  </si>
  <si>
    <t>SA 656</t>
  </si>
  <si>
    <t>SA 212</t>
  </si>
  <si>
    <t>SA 279</t>
  </si>
  <si>
    <t>SA 568</t>
  </si>
  <si>
    <t>SA 169</t>
  </si>
  <si>
    <t>SA 733</t>
  </si>
  <si>
    <t>SA 775/780</t>
  </si>
  <si>
    <t>SA 779</t>
  </si>
  <si>
    <t>SA 751</t>
  </si>
  <si>
    <t>SA 809</t>
  </si>
  <si>
    <t>SA 800</t>
  </si>
  <si>
    <t>SA 700</t>
  </si>
  <si>
    <t>SA 701</t>
  </si>
  <si>
    <t>SA 702</t>
  </si>
  <si>
    <t>2017 projection</t>
  </si>
  <si>
    <r>
      <t xml:space="preserve">Gateway plant-in-service detail </t>
    </r>
    <r>
      <rPr>
        <sz val="10"/>
        <rFont val="Arial"/>
        <family val="2"/>
      </rPr>
      <t xml:space="preserve">(2017 projection) </t>
    </r>
  </si>
  <si>
    <r>
      <rPr>
        <b/>
        <sz val="10"/>
        <color theme="1"/>
        <rFont val="Arial"/>
        <family val="2"/>
      </rPr>
      <t xml:space="preserve">Plant-in-service additions by month </t>
    </r>
    <r>
      <rPr>
        <sz val="10"/>
        <color theme="1"/>
        <rFont val="Arial"/>
        <family val="2"/>
      </rPr>
      <t>(2017 projection)</t>
    </r>
  </si>
  <si>
    <t>Regulatory Asset Amortizations Account 930.2</t>
  </si>
  <si>
    <t>Regulatory Asset Amortizations Account 925</t>
  </si>
  <si>
    <t xml:space="preserve">California Post-retirement measurement </t>
  </si>
  <si>
    <t xml:space="preserve">Oregon Post-retirement measurement </t>
  </si>
  <si>
    <t xml:space="preserve">Utah Post-retirement measurement </t>
  </si>
  <si>
    <t>PRW Wyoming Settlement Loss</t>
  </si>
  <si>
    <t>California pension curtailment gain</t>
  </si>
  <si>
    <t>Idaho pension curtailment gain</t>
  </si>
  <si>
    <t>Oregon pension curtailment gain</t>
  </si>
  <si>
    <t>Utah pension curtailment gain</t>
  </si>
  <si>
    <r>
      <t xml:space="preserve">Attachment 17 - Post-Retirement Benefits Other Than Pensions </t>
    </r>
    <r>
      <rPr>
        <sz val="12"/>
        <rFont val="Arial"/>
        <family val="2"/>
      </rPr>
      <t>(PBOP)</t>
    </r>
  </si>
  <si>
    <t>Hazelwood Substation</t>
  </si>
  <si>
    <t>Harmony - W. Cedar ROW</t>
  </si>
  <si>
    <t>Terminal - Oquirrh 345 Kv Line</t>
  </si>
  <si>
    <t>Aeolus Substation</t>
  </si>
  <si>
    <t>Anticline Substation</t>
  </si>
  <si>
    <t>Bastion Property / Populus Substation</t>
  </si>
  <si>
    <t>Chimney Butte-Paradise 230kV ROW</t>
  </si>
  <si>
    <t>Helper Substation Expansion</t>
  </si>
  <si>
    <t>Arizona Public Service RS 436</t>
  </si>
  <si>
    <t>BPA: GTA West RS 237</t>
  </si>
  <si>
    <t xml:space="preserve">n/a </t>
  </si>
  <si>
    <t>BPA Malin RS 368</t>
  </si>
  <si>
    <t>BPA GTA S. Idaho RS 299</t>
  </si>
  <si>
    <t>Cowlitz RS 234</t>
  </si>
  <si>
    <t>Deseret RS 280</t>
  </si>
  <si>
    <t>Fall River RS 322</t>
  </si>
  <si>
    <t>Idaho RS 257 - Antelope Sub</t>
  </si>
  <si>
    <t>Idaho RS 203 - Jim Bridger Pumps</t>
  </si>
  <si>
    <t>Moon Lake RS 302</t>
  </si>
  <si>
    <t>Pacific Gas and Electric RS 607</t>
  </si>
  <si>
    <t>Pacific Gas and Electric RS 298</t>
  </si>
  <si>
    <t>Portland General Electric</t>
  </si>
  <si>
    <t>Sierra Pacific Power RS 267</t>
  </si>
  <si>
    <t>Southern Cal Edison RS 298</t>
  </si>
  <si>
    <t>Tri-State RS 123</t>
  </si>
  <si>
    <t>USBR Crooked River RS 67</t>
  </si>
  <si>
    <t>USBR Weber Basin RS 286</t>
  </si>
  <si>
    <t>UAMPS RS 297</t>
  </si>
  <si>
    <t>UMPA RS 637</t>
  </si>
  <si>
    <t>Warm Springs RS 591</t>
  </si>
  <si>
    <t>WAPA RS 262</t>
  </si>
  <si>
    <t>WAPA RS 262-Fixed Fee</t>
  </si>
  <si>
    <t>WAPA RS 263</t>
  </si>
  <si>
    <t>Iberdrola Deferral Fee</t>
  </si>
  <si>
    <t>Sacramento Municipal Utility District Deferral Fee</t>
  </si>
  <si>
    <t>Enel Cove Deferral Fee</t>
  </si>
  <si>
    <t>Additional OS Revenue Credit</t>
  </si>
  <si>
    <t>Airbreak Switch</t>
  </si>
  <si>
    <t>Breaker</t>
  </si>
  <si>
    <t>Bus</t>
  </si>
  <si>
    <t>Fire Protection</t>
  </si>
  <si>
    <t>Foundation And Substructure</t>
  </si>
  <si>
    <t>Insulator</t>
  </si>
  <si>
    <t>Lightning Arrester</t>
  </si>
  <si>
    <t>Misc</t>
  </si>
  <si>
    <t>Relay And Control</t>
  </si>
  <si>
    <t>Steel Structure</t>
  </si>
  <si>
    <t>Step-Up Transformer</t>
  </si>
  <si>
    <t>CA GHG Retail Obligation</t>
  </si>
  <si>
    <t>Estimate by C&amp;T</t>
  </si>
  <si>
    <t>Unfunded</t>
  </si>
  <si>
    <t>CA GHG Wholesale Obligation</t>
  </si>
  <si>
    <t>Lidar (Wood Hollow)</t>
  </si>
  <si>
    <t>Estimate by PE Legal</t>
  </si>
  <si>
    <t>ST Cotter - Gadsby Turbine</t>
  </si>
  <si>
    <t>Employment Claims</t>
  </si>
  <si>
    <t>BPA Short Distance Discount (SDD)</t>
  </si>
  <si>
    <t>Proposition 65</t>
  </si>
  <si>
    <t>L-T Accrued Settlement Provision (USA Power Settlement)</t>
  </si>
  <si>
    <t>AES Wind Generation Inc. - Rock River 1 Curtailment Complaint</t>
  </si>
  <si>
    <t>EWEB Reserve</t>
  </si>
  <si>
    <t>Deseret Physical Loss - Reserve for Dispute</t>
  </si>
  <si>
    <t>BPA - Swift PTP SDD</t>
  </si>
  <si>
    <t>Accum Provision for Rate Refunds</t>
  </si>
  <si>
    <t>Estimate by PacTrans</t>
  </si>
  <si>
    <t xml:space="preserve">Trapper Mine Reclamation Obligation </t>
  </si>
  <si>
    <t>Estimate based upon 54¢ per ton of coal produced</t>
  </si>
  <si>
    <t>Accrued Right-of-Way Obligation</t>
  </si>
  <si>
    <t>Estimate by RMP Finance</t>
  </si>
  <si>
    <t>566 / 589</t>
  </si>
  <si>
    <t>Injuries &amp; Damages Reserve Risk</t>
  </si>
  <si>
    <t>Known</t>
  </si>
  <si>
    <t>Injuries &amp; Damages Reserve Risk (Insurance Recovery Rec)</t>
  </si>
  <si>
    <t xml:space="preserve">Provision for Customer A/R (CSS)                                                  </t>
  </si>
  <si>
    <t>Calculated and Known Items</t>
  </si>
  <si>
    <t xml:space="preserve">Provision for Other A/R (OAR)   </t>
  </si>
  <si>
    <t>Provision for Other A/R (Joint Use)</t>
  </si>
  <si>
    <t>Accrual based on 100% of Fines &amp; Sanctions, Accommodations, Back Rent, and Reimbursements.   Pole Contact, Make Ready Capital, and reimbursements under contract are reserved at 10% of the outstanding balance in acct. 118157.  Decrease due to revisions mad</t>
  </si>
  <si>
    <t>Bad Debt Reserve - Pole Contracts</t>
  </si>
  <si>
    <t>Uncollectible pole contact revenue - customer specific.</t>
  </si>
  <si>
    <t>Provision for Doubtful Debts - Other</t>
  </si>
  <si>
    <t>Bad Debt Reserve - Transmission</t>
  </si>
  <si>
    <t>Provision for Unbilled Revenue PP</t>
  </si>
  <si>
    <t>Provision for Unbilled Revenue RMP</t>
  </si>
  <si>
    <t>Inventory Reserve - Power Supply</t>
  </si>
  <si>
    <t>Known - Calculated</t>
  </si>
  <si>
    <t>Inventory Reserve - RMP (T&amp;D)</t>
  </si>
  <si>
    <t>Calc by RMP Finance</t>
  </si>
  <si>
    <t>707.1 / 707.2</t>
  </si>
  <si>
    <t>Inventory Reserve - PP (T&amp;D)</t>
  </si>
  <si>
    <t>Calc by PP Finance</t>
  </si>
  <si>
    <t>Construction Work-in-Progress (CWIP) Reserve</t>
  </si>
  <si>
    <t>Calculated</t>
  </si>
  <si>
    <t>557 / 598</t>
  </si>
  <si>
    <t>Uncollectible Weatherization Loans Reserve</t>
  </si>
  <si>
    <t>Historical Trend Judgment</t>
  </si>
  <si>
    <t>Provision for Unbilled Severance Tax Cap (Chevron Mining Co.)</t>
  </si>
  <si>
    <t>Estimate by Mining</t>
  </si>
  <si>
    <t>Accrual - Severance Payments</t>
  </si>
  <si>
    <t>Annual Incentive Plan (AIP)</t>
  </si>
  <si>
    <t>Calculated plus CEO Discretion</t>
  </si>
  <si>
    <t>Follows Labor</t>
  </si>
  <si>
    <t>401(K) Discretionary 1% Company Match</t>
  </si>
  <si>
    <t>Safety Awards Payable</t>
  </si>
  <si>
    <t>Citi Card Signing Bonus &amp; Usage Bonus (Deferred Revenue)</t>
  </si>
  <si>
    <t>Estimate by A/P</t>
  </si>
  <si>
    <t>Prefunded</t>
  </si>
  <si>
    <t>Environmental Liabilities - Centralia Plant</t>
  </si>
  <si>
    <t>Estimate by Environmental Engrg</t>
  </si>
  <si>
    <t>Unfunded / Gains Given Back to Customers</t>
  </si>
  <si>
    <t>Environmental Liabilities - Centralia Mine (J.O.)</t>
  </si>
  <si>
    <t>Environmental Liabilities - Centralia Mine (PCorp)</t>
  </si>
  <si>
    <t>Vacation Accrual IBEW 57</t>
  </si>
  <si>
    <t>Calculated by Payroll</t>
  </si>
  <si>
    <t>Vacation Accrual IBEW 125</t>
  </si>
  <si>
    <t>Vacation Accrual IBEW 659</t>
  </si>
  <si>
    <t>Personal Time Accrual IBEW 57 - Laramie</t>
  </si>
  <si>
    <t>Personal Time Accrual UWUA 127</t>
  </si>
  <si>
    <t>Personal Time Accrual UWUA 197</t>
  </si>
  <si>
    <t>Personal Time Accrual Non-Union</t>
  </si>
  <si>
    <t>Sick Leave Accrual IBEW 57</t>
  </si>
  <si>
    <t>Supplemental Pension Benefits (Retirement Allowances)</t>
  </si>
  <si>
    <t>Pension - Known by HR/Payroll</t>
  </si>
  <si>
    <t>Pension - Local 57</t>
  </si>
  <si>
    <t>Pension - Calculated - Actuary</t>
  </si>
  <si>
    <t>SERP - Calculated - Actuary</t>
  </si>
  <si>
    <t>920 / 426.5</t>
  </si>
  <si>
    <t xml:space="preserve">FAS 158 SERP Accumulated Other Comprehensive Income </t>
  </si>
  <si>
    <t>Accum OCI/partially ofsetting unfunded SERP liability</t>
  </si>
  <si>
    <t>FAS 112 Book Reserve</t>
  </si>
  <si>
    <t>Post-Employ - Calculated - Actuary</t>
  </si>
  <si>
    <t>Wasatch Worker's Compensation Reserve</t>
  </si>
  <si>
    <t>4265000</t>
  </si>
  <si>
    <t>OTHER DEDUCTIONS</t>
  </si>
  <si>
    <t>5020000</t>
  </si>
  <si>
    <t>STEAM EXPENSES</t>
  </si>
  <si>
    <t>5060000</t>
  </si>
  <si>
    <t>MISC STEAM PWR EXP</t>
  </si>
  <si>
    <t>5063000</t>
  </si>
  <si>
    <t>MISC STEAM JVA CR</t>
  </si>
  <si>
    <t>5120000</t>
  </si>
  <si>
    <t>MANT OF BOILR PLNT</t>
  </si>
  <si>
    <t>5140000</t>
  </si>
  <si>
    <t>MAINT MISC STM PLN</t>
  </si>
  <si>
    <t>5350000</t>
  </si>
  <si>
    <t>OPER SUPERV &amp; ENG</t>
  </si>
  <si>
    <t>5390000</t>
  </si>
  <si>
    <t>MSC HYD PWR GEN EX</t>
  </si>
  <si>
    <t>5480000</t>
  </si>
  <si>
    <t>GENERATION EXP</t>
  </si>
  <si>
    <t>5490000</t>
  </si>
  <si>
    <t>MIS OTH PWR GEN EX</t>
  </si>
  <si>
    <t>5530000</t>
  </si>
  <si>
    <t>MNT GEN &amp; ELEC PLT</t>
  </si>
  <si>
    <t>5560000</t>
  </si>
  <si>
    <t>SYS CTRL &amp; LD DISP</t>
  </si>
  <si>
    <t>5570000</t>
  </si>
  <si>
    <t>OTHER EXPENSES</t>
  </si>
  <si>
    <t>5600000</t>
  </si>
  <si>
    <t>5612000</t>
  </si>
  <si>
    <t>LD - MONITOR &amp; OPER</t>
  </si>
  <si>
    <t>5615000</t>
  </si>
  <si>
    <t>REL PLAN &amp; STDS DEV</t>
  </si>
  <si>
    <t>5660000</t>
  </si>
  <si>
    <t>MISC TRANS EXPENSE</t>
  </si>
  <si>
    <t>5680000</t>
  </si>
  <si>
    <t>MNT SUPERV &amp; ENG</t>
  </si>
  <si>
    <t>5700000</t>
  </si>
  <si>
    <t>MAINT STATION EQIP</t>
  </si>
  <si>
    <t>5710000</t>
  </si>
  <si>
    <t>MAINT OVHD LINES</t>
  </si>
  <si>
    <t>5800000</t>
  </si>
  <si>
    <t>5810000</t>
  </si>
  <si>
    <t>LOAD DISPATCHING</t>
  </si>
  <si>
    <t>5850000</t>
  </si>
  <si>
    <t>STRT LGHT-SGNL SYS</t>
  </si>
  <si>
    <t>5880000</t>
  </si>
  <si>
    <t>MSC DISTR EXPENSES</t>
  </si>
  <si>
    <t>5900000</t>
  </si>
  <si>
    <t>MAINT SUPERV &amp; ENG</t>
  </si>
  <si>
    <t>5920000</t>
  </si>
  <si>
    <t>MAINT STAT EQUIP</t>
  </si>
  <si>
    <t>5930000</t>
  </si>
  <si>
    <t>5950000</t>
  </si>
  <si>
    <t>MAINT LINE TRNSFRM</t>
  </si>
  <si>
    <t>5970000</t>
  </si>
  <si>
    <t>MNT OF METERS</t>
  </si>
  <si>
    <t>5980000</t>
  </si>
  <si>
    <t>MNT MISC DIST PLNT</t>
  </si>
  <si>
    <t>7071000</t>
  </si>
  <si>
    <t>LBR CLR - RMP</t>
  </si>
  <si>
    <t>7072000</t>
  </si>
  <si>
    <t>LBR CLR - PACPWR</t>
  </si>
  <si>
    <t>7081000</t>
  </si>
  <si>
    <t>Stores Exp CLR - RMP</t>
  </si>
  <si>
    <t>7082000</t>
  </si>
  <si>
    <t>Stores Exp CLR - PP</t>
  </si>
  <si>
    <t>9010000</t>
  </si>
  <si>
    <t>SUPRV (CUST ACCT)</t>
  </si>
  <si>
    <t>9020000</t>
  </si>
  <si>
    <t>METER READING EXP</t>
  </si>
  <si>
    <t>9030000</t>
  </si>
  <si>
    <t>CUST RCRD/COLL EXP</t>
  </si>
  <si>
    <t>9031000</t>
  </si>
  <si>
    <t>CUST RCRD/CUST SYS</t>
  </si>
  <si>
    <t>9032000</t>
  </si>
  <si>
    <t>CUST ACCTG/BILL</t>
  </si>
  <si>
    <t>9033000</t>
  </si>
  <si>
    <t>CUST ACCTG/COLL</t>
  </si>
  <si>
    <t>9036000</t>
  </si>
  <si>
    <t>CUST ACCTG/COMMON</t>
  </si>
  <si>
    <t>9070000</t>
  </si>
  <si>
    <t>SUPRV (CUST SERV)</t>
  </si>
  <si>
    <t>9080000</t>
  </si>
  <si>
    <t>CUST ASSIST EXP</t>
  </si>
  <si>
    <t>9084000</t>
  </si>
  <si>
    <t>DSM DIRECT</t>
  </si>
  <si>
    <t>9086000</t>
  </si>
  <si>
    <t>CUST SERV</t>
  </si>
  <si>
    <t>9090000</t>
  </si>
  <si>
    <t>INFOR/INSTRCT ADV</t>
  </si>
  <si>
    <t>9200000</t>
  </si>
  <si>
    <t>ADMIN &amp; GEN SALARY</t>
  </si>
  <si>
    <t>9350000</t>
  </si>
  <si>
    <t>MAINT GENERAL PLNT</t>
  </si>
  <si>
    <t>Rents - General</t>
  </si>
  <si>
    <t>One Utah Center and North Temple office subleases</t>
  </si>
  <si>
    <t>Parking Rent: Lloyd Center, Portland, Oregon</t>
  </si>
  <si>
    <t>Rents - Common Affiliate - Kern River</t>
  </si>
  <si>
    <t>Rents - non Common</t>
  </si>
  <si>
    <t>RS 262/RS 263</t>
  </si>
  <si>
    <t>SA 735</t>
  </si>
  <si>
    <t>SA 818</t>
  </si>
  <si>
    <t>SA 552</t>
  </si>
  <si>
    <t>SA 709</t>
  </si>
  <si>
    <t>SA 765</t>
  </si>
  <si>
    <t>SA 766</t>
  </si>
</sst>
</file>

<file path=xl/styles.xml><?xml version="1.0" encoding="utf-8"?>
<styleSheet xmlns="http://schemas.openxmlformats.org/spreadsheetml/2006/main" xmlns:mc="http://schemas.openxmlformats.org/markup-compatibility/2006" xmlns:x14ac="http://schemas.microsoft.com/office/spreadsheetml/2009/9/ac" mc:Ignorable="x14ac">
  <numFmts count="50">
    <numFmt numFmtId="5" formatCode="&quot;$&quot;#,##0_);\(&quot;$&quot;#,##0\)"/>
    <numFmt numFmtId="7" formatCode="&quot;$&quot;#,##0.00_);\(&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_(* \(#,##0\);_(* &quot;-&quot;??_);_(@_)"/>
    <numFmt numFmtId="165" formatCode="General_)"/>
    <numFmt numFmtId="166" formatCode="0.0000"/>
    <numFmt numFmtId="167" formatCode="_(&quot;$&quot;* #,##0_);_(&quot;$&quot;* \(#,##0\);_(&quot;$&quot;* &quot;-&quot;??_);_(@_)"/>
    <numFmt numFmtId="168" formatCode="0.000%"/>
    <numFmt numFmtId="169" formatCode="0.00000"/>
    <numFmt numFmtId="170" formatCode="&quot;$&quot;#,##0.00"/>
    <numFmt numFmtId="171" formatCode="0.0%"/>
    <numFmt numFmtId="172" formatCode="0.0000%"/>
    <numFmt numFmtId="173" formatCode="0.00000%"/>
    <numFmt numFmtId="174" formatCode="_(* #,##0.0_);_(* \(#,##0.0\);_(* &quot;-&quot;??_);_(@_)"/>
    <numFmt numFmtId="175" formatCode="0_)"/>
    <numFmt numFmtId="176" formatCode=";;;\(@\)"/>
    <numFmt numFmtId="177" formatCode="&quot; &quot;&quot;$&quot;* #,##0.00&quot;/kw  &quot;"/>
    <numFmt numFmtId="178" formatCode="* #,##0&quot;  &quot;\ "/>
    <numFmt numFmtId="179" formatCode="[$-409]mmm\-yy;@"/>
    <numFmt numFmtId="180" formatCode="* #,##0;* \(#,##0\);* \-00"/>
    <numFmt numFmtId="181" formatCode="&quot;$&quot;#,##0.000_);\(&quot;$&quot;#,##0.000\)"/>
    <numFmt numFmtId="182" formatCode="0.000_)"/>
    <numFmt numFmtId="183" formatCode="0.000"/>
    <numFmt numFmtId="184" formatCode="0;[Red]0"/>
    <numFmt numFmtId="185" formatCode="0.000000"/>
    <numFmt numFmtId="186" formatCode="_(* #,##0.000_);_(* \(#,##0.000\);_(* &quot;-&quot;??_);_(@_)"/>
    <numFmt numFmtId="187" formatCode="mmmm\ d\,\ yyyy"/>
    <numFmt numFmtId="188" formatCode="mmm\ dd\,\ yyyy"/>
    <numFmt numFmtId="189" formatCode="#,##0.0_);\(#,##0.0\)"/>
    <numFmt numFmtId="190" formatCode="&quot;$&quot;#,##0.000000_);\(&quot;$&quot;#,##0.000000\)"/>
    <numFmt numFmtId="191" formatCode="#,##0.000_);\(#,##0.000\)"/>
    <numFmt numFmtId="192" formatCode="mmm\ yyyy"/>
    <numFmt numFmtId="193" formatCode="&quot;Segment &quot;@"/>
    <numFmt numFmtId="194" formatCode="_-* #,##0\ &quot;F&quot;_-;\-* #,##0\ &quot;F&quot;_-;_-* &quot;-&quot;\ &quot;F&quot;_-;_-@_-"/>
    <numFmt numFmtId="195" formatCode="&quot;$&quot;###0;[Red]\(&quot;$&quot;###0\)"/>
    <numFmt numFmtId="196" formatCode="0.0"/>
    <numFmt numFmtId="197" formatCode="#,##0.000;[Red]\-#,##0.000"/>
    <numFmt numFmtId="198" formatCode="####&quot; Form 1 data&quot;"/>
    <numFmt numFmtId="199" formatCode="0.000000%"/>
    <numFmt numFmtId="200" formatCode="#,##0.000000_);\(#,##0.000000\)"/>
    <numFmt numFmtId="201" formatCode="#,##0.00000_);\(#,##0.00000\)"/>
    <numFmt numFmtId="202" formatCode="&quot;$&quot;#,##0\ ;\(&quot;$&quot;#,##0\)"/>
    <numFmt numFmtId="203" formatCode="#,##0.0000"/>
    <numFmt numFmtId="204" formatCode="_-* #,##0_-;\-* #,##0_-;_-* &quot;-&quot;_-;_-@_-"/>
    <numFmt numFmtId="205" formatCode="_-* #,##0.00_-;\-* #,##0.00_-;_-* &quot;-&quot;??_-;_-@_-"/>
    <numFmt numFmtId="206" formatCode="_-&quot;$&quot;* #,##0_-;\-&quot;$&quot;* #,##0_-;_-&quot;$&quot;* &quot;-&quot;_-;_-@_-"/>
    <numFmt numFmtId="207" formatCode="_-&quot;$&quot;* #,##0.00_-;\-&quot;$&quot;* #,##0.00_-;_-&quot;$&quot;* &quot;-&quot;??_-;_-@_-"/>
  </numFmts>
  <fonts count="246">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Arial"/>
      <family val="2"/>
    </font>
    <font>
      <b/>
      <sz val="12"/>
      <name val="Arial"/>
      <family val="2"/>
    </font>
    <font>
      <sz val="10"/>
      <color indexed="10"/>
      <name val="Arial"/>
      <family val="2"/>
    </font>
    <font>
      <sz val="12"/>
      <name val="Arial"/>
      <family val="2"/>
    </font>
    <font>
      <sz val="10"/>
      <name val="Courier"/>
      <family val="3"/>
    </font>
    <font>
      <sz val="12"/>
      <name val="Arial"/>
      <family val="2"/>
    </font>
    <font>
      <sz val="12"/>
      <color indexed="12"/>
      <name val="Arial"/>
      <family val="2"/>
    </font>
    <font>
      <b/>
      <sz val="12"/>
      <color indexed="10"/>
      <name val="Arial"/>
      <family val="2"/>
    </font>
    <font>
      <sz val="12"/>
      <color indexed="10"/>
      <name val="Arial"/>
      <family val="2"/>
    </font>
    <font>
      <b/>
      <sz val="12"/>
      <name val="Arial"/>
      <family val="2"/>
    </font>
    <font>
      <b/>
      <sz val="10"/>
      <color indexed="10"/>
      <name val="Arial"/>
      <family val="2"/>
    </font>
    <font>
      <sz val="10"/>
      <name val="Arial"/>
      <family val="2"/>
    </font>
    <font>
      <b/>
      <sz val="14"/>
      <name val="Arial"/>
      <family val="2"/>
    </font>
    <font>
      <sz val="12"/>
      <color indexed="13"/>
      <name val="Arial"/>
      <family val="2"/>
    </font>
    <font>
      <b/>
      <sz val="12"/>
      <color indexed="13"/>
      <name val="Arial"/>
      <family val="2"/>
    </font>
    <font>
      <sz val="14"/>
      <name val="Arial"/>
      <family val="2"/>
    </font>
    <font>
      <sz val="12"/>
      <name val="Arial Narrow"/>
      <family val="2"/>
    </font>
    <font>
      <b/>
      <i/>
      <sz val="10"/>
      <name val="Arial"/>
      <family val="2"/>
    </font>
    <font>
      <b/>
      <i/>
      <sz val="12"/>
      <name val="Arial"/>
      <family val="2"/>
    </font>
    <font>
      <b/>
      <i/>
      <sz val="12"/>
      <color indexed="14"/>
      <name val="Arial"/>
      <family val="2"/>
    </font>
    <font>
      <sz val="10"/>
      <name val="Arial Narrow"/>
      <family val="2"/>
    </font>
    <font>
      <b/>
      <sz val="10"/>
      <color indexed="14"/>
      <name val="Arial"/>
      <family val="2"/>
    </font>
    <font>
      <sz val="11"/>
      <name val="Arial"/>
      <family val="2"/>
    </font>
    <font>
      <b/>
      <sz val="10"/>
      <name val="Arial Narrow"/>
      <family val="2"/>
    </font>
    <font>
      <b/>
      <sz val="14"/>
      <color indexed="10"/>
      <name val="Arial"/>
      <family val="2"/>
    </font>
    <font>
      <sz val="9"/>
      <name val="Arial Narrow"/>
      <family val="2"/>
    </font>
    <font>
      <sz val="9"/>
      <name val="Arial"/>
      <family val="2"/>
    </font>
    <font>
      <b/>
      <sz val="9"/>
      <name val="Arial Narrow"/>
      <family val="2"/>
    </font>
    <font>
      <sz val="12"/>
      <color indexed="43"/>
      <name val="Arial"/>
      <family val="2"/>
    </font>
    <font>
      <b/>
      <u/>
      <sz val="10"/>
      <name val="Arial"/>
      <family val="2"/>
    </font>
    <font>
      <sz val="10"/>
      <color indexed="14"/>
      <name val="Arial"/>
      <family val="2"/>
    </font>
    <font>
      <b/>
      <sz val="11"/>
      <name val="Arial"/>
      <family val="2"/>
    </font>
    <font>
      <b/>
      <i/>
      <sz val="11"/>
      <name val="Arial Narrow"/>
      <family val="2"/>
    </font>
    <font>
      <sz val="9"/>
      <color indexed="10"/>
      <name val="Arial Narrow"/>
      <family val="2"/>
    </font>
    <font>
      <b/>
      <i/>
      <sz val="12"/>
      <name val="Arial Narrow"/>
      <family val="2"/>
    </font>
    <font>
      <sz val="8"/>
      <color indexed="10"/>
      <name val="Arial"/>
      <family val="2"/>
    </font>
    <font>
      <sz val="8"/>
      <color indexed="10"/>
      <name val="Arial Narrow"/>
      <family val="2"/>
    </font>
    <font>
      <sz val="10"/>
      <color indexed="10"/>
      <name val="Arial Narrow"/>
      <family val="2"/>
    </font>
    <font>
      <b/>
      <u/>
      <sz val="12"/>
      <name val="Arial"/>
      <family val="2"/>
    </font>
    <font>
      <sz val="10"/>
      <name val="Arial Narrow"/>
      <family val="2"/>
    </font>
    <font>
      <b/>
      <sz val="16"/>
      <name val="Arial"/>
      <family val="2"/>
    </font>
    <font>
      <b/>
      <sz val="9"/>
      <name val="Arial"/>
      <family val="2"/>
    </font>
    <font>
      <b/>
      <sz val="10"/>
      <color indexed="53"/>
      <name val="Arial"/>
      <family val="2"/>
    </font>
    <font>
      <sz val="10"/>
      <name val="MS Sans Serif"/>
      <family val="2"/>
    </font>
    <font>
      <b/>
      <sz val="10"/>
      <name val="MS Sans Serif"/>
      <family val="2"/>
    </font>
    <font>
      <sz val="16"/>
      <name val="Arial"/>
      <family val="2"/>
    </font>
    <font>
      <sz val="16"/>
      <name val="Arial"/>
      <family val="2"/>
    </font>
    <font>
      <u/>
      <sz val="10"/>
      <name val="Arial"/>
      <family val="2"/>
    </font>
    <font>
      <sz val="8"/>
      <name val="Arial"/>
      <family val="2"/>
    </font>
    <font>
      <sz val="10"/>
      <color indexed="8"/>
      <name val="Arial"/>
      <family val="2"/>
    </font>
    <font>
      <b/>
      <sz val="10"/>
      <color indexed="8"/>
      <name val="Arial"/>
      <family val="2"/>
    </font>
    <font>
      <b/>
      <i/>
      <sz val="14"/>
      <name val="Arial Narrow"/>
      <family val="2"/>
    </font>
    <font>
      <i/>
      <sz val="10"/>
      <name val="Arial"/>
      <family val="2"/>
    </font>
    <font>
      <sz val="12"/>
      <color indexed="10"/>
      <name val="Arial"/>
      <family val="2"/>
    </font>
    <font>
      <sz val="8"/>
      <name val="Arial"/>
      <family val="2"/>
    </font>
    <font>
      <b/>
      <sz val="12"/>
      <color indexed="12"/>
      <name val="Arial"/>
      <family val="2"/>
    </font>
    <font>
      <b/>
      <sz val="9"/>
      <color rgb="FFFF0000"/>
      <name val="Arial Narrow"/>
      <family val="2"/>
    </font>
    <font>
      <u val="singleAccounting"/>
      <sz val="10"/>
      <name val="Times"/>
      <family val="1"/>
    </font>
    <font>
      <b/>
      <sz val="12"/>
      <color rgb="FFFF0000"/>
      <name val="Arial"/>
      <family val="2"/>
    </font>
    <font>
      <b/>
      <sz val="10"/>
      <color rgb="FFFF0000"/>
      <name val="Arial"/>
      <family val="2"/>
    </font>
    <font>
      <b/>
      <sz val="11"/>
      <color theme="1"/>
      <name val="Calibri"/>
      <family val="2"/>
      <scheme val="minor"/>
    </font>
    <font>
      <sz val="10"/>
      <color theme="1"/>
      <name val="Calibri"/>
      <family val="2"/>
      <scheme val="minor"/>
    </font>
    <font>
      <b/>
      <sz val="11"/>
      <color rgb="FF000000"/>
      <name val="Calibri"/>
      <family val="2"/>
    </font>
    <font>
      <sz val="10"/>
      <color rgb="FFFF0000"/>
      <name val="Arial"/>
      <family val="2"/>
    </font>
    <font>
      <sz val="11"/>
      <color indexed="8"/>
      <name val="Calibri"/>
      <family val="2"/>
    </font>
    <font>
      <sz val="10"/>
      <color rgb="FF000000"/>
      <name val="Arial"/>
      <family val="2"/>
    </font>
    <font>
      <b/>
      <i/>
      <sz val="10"/>
      <color rgb="FFFF0000"/>
      <name val="Arial"/>
      <family val="2"/>
    </font>
    <font>
      <b/>
      <sz val="11"/>
      <color indexed="10"/>
      <name val="Arial"/>
      <family val="2"/>
    </font>
    <font>
      <sz val="10"/>
      <color rgb="FF0000FF"/>
      <name val="Arial"/>
      <family val="2"/>
    </font>
    <font>
      <sz val="10"/>
      <color theme="1"/>
      <name val="Arial"/>
      <family val="2"/>
    </font>
    <font>
      <sz val="10"/>
      <name val="Arial"/>
      <family val="2"/>
    </font>
    <font>
      <strike/>
      <sz val="14"/>
      <name val="Arial"/>
      <family val="2"/>
    </font>
    <font>
      <b/>
      <i/>
      <sz val="11"/>
      <name val="Arial"/>
      <family val="2"/>
    </font>
    <font>
      <sz val="11"/>
      <color indexed="10"/>
      <name val="Arial"/>
      <family val="2"/>
    </font>
    <font>
      <sz val="10"/>
      <color indexed="12"/>
      <name val="Arial"/>
      <family val="2"/>
    </font>
    <font>
      <b/>
      <sz val="11"/>
      <color indexed="8"/>
      <name val="Calibri"/>
      <family val="2"/>
    </font>
    <font>
      <i/>
      <sz val="10"/>
      <color indexed="10"/>
      <name val="Arial"/>
      <family val="2"/>
    </font>
    <font>
      <sz val="14"/>
      <color rgb="FF000000"/>
      <name val="Arial"/>
      <family val="2"/>
    </font>
    <font>
      <b/>
      <i/>
      <sz val="10"/>
      <color indexed="20"/>
      <name val="Arial"/>
      <family val="2"/>
    </font>
    <font>
      <sz val="11"/>
      <color indexed="9"/>
      <name val="Calibri"/>
      <family val="2"/>
    </font>
    <font>
      <sz val="11"/>
      <color indexed="20"/>
      <name val="Calibri"/>
      <family val="2"/>
    </font>
    <font>
      <b/>
      <sz val="11"/>
      <color indexed="52"/>
      <name val="Calibri"/>
      <family val="2"/>
    </font>
    <font>
      <b/>
      <sz val="11"/>
      <color indexed="9"/>
      <name val="Calibri"/>
      <family val="2"/>
    </font>
    <font>
      <sz val="10"/>
      <name val="Times New Roman"/>
      <family val="1"/>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u/>
      <sz val="10"/>
      <color indexed="12"/>
      <name val="Arial"/>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sz val="11"/>
      <color indexed="10"/>
      <name val="Calibri"/>
      <family val="2"/>
    </font>
    <font>
      <u/>
      <vertAlign val="superscript"/>
      <sz val="12"/>
      <name val="Arial"/>
      <family val="2"/>
    </font>
    <font>
      <u/>
      <sz val="12"/>
      <name val="Arial"/>
      <family val="2"/>
    </font>
    <font>
      <strike/>
      <sz val="12"/>
      <name val="Arial"/>
      <family val="2"/>
    </font>
    <font>
      <sz val="12"/>
      <color theme="1"/>
      <name val="Arial Narrow"/>
      <family val="2"/>
    </font>
    <font>
      <b/>
      <sz val="12"/>
      <color theme="1"/>
      <name val="Arial Narrow"/>
      <family val="2"/>
    </font>
    <font>
      <sz val="12"/>
      <color rgb="FF0000FF"/>
      <name val="Arial Narrow"/>
      <family val="2"/>
    </font>
    <font>
      <b/>
      <sz val="10"/>
      <color indexed="12"/>
      <name val="Times New Roman"/>
      <family val="1"/>
    </font>
    <font>
      <sz val="10"/>
      <color indexed="8"/>
      <name val="Times New Roman"/>
      <family val="1"/>
    </font>
    <font>
      <b/>
      <sz val="10"/>
      <name val="Times New Roman"/>
      <family val="1"/>
    </font>
    <font>
      <sz val="10"/>
      <name val="Arial"/>
      <family val="2"/>
    </font>
    <font>
      <sz val="11"/>
      <color theme="1"/>
      <name val="Arial"/>
      <family val="2"/>
    </font>
    <font>
      <b/>
      <sz val="11"/>
      <color theme="1"/>
      <name val="Arial"/>
      <family val="2"/>
    </font>
    <font>
      <i/>
      <sz val="11"/>
      <color theme="1"/>
      <name val="Arial"/>
      <family val="2"/>
    </font>
    <font>
      <sz val="12"/>
      <color rgb="FF0000FF"/>
      <name val="Arial"/>
      <family val="2"/>
    </font>
    <font>
      <b/>
      <sz val="10"/>
      <color theme="0"/>
      <name val="Arial"/>
      <family val="2"/>
    </font>
    <font>
      <sz val="12"/>
      <color theme="0"/>
      <name val="Arial"/>
      <family val="2"/>
    </font>
    <font>
      <b/>
      <sz val="12"/>
      <color theme="0"/>
      <name val="Arial"/>
      <family val="2"/>
    </font>
    <font>
      <b/>
      <sz val="9"/>
      <color indexed="10"/>
      <name val="Arial"/>
      <family val="2"/>
    </font>
    <font>
      <sz val="11"/>
      <color rgb="FF0000FF"/>
      <name val="Arial"/>
      <family val="2"/>
    </font>
    <font>
      <sz val="10"/>
      <color theme="0"/>
      <name val="Arial"/>
      <family val="2"/>
    </font>
    <font>
      <b/>
      <u/>
      <sz val="10"/>
      <color theme="0"/>
      <name val="Arial"/>
      <family val="2"/>
    </font>
    <font>
      <sz val="10"/>
      <color rgb="FFFF00FF"/>
      <name val="Arial"/>
      <family val="2"/>
    </font>
    <font>
      <b/>
      <sz val="12"/>
      <color theme="1"/>
      <name val="Arial"/>
      <family val="2"/>
    </font>
    <font>
      <sz val="12"/>
      <color theme="1"/>
      <name val="Arial"/>
      <family val="2"/>
    </font>
    <font>
      <b/>
      <u/>
      <sz val="12"/>
      <color theme="1"/>
      <name val="Arial"/>
      <family val="2"/>
    </font>
    <font>
      <sz val="11"/>
      <color theme="4"/>
      <name val="Arial"/>
      <family val="2"/>
    </font>
    <font>
      <b/>
      <sz val="10"/>
      <color indexed="12"/>
      <name val="Arial"/>
      <family val="2"/>
    </font>
    <font>
      <b/>
      <sz val="12"/>
      <color rgb="FF0000FF"/>
      <name val="Arial"/>
      <family val="2"/>
    </font>
    <font>
      <sz val="12"/>
      <color rgb="FFFF0000"/>
      <name val="Arial"/>
      <family val="2"/>
    </font>
    <font>
      <b/>
      <sz val="10"/>
      <color theme="1"/>
      <name val="Arial"/>
      <family val="2"/>
    </font>
    <font>
      <b/>
      <sz val="10"/>
      <color rgb="FF0000FF"/>
      <name val="Arial"/>
      <family val="2"/>
    </font>
    <font>
      <vertAlign val="superscript"/>
      <sz val="12"/>
      <name val="Arial"/>
      <family val="2"/>
    </font>
    <font>
      <b/>
      <sz val="11"/>
      <color theme="1"/>
      <name val="As Filed "/>
    </font>
    <font>
      <sz val="11"/>
      <color theme="1"/>
      <name val="As Filed "/>
    </font>
    <font>
      <sz val="9"/>
      <color rgb="FF0000FF"/>
      <name val="Arial Narrow"/>
      <family val="2"/>
    </font>
    <font>
      <b/>
      <sz val="10"/>
      <color rgb="FF000000"/>
      <name val="Arial"/>
      <family val="2"/>
    </font>
    <font>
      <b/>
      <u/>
      <sz val="10"/>
      <color rgb="FF000000"/>
      <name val="Arial"/>
      <family val="2"/>
    </font>
    <font>
      <b/>
      <sz val="13"/>
      <name val="Arial"/>
      <family val="2"/>
    </font>
    <font>
      <b/>
      <sz val="11"/>
      <color rgb="FF0000FF"/>
      <name val="Arial"/>
      <family val="2"/>
    </font>
    <font>
      <b/>
      <sz val="11"/>
      <color indexed="12"/>
      <name val="Arial"/>
      <family val="2"/>
    </font>
    <font>
      <sz val="11"/>
      <color rgb="FF0000FF"/>
      <name val="Calibri"/>
      <family val="2"/>
    </font>
    <font>
      <sz val="9"/>
      <color rgb="FF0000FF"/>
      <name val="Arial"/>
      <family val="2"/>
    </font>
    <font>
      <sz val="10"/>
      <color rgb="FF0000FF"/>
      <name val="Arial Narrow"/>
      <family val="2"/>
    </font>
    <font>
      <sz val="10"/>
      <name val="Calibri"/>
      <family val="2"/>
    </font>
    <font>
      <sz val="8"/>
      <name val="Helv"/>
    </font>
    <font>
      <b/>
      <sz val="16"/>
      <name val="Times New Roman"/>
      <family val="1"/>
    </font>
    <font>
      <b/>
      <sz val="8"/>
      <name val="Arial"/>
      <family val="2"/>
    </font>
    <font>
      <sz val="11"/>
      <color indexed="8"/>
      <name val="TimesNewRomanPS"/>
    </font>
    <font>
      <b/>
      <sz val="10"/>
      <color indexed="39"/>
      <name val="Arial"/>
      <family val="2"/>
    </font>
    <font>
      <b/>
      <sz val="12"/>
      <color indexed="8"/>
      <name val="Arial"/>
      <family val="2"/>
    </font>
    <font>
      <sz val="8"/>
      <color indexed="62"/>
      <name val="Arial"/>
      <family val="2"/>
    </font>
    <font>
      <sz val="8"/>
      <color indexed="18"/>
      <name val="Arial"/>
      <family val="2"/>
    </font>
    <font>
      <b/>
      <sz val="8"/>
      <color indexed="8"/>
      <name val="Arial"/>
      <family val="2"/>
    </font>
    <font>
      <sz val="10"/>
      <color indexed="39"/>
      <name val="Arial"/>
      <family val="2"/>
    </font>
    <font>
      <b/>
      <sz val="18"/>
      <name val="Arial"/>
      <family val="2"/>
    </font>
    <font>
      <sz val="8"/>
      <color indexed="12"/>
      <name val="Arial"/>
      <family val="2"/>
    </font>
    <font>
      <b/>
      <sz val="10"/>
      <color rgb="FF0000FF"/>
      <name val="Arial Narrow"/>
      <family val="2"/>
    </font>
    <font>
      <sz val="10"/>
      <color rgb="FF0000FF"/>
      <name val="Calibri"/>
      <family val="2"/>
    </font>
    <font>
      <sz val="11"/>
      <name val="Calibri"/>
      <family val="2"/>
    </font>
    <font>
      <strike/>
      <sz val="10"/>
      <color rgb="FFFF0000"/>
      <name val="Arial"/>
      <family val="2"/>
    </font>
    <font>
      <sz val="11"/>
      <name val="Calibri"/>
      <family val="2"/>
      <scheme val="minor"/>
    </font>
    <font>
      <i/>
      <sz val="10"/>
      <color rgb="FF0000FF"/>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0"/>
      <color rgb="FF032EE3"/>
      <name val="Arial"/>
      <family val="2"/>
    </font>
    <font>
      <sz val="10"/>
      <color rgb="FF0070C0"/>
      <name val="Arial"/>
      <family val="2"/>
    </font>
    <font>
      <b/>
      <sz val="11"/>
      <color indexed="10"/>
      <name val="Calibri"/>
      <family val="2"/>
      <scheme val="minor"/>
    </font>
    <font>
      <sz val="10"/>
      <name val="Tms Rmn"/>
    </font>
    <font>
      <sz val="10"/>
      <color indexed="8"/>
      <name val="Helv"/>
    </font>
    <font>
      <sz val="12"/>
      <color indexed="24"/>
      <name val="Arial"/>
      <family val="2"/>
    </font>
    <font>
      <sz val="10"/>
      <name val="Helv"/>
    </font>
    <font>
      <sz val="12"/>
      <name val="Helv"/>
    </font>
    <font>
      <u/>
      <sz val="12"/>
      <color indexed="24"/>
      <name val="Arial"/>
      <family val="2"/>
    </font>
    <font>
      <b/>
      <sz val="15"/>
      <color indexed="62"/>
      <name val="Calibri"/>
      <family val="2"/>
      <scheme val="minor"/>
    </font>
    <font>
      <sz val="8"/>
      <color indexed="24"/>
      <name val="Arial"/>
      <family val="2"/>
    </font>
    <font>
      <b/>
      <sz val="13"/>
      <color indexed="62"/>
      <name val="Calibri"/>
      <family val="2"/>
      <scheme val="minor"/>
    </font>
    <font>
      <b/>
      <sz val="11"/>
      <color indexed="62"/>
      <name val="Calibri"/>
      <family val="2"/>
      <scheme val="minor"/>
    </font>
    <font>
      <b/>
      <sz val="11"/>
      <color indexed="62"/>
      <name val="Calibri"/>
      <family val="2"/>
    </font>
    <font>
      <b/>
      <u/>
      <sz val="10"/>
      <color indexed="39"/>
      <name val="Arial"/>
      <family val="2"/>
    </font>
    <font>
      <b/>
      <sz val="14"/>
      <name val="Helv"/>
    </font>
    <font>
      <sz val="11"/>
      <color indexed="10"/>
      <name val="Calibri"/>
      <family val="2"/>
      <scheme val="minor"/>
    </font>
    <font>
      <sz val="11"/>
      <color indexed="19"/>
      <name val="Calibri"/>
      <family val="2"/>
      <scheme val="minor"/>
    </font>
    <font>
      <sz val="10"/>
      <color indexed="11"/>
      <name val="Geneva"/>
    </font>
    <font>
      <sz val="10"/>
      <color indexed="11"/>
      <name val="Geneva"/>
      <family val="2"/>
    </font>
    <font>
      <sz val="12"/>
      <name val="Arial MT"/>
    </font>
    <font>
      <sz val="24"/>
      <color indexed="13"/>
      <name val="Helv"/>
    </font>
    <font>
      <b/>
      <sz val="18"/>
      <color indexed="62"/>
      <name val="Cambria"/>
      <family val="2"/>
      <scheme val="major"/>
    </font>
    <font>
      <b/>
      <sz val="18"/>
      <color indexed="62"/>
      <name val="Cambria"/>
      <family val="2"/>
    </font>
    <font>
      <sz val="9"/>
      <color theme="0" tint="-0.499984740745262"/>
      <name val="Arial"/>
      <family val="2"/>
    </font>
    <font>
      <b/>
      <sz val="8"/>
      <color theme="0" tint="-0.499984740745262"/>
      <name val="Arial"/>
      <family val="2"/>
    </font>
    <font>
      <sz val="8"/>
      <color theme="0" tint="-0.499984740745262"/>
      <name val="Arial"/>
      <family val="2"/>
    </font>
    <font>
      <sz val="10"/>
      <name val="Garamond"/>
      <family val="1"/>
    </font>
    <font>
      <sz val="10"/>
      <color rgb="FF0000FF"/>
      <name val="Garamond"/>
      <family val="1"/>
    </font>
    <font>
      <b/>
      <sz val="10"/>
      <color rgb="FF0000FF"/>
      <name val="Garamond"/>
      <family val="1"/>
    </font>
    <font>
      <sz val="12"/>
      <name val="Garamond"/>
      <family val="1"/>
    </font>
    <font>
      <sz val="11"/>
      <name val="Garamond"/>
      <family val="1"/>
    </font>
    <font>
      <sz val="10"/>
      <color theme="1"/>
      <name val="Arial Narrow"/>
      <family val="2"/>
    </font>
    <font>
      <b/>
      <u val="singleAccounting"/>
      <sz val="8"/>
      <name val="Arial"/>
      <family val="2"/>
    </font>
    <font>
      <b/>
      <sz val="10"/>
      <color rgb="FFFF0000"/>
      <name val="MS Sans Serif"/>
      <family val="2"/>
    </font>
    <font>
      <b/>
      <sz val="12"/>
      <color rgb="FFFF0000"/>
      <name val="Arial Narrow"/>
      <family val="2"/>
    </font>
    <font>
      <sz val="9"/>
      <color indexed="81"/>
      <name val="Tahoma"/>
      <family val="2"/>
    </font>
    <font>
      <b/>
      <sz val="9"/>
      <color indexed="81"/>
      <name val="Tahoma"/>
      <family val="2"/>
    </font>
    <font>
      <b/>
      <i/>
      <sz val="12"/>
      <color theme="1"/>
      <name val="Arial"/>
      <family val="2"/>
    </font>
    <font>
      <sz val="18"/>
      <color rgb="FFFF0000"/>
      <name val="Calibri"/>
      <family val="2"/>
      <scheme val="minor"/>
    </font>
  </fonts>
  <fills count="86">
    <fill>
      <patternFill patternType="none"/>
    </fill>
    <fill>
      <patternFill patternType="gray125"/>
    </fill>
    <fill>
      <patternFill patternType="mediumGray">
        <fgColor indexed="22"/>
      </patternFill>
    </fill>
    <fill>
      <patternFill patternType="solid">
        <fgColor indexed="8"/>
        <bgColor indexed="64"/>
      </patternFill>
    </fill>
    <fill>
      <patternFill patternType="solid">
        <fgColor indexed="43"/>
        <bgColor indexed="64"/>
      </patternFill>
    </fill>
    <fill>
      <patternFill patternType="solid">
        <fgColor indexed="9"/>
        <bgColor indexed="64"/>
      </patternFill>
    </fill>
    <fill>
      <patternFill patternType="solid">
        <fgColor indexed="10"/>
        <bgColor indexed="64"/>
      </patternFill>
    </fill>
    <fill>
      <patternFill patternType="solid">
        <fgColor theme="0"/>
        <bgColor indexed="64"/>
      </patternFill>
    </fill>
    <fill>
      <patternFill patternType="solid">
        <fgColor indexed="31"/>
        <bgColor indexed="64"/>
      </patternFill>
    </fill>
    <fill>
      <patternFill patternType="solid">
        <fgColor indexed="35"/>
        <bgColor indexed="64"/>
      </patternFill>
    </fill>
    <fill>
      <patternFill patternType="solid">
        <fgColor rgb="FFC0C0C0"/>
        <bgColor rgb="FFC0C0C0"/>
      </patternFill>
    </fill>
    <fill>
      <patternFill patternType="solid">
        <fgColor rgb="FFFFFFCC"/>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9"/>
        <bgColor indexed="9"/>
      </patternFill>
    </fill>
    <fill>
      <patternFill patternType="solid">
        <fgColor indexed="43"/>
      </patternFill>
    </fill>
    <fill>
      <patternFill patternType="solid">
        <fgColor indexed="26"/>
      </patternFill>
    </fill>
    <fill>
      <patternFill patternType="solid">
        <fgColor indexed="40"/>
      </patternFill>
    </fill>
    <fill>
      <patternFill patternType="solid">
        <fgColor theme="1"/>
        <bgColor indexed="64"/>
      </patternFill>
    </fill>
    <fill>
      <patternFill patternType="solid">
        <fgColor theme="1" tint="0.499984740745262"/>
        <bgColor indexed="64"/>
      </patternFill>
    </fill>
    <fill>
      <patternFill patternType="solid">
        <fgColor theme="0" tint="-0.499984740745262"/>
        <bgColor indexed="64"/>
      </patternFill>
    </fill>
    <fill>
      <patternFill patternType="solid">
        <fgColor theme="7" tint="0.79998168889431442"/>
        <bgColor indexed="64"/>
      </patternFill>
    </fill>
    <fill>
      <patternFill patternType="solid">
        <fgColor theme="0" tint="-0.14999847407452621"/>
        <bgColor indexed="64"/>
      </patternFill>
    </fill>
    <fill>
      <patternFill patternType="solid">
        <fgColor theme="4" tint="0.79998168889431442"/>
        <bgColor indexed="64"/>
      </patternFill>
    </fill>
    <fill>
      <patternFill patternType="solid">
        <fgColor indexed="22"/>
        <bgColor indexed="64"/>
      </patternFill>
    </fill>
    <fill>
      <patternFill patternType="solid">
        <fgColor indexed="26"/>
        <bgColor indexed="64"/>
      </patternFill>
    </fill>
    <fill>
      <patternFill patternType="solid">
        <fgColor indexed="55"/>
        <bgColor indexed="64"/>
      </patternFill>
    </fill>
    <fill>
      <patternFill patternType="solid">
        <fgColor indexed="40"/>
        <bgColor indexed="64"/>
      </patternFill>
    </fill>
    <fill>
      <patternFill patternType="solid">
        <fgColor indexed="50"/>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9"/>
        <bgColor indexed="41"/>
      </patternFill>
    </fill>
    <fill>
      <patternFill patternType="solid">
        <fgColor indexed="9"/>
        <bgColor indexed="40"/>
      </patternFill>
    </fill>
    <fill>
      <patternFill patternType="solid">
        <fgColor indexed="44"/>
        <bgColor indexed="64"/>
      </patternFill>
    </fill>
    <fill>
      <patternFill patternType="solid">
        <fgColor indexed="41"/>
        <bgColor indexed="64"/>
      </patternFill>
    </fill>
    <fill>
      <patternFill patternType="solid">
        <fgColor indexed="9"/>
        <bgColor indexed="15"/>
      </patternFill>
    </fill>
    <fill>
      <patternFill patternType="solid">
        <fgColor indexed="14"/>
        <bgColor indexed="64"/>
      </patternFill>
    </fill>
    <fill>
      <patternFill patternType="solid">
        <fgColor theme="4" tint="0.59999389629810485"/>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39997558519241921"/>
        <bgColor indexed="65"/>
      </patternFill>
    </fill>
    <fill>
      <patternFill patternType="solid">
        <fgColor theme="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39997558519241921"/>
        <bgColor indexed="65"/>
      </patternFill>
    </fill>
    <fill>
      <patternFill patternType="solid">
        <fgColor theme="7"/>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39997558519241921"/>
        <bgColor indexed="65"/>
      </patternFill>
    </fill>
    <fill>
      <patternFill patternType="solid">
        <fgColor theme="9"/>
      </patternFill>
    </fill>
    <fill>
      <patternFill patternType="solid">
        <fgColor theme="9" tint="0.39997558519241921"/>
        <bgColor indexed="65"/>
      </patternFill>
    </fill>
    <fill>
      <patternFill patternType="solid">
        <fgColor indexed="56"/>
      </patternFill>
    </fill>
    <fill>
      <patternFill patternType="solid">
        <fgColor indexed="54"/>
      </patternFill>
    </fill>
    <fill>
      <patternFill patternType="solid">
        <fgColor indexed="9"/>
      </patternFill>
    </fill>
    <fill>
      <patternFill patternType="solid">
        <fgColor indexed="13"/>
      </patternFill>
    </fill>
    <fill>
      <patternFill patternType="lightGray"/>
    </fill>
    <fill>
      <patternFill patternType="gray125">
        <fgColor indexed="8"/>
      </patternFill>
    </fill>
    <fill>
      <patternFill patternType="solid">
        <fgColor indexed="12"/>
      </patternFill>
    </fill>
    <fill>
      <patternFill patternType="solid">
        <fgColor rgb="FF92D050"/>
        <bgColor indexed="64"/>
      </patternFill>
    </fill>
  </fills>
  <borders count="199">
    <border>
      <left/>
      <right/>
      <top/>
      <bottom/>
      <diagonal/>
    </border>
    <border>
      <left/>
      <right/>
      <top/>
      <bottom style="medium">
        <color indexed="64"/>
      </bottom>
      <diagonal/>
    </border>
    <border>
      <left/>
      <right/>
      <top style="thin">
        <color indexed="64"/>
      </top>
      <bottom/>
      <diagonal/>
    </border>
    <border>
      <left/>
      <right/>
      <top style="thin">
        <color indexed="64"/>
      </top>
      <bottom style="double">
        <color indexed="64"/>
      </bottom>
      <diagonal/>
    </border>
    <border>
      <left/>
      <right/>
      <top/>
      <bottom style="thin">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diagonal/>
    </border>
    <border>
      <left style="medium">
        <color indexed="64"/>
      </left>
      <right/>
      <top/>
      <bottom/>
      <diagonal/>
    </border>
    <border>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top/>
      <bottom/>
      <diagonal/>
    </border>
    <border>
      <left/>
      <right style="thin">
        <color indexed="64"/>
      </right>
      <top/>
      <bottom style="thin">
        <color indexed="64"/>
      </bottom>
      <diagonal/>
    </border>
    <border>
      <left style="thin">
        <color indexed="64"/>
      </left>
      <right style="thin">
        <color indexed="64"/>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medium">
        <color indexed="64"/>
      </right>
      <top style="medium">
        <color indexed="64"/>
      </top>
      <bottom style="medium">
        <color indexed="64"/>
      </bottom>
      <diagonal/>
    </border>
    <border>
      <left style="thin">
        <color indexed="64"/>
      </left>
      <right style="medium">
        <color indexed="64"/>
      </right>
      <top style="medium">
        <color indexed="64"/>
      </top>
      <bottom/>
      <diagonal/>
    </border>
    <border>
      <left style="thin">
        <color indexed="63"/>
      </left>
      <right style="thin">
        <color indexed="63"/>
      </right>
      <top style="thin">
        <color indexed="63"/>
      </top>
      <bottom style="thin">
        <color indexed="63"/>
      </bottom>
      <diagonal/>
    </border>
    <border>
      <left style="thin">
        <color indexed="64"/>
      </left>
      <right style="medium">
        <color indexed="64"/>
      </right>
      <top/>
      <bottom style="thin">
        <color indexed="64"/>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indexed="64"/>
      </left>
      <right style="thin">
        <color indexed="64"/>
      </right>
      <top style="thin">
        <color indexed="64"/>
      </top>
      <bottom style="thin">
        <color indexed="64"/>
      </bottom>
      <diagonal/>
    </border>
    <border>
      <left/>
      <right/>
      <top style="thin">
        <color auto="1"/>
      </top>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diagonal/>
    </border>
    <border>
      <left style="medium">
        <color indexed="64"/>
      </left>
      <right style="thin">
        <color indexed="64"/>
      </right>
      <top/>
      <bottom style="medium">
        <color indexed="64"/>
      </bottom>
      <diagonal/>
    </border>
    <border>
      <left/>
      <right style="medium">
        <color indexed="64"/>
      </right>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48"/>
      </left>
      <right style="thin">
        <color indexed="48"/>
      </right>
      <top style="thin">
        <color indexed="48"/>
      </top>
      <bottom style="thin">
        <color indexed="48"/>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right style="thin">
        <color indexed="64"/>
      </right>
      <top style="medium">
        <color indexed="64"/>
      </top>
      <bottom style="medium">
        <color indexed="64"/>
      </bottom>
      <diagonal/>
    </border>
    <border>
      <left/>
      <right style="medium">
        <color rgb="FF000000"/>
      </right>
      <top style="medium">
        <color indexed="64"/>
      </top>
      <bottom/>
      <diagonal/>
    </border>
    <border>
      <left style="thin">
        <color indexed="64"/>
      </left>
      <right style="medium">
        <color indexed="64"/>
      </right>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right style="medium">
        <color indexed="64"/>
      </right>
      <top style="thin">
        <color indexed="64"/>
      </top>
      <bottom/>
      <diagonal/>
    </border>
    <border>
      <left style="medium">
        <color indexed="64"/>
      </left>
      <right/>
      <top style="thin">
        <color indexed="64"/>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48"/>
      </left>
      <right style="thin">
        <color indexed="48"/>
      </right>
      <top style="thin">
        <color indexed="48"/>
      </top>
      <bottom style="thin">
        <color indexed="48"/>
      </bottom>
      <diagonal/>
    </border>
    <border>
      <left/>
      <right/>
      <top/>
      <bottom style="medium">
        <color auto="1"/>
      </bottom>
      <diagonal/>
    </border>
    <border>
      <left/>
      <right/>
      <top style="thin">
        <color indexed="64"/>
      </top>
      <bottom/>
      <diagonal/>
    </border>
    <border>
      <left style="medium">
        <color indexed="64"/>
      </left>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right style="medium">
        <color indexed="64"/>
      </right>
      <top style="thin">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8"/>
      </left>
      <right style="thin">
        <color indexed="48"/>
      </right>
      <top style="thin">
        <color indexed="48"/>
      </top>
      <bottom style="thin">
        <color indexed="48"/>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48"/>
      </left>
      <right style="thin">
        <color indexed="48"/>
      </right>
      <top style="thin">
        <color indexed="48"/>
      </top>
      <bottom style="thin">
        <color indexed="48"/>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48"/>
      </left>
      <right style="thin">
        <color indexed="48"/>
      </right>
      <top style="thin">
        <color indexed="48"/>
      </top>
      <bottom style="thin">
        <color indexed="48"/>
      </bottom>
      <diagonal/>
    </border>
    <border>
      <left/>
      <right/>
      <top style="thin">
        <color indexed="64"/>
      </top>
      <bottom/>
      <diagonal/>
    </border>
    <border>
      <left/>
      <right style="medium">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top style="thin">
        <color auto="1"/>
      </top>
      <bottom style="thin">
        <color auto="1"/>
      </bottom>
      <diagonal/>
    </border>
    <border>
      <left/>
      <right/>
      <top style="thin">
        <color auto="1"/>
      </top>
      <bottom style="medium">
        <color indexed="64"/>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8"/>
      </left>
      <right style="thin">
        <color indexed="48"/>
      </right>
      <top style="thin">
        <color indexed="48"/>
      </top>
      <bottom style="thin">
        <color indexed="48"/>
      </bottom>
      <diagonal/>
    </border>
    <border>
      <left style="medium">
        <color indexed="64"/>
      </left>
      <right style="medium">
        <color indexed="64"/>
      </right>
      <top style="thin">
        <color indexed="64"/>
      </top>
      <bottom style="thin">
        <color indexed="64"/>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auto="1"/>
      </left>
      <right/>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8"/>
      </left>
      <right style="thin">
        <color indexed="48"/>
      </right>
      <top style="thin">
        <color indexed="48"/>
      </top>
      <bottom style="thin">
        <color indexed="48"/>
      </bottom>
      <diagonal/>
    </border>
    <border>
      <left/>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top style="thin">
        <color indexed="64"/>
      </top>
      <bottom style="thin">
        <color indexed="64"/>
      </bottom>
      <diagonal/>
    </border>
    <border>
      <left/>
      <right/>
      <top/>
      <bottom style="hair">
        <color indexed="64"/>
      </bottom>
      <diagonal/>
    </border>
    <border>
      <left style="thin">
        <color indexed="41"/>
      </left>
      <right style="thin">
        <color indexed="48"/>
      </right>
      <top style="medium">
        <color indexed="41"/>
      </top>
      <bottom style="thin">
        <color indexed="48"/>
      </bottom>
      <diagonal/>
    </border>
    <border>
      <left style="double">
        <color indexed="64"/>
      </left>
      <right style="double">
        <color indexed="64"/>
      </right>
      <top style="double">
        <color indexed="64"/>
      </top>
      <bottom style="double">
        <color indexed="64"/>
      </bottom>
      <diagonal/>
    </border>
    <border>
      <left style="thin">
        <color indexed="63"/>
      </left>
      <right style="thin">
        <color indexed="63"/>
      </right>
      <top style="thin">
        <color indexed="63"/>
      </top>
      <bottom style="thin">
        <color indexed="63"/>
      </bottom>
      <diagonal/>
    </border>
    <border>
      <left/>
      <right/>
      <top style="thin">
        <color auto="1"/>
      </top>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62"/>
      </top>
      <bottom style="double">
        <color indexed="62"/>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thin">
        <color auto="1"/>
      </left>
      <right style="thin">
        <color auto="1"/>
      </right>
      <top style="thin">
        <color auto="1"/>
      </top>
      <bottom style="thin">
        <color auto="1"/>
      </bottom>
      <diagonal/>
    </border>
    <border>
      <left style="thin">
        <color indexed="64"/>
      </left>
      <right style="medium">
        <color indexed="64"/>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medium">
        <color indexed="64"/>
      </left>
      <right style="thin">
        <color indexed="64"/>
      </right>
      <top style="thin">
        <color auto="1"/>
      </top>
      <bottom style="thin">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8"/>
      </left>
      <right style="thin">
        <color indexed="8"/>
      </right>
      <top style="thin">
        <color indexed="8"/>
      </top>
      <bottom style="thin">
        <color indexed="8"/>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bottom style="medium">
        <color indexed="49"/>
      </bottom>
      <diagonal/>
    </border>
    <border>
      <left style="thin">
        <color indexed="8"/>
      </left>
      <right style="thin">
        <color indexed="8"/>
      </right>
      <top style="thin">
        <color indexed="8"/>
      </top>
      <bottom style="thin">
        <color indexed="8"/>
      </bottom>
      <diagonal/>
    </border>
    <border>
      <left/>
      <right/>
      <top/>
      <bottom style="double">
        <color indexed="10"/>
      </bottom>
      <diagonal/>
    </border>
    <border>
      <left style="thin">
        <color indexed="8"/>
      </left>
      <right style="thin">
        <color indexed="8"/>
      </right>
      <top/>
      <bottom/>
      <diagonal/>
    </border>
    <border>
      <left/>
      <right/>
      <top style="double">
        <color indexed="64"/>
      </top>
      <bottom/>
      <diagonal/>
    </border>
    <border>
      <left/>
      <right/>
      <top style="thin">
        <color indexed="56"/>
      </top>
      <bottom style="double">
        <color indexed="56"/>
      </bottom>
      <diagonal/>
    </border>
    <border>
      <left/>
      <right/>
      <top/>
      <bottom style="double">
        <color indexed="8"/>
      </bottom>
      <diagonal/>
    </border>
    <border>
      <left style="thin">
        <color indexed="8"/>
      </left>
      <right style="thin">
        <color indexed="8"/>
      </right>
      <top style="double">
        <color indexed="8"/>
      </top>
      <bottom style="thin">
        <color indexed="8"/>
      </bottom>
      <diagonal/>
    </border>
    <border>
      <left/>
      <right/>
      <top/>
      <bottom style="thin">
        <color indexed="8"/>
      </bottom>
      <diagonal/>
    </border>
    <border>
      <left style="thin">
        <color indexed="63"/>
      </left>
      <right style="thin">
        <color indexed="63"/>
      </right>
      <top style="thin">
        <color indexed="63"/>
      </top>
      <bottom style="thin">
        <color indexed="63"/>
      </bottom>
      <diagonal/>
    </border>
    <border>
      <left style="medium">
        <color indexed="64"/>
      </left>
      <right/>
      <top style="thin">
        <color indexed="64"/>
      </top>
      <bottom/>
      <diagonal/>
    </border>
    <border>
      <left style="thin">
        <color indexed="22"/>
      </left>
      <right style="thin">
        <color indexed="22"/>
      </right>
      <top style="thin">
        <color indexed="22"/>
      </top>
      <bottom style="thin">
        <color indexed="22"/>
      </bottom>
      <diagonal/>
    </border>
    <border>
      <left style="medium">
        <color indexed="64"/>
      </left>
      <right style="thin">
        <color indexed="64"/>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style="medium">
        <color indexed="64"/>
      </right>
      <top style="thin">
        <color auto="1"/>
      </top>
      <bottom style="thin">
        <color auto="1"/>
      </bottom>
      <diagonal/>
    </border>
    <border>
      <left style="thin">
        <color auto="1"/>
      </left>
      <right/>
      <top style="thin">
        <color auto="1"/>
      </top>
      <bottom style="thin">
        <color auto="1"/>
      </bottom>
      <diagonal/>
    </border>
    <border>
      <left/>
      <right/>
      <top style="thin">
        <color indexed="64"/>
      </top>
      <bottom style="thin">
        <color auto="1"/>
      </bottom>
      <diagonal/>
    </border>
    <border>
      <left style="thin">
        <color auto="1"/>
      </left>
      <right style="thin">
        <color auto="1"/>
      </right>
      <top/>
      <bottom/>
      <diagonal/>
    </border>
    <border>
      <left style="thin">
        <color auto="1"/>
      </left>
      <right style="thin">
        <color auto="1"/>
      </right>
      <top style="thin">
        <color auto="1"/>
      </top>
      <bottom/>
      <diagonal/>
    </border>
    <border>
      <left style="thin">
        <color auto="1"/>
      </left>
      <right/>
      <top style="thin">
        <color auto="1"/>
      </top>
      <bottom/>
      <diagonal/>
    </border>
    <border>
      <left style="thin">
        <color auto="1"/>
      </left>
      <right/>
      <top/>
      <bottom/>
      <diagonal/>
    </border>
    <border>
      <left/>
      <right style="thin">
        <color auto="1"/>
      </right>
      <top style="thin">
        <color auto="1"/>
      </top>
      <bottom style="thin">
        <color auto="1"/>
      </bottom>
      <diagonal/>
    </border>
    <border>
      <left/>
      <right style="thin">
        <color indexed="64"/>
      </right>
      <top style="thin">
        <color indexed="64"/>
      </top>
      <bottom/>
      <diagonal/>
    </border>
  </borders>
  <cellStyleXfs count="62583">
    <xf numFmtId="0" fontId="0" fillId="0" borderId="0"/>
    <xf numFmtId="43" fontId="32"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4" fontId="32"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0" fontId="44" fillId="0" borderId="0"/>
    <xf numFmtId="0" fontId="44" fillId="0" borderId="0"/>
    <xf numFmtId="0" fontId="32" fillId="0" borderId="0"/>
    <xf numFmtId="0" fontId="32" fillId="0" borderId="0"/>
    <xf numFmtId="0" fontId="44" fillId="0" borderId="0"/>
    <xf numFmtId="9" fontId="32"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0" fontId="76" fillId="0" borderId="0" applyNumberFormat="0" applyFont="0" applyFill="0" applyBorder="0" applyAlignment="0" applyProtection="0">
      <alignment horizontal="left"/>
    </xf>
    <xf numFmtId="15" fontId="76" fillId="0" borderId="0" applyFont="0" applyFill="0" applyBorder="0" applyAlignment="0" applyProtection="0"/>
    <xf numFmtId="4" fontId="76" fillId="0" borderId="0" applyFont="0" applyFill="0" applyBorder="0" applyAlignment="0" applyProtection="0"/>
    <xf numFmtId="0" fontId="77" fillId="0" borderId="1">
      <alignment horizontal="center"/>
    </xf>
    <xf numFmtId="3" fontId="76" fillId="0" borderId="0" applyFont="0" applyFill="0" applyBorder="0" applyAlignment="0" applyProtection="0"/>
    <xf numFmtId="0" fontId="76" fillId="2" borderId="0" applyNumberFormat="0" applyFont="0" applyBorder="0" applyAlignment="0" applyProtection="0"/>
    <xf numFmtId="165" fontId="36" fillId="0" borderId="0"/>
    <xf numFmtId="176" fontId="90" fillId="0" borderId="0">
      <alignment horizontal="center" wrapText="1"/>
    </xf>
    <xf numFmtId="177" fontId="36" fillId="0" borderId="0">
      <protection locked="0"/>
    </xf>
    <xf numFmtId="178" fontId="36" fillId="0" borderId="0">
      <alignment horizontal="center"/>
      <protection locked="0"/>
    </xf>
    <xf numFmtId="0" fontId="32" fillId="0" borderId="0"/>
    <xf numFmtId="165" fontId="37" fillId="0" borderId="0"/>
    <xf numFmtId="0" fontId="31" fillId="0" borderId="0"/>
    <xf numFmtId="0" fontId="30" fillId="0" borderId="0"/>
    <xf numFmtId="43" fontId="30" fillId="0" borderId="0" applyFont="0" applyFill="0" applyBorder="0" applyAlignment="0" applyProtection="0"/>
    <xf numFmtId="44" fontId="30" fillId="0" borderId="0" applyFont="0" applyFill="0" applyBorder="0" applyAlignment="0" applyProtection="0"/>
    <xf numFmtId="9" fontId="30" fillId="0" borderId="0" applyFont="0" applyFill="0" applyBorder="0" applyAlignment="0" applyProtection="0"/>
    <xf numFmtId="0" fontId="32" fillId="8" borderId="34" applyNumberFormat="0" applyProtection="0">
      <alignment horizontal="left" vertical="center" indent="1"/>
    </xf>
    <xf numFmtId="0" fontId="32" fillId="8" borderId="34" applyNumberFormat="0" applyProtection="0">
      <alignment horizontal="left" vertical="center" indent="1"/>
    </xf>
    <xf numFmtId="0" fontId="32" fillId="8" borderId="34" applyNumberFormat="0" applyProtection="0">
      <alignment horizontal="left" vertical="center" indent="1"/>
    </xf>
    <xf numFmtId="4" fontId="82" fillId="9" borderId="34" applyNumberFormat="0" applyProtection="0">
      <alignment horizontal="right" vertical="center"/>
    </xf>
    <xf numFmtId="0" fontId="76" fillId="0" borderId="0"/>
    <xf numFmtId="0" fontId="29" fillId="0" borderId="0"/>
    <xf numFmtId="43" fontId="29" fillId="0" borderId="0" applyFont="0" applyFill="0" applyBorder="0" applyAlignment="0" applyProtection="0"/>
    <xf numFmtId="0" fontId="28" fillId="0" borderId="0"/>
    <xf numFmtId="43" fontId="97" fillId="0" borderId="0" applyFont="0" applyFill="0" applyBorder="0" applyAlignment="0" applyProtection="0"/>
    <xf numFmtId="0" fontId="27" fillId="0" borderId="0"/>
    <xf numFmtId="0" fontId="27" fillId="0" borderId="0"/>
    <xf numFmtId="0" fontId="26" fillId="0" borderId="0"/>
    <xf numFmtId="0" fontId="32" fillId="0" borderId="0"/>
    <xf numFmtId="43" fontId="26" fillId="0" borderId="0" applyFont="0" applyFill="0" applyBorder="0" applyAlignment="0" applyProtection="0"/>
    <xf numFmtId="0" fontId="103" fillId="0" borderId="0"/>
    <xf numFmtId="43" fontId="103" fillId="0" borderId="0" applyNumberFormat="0" applyFill="0" applyBorder="0" applyAlignment="0" applyProtection="0"/>
    <xf numFmtId="9" fontId="32" fillId="0" borderId="0" applyFont="0" applyFill="0" applyBorder="0" applyAlignment="0" applyProtection="0"/>
    <xf numFmtId="0" fontId="25" fillId="0" borderId="0"/>
    <xf numFmtId="0" fontId="25" fillId="0" borderId="0"/>
    <xf numFmtId="43" fontId="25" fillId="0" borderId="0" applyFont="0" applyFill="0" applyBorder="0" applyAlignment="0" applyProtection="0"/>
    <xf numFmtId="0" fontId="25" fillId="0" borderId="0"/>
    <xf numFmtId="0" fontId="24" fillId="0" borderId="0"/>
    <xf numFmtId="43" fontId="23" fillId="0" borderId="0" applyFont="0" applyFill="0" applyBorder="0" applyAlignment="0" applyProtection="0"/>
    <xf numFmtId="43" fontId="22" fillId="0" borderId="0" applyFont="0" applyFill="0" applyBorder="0" applyAlignment="0" applyProtection="0"/>
    <xf numFmtId="0" fontId="32" fillId="0" borderId="0"/>
    <xf numFmtId="185" fontId="32" fillId="0" borderId="0">
      <alignment horizontal="left" wrapText="1"/>
    </xf>
    <xf numFmtId="185" fontId="32" fillId="0" borderId="0">
      <alignment horizontal="left" wrapText="1"/>
    </xf>
    <xf numFmtId="185" fontId="32" fillId="0" borderId="0">
      <alignment horizontal="left" wrapText="1"/>
    </xf>
    <xf numFmtId="185" fontId="32" fillId="0" borderId="0">
      <alignment horizontal="left" wrapText="1"/>
    </xf>
    <xf numFmtId="0" fontId="97" fillId="12" borderId="0" applyNumberFormat="0" applyBorder="0" applyAlignment="0" applyProtection="0"/>
    <xf numFmtId="0" fontId="97" fillId="12" borderId="0" applyNumberFormat="0" applyBorder="0" applyAlignment="0" applyProtection="0"/>
    <xf numFmtId="0" fontId="97" fillId="12" borderId="0" applyNumberFormat="0" applyBorder="0" applyAlignment="0" applyProtection="0"/>
    <xf numFmtId="0" fontId="97" fillId="12" borderId="0" applyNumberFormat="0" applyBorder="0" applyAlignment="0" applyProtection="0"/>
    <xf numFmtId="0" fontId="97" fillId="12" borderId="0" applyNumberFormat="0" applyBorder="0" applyAlignment="0" applyProtection="0"/>
    <xf numFmtId="0" fontId="97" fillId="12" borderId="0" applyNumberFormat="0" applyBorder="0" applyAlignment="0" applyProtection="0"/>
    <xf numFmtId="0" fontId="97" fillId="12" borderId="0" applyNumberFormat="0" applyBorder="0" applyAlignment="0" applyProtection="0"/>
    <xf numFmtId="0" fontId="97" fillId="12" borderId="0" applyNumberFormat="0" applyBorder="0" applyAlignment="0" applyProtection="0"/>
    <xf numFmtId="0" fontId="97" fillId="12" borderId="0" applyNumberFormat="0" applyBorder="0" applyAlignment="0" applyProtection="0"/>
    <xf numFmtId="0" fontId="97" fillId="12" borderId="0" applyNumberFormat="0" applyBorder="0" applyAlignment="0" applyProtection="0"/>
    <xf numFmtId="0" fontId="97" fillId="12" borderId="0" applyNumberFormat="0" applyBorder="0" applyAlignment="0" applyProtection="0"/>
    <xf numFmtId="0" fontId="97" fillId="12" borderId="0" applyNumberFormat="0" applyBorder="0" applyAlignment="0" applyProtection="0"/>
    <xf numFmtId="0" fontId="97" fillId="12" borderId="0" applyNumberFormat="0" applyBorder="0" applyAlignment="0" applyProtection="0"/>
    <xf numFmtId="0" fontId="97" fillId="12" borderId="0" applyNumberFormat="0" applyBorder="0" applyAlignment="0" applyProtection="0"/>
    <xf numFmtId="0" fontId="97" fillId="12" borderId="0" applyNumberFormat="0" applyBorder="0" applyAlignment="0" applyProtection="0"/>
    <xf numFmtId="0" fontId="97" fillId="12" borderId="0" applyNumberFormat="0" applyBorder="0" applyAlignment="0" applyProtection="0"/>
    <xf numFmtId="0" fontId="97" fillId="12" borderId="0" applyNumberFormat="0" applyBorder="0" applyAlignment="0" applyProtection="0"/>
    <xf numFmtId="0" fontId="97" fillId="12" borderId="0" applyNumberFormat="0" applyBorder="0" applyAlignment="0" applyProtection="0"/>
    <xf numFmtId="0" fontId="97" fillId="12" borderId="0" applyNumberFormat="0" applyBorder="0" applyAlignment="0" applyProtection="0"/>
    <xf numFmtId="0" fontId="97" fillId="12" borderId="0" applyNumberFormat="0" applyBorder="0" applyAlignment="0" applyProtection="0"/>
    <xf numFmtId="0" fontId="97" fillId="12" borderId="0" applyNumberFormat="0" applyBorder="0" applyAlignment="0" applyProtection="0"/>
    <xf numFmtId="0" fontId="97" fillId="12" borderId="0" applyNumberFormat="0" applyBorder="0" applyAlignment="0" applyProtection="0"/>
    <xf numFmtId="0" fontId="97" fillId="12" borderId="0" applyNumberFormat="0" applyBorder="0" applyAlignment="0" applyProtection="0"/>
    <xf numFmtId="0" fontId="97" fillId="12" borderId="0" applyNumberFormat="0" applyBorder="0" applyAlignment="0" applyProtection="0"/>
    <xf numFmtId="0" fontId="97" fillId="12" borderId="0" applyNumberFormat="0" applyBorder="0" applyAlignment="0" applyProtection="0"/>
    <xf numFmtId="0" fontId="97" fillId="12" borderId="0" applyNumberFormat="0" applyBorder="0" applyAlignment="0" applyProtection="0"/>
    <xf numFmtId="0" fontId="97" fillId="12" borderId="0" applyNumberFormat="0" applyBorder="0" applyAlignment="0" applyProtection="0"/>
    <xf numFmtId="0" fontId="97" fillId="12" borderId="0" applyNumberFormat="0" applyBorder="0" applyAlignment="0" applyProtection="0"/>
    <xf numFmtId="0" fontId="97" fillId="12" borderId="0" applyNumberFormat="0" applyBorder="0" applyAlignment="0" applyProtection="0"/>
    <xf numFmtId="0" fontId="97" fillId="12" borderId="0" applyNumberFormat="0" applyBorder="0" applyAlignment="0" applyProtection="0"/>
    <xf numFmtId="0" fontId="97" fillId="13" borderId="0" applyNumberFormat="0" applyBorder="0" applyAlignment="0" applyProtection="0"/>
    <xf numFmtId="0" fontId="97" fillId="13" borderId="0" applyNumberFormat="0" applyBorder="0" applyAlignment="0" applyProtection="0"/>
    <xf numFmtId="0" fontId="97" fillId="13" borderId="0" applyNumberFormat="0" applyBorder="0" applyAlignment="0" applyProtection="0"/>
    <xf numFmtId="0" fontId="97" fillId="13" borderId="0" applyNumberFormat="0" applyBorder="0" applyAlignment="0" applyProtection="0"/>
    <xf numFmtId="0" fontId="97" fillId="13" borderId="0" applyNumberFormat="0" applyBorder="0" applyAlignment="0" applyProtection="0"/>
    <xf numFmtId="0" fontId="97" fillId="13" borderId="0" applyNumberFormat="0" applyBorder="0" applyAlignment="0" applyProtection="0"/>
    <xf numFmtId="0" fontId="97" fillId="13" borderId="0" applyNumberFormat="0" applyBorder="0" applyAlignment="0" applyProtection="0"/>
    <xf numFmtId="0" fontId="97" fillId="13" borderId="0" applyNumberFormat="0" applyBorder="0" applyAlignment="0" applyProtection="0"/>
    <xf numFmtId="0" fontId="97" fillId="13" borderId="0" applyNumberFormat="0" applyBorder="0" applyAlignment="0" applyProtection="0"/>
    <xf numFmtId="0" fontId="97" fillId="13" borderId="0" applyNumberFormat="0" applyBorder="0" applyAlignment="0" applyProtection="0"/>
    <xf numFmtId="0" fontId="97" fillId="13" borderId="0" applyNumberFormat="0" applyBorder="0" applyAlignment="0" applyProtection="0"/>
    <xf numFmtId="0" fontId="97" fillId="13" borderId="0" applyNumberFormat="0" applyBorder="0" applyAlignment="0" applyProtection="0"/>
    <xf numFmtId="0" fontId="97" fillId="13" borderId="0" applyNumberFormat="0" applyBorder="0" applyAlignment="0" applyProtection="0"/>
    <xf numFmtId="0" fontId="97" fillId="13" borderId="0" applyNumberFormat="0" applyBorder="0" applyAlignment="0" applyProtection="0"/>
    <xf numFmtId="0" fontId="97" fillId="13" borderId="0" applyNumberFormat="0" applyBorder="0" applyAlignment="0" applyProtection="0"/>
    <xf numFmtId="0" fontId="97" fillId="13" borderId="0" applyNumberFormat="0" applyBorder="0" applyAlignment="0" applyProtection="0"/>
    <xf numFmtId="0" fontId="97" fillId="13" borderId="0" applyNumberFormat="0" applyBorder="0" applyAlignment="0" applyProtection="0"/>
    <xf numFmtId="0" fontId="97" fillId="13" borderId="0" applyNumberFormat="0" applyBorder="0" applyAlignment="0" applyProtection="0"/>
    <xf numFmtId="0" fontId="97" fillId="13" borderId="0" applyNumberFormat="0" applyBorder="0" applyAlignment="0" applyProtection="0"/>
    <xf numFmtId="0" fontId="97" fillId="13" borderId="0" applyNumberFormat="0" applyBorder="0" applyAlignment="0" applyProtection="0"/>
    <xf numFmtId="0" fontId="97" fillId="13" borderId="0" applyNumberFormat="0" applyBorder="0" applyAlignment="0" applyProtection="0"/>
    <xf numFmtId="0" fontId="97" fillId="13" borderId="0" applyNumberFormat="0" applyBorder="0" applyAlignment="0" applyProtection="0"/>
    <xf numFmtId="0" fontId="97" fillId="13" borderId="0" applyNumberFormat="0" applyBorder="0" applyAlignment="0" applyProtection="0"/>
    <xf numFmtId="0" fontId="97" fillId="13" borderId="0" applyNumberFormat="0" applyBorder="0" applyAlignment="0" applyProtection="0"/>
    <xf numFmtId="0" fontId="97" fillId="13" borderId="0" applyNumberFormat="0" applyBorder="0" applyAlignment="0" applyProtection="0"/>
    <xf numFmtId="0" fontId="97" fillId="13" borderId="0" applyNumberFormat="0" applyBorder="0" applyAlignment="0" applyProtection="0"/>
    <xf numFmtId="0" fontId="97" fillId="13" borderId="0" applyNumberFormat="0" applyBorder="0" applyAlignment="0" applyProtection="0"/>
    <xf numFmtId="0" fontId="97" fillId="13" borderId="0" applyNumberFormat="0" applyBorder="0" applyAlignment="0" applyProtection="0"/>
    <xf numFmtId="0" fontId="97" fillId="13" borderId="0" applyNumberFormat="0" applyBorder="0" applyAlignment="0" applyProtection="0"/>
    <xf numFmtId="0" fontId="97" fillId="13"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6" borderId="0" applyNumberFormat="0" applyBorder="0" applyAlignment="0" applyProtection="0"/>
    <xf numFmtId="0" fontId="97" fillId="16" borderId="0" applyNumberFormat="0" applyBorder="0" applyAlignment="0" applyProtection="0"/>
    <xf numFmtId="0" fontId="97" fillId="16" borderId="0" applyNumberFormat="0" applyBorder="0" applyAlignment="0" applyProtection="0"/>
    <xf numFmtId="0" fontId="97" fillId="16" borderId="0" applyNumberFormat="0" applyBorder="0" applyAlignment="0" applyProtection="0"/>
    <xf numFmtId="0" fontId="97" fillId="16" borderId="0" applyNumberFormat="0" applyBorder="0" applyAlignment="0" applyProtection="0"/>
    <xf numFmtId="0" fontId="97" fillId="16" borderId="0" applyNumberFormat="0" applyBorder="0" applyAlignment="0" applyProtection="0"/>
    <xf numFmtId="0" fontId="97" fillId="16" borderId="0" applyNumberFormat="0" applyBorder="0" applyAlignment="0" applyProtection="0"/>
    <xf numFmtId="0" fontId="97" fillId="16" borderId="0" applyNumberFormat="0" applyBorder="0" applyAlignment="0" applyProtection="0"/>
    <xf numFmtId="0" fontId="97" fillId="16" borderId="0" applyNumberFormat="0" applyBorder="0" applyAlignment="0" applyProtection="0"/>
    <xf numFmtId="0" fontId="97" fillId="16" borderId="0" applyNumberFormat="0" applyBorder="0" applyAlignment="0" applyProtection="0"/>
    <xf numFmtId="0" fontId="97" fillId="16" borderId="0" applyNumberFormat="0" applyBorder="0" applyAlignment="0" applyProtection="0"/>
    <xf numFmtId="0" fontId="97" fillId="16" borderId="0" applyNumberFormat="0" applyBorder="0" applyAlignment="0" applyProtection="0"/>
    <xf numFmtId="0" fontId="97" fillId="16" borderId="0" applyNumberFormat="0" applyBorder="0" applyAlignment="0" applyProtection="0"/>
    <xf numFmtId="0" fontId="97" fillId="16" borderId="0" applyNumberFormat="0" applyBorder="0" applyAlignment="0" applyProtection="0"/>
    <xf numFmtId="0" fontId="97" fillId="16" borderId="0" applyNumberFormat="0" applyBorder="0" applyAlignment="0" applyProtection="0"/>
    <xf numFmtId="0" fontId="97" fillId="16" borderId="0" applyNumberFormat="0" applyBorder="0" applyAlignment="0" applyProtection="0"/>
    <xf numFmtId="0" fontId="97" fillId="16" borderId="0" applyNumberFormat="0" applyBorder="0" applyAlignment="0" applyProtection="0"/>
    <xf numFmtId="0" fontId="97" fillId="16" borderId="0" applyNumberFormat="0" applyBorder="0" applyAlignment="0" applyProtection="0"/>
    <xf numFmtId="0" fontId="97" fillId="16" borderId="0" applyNumberFormat="0" applyBorder="0" applyAlignment="0" applyProtection="0"/>
    <xf numFmtId="0" fontId="97" fillId="16" borderId="0" applyNumberFormat="0" applyBorder="0" applyAlignment="0" applyProtection="0"/>
    <xf numFmtId="0" fontId="97" fillId="16" borderId="0" applyNumberFormat="0" applyBorder="0" applyAlignment="0" applyProtection="0"/>
    <xf numFmtId="0" fontId="97" fillId="16" borderId="0" applyNumberFormat="0" applyBorder="0" applyAlignment="0" applyProtection="0"/>
    <xf numFmtId="0" fontId="97" fillId="16" borderId="0" applyNumberFormat="0" applyBorder="0" applyAlignment="0" applyProtection="0"/>
    <xf numFmtId="0" fontId="97" fillId="16" borderId="0" applyNumberFormat="0" applyBorder="0" applyAlignment="0" applyProtection="0"/>
    <xf numFmtId="0" fontId="97" fillId="16" borderId="0" applyNumberFormat="0" applyBorder="0" applyAlignment="0" applyProtection="0"/>
    <xf numFmtId="0" fontId="97" fillId="16" borderId="0" applyNumberFormat="0" applyBorder="0" applyAlignment="0" applyProtection="0"/>
    <xf numFmtId="0" fontId="97" fillId="16" borderId="0" applyNumberFormat="0" applyBorder="0" applyAlignment="0" applyProtection="0"/>
    <xf numFmtId="0" fontId="97" fillId="16" borderId="0" applyNumberFormat="0" applyBorder="0" applyAlignment="0" applyProtection="0"/>
    <xf numFmtId="0" fontId="97" fillId="16" borderId="0" applyNumberFormat="0" applyBorder="0" applyAlignment="0" applyProtection="0"/>
    <xf numFmtId="0" fontId="97" fillId="16" borderId="0" applyNumberFormat="0" applyBorder="0" applyAlignment="0" applyProtection="0"/>
    <xf numFmtId="0" fontId="97" fillId="17" borderId="0" applyNumberFormat="0" applyBorder="0" applyAlignment="0" applyProtection="0"/>
    <xf numFmtId="0" fontId="97" fillId="17" borderId="0" applyNumberFormat="0" applyBorder="0" applyAlignment="0" applyProtection="0"/>
    <xf numFmtId="0" fontId="97" fillId="17" borderId="0" applyNumberFormat="0" applyBorder="0" applyAlignment="0" applyProtection="0"/>
    <xf numFmtId="0" fontId="97" fillId="17" borderId="0" applyNumberFormat="0" applyBorder="0" applyAlignment="0" applyProtection="0"/>
    <xf numFmtId="0" fontId="97" fillId="17" borderId="0" applyNumberFormat="0" applyBorder="0" applyAlignment="0" applyProtection="0"/>
    <xf numFmtId="0" fontId="97" fillId="17" borderId="0" applyNumberFormat="0" applyBorder="0" applyAlignment="0" applyProtection="0"/>
    <xf numFmtId="0" fontId="97" fillId="17" borderId="0" applyNumberFormat="0" applyBorder="0" applyAlignment="0" applyProtection="0"/>
    <xf numFmtId="0" fontId="97" fillId="17" borderId="0" applyNumberFormat="0" applyBorder="0" applyAlignment="0" applyProtection="0"/>
    <xf numFmtId="0" fontId="97" fillId="17" borderId="0" applyNumberFormat="0" applyBorder="0" applyAlignment="0" applyProtection="0"/>
    <xf numFmtId="0" fontId="97" fillId="17" borderId="0" applyNumberFormat="0" applyBorder="0" applyAlignment="0" applyProtection="0"/>
    <xf numFmtId="0" fontId="97" fillId="17" borderId="0" applyNumberFormat="0" applyBorder="0" applyAlignment="0" applyProtection="0"/>
    <xf numFmtId="0" fontId="97" fillId="17" borderId="0" applyNumberFormat="0" applyBorder="0" applyAlignment="0" applyProtection="0"/>
    <xf numFmtId="0" fontId="97" fillId="17" borderId="0" applyNumberFormat="0" applyBorder="0" applyAlignment="0" applyProtection="0"/>
    <xf numFmtId="0" fontId="97" fillId="17" borderId="0" applyNumberFormat="0" applyBorder="0" applyAlignment="0" applyProtection="0"/>
    <xf numFmtId="0" fontId="97" fillId="17" borderId="0" applyNumberFormat="0" applyBorder="0" applyAlignment="0" applyProtection="0"/>
    <xf numFmtId="0" fontId="97" fillId="17" borderId="0" applyNumberFormat="0" applyBorder="0" applyAlignment="0" applyProtection="0"/>
    <xf numFmtId="0" fontId="97" fillId="17" borderId="0" applyNumberFormat="0" applyBorder="0" applyAlignment="0" applyProtection="0"/>
    <xf numFmtId="0" fontId="97" fillId="17" borderId="0" applyNumberFormat="0" applyBorder="0" applyAlignment="0" applyProtection="0"/>
    <xf numFmtId="0" fontId="97" fillId="17" borderId="0" applyNumberFormat="0" applyBorder="0" applyAlignment="0" applyProtection="0"/>
    <xf numFmtId="0" fontId="97" fillId="17" borderId="0" applyNumberFormat="0" applyBorder="0" applyAlignment="0" applyProtection="0"/>
    <xf numFmtId="0" fontId="97" fillId="17" borderId="0" applyNumberFormat="0" applyBorder="0" applyAlignment="0" applyProtection="0"/>
    <xf numFmtId="0" fontId="97" fillId="17" borderId="0" applyNumberFormat="0" applyBorder="0" applyAlignment="0" applyProtection="0"/>
    <xf numFmtId="0" fontId="97" fillId="17" borderId="0" applyNumberFormat="0" applyBorder="0" applyAlignment="0" applyProtection="0"/>
    <xf numFmtId="0" fontId="97" fillId="17" borderId="0" applyNumberFormat="0" applyBorder="0" applyAlignment="0" applyProtection="0"/>
    <xf numFmtId="0" fontId="97" fillId="17" borderId="0" applyNumberFormat="0" applyBorder="0" applyAlignment="0" applyProtection="0"/>
    <xf numFmtId="0" fontId="97" fillId="17" borderId="0" applyNumberFormat="0" applyBorder="0" applyAlignment="0" applyProtection="0"/>
    <xf numFmtId="0" fontId="97" fillId="17" borderId="0" applyNumberFormat="0" applyBorder="0" applyAlignment="0" applyProtection="0"/>
    <xf numFmtId="0" fontId="97" fillId="17" borderId="0" applyNumberFormat="0" applyBorder="0" applyAlignment="0" applyProtection="0"/>
    <xf numFmtId="0" fontId="97" fillId="17" borderId="0" applyNumberFormat="0" applyBorder="0" applyAlignment="0" applyProtection="0"/>
    <xf numFmtId="0" fontId="97" fillId="17"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20" borderId="0" applyNumberFormat="0" applyBorder="0" applyAlignment="0" applyProtection="0"/>
    <xf numFmtId="0" fontId="97" fillId="20" borderId="0" applyNumberFormat="0" applyBorder="0" applyAlignment="0" applyProtection="0"/>
    <xf numFmtId="0" fontId="97" fillId="20" borderId="0" applyNumberFormat="0" applyBorder="0" applyAlignment="0" applyProtection="0"/>
    <xf numFmtId="0" fontId="97" fillId="20" borderId="0" applyNumberFormat="0" applyBorder="0" applyAlignment="0" applyProtection="0"/>
    <xf numFmtId="0" fontId="97" fillId="20" borderId="0" applyNumberFormat="0" applyBorder="0" applyAlignment="0" applyProtection="0"/>
    <xf numFmtId="0" fontId="97" fillId="20" borderId="0" applyNumberFormat="0" applyBorder="0" applyAlignment="0" applyProtection="0"/>
    <xf numFmtId="0" fontId="97" fillId="20" borderId="0" applyNumberFormat="0" applyBorder="0" applyAlignment="0" applyProtection="0"/>
    <xf numFmtId="0" fontId="97" fillId="20" borderId="0" applyNumberFormat="0" applyBorder="0" applyAlignment="0" applyProtection="0"/>
    <xf numFmtId="0" fontId="97" fillId="20" borderId="0" applyNumberFormat="0" applyBorder="0" applyAlignment="0" applyProtection="0"/>
    <xf numFmtId="0" fontId="97" fillId="20" borderId="0" applyNumberFormat="0" applyBorder="0" applyAlignment="0" applyProtection="0"/>
    <xf numFmtId="0" fontId="97" fillId="20" borderId="0" applyNumberFormat="0" applyBorder="0" applyAlignment="0" applyProtection="0"/>
    <xf numFmtId="0" fontId="97" fillId="20" borderId="0" applyNumberFormat="0" applyBorder="0" applyAlignment="0" applyProtection="0"/>
    <xf numFmtId="0" fontId="97" fillId="20" borderId="0" applyNumberFormat="0" applyBorder="0" applyAlignment="0" applyProtection="0"/>
    <xf numFmtId="0" fontId="97" fillId="20" borderId="0" applyNumberFormat="0" applyBorder="0" applyAlignment="0" applyProtection="0"/>
    <xf numFmtId="0" fontId="97" fillId="20" borderId="0" applyNumberFormat="0" applyBorder="0" applyAlignment="0" applyProtection="0"/>
    <xf numFmtId="0" fontId="97" fillId="20" borderId="0" applyNumberFormat="0" applyBorder="0" applyAlignment="0" applyProtection="0"/>
    <xf numFmtId="0" fontId="97" fillId="20" borderId="0" applyNumberFormat="0" applyBorder="0" applyAlignment="0" applyProtection="0"/>
    <xf numFmtId="0" fontId="97" fillId="20" borderId="0" applyNumberFormat="0" applyBorder="0" applyAlignment="0" applyProtection="0"/>
    <xf numFmtId="0" fontId="97" fillId="20" borderId="0" applyNumberFormat="0" applyBorder="0" applyAlignment="0" applyProtection="0"/>
    <xf numFmtId="0" fontId="97" fillId="20" borderId="0" applyNumberFormat="0" applyBorder="0" applyAlignment="0" applyProtection="0"/>
    <xf numFmtId="0" fontId="97" fillId="20" borderId="0" applyNumberFormat="0" applyBorder="0" applyAlignment="0" applyProtection="0"/>
    <xf numFmtId="0" fontId="97" fillId="20" borderId="0" applyNumberFormat="0" applyBorder="0" applyAlignment="0" applyProtection="0"/>
    <xf numFmtId="0" fontId="97" fillId="20" borderId="0" applyNumberFormat="0" applyBorder="0" applyAlignment="0" applyProtection="0"/>
    <xf numFmtId="0" fontId="97" fillId="20" borderId="0" applyNumberFormat="0" applyBorder="0" applyAlignment="0" applyProtection="0"/>
    <xf numFmtId="0" fontId="97" fillId="20" borderId="0" applyNumberFormat="0" applyBorder="0" applyAlignment="0" applyProtection="0"/>
    <xf numFmtId="0" fontId="97" fillId="20" borderId="0" applyNumberFormat="0" applyBorder="0" applyAlignment="0" applyProtection="0"/>
    <xf numFmtId="0" fontId="97" fillId="20" borderId="0" applyNumberFormat="0" applyBorder="0" applyAlignment="0" applyProtection="0"/>
    <xf numFmtId="0" fontId="97" fillId="20" borderId="0" applyNumberFormat="0" applyBorder="0" applyAlignment="0" applyProtection="0"/>
    <xf numFmtId="0" fontId="97" fillId="20" borderId="0" applyNumberFormat="0" applyBorder="0" applyAlignment="0" applyProtection="0"/>
    <xf numFmtId="0" fontId="97" fillId="20"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21" borderId="0" applyNumberFormat="0" applyBorder="0" applyAlignment="0" applyProtection="0"/>
    <xf numFmtId="0" fontId="97" fillId="21" borderId="0" applyNumberFormat="0" applyBorder="0" applyAlignment="0" applyProtection="0"/>
    <xf numFmtId="0" fontId="97" fillId="21" borderId="0" applyNumberFormat="0" applyBorder="0" applyAlignment="0" applyProtection="0"/>
    <xf numFmtId="0" fontId="97" fillId="21" borderId="0" applyNumberFormat="0" applyBorder="0" applyAlignment="0" applyProtection="0"/>
    <xf numFmtId="0" fontId="97" fillId="21" borderId="0" applyNumberFormat="0" applyBorder="0" applyAlignment="0" applyProtection="0"/>
    <xf numFmtId="0" fontId="97" fillId="21" borderId="0" applyNumberFormat="0" applyBorder="0" applyAlignment="0" applyProtection="0"/>
    <xf numFmtId="0" fontId="97" fillId="21" borderId="0" applyNumberFormat="0" applyBorder="0" applyAlignment="0" applyProtection="0"/>
    <xf numFmtId="0" fontId="97" fillId="21" borderId="0" applyNumberFormat="0" applyBorder="0" applyAlignment="0" applyProtection="0"/>
    <xf numFmtId="0" fontId="97" fillId="21" borderId="0" applyNumberFormat="0" applyBorder="0" applyAlignment="0" applyProtection="0"/>
    <xf numFmtId="0" fontId="97" fillId="21" borderId="0" applyNumberFormat="0" applyBorder="0" applyAlignment="0" applyProtection="0"/>
    <xf numFmtId="0" fontId="97" fillId="21" borderId="0" applyNumberFormat="0" applyBorder="0" applyAlignment="0" applyProtection="0"/>
    <xf numFmtId="0" fontId="97" fillId="21" borderId="0" applyNumberFormat="0" applyBorder="0" applyAlignment="0" applyProtection="0"/>
    <xf numFmtId="0" fontId="97" fillId="21" borderId="0" applyNumberFormat="0" applyBorder="0" applyAlignment="0" applyProtection="0"/>
    <xf numFmtId="0" fontId="97" fillId="21" borderId="0" applyNumberFormat="0" applyBorder="0" applyAlignment="0" applyProtection="0"/>
    <xf numFmtId="0" fontId="97" fillId="21" borderId="0" applyNumberFormat="0" applyBorder="0" applyAlignment="0" applyProtection="0"/>
    <xf numFmtId="0" fontId="97" fillId="21" borderId="0" applyNumberFormat="0" applyBorder="0" applyAlignment="0" applyProtection="0"/>
    <xf numFmtId="0" fontId="97" fillId="21" borderId="0" applyNumberFormat="0" applyBorder="0" applyAlignment="0" applyProtection="0"/>
    <xf numFmtId="0" fontId="97" fillId="21" borderId="0" applyNumberFormat="0" applyBorder="0" applyAlignment="0" applyProtection="0"/>
    <xf numFmtId="0" fontId="97" fillId="21" borderId="0" applyNumberFormat="0" applyBorder="0" applyAlignment="0" applyProtection="0"/>
    <xf numFmtId="0" fontId="97" fillId="21" borderId="0" applyNumberFormat="0" applyBorder="0" applyAlignment="0" applyProtection="0"/>
    <xf numFmtId="0" fontId="97" fillId="21" borderId="0" applyNumberFormat="0" applyBorder="0" applyAlignment="0" applyProtection="0"/>
    <xf numFmtId="0" fontId="97" fillId="21" borderId="0" applyNumberFormat="0" applyBorder="0" applyAlignment="0" applyProtection="0"/>
    <xf numFmtId="0" fontId="97" fillId="21" borderId="0" applyNumberFormat="0" applyBorder="0" applyAlignment="0" applyProtection="0"/>
    <xf numFmtId="0" fontId="97" fillId="21" borderId="0" applyNumberFormat="0" applyBorder="0" applyAlignment="0" applyProtection="0"/>
    <xf numFmtId="0" fontId="97" fillId="21" borderId="0" applyNumberFormat="0" applyBorder="0" applyAlignment="0" applyProtection="0"/>
    <xf numFmtId="0" fontId="97" fillId="21" borderId="0" applyNumberFormat="0" applyBorder="0" applyAlignment="0" applyProtection="0"/>
    <xf numFmtId="0" fontId="97" fillId="21" borderId="0" applyNumberFormat="0" applyBorder="0" applyAlignment="0" applyProtection="0"/>
    <xf numFmtId="0" fontId="97" fillId="21" borderId="0" applyNumberFormat="0" applyBorder="0" applyAlignment="0" applyProtection="0"/>
    <xf numFmtId="0" fontId="97" fillId="21" borderId="0" applyNumberFormat="0" applyBorder="0" applyAlignment="0" applyProtection="0"/>
    <xf numFmtId="0" fontId="97" fillId="21" borderId="0" applyNumberFormat="0" applyBorder="0" applyAlignment="0" applyProtection="0"/>
    <xf numFmtId="0" fontId="112" fillId="22" borderId="0" applyNumberFormat="0" applyBorder="0" applyAlignment="0" applyProtection="0"/>
    <xf numFmtId="0" fontId="112" fillId="19" borderId="0" applyNumberFormat="0" applyBorder="0" applyAlignment="0" applyProtection="0"/>
    <xf numFmtId="0" fontId="112" fillId="20" borderId="0" applyNumberFormat="0" applyBorder="0" applyAlignment="0" applyProtection="0"/>
    <xf numFmtId="0" fontId="112" fillId="23" borderId="0" applyNumberFormat="0" applyBorder="0" applyAlignment="0" applyProtection="0"/>
    <xf numFmtId="0" fontId="112" fillId="24" borderId="0" applyNumberFormat="0" applyBorder="0" applyAlignment="0" applyProtection="0"/>
    <xf numFmtId="0" fontId="112" fillId="25" borderId="0" applyNumberFormat="0" applyBorder="0" applyAlignment="0" applyProtection="0"/>
    <xf numFmtId="0" fontId="112" fillId="26" borderId="0" applyNumberFormat="0" applyBorder="0" applyAlignment="0" applyProtection="0"/>
    <xf numFmtId="0" fontId="112" fillId="27" borderId="0" applyNumberFormat="0" applyBorder="0" applyAlignment="0" applyProtection="0"/>
    <xf numFmtId="0" fontId="112" fillId="28" borderId="0" applyNumberFormat="0" applyBorder="0" applyAlignment="0" applyProtection="0"/>
    <xf numFmtId="0" fontId="112" fillId="23" borderId="0" applyNumberFormat="0" applyBorder="0" applyAlignment="0" applyProtection="0"/>
    <xf numFmtId="0" fontId="112" fillId="24" borderId="0" applyNumberFormat="0" applyBorder="0" applyAlignment="0" applyProtection="0"/>
    <xf numFmtId="0" fontId="112" fillId="29" borderId="0" applyNumberFormat="0" applyBorder="0" applyAlignment="0" applyProtection="0"/>
    <xf numFmtId="0" fontId="113" fillId="13" borderId="0" applyNumberFormat="0" applyBorder="0" applyAlignment="0" applyProtection="0"/>
    <xf numFmtId="0" fontId="114" fillId="30" borderId="50" applyNumberFormat="0" applyAlignment="0" applyProtection="0"/>
    <xf numFmtId="0" fontId="115" fillId="31" borderId="51" applyNumberFormat="0" applyAlignment="0" applyProtection="0"/>
    <xf numFmtId="41"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1" fillId="0" borderId="0" applyFont="0" applyFill="0" applyBorder="0" applyAlignment="0" applyProtection="0"/>
    <xf numFmtId="43" fontId="32" fillId="0" borderId="0" applyFont="0" applyFill="0" applyBorder="0" applyAlignment="0" applyProtection="0"/>
    <xf numFmtId="43" fontId="32" fillId="0" borderId="0" applyNumberForma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32" fillId="0" borderId="0" applyFont="0" applyFill="0" applyBorder="0" applyAlignment="0" applyProtection="0"/>
    <xf numFmtId="43" fontId="21" fillId="0" borderId="0" applyFont="0" applyFill="0" applyBorder="0" applyAlignment="0" applyProtection="0"/>
    <xf numFmtId="43" fontId="97" fillId="0" borderId="0" applyFont="0" applyFill="0" applyBorder="0" applyAlignment="0" applyProtection="0"/>
    <xf numFmtId="43" fontId="21" fillId="0" borderId="0" applyFont="0" applyFill="0" applyBorder="0" applyAlignment="0" applyProtection="0"/>
    <xf numFmtId="43" fontId="32" fillId="0" borderId="0" applyFont="0" applyFill="0" applyBorder="0" applyAlignment="0" applyProtection="0"/>
    <xf numFmtId="43" fontId="21" fillId="0" borderId="0" applyFont="0" applyFill="0" applyBorder="0" applyAlignment="0" applyProtection="0"/>
    <xf numFmtId="43" fontId="32" fillId="0" borderId="0" applyFont="0" applyFill="0" applyBorder="0" applyAlignment="0" applyProtection="0"/>
    <xf numFmtId="43" fontId="97" fillId="0" borderId="0" applyFont="0" applyFill="0" applyBorder="0" applyAlignment="0" applyProtection="0"/>
    <xf numFmtId="43" fontId="32" fillId="0" borderId="0" applyFont="0" applyFill="0" applyBorder="0" applyAlignment="0" applyProtection="0"/>
    <xf numFmtId="43" fontId="2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3" fontId="32" fillId="32" borderId="0" applyFont="0" applyFill="0" applyBorder="0" applyAlignment="0" applyProtection="0"/>
    <xf numFmtId="44" fontId="32" fillId="0" borderId="0" applyFont="0" applyFill="0" applyBorder="0" applyAlignment="0" applyProtection="0"/>
    <xf numFmtId="44" fontId="116" fillId="0" borderId="0" applyFont="0" applyFill="0" applyBorder="0" applyAlignment="0" applyProtection="0"/>
    <xf numFmtId="44" fontId="32"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5" fontId="32" fillId="32" borderId="0" applyFont="0" applyFill="0" applyBorder="0" applyAlignment="0" applyProtection="0"/>
    <xf numFmtId="0" fontId="32" fillId="32" borderId="0" applyFont="0" applyFill="0" applyBorder="0" applyAlignment="0" applyProtection="0"/>
    <xf numFmtId="0" fontId="117" fillId="0" borderId="0" applyNumberFormat="0" applyFill="0" applyBorder="0" applyAlignment="0" applyProtection="0"/>
    <xf numFmtId="2" fontId="32" fillId="32" borderId="0" applyFont="0" applyFill="0" applyBorder="0" applyAlignment="0" applyProtection="0"/>
    <xf numFmtId="0" fontId="118" fillId="14" borderId="0" applyNumberFormat="0" applyBorder="0" applyAlignment="0" applyProtection="0"/>
    <xf numFmtId="0" fontId="119" fillId="0" borderId="52" applyNumberFormat="0" applyFill="0" applyAlignment="0" applyProtection="0"/>
    <xf numFmtId="0" fontId="120" fillId="0" borderId="53" applyNumberFormat="0" applyFill="0" applyAlignment="0" applyProtection="0"/>
    <xf numFmtId="0" fontId="121" fillId="0" borderId="54" applyNumberFormat="0" applyFill="0" applyAlignment="0" applyProtection="0"/>
    <xf numFmtId="0" fontId="121" fillId="0" borderId="0" applyNumberFormat="0" applyFill="0" applyBorder="0" applyAlignment="0" applyProtection="0"/>
    <xf numFmtId="0" fontId="122" fillId="0" borderId="0" applyNumberFormat="0" applyFill="0" applyBorder="0" applyAlignment="0" applyProtection="0">
      <alignment vertical="top"/>
      <protection locked="0"/>
    </xf>
    <xf numFmtId="0" fontId="122" fillId="0" borderId="0" applyNumberFormat="0" applyFill="0" applyBorder="0" applyAlignment="0" applyProtection="0">
      <alignment vertical="top"/>
      <protection locked="0"/>
    </xf>
    <xf numFmtId="0" fontId="122" fillId="0" borderId="0" applyNumberFormat="0" applyFill="0" applyBorder="0" applyAlignment="0" applyProtection="0">
      <alignment vertical="top"/>
      <protection locked="0"/>
    </xf>
    <xf numFmtId="0" fontId="122" fillId="0" borderId="0" applyNumberFormat="0" applyFill="0" applyBorder="0" applyAlignment="0" applyProtection="0">
      <alignment vertical="top"/>
      <protection locked="0"/>
    </xf>
    <xf numFmtId="0" fontId="122" fillId="0" borderId="0" applyNumberFormat="0" applyFill="0" applyBorder="0" applyAlignment="0" applyProtection="0">
      <alignment vertical="top"/>
      <protection locked="0"/>
    </xf>
    <xf numFmtId="0" fontId="123" fillId="17" borderId="50" applyNumberFormat="0" applyAlignment="0" applyProtection="0"/>
    <xf numFmtId="0" fontId="124" fillId="0" borderId="55" applyNumberFormat="0" applyFill="0" applyAlignment="0" applyProtection="0"/>
    <xf numFmtId="0" fontId="125" fillId="33" borderId="0" applyNumberFormat="0" applyBorder="0" applyAlignment="0" applyProtection="0"/>
    <xf numFmtId="0" fontId="32" fillId="0" borderId="0"/>
    <xf numFmtId="0" fontId="32" fillId="0" borderId="0"/>
    <xf numFmtId="0" fontId="21" fillId="0" borderId="0"/>
    <xf numFmtId="0" fontId="32" fillId="0" borderId="0"/>
    <xf numFmtId="0" fontId="32" fillId="0" borderId="0"/>
    <xf numFmtId="0" fontId="21" fillId="0" borderId="0"/>
    <xf numFmtId="0" fontId="97" fillId="0" borderId="0"/>
    <xf numFmtId="0" fontId="97" fillId="0" borderId="0"/>
    <xf numFmtId="0" fontId="32" fillId="0" borderId="0"/>
    <xf numFmtId="0" fontId="21" fillId="0" borderId="0"/>
    <xf numFmtId="0" fontId="21" fillId="0" borderId="0"/>
    <xf numFmtId="0" fontId="21" fillId="0" borderId="0"/>
    <xf numFmtId="0" fontId="21" fillId="0" borderId="0"/>
    <xf numFmtId="0" fontId="32" fillId="0" borderId="0"/>
    <xf numFmtId="0" fontId="21" fillId="0" borderId="0"/>
    <xf numFmtId="0" fontId="32" fillId="0" borderId="0"/>
    <xf numFmtId="179" fontId="32" fillId="0" borderId="0"/>
    <xf numFmtId="179" fontId="32" fillId="0" borderId="0"/>
    <xf numFmtId="0" fontId="32" fillId="0" borderId="0"/>
    <xf numFmtId="0" fontId="36" fillId="0" borderId="0"/>
    <xf numFmtId="0" fontId="32" fillId="0" borderId="0"/>
    <xf numFmtId="0" fontId="32" fillId="0" borderId="0"/>
    <xf numFmtId="0" fontId="32" fillId="0" borderId="0"/>
    <xf numFmtId="0" fontId="76" fillId="0" borderId="0"/>
    <xf numFmtId="0" fontId="32" fillId="0" borderId="0"/>
    <xf numFmtId="0" fontId="32" fillId="0" borderId="0"/>
    <xf numFmtId="0" fontId="32" fillId="0" borderId="0"/>
    <xf numFmtId="0" fontId="32" fillId="0" borderId="0"/>
    <xf numFmtId="0" fontId="32" fillId="0" borderId="0"/>
    <xf numFmtId="0" fontId="32" fillId="0" borderId="0"/>
    <xf numFmtId="0" fontId="8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65" fontId="36"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65" fontId="37"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21" fillId="0" borderId="0"/>
    <xf numFmtId="0" fontId="32" fillId="0" borderId="0"/>
    <xf numFmtId="0" fontId="32" fillId="0" borderId="0"/>
    <xf numFmtId="0" fontId="21" fillId="0" borderId="0"/>
    <xf numFmtId="0" fontId="32" fillId="0" borderId="0"/>
    <xf numFmtId="0" fontId="21" fillId="0" borderId="0"/>
    <xf numFmtId="0" fontId="32" fillId="0" borderId="0"/>
    <xf numFmtId="0" fontId="32" fillId="0" borderId="0"/>
    <xf numFmtId="0" fontId="21" fillId="0" borderId="0"/>
    <xf numFmtId="0" fontId="32" fillId="0" borderId="0"/>
    <xf numFmtId="0" fontId="21" fillId="0" borderId="0"/>
    <xf numFmtId="0" fontId="32" fillId="0" borderId="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32"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126" fillId="30" borderId="57" applyNumberFormat="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21" fillId="0" borderId="0" applyFont="0" applyFill="0" applyBorder="0" applyAlignment="0" applyProtection="0"/>
    <xf numFmtId="0" fontId="32" fillId="8" borderId="57" applyNumberFormat="0" applyProtection="0">
      <alignment horizontal="left" vertical="center" indent="1"/>
    </xf>
    <xf numFmtId="0" fontId="32" fillId="8" borderId="57" applyNumberFormat="0" applyProtection="0">
      <alignment horizontal="left" vertical="center" indent="1"/>
    </xf>
    <xf numFmtId="4" fontId="82" fillId="9" borderId="57" applyNumberFormat="0" applyProtection="0">
      <alignment horizontal="right" vertical="center"/>
    </xf>
    <xf numFmtId="4" fontId="82" fillId="9" borderId="57" applyNumberFormat="0" applyProtection="0">
      <alignment horizontal="right" vertical="center"/>
    </xf>
    <xf numFmtId="4" fontId="82" fillId="9" borderId="57" applyNumberFormat="0" applyProtection="0">
      <alignment horizontal="right" vertical="center"/>
    </xf>
    <xf numFmtId="0" fontId="32" fillId="8" borderId="57" applyNumberFormat="0" applyProtection="0">
      <alignment horizontal="left" vertical="center" indent="1"/>
    </xf>
    <xf numFmtId="0" fontId="32" fillId="8" borderId="57" applyNumberFormat="0" applyProtection="0">
      <alignment horizontal="left" vertical="center" indent="1"/>
    </xf>
    <xf numFmtId="0" fontId="32" fillId="8" borderId="57" applyNumberFormat="0" applyProtection="0">
      <alignment horizontal="left" vertical="center" indent="1"/>
    </xf>
    <xf numFmtId="0" fontId="32" fillId="8" borderId="57" applyNumberFormat="0" applyProtection="0">
      <alignment horizontal="left" vertical="center" indent="1"/>
    </xf>
    <xf numFmtId="0" fontId="32" fillId="8" borderId="57" applyNumberFormat="0" applyProtection="0">
      <alignment horizontal="left" vertical="center" indent="1"/>
    </xf>
    <xf numFmtId="185" fontId="32" fillId="0" borderId="0">
      <alignment horizontal="left" wrapText="1"/>
    </xf>
    <xf numFmtId="185" fontId="32" fillId="0" borderId="0">
      <alignment horizontal="left" wrapText="1"/>
    </xf>
    <xf numFmtId="185" fontId="32" fillId="0" borderId="0">
      <alignment horizontal="left" wrapText="1"/>
    </xf>
    <xf numFmtId="185" fontId="32" fillId="0" borderId="0">
      <alignment horizontal="left" wrapText="1"/>
    </xf>
    <xf numFmtId="185" fontId="32" fillId="0" borderId="0">
      <alignment horizontal="left" wrapText="1"/>
    </xf>
    <xf numFmtId="185" fontId="32" fillId="0" borderId="0">
      <alignment horizontal="left" wrapText="1"/>
    </xf>
    <xf numFmtId="185" fontId="32" fillId="0" borderId="0">
      <alignment horizontal="left" wrapText="1"/>
    </xf>
    <xf numFmtId="185" fontId="32" fillId="0" borderId="0">
      <alignment horizontal="left" wrapText="1"/>
    </xf>
    <xf numFmtId="185" fontId="32" fillId="0" borderId="0">
      <alignment horizontal="left" wrapText="1"/>
    </xf>
    <xf numFmtId="185" fontId="32" fillId="0" borderId="0">
      <alignment horizontal="left" wrapText="1"/>
    </xf>
    <xf numFmtId="185" fontId="32" fillId="0" borderId="0">
      <alignment horizontal="left" wrapText="1"/>
    </xf>
    <xf numFmtId="185" fontId="32" fillId="0" borderId="0">
      <alignment horizontal="left" wrapText="1"/>
    </xf>
    <xf numFmtId="185" fontId="32" fillId="0" borderId="0">
      <alignment horizontal="left" wrapText="1"/>
    </xf>
    <xf numFmtId="185" fontId="32" fillId="0" borderId="0">
      <alignment horizontal="left" wrapText="1"/>
    </xf>
    <xf numFmtId="185" fontId="32" fillId="0" borderId="0">
      <alignment horizontal="left" wrapText="1"/>
    </xf>
    <xf numFmtId="185" fontId="32" fillId="0" borderId="0">
      <alignment horizontal="left" wrapText="1"/>
    </xf>
    <xf numFmtId="185" fontId="32" fillId="0" borderId="0">
      <alignment horizontal="left" wrapText="1"/>
    </xf>
    <xf numFmtId="185" fontId="32" fillId="0" borderId="0">
      <alignment horizontal="left" wrapText="1"/>
    </xf>
    <xf numFmtId="185" fontId="32" fillId="0" borderId="0">
      <alignment horizontal="left" wrapText="1"/>
    </xf>
    <xf numFmtId="185" fontId="32" fillId="0" borderId="0">
      <alignment horizontal="left" wrapText="1"/>
    </xf>
    <xf numFmtId="185" fontId="32" fillId="0" borderId="0">
      <alignment horizontal="left" wrapText="1"/>
    </xf>
    <xf numFmtId="185" fontId="32" fillId="0" borderId="0">
      <alignment horizontal="left" wrapText="1"/>
    </xf>
    <xf numFmtId="185" fontId="32" fillId="0" borderId="0">
      <alignment horizontal="left" wrapText="1"/>
    </xf>
    <xf numFmtId="185" fontId="32" fillId="0" borderId="0">
      <alignment horizontal="left" wrapText="1"/>
    </xf>
    <xf numFmtId="185" fontId="32" fillId="0" borderId="0">
      <alignment horizontal="left" wrapText="1"/>
    </xf>
    <xf numFmtId="185" fontId="32" fillId="0" borderId="0">
      <alignment horizontal="left" wrapText="1"/>
    </xf>
    <xf numFmtId="185" fontId="32" fillId="0" borderId="0">
      <alignment horizontal="left" wrapText="1"/>
    </xf>
    <xf numFmtId="185" fontId="32" fillId="0" borderId="0">
      <alignment horizontal="left" wrapText="1"/>
    </xf>
    <xf numFmtId="185" fontId="32" fillId="0" borderId="0">
      <alignment horizontal="left" wrapText="1"/>
    </xf>
    <xf numFmtId="185" fontId="32" fillId="0" borderId="0">
      <alignment horizontal="left" wrapText="1"/>
    </xf>
    <xf numFmtId="185" fontId="32" fillId="0" borderId="0">
      <alignment horizontal="left" wrapText="1"/>
    </xf>
    <xf numFmtId="185" fontId="32" fillId="0" borderId="0">
      <alignment horizontal="left" wrapText="1"/>
    </xf>
    <xf numFmtId="185" fontId="32" fillId="0" borderId="0">
      <alignment horizontal="left" wrapText="1"/>
    </xf>
    <xf numFmtId="185" fontId="32" fillId="0" borderId="0">
      <alignment horizontal="left" wrapText="1"/>
    </xf>
    <xf numFmtId="185" fontId="32" fillId="0" borderId="0">
      <alignment horizontal="left" wrapText="1"/>
    </xf>
    <xf numFmtId="185" fontId="32" fillId="0" borderId="0">
      <alignment horizontal="left" wrapText="1"/>
    </xf>
    <xf numFmtId="185" fontId="32" fillId="0" borderId="0">
      <alignment horizontal="left" wrapText="1"/>
    </xf>
    <xf numFmtId="185" fontId="32" fillId="0" borderId="0">
      <alignment horizontal="left" wrapText="1"/>
    </xf>
    <xf numFmtId="185" fontId="32" fillId="0" borderId="0">
      <alignment horizontal="left" wrapText="1"/>
    </xf>
    <xf numFmtId="185" fontId="32" fillId="0" borderId="0">
      <alignment horizontal="left" wrapText="1"/>
    </xf>
    <xf numFmtId="185" fontId="32" fillId="0" borderId="0">
      <alignment horizontal="left" wrapText="1"/>
    </xf>
    <xf numFmtId="185" fontId="32" fillId="0" borderId="0">
      <alignment horizontal="left" wrapText="1"/>
    </xf>
    <xf numFmtId="185" fontId="32" fillId="0" borderId="0">
      <alignment horizontal="left" wrapText="1"/>
    </xf>
    <xf numFmtId="185" fontId="32" fillId="0" borderId="0">
      <alignment horizontal="left" wrapText="1"/>
    </xf>
    <xf numFmtId="185" fontId="32" fillId="0" borderId="0">
      <alignment horizontal="left" wrapText="1"/>
    </xf>
    <xf numFmtId="185" fontId="32" fillId="0" borderId="0">
      <alignment horizontal="left" wrapText="1"/>
    </xf>
    <xf numFmtId="185" fontId="32" fillId="0" borderId="0">
      <alignment horizontal="left" wrapText="1"/>
    </xf>
    <xf numFmtId="185" fontId="32" fillId="0" borderId="0">
      <alignment horizontal="left" wrapText="1"/>
    </xf>
    <xf numFmtId="0" fontId="127" fillId="0" borderId="0" applyNumberFormat="0" applyFill="0" applyBorder="0" applyAlignment="0" applyProtection="0"/>
    <xf numFmtId="0" fontId="108" fillId="0" borderId="58" applyNumberFormat="0" applyFill="0" applyAlignment="0" applyProtection="0"/>
    <xf numFmtId="0" fontId="128" fillId="0" borderId="0" applyNumberFormat="0" applyFill="0" applyBorder="0" applyAlignment="0" applyProtection="0"/>
    <xf numFmtId="4" fontId="82" fillId="35" borderId="59" applyNumberFormat="0" applyProtection="0">
      <alignment horizontal="left" vertical="center" indent="1"/>
    </xf>
    <xf numFmtId="0" fontId="20" fillId="0" borderId="0"/>
    <xf numFmtId="43" fontId="20" fillId="0" borderId="0" applyFont="0" applyFill="0" applyBorder="0" applyAlignment="0" applyProtection="0"/>
    <xf numFmtId="9" fontId="20" fillId="0" borderId="0" applyFont="0" applyFill="0" applyBorder="0" applyAlignment="0" applyProtection="0"/>
    <xf numFmtId="0" fontId="19" fillId="0" borderId="0"/>
    <xf numFmtId="43" fontId="19" fillId="0" borderId="0" applyFont="0" applyFill="0" applyBorder="0" applyAlignment="0" applyProtection="0"/>
    <xf numFmtId="43" fontId="18" fillId="0" borderId="0" applyFont="0" applyFill="0" applyBorder="0" applyAlignment="0" applyProtection="0"/>
    <xf numFmtId="43" fontId="138" fillId="0" borderId="0" applyFont="0" applyFill="0" applyBorder="0" applyAlignment="0" applyProtection="0"/>
    <xf numFmtId="43" fontId="138" fillId="0" borderId="0" applyFont="0" applyFill="0" applyBorder="0" applyAlignment="0" applyProtection="0"/>
    <xf numFmtId="43" fontId="17" fillId="0" borderId="0" applyFont="0" applyFill="0" applyBorder="0" applyAlignment="0" applyProtection="0"/>
    <xf numFmtId="44" fontId="138" fillId="0" borderId="0" applyFont="0" applyFill="0" applyBorder="0" applyAlignment="0" applyProtection="0"/>
    <xf numFmtId="0" fontId="17" fillId="0" borderId="0"/>
    <xf numFmtId="9" fontId="138" fillId="0" borderId="0" applyFont="0" applyFill="0" applyBorder="0" applyAlignment="0" applyProtection="0"/>
    <xf numFmtId="43" fontId="138" fillId="0" borderId="0" applyFont="0" applyFill="0" applyBorder="0" applyAlignment="0" applyProtection="0"/>
    <xf numFmtId="43" fontId="138" fillId="0" borderId="0" applyFont="0" applyFill="0" applyBorder="0" applyAlignment="0" applyProtection="0"/>
    <xf numFmtId="43" fontId="138" fillId="0" borderId="0" applyFont="0" applyFill="0" applyBorder="0" applyAlignment="0" applyProtection="0"/>
    <xf numFmtId="43" fontId="32"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44" fontId="16" fillId="0" borderId="0" applyFont="0" applyFill="0" applyBorder="0" applyAlignment="0" applyProtection="0"/>
    <xf numFmtId="9" fontId="16" fillId="0" borderId="0" applyFont="0" applyFill="0" applyBorder="0" applyAlignment="0" applyProtection="0"/>
    <xf numFmtId="0" fontId="81" fillId="34" borderId="71" applyNumberFormat="0" applyFont="0" applyAlignment="0" applyProtection="0"/>
    <xf numFmtId="0" fontId="16" fillId="0" borderId="0"/>
    <xf numFmtId="43" fontId="16" fillId="0" borderId="0" applyFont="0" applyFill="0" applyBorder="0" applyAlignment="0" applyProtection="0"/>
    <xf numFmtId="0" fontId="16" fillId="0" borderId="0"/>
    <xf numFmtId="0" fontId="16" fillId="0" borderId="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43" fontId="16" fillId="0" borderId="0" applyFont="0" applyFill="0" applyBorder="0" applyAlignment="0" applyProtection="0"/>
    <xf numFmtId="4" fontId="82" fillId="35" borderId="74" applyNumberFormat="0" applyProtection="0">
      <alignment horizontal="left" vertical="center" indent="1"/>
    </xf>
    <xf numFmtId="0" fontId="108" fillId="0" borderId="73" applyNumberFormat="0" applyFill="0" applyAlignment="0" applyProtection="0"/>
    <xf numFmtId="0" fontId="32" fillId="8" borderId="72" applyNumberFormat="0" applyProtection="0">
      <alignment horizontal="left" vertical="center" indent="1"/>
    </xf>
    <xf numFmtId="0" fontId="32" fillId="8" borderId="72" applyNumberFormat="0" applyProtection="0">
      <alignment horizontal="left" vertical="center" indent="1"/>
    </xf>
    <xf numFmtId="0" fontId="32" fillId="8" borderId="72" applyNumberFormat="0" applyProtection="0">
      <alignment horizontal="left" vertical="center" indent="1"/>
    </xf>
    <xf numFmtId="0" fontId="32" fillId="8" borderId="72" applyNumberFormat="0" applyProtection="0">
      <alignment horizontal="left" vertical="center" indent="1"/>
    </xf>
    <xf numFmtId="0" fontId="32" fillId="8" borderId="72" applyNumberFormat="0" applyProtection="0">
      <alignment horizontal="left" vertical="center" indent="1"/>
    </xf>
    <xf numFmtId="4" fontId="82" fillId="9" borderId="72" applyNumberFormat="0" applyProtection="0">
      <alignment horizontal="right" vertical="center"/>
    </xf>
    <xf numFmtId="4" fontId="82" fillId="9" borderId="72" applyNumberFormat="0" applyProtection="0">
      <alignment horizontal="right" vertical="center"/>
    </xf>
    <xf numFmtId="4" fontId="82" fillId="9" borderId="72" applyNumberFormat="0" applyProtection="0">
      <alignment horizontal="right" vertical="center"/>
    </xf>
    <xf numFmtId="0" fontId="32" fillId="8" borderId="72" applyNumberFormat="0" applyProtection="0">
      <alignment horizontal="left" vertical="center" indent="1"/>
    </xf>
    <xf numFmtId="0" fontId="32" fillId="8" borderId="72" applyNumberFormat="0" applyProtection="0">
      <alignment horizontal="left" vertical="center" indent="1"/>
    </xf>
    <xf numFmtId="0" fontId="126" fillId="30" borderId="72" applyNumberFormat="0" applyAlignment="0" applyProtection="0"/>
    <xf numFmtId="0" fontId="81" fillId="34" borderId="71" applyNumberFormat="0" applyFont="0" applyAlignment="0" applyProtection="0"/>
    <xf numFmtId="0" fontId="81" fillId="34" borderId="71" applyNumberFormat="0" applyFont="0" applyAlignment="0" applyProtection="0"/>
    <xf numFmtId="0" fontId="81" fillId="34" borderId="71" applyNumberFormat="0" applyFont="0" applyAlignment="0" applyProtection="0"/>
    <xf numFmtId="0" fontId="81" fillId="34" borderId="71" applyNumberFormat="0" applyFont="0" applyAlignment="0" applyProtection="0"/>
    <xf numFmtId="0" fontId="81" fillId="34" borderId="71" applyNumberFormat="0" applyFont="0" applyAlignment="0" applyProtection="0"/>
    <xf numFmtId="0" fontId="81" fillId="34" borderId="71" applyNumberFormat="0" applyFont="0" applyAlignment="0" applyProtection="0"/>
    <xf numFmtId="0" fontId="81" fillId="34" borderId="71" applyNumberFormat="0" applyFont="0" applyAlignment="0" applyProtection="0"/>
    <xf numFmtId="0" fontId="81" fillId="34" borderId="71" applyNumberFormat="0" applyFont="0" applyAlignment="0" applyProtection="0"/>
    <xf numFmtId="0" fontId="81" fillId="34" borderId="71" applyNumberFormat="0" applyFont="0" applyAlignment="0" applyProtection="0"/>
    <xf numFmtId="0" fontId="81" fillId="34" borderId="71" applyNumberFormat="0" applyFont="0" applyAlignment="0" applyProtection="0"/>
    <xf numFmtId="0" fontId="81" fillId="34" borderId="71" applyNumberFormat="0" applyFont="0" applyAlignment="0" applyProtection="0"/>
    <xf numFmtId="0" fontId="81" fillId="34" borderId="71" applyNumberFormat="0" applyFont="0" applyAlignment="0" applyProtection="0"/>
    <xf numFmtId="0" fontId="81" fillId="34" borderId="71" applyNumberFormat="0" applyFont="0" applyAlignment="0" applyProtection="0"/>
    <xf numFmtId="0" fontId="81" fillId="34" borderId="71" applyNumberFormat="0" applyFont="0" applyAlignment="0" applyProtection="0"/>
    <xf numFmtId="0" fontId="81" fillId="34" borderId="71" applyNumberFormat="0" applyFont="0" applyAlignment="0" applyProtection="0"/>
    <xf numFmtId="0" fontId="81" fillId="34" borderId="71" applyNumberFormat="0" applyFont="0" applyAlignment="0" applyProtection="0"/>
    <xf numFmtId="0" fontId="81" fillId="34" borderId="71" applyNumberFormat="0" applyFont="0" applyAlignment="0" applyProtection="0"/>
    <xf numFmtId="0" fontId="81" fillId="34" borderId="71" applyNumberFormat="0" applyFont="0" applyAlignment="0" applyProtection="0"/>
    <xf numFmtId="0" fontId="81" fillId="34" borderId="71" applyNumberFormat="0" applyFont="0" applyAlignment="0" applyProtection="0"/>
    <xf numFmtId="0" fontId="81" fillId="34" borderId="71" applyNumberFormat="0" applyFont="0" applyAlignment="0" applyProtection="0"/>
    <xf numFmtId="0" fontId="81" fillId="34" borderId="71" applyNumberFormat="0" applyFont="0" applyAlignment="0" applyProtection="0"/>
    <xf numFmtId="0" fontId="81" fillId="34" borderId="71" applyNumberFormat="0" applyFont="0" applyAlignment="0" applyProtection="0"/>
    <xf numFmtId="0" fontId="81" fillId="34" borderId="71" applyNumberFormat="0" applyFont="0" applyAlignment="0" applyProtection="0"/>
    <xf numFmtId="0" fontId="81" fillId="34" borderId="71" applyNumberFormat="0" applyFont="0" applyAlignment="0" applyProtection="0"/>
    <xf numFmtId="0" fontId="81" fillId="34" borderId="71" applyNumberFormat="0" applyFont="0" applyAlignment="0" applyProtection="0"/>
    <xf numFmtId="0" fontId="81" fillId="34" borderId="71" applyNumberFormat="0" applyFont="0" applyAlignment="0" applyProtection="0"/>
    <xf numFmtId="0" fontId="81" fillId="34" borderId="71" applyNumberFormat="0" applyFont="0" applyAlignment="0" applyProtection="0"/>
    <xf numFmtId="0" fontId="81" fillId="34" borderId="71" applyNumberFormat="0" applyFont="0" applyAlignment="0" applyProtection="0"/>
    <xf numFmtId="0" fontId="81" fillId="34" borderId="71" applyNumberFormat="0" applyFont="0" applyAlignment="0" applyProtection="0"/>
    <xf numFmtId="0" fontId="81" fillId="34" borderId="71" applyNumberFormat="0" applyFont="0" applyAlignment="0" applyProtection="0"/>
    <xf numFmtId="0" fontId="81" fillId="34" borderId="71" applyNumberFormat="0" applyFont="0" applyAlignment="0" applyProtection="0"/>
    <xf numFmtId="0" fontId="32" fillId="34" borderId="71" applyNumberFormat="0" applyFont="0" applyAlignment="0" applyProtection="0"/>
    <xf numFmtId="0" fontId="81" fillId="34" borderId="71" applyNumberFormat="0" applyFont="0" applyAlignment="0" applyProtection="0"/>
    <xf numFmtId="0" fontId="81" fillId="34" borderId="71" applyNumberFormat="0" applyFont="0" applyAlignment="0" applyProtection="0"/>
    <xf numFmtId="0" fontId="81" fillId="34" borderId="71" applyNumberFormat="0" applyFont="0" applyAlignment="0" applyProtection="0"/>
    <xf numFmtId="0" fontId="81" fillId="34" borderId="71" applyNumberFormat="0" applyFont="0" applyAlignment="0" applyProtection="0"/>
    <xf numFmtId="0" fontId="81" fillId="34" borderId="71" applyNumberFormat="0" applyFont="0" applyAlignment="0" applyProtection="0"/>
    <xf numFmtId="0" fontId="81" fillId="34" borderId="71" applyNumberFormat="0" applyFont="0" applyAlignment="0" applyProtection="0"/>
    <xf numFmtId="0" fontId="81" fillId="34" borderId="71" applyNumberFormat="0" applyFont="0" applyAlignment="0" applyProtection="0"/>
    <xf numFmtId="0" fontId="81" fillId="34" borderId="71" applyNumberFormat="0" applyFont="0" applyAlignment="0" applyProtection="0"/>
    <xf numFmtId="0" fontId="81" fillId="34" borderId="71" applyNumberFormat="0" applyFont="0" applyAlignment="0" applyProtection="0"/>
    <xf numFmtId="0" fontId="81" fillId="34" borderId="71" applyNumberFormat="0" applyFont="0" applyAlignment="0" applyProtection="0"/>
    <xf numFmtId="0" fontId="81" fillId="34" borderId="71" applyNumberFormat="0" applyFont="0" applyAlignment="0" applyProtection="0"/>
    <xf numFmtId="0" fontId="81" fillId="34" borderId="71" applyNumberFormat="0" applyFont="0" applyAlignment="0" applyProtection="0"/>
    <xf numFmtId="0" fontId="81" fillId="34" borderId="71" applyNumberFormat="0" applyFont="0" applyAlignment="0" applyProtection="0"/>
    <xf numFmtId="0" fontId="81" fillId="34" borderId="71" applyNumberFormat="0" applyFont="0" applyAlignment="0" applyProtection="0"/>
    <xf numFmtId="0" fontId="81" fillId="34" borderId="71" applyNumberFormat="0" applyFont="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81" fillId="34" borderId="71" applyNumberFormat="0" applyFont="0" applyAlignment="0" applyProtection="0"/>
    <xf numFmtId="0" fontId="81" fillId="34" borderId="71" applyNumberFormat="0" applyFont="0" applyAlignment="0" applyProtection="0"/>
    <xf numFmtId="0" fontId="81" fillId="34" borderId="71" applyNumberFormat="0" applyFont="0" applyAlignment="0" applyProtection="0"/>
    <xf numFmtId="0" fontId="81" fillId="34" borderId="71" applyNumberFormat="0" applyFont="0" applyAlignment="0" applyProtection="0"/>
    <xf numFmtId="0" fontId="81" fillId="34" borderId="71" applyNumberFormat="0" applyFont="0" applyAlignment="0" applyProtection="0"/>
    <xf numFmtId="0" fontId="16" fillId="0" borderId="0"/>
    <xf numFmtId="43" fontId="16" fillId="0" borderId="0" applyFont="0" applyFill="0" applyBorder="0" applyAlignment="0" applyProtection="0"/>
    <xf numFmtId="9" fontId="16" fillId="0" borderId="0" applyFont="0" applyFill="0" applyBorder="0" applyAlignment="0" applyProtection="0"/>
    <xf numFmtId="0" fontId="16" fillId="0" borderId="0"/>
    <xf numFmtId="43" fontId="16" fillId="0" borderId="0" applyFont="0" applyFill="0" applyBorder="0" applyAlignment="0" applyProtection="0"/>
    <xf numFmtId="43" fontId="16"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6" fillId="0" borderId="0" applyFont="0" applyFill="0" applyBorder="0" applyAlignment="0" applyProtection="0"/>
    <xf numFmtId="44" fontId="32" fillId="0" borderId="0" applyFont="0" applyFill="0" applyBorder="0" applyAlignment="0" applyProtection="0"/>
    <xf numFmtId="0" fontId="16" fillId="0" borderId="0"/>
    <xf numFmtId="9"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77" fillId="0" borderId="75">
      <alignment horizontal="center"/>
    </xf>
    <xf numFmtId="0" fontId="15" fillId="0" borderId="0"/>
    <xf numFmtId="0" fontId="15" fillId="0" borderId="0"/>
    <xf numFmtId="43" fontId="15" fillId="0" borderId="0" applyFont="0" applyFill="0" applyBorder="0" applyAlignment="0" applyProtection="0"/>
    <xf numFmtId="44" fontId="15" fillId="0" borderId="0" applyFont="0" applyFill="0" applyBorder="0" applyAlignment="0" applyProtection="0"/>
    <xf numFmtId="9"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43" fontId="15" fillId="0" borderId="0" applyFont="0" applyFill="0" applyBorder="0" applyAlignment="0" applyProtection="0"/>
    <xf numFmtId="9" fontId="15" fillId="0" borderId="0" applyFont="0" applyFill="0" applyBorder="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43" fontId="15" fillId="0" borderId="0" applyFont="0" applyFill="0" applyBorder="0" applyAlignment="0" applyProtection="0"/>
    <xf numFmtId="44" fontId="15" fillId="0" borderId="0" applyFont="0" applyFill="0" applyBorder="0" applyAlignment="0" applyProtection="0"/>
    <xf numFmtId="9"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43" fontId="15" fillId="0" borderId="0" applyFont="0" applyFill="0" applyBorder="0" applyAlignment="0" applyProtection="0"/>
    <xf numFmtId="9" fontId="15" fillId="0" borderId="0" applyFont="0" applyFill="0" applyBorder="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4" fontId="82" fillId="35" borderId="74" applyNumberFormat="0" applyProtection="0">
      <alignment horizontal="left" vertical="center" indent="1"/>
    </xf>
    <xf numFmtId="43" fontId="15" fillId="0" borderId="0" applyFont="0" applyFill="0" applyBorder="0" applyAlignment="0" applyProtection="0"/>
    <xf numFmtId="0" fontId="114" fillId="30" borderId="50" applyNumberFormat="0" applyAlignment="0" applyProtection="0"/>
    <xf numFmtId="0" fontId="114" fillId="30" borderId="50" applyNumberFormat="0" applyAlignment="0" applyProtection="0"/>
    <xf numFmtId="0" fontId="114" fillId="30" borderId="50" applyNumberFormat="0" applyAlignment="0" applyProtection="0"/>
    <xf numFmtId="0" fontId="114" fillId="30" borderId="50" applyNumberFormat="0" applyAlignment="0" applyProtection="0"/>
    <xf numFmtId="0" fontId="114" fillId="30" borderId="50" applyNumberFormat="0" applyAlignment="0" applyProtection="0"/>
    <xf numFmtId="44" fontId="32" fillId="0" borderId="0" applyFont="0" applyFill="0" applyBorder="0" applyAlignment="0" applyProtection="0"/>
    <xf numFmtId="44" fontId="32" fillId="0" borderId="0" applyFont="0" applyFill="0" applyBorder="0" applyAlignment="0" applyProtection="0"/>
    <xf numFmtId="0" fontId="123" fillId="17" borderId="50" applyNumberFormat="0" applyAlignment="0" applyProtection="0"/>
    <xf numFmtId="0" fontId="123" fillId="17" borderId="50" applyNumberFormat="0" applyAlignment="0" applyProtection="0"/>
    <xf numFmtId="0" fontId="123" fillId="17" borderId="50" applyNumberFormat="0" applyAlignment="0" applyProtection="0"/>
    <xf numFmtId="0" fontId="123" fillId="17" borderId="50" applyNumberFormat="0" applyAlignment="0" applyProtection="0"/>
    <xf numFmtId="0" fontId="123" fillId="17" borderId="50" applyNumberForma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32" fillId="34" borderId="56" applyNumberFormat="0" applyFont="0" applyAlignment="0" applyProtection="0"/>
    <xf numFmtId="0" fontId="32" fillId="34" borderId="56" applyNumberFormat="0" applyFont="0" applyAlignment="0" applyProtection="0"/>
    <xf numFmtId="0" fontId="32" fillId="34" borderId="56" applyNumberFormat="0" applyFont="0" applyAlignment="0" applyProtection="0"/>
    <xf numFmtId="0" fontId="32"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126" fillId="30" borderId="57" applyNumberFormat="0" applyAlignment="0" applyProtection="0"/>
    <xf numFmtId="0" fontId="126" fillId="30" borderId="57" applyNumberFormat="0" applyAlignment="0" applyProtection="0"/>
    <xf numFmtId="0" fontId="126" fillId="30" borderId="57" applyNumberFormat="0" applyAlignment="0" applyProtection="0"/>
    <xf numFmtId="0" fontId="126" fillId="30" borderId="57" applyNumberFormat="0" applyAlignment="0" applyProtection="0"/>
    <xf numFmtId="0" fontId="32" fillId="8" borderId="57" applyNumberFormat="0" applyProtection="0">
      <alignment horizontal="left" vertical="center" indent="1"/>
    </xf>
    <xf numFmtId="0" fontId="32" fillId="8" borderId="57" applyNumberFormat="0" applyProtection="0">
      <alignment horizontal="left" vertical="center" indent="1"/>
    </xf>
    <xf numFmtId="0" fontId="32" fillId="8" borderId="57" applyNumberFormat="0" applyProtection="0">
      <alignment horizontal="left" vertical="center" indent="1"/>
    </xf>
    <xf numFmtId="0" fontId="32" fillId="8" borderId="57" applyNumberFormat="0" applyProtection="0">
      <alignment horizontal="left" vertical="center" indent="1"/>
    </xf>
    <xf numFmtId="0" fontId="32" fillId="8" borderId="57" applyNumberFormat="0" applyProtection="0">
      <alignment horizontal="left" vertical="center" indent="1"/>
    </xf>
    <xf numFmtId="0" fontId="32" fillId="8" borderId="57" applyNumberFormat="0" applyProtection="0">
      <alignment horizontal="left" vertical="center" indent="1"/>
    </xf>
    <xf numFmtId="0" fontId="32" fillId="8" borderId="57" applyNumberFormat="0" applyProtection="0">
      <alignment horizontal="left" vertical="center" indent="1"/>
    </xf>
    <xf numFmtId="0" fontId="32" fillId="8" borderId="57" applyNumberFormat="0" applyProtection="0">
      <alignment horizontal="left" vertical="center" indent="1"/>
    </xf>
    <xf numFmtId="0" fontId="32" fillId="8" borderId="57" applyNumberFormat="0" applyProtection="0">
      <alignment horizontal="left" vertical="center" indent="1"/>
    </xf>
    <xf numFmtId="4" fontId="82" fillId="9" borderId="57" applyNumberFormat="0" applyProtection="0">
      <alignment horizontal="right" vertical="center"/>
    </xf>
    <xf numFmtId="4" fontId="82" fillId="9" borderId="57" applyNumberFormat="0" applyProtection="0">
      <alignment horizontal="right" vertical="center"/>
    </xf>
    <xf numFmtId="4" fontId="82" fillId="9" borderId="57" applyNumberFormat="0" applyProtection="0">
      <alignment horizontal="right" vertical="center"/>
    </xf>
    <xf numFmtId="4" fontId="82" fillId="9" borderId="57" applyNumberFormat="0" applyProtection="0">
      <alignment horizontal="right" vertical="center"/>
    </xf>
    <xf numFmtId="4" fontId="82" fillId="9" borderId="57" applyNumberFormat="0" applyProtection="0">
      <alignment horizontal="right" vertical="center"/>
    </xf>
    <xf numFmtId="4" fontId="82" fillId="9" borderId="57" applyNumberFormat="0" applyProtection="0">
      <alignment horizontal="right" vertical="center"/>
    </xf>
    <xf numFmtId="4" fontId="82" fillId="9" borderId="57" applyNumberFormat="0" applyProtection="0">
      <alignment horizontal="right" vertical="center"/>
    </xf>
    <xf numFmtId="4" fontId="82" fillId="9" borderId="57" applyNumberFormat="0" applyProtection="0">
      <alignment horizontal="right" vertical="center"/>
    </xf>
    <xf numFmtId="4" fontId="82" fillId="9" borderId="57" applyNumberFormat="0" applyProtection="0">
      <alignment horizontal="right" vertical="center"/>
    </xf>
    <xf numFmtId="4" fontId="82" fillId="9" borderId="57" applyNumberFormat="0" applyProtection="0">
      <alignment horizontal="right" vertical="center"/>
    </xf>
    <xf numFmtId="4" fontId="82" fillId="9" borderId="57" applyNumberFormat="0" applyProtection="0">
      <alignment horizontal="right" vertical="center"/>
    </xf>
    <xf numFmtId="4" fontId="82" fillId="9" borderId="57" applyNumberFormat="0" applyProtection="0">
      <alignment horizontal="right" vertical="center"/>
    </xf>
    <xf numFmtId="4" fontId="82" fillId="9" borderId="57" applyNumberFormat="0" applyProtection="0">
      <alignment horizontal="right" vertical="center"/>
    </xf>
    <xf numFmtId="0" fontId="32" fillId="8" borderId="57" applyNumberFormat="0" applyProtection="0">
      <alignment horizontal="left" vertical="center" indent="1"/>
    </xf>
    <xf numFmtId="0" fontId="32" fillId="8" borderId="57" applyNumberFormat="0" applyProtection="0">
      <alignment horizontal="left" vertical="center" indent="1"/>
    </xf>
    <xf numFmtId="0" fontId="32" fillId="8" borderId="57" applyNumberFormat="0" applyProtection="0">
      <alignment horizontal="left" vertical="center" indent="1"/>
    </xf>
    <xf numFmtId="0" fontId="32" fillId="8" borderId="57" applyNumberFormat="0" applyProtection="0">
      <alignment horizontal="left" vertical="center" indent="1"/>
    </xf>
    <xf numFmtId="0" fontId="32" fillId="8" borderId="57" applyNumberFormat="0" applyProtection="0">
      <alignment horizontal="left" vertical="center" indent="1"/>
    </xf>
    <xf numFmtId="0" fontId="32" fillId="8" borderId="57" applyNumberFormat="0" applyProtection="0">
      <alignment horizontal="left" vertical="center" indent="1"/>
    </xf>
    <xf numFmtId="0" fontId="32" fillId="8" borderId="57" applyNumberFormat="0" applyProtection="0">
      <alignment horizontal="left" vertical="center" indent="1"/>
    </xf>
    <xf numFmtId="0" fontId="32" fillId="8" borderId="57" applyNumberFormat="0" applyProtection="0">
      <alignment horizontal="left" vertical="center" indent="1"/>
    </xf>
    <xf numFmtId="0" fontId="32" fillId="8" borderId="57" applyNumberFormat="0" applyProtection="0">
      <alignment horizontal="left" vertical="center" indent="1"/>
    </xf>
    <xf numFmtId="0" fontId="32" fillId="8" borderId="57" applyNumberFormat="0" applyProtection="0">
      <alignment horizontal="left" vertical="center" indent="1"/>
    </xf>
    <xf numFmtId="0" fontId="32" fillId="8" borderId="57" applyNumberFormat="0" applyProtection="0">
      <alignment horizontal="left" vertical="center" indent="1"/>
    </xf>
    <xf numFmtId="0" fontId="32" fillId="8" borderId="57" applyNumberFormat="0" applyProtection="0">
      <alignment horizontal="left" vertical="center" indent="1"/>
    </xf>
    <xf numFmtId="4" fontId="82" fillId="35" borderId="74" applyNumberFormat="0" applyProtection="0">
      <alignment horizontal="left" vertical="center" indent="1"/>
    </xf>
    <xf numFmtId="4" fontId="82" fillId="35" borderId="74" applyNumberFormat="0" applyProtection="0">
      <alignment horizontal="left" vertical="center" indent="1"/>
    </xf>
    <xf numFmtId="4" fontId="82" fillId="35" borderId="74" applyNumberFormat="0" applyProtection="0">
      <alignment horizontal="left" vertical="center" indent="1"/>
    </xf>
    <xf numFmtId="0" fontId="32" fillId="8" borderId="57" applyNumberFormat="0" applyProtection="0">
      <alignment horizontal="left" vertical="center" indent="1"/>
    </xf>
    <xf numFmtId="0" fontId="32" fillId="8" borderId="57" applyNumberFormat="0" applyProtection="0">
      <alignment horizontal="left" vertical="center" indent="1"/>
    </xf>
    <xf numFmtId="0" fontId="32" fillId="8" borderId="57" applyNumberFormat="0" applyProtection="0">
      <alignment horizontal="left" vertical="center" indent="1"/>
    </xf>
    <xf numFmtId="0" fontId="32" fillId="8" borderId="57" applyNumberFormat="0" applyProtection="0">
      <alignment horizontal="left" vertical="center" indent="1"/>
    </xf>
    <xf numFmtId="0" fontId="32" fillId="8" borderId="57" applyNumberFormat="0" applyProtection="0">
      <alignment horizontal="left" vertical="center" indent="1"/>
    </xf>
    <xf numFmtId="0" fontId="32" fillId="8" borderId="57" applyNumberFormat="0" applyProtection="0">
      <alignment horizontal="left" vertical="center" indent="1"/>
    </xf>
    <xf numFmtId="0" fontId="32" fillId="8" borderId="57" applyNumberFormat="0" applyProtection="0">
      <alignment horizontal="left" vertical="center" indent="1"/>
    </xf>
    <xf numFmtId="0" fontId="32" fillId="8" borderId="57" applyNumberFormat="0" applyProtection="0">
      <alignment horizontal="left" vertical="center" indent="1"/>
    </xf>
    <xf numFmtId="0" fontId="32" fillId="8" borderId="57" applyNumberFormat="0" applyProtection="0">
      <alignment horizontal="left" vertical="center" indent="1"/>
    </xf>
    <xf numFmtId="0" fontId="32" fillId="8" borderId="57" applyNumberFormat="0" applyProtection="0">
      <alignment horizontal="left" vertical="center" indent="1"/>
    </xf>
    <xf numFmtId="0" fontId="108" fillId="0" borderId="58" applyNumberFormat="0" applyFill="0" applyAlignment="0" applyProtection="0"/>
    <xf numFmtId="0" fontId="108" fillId="0" borderId="58" applyNumberFormat="0" applyFill="0" applyAlignment="0" applyProtection="0"/>
    <xf numFmtId="0" fontId="108" fillId="0" borderId="58" applyNumberFormat="0" applyFill="0" applyAlignment="0" applyProtection="0"/>
    <xf numFmtId="0" fontId="108" fillId="0" borderId="58" applyNumberFormat="0" applyFill="0" applyAlignment="0" applyProtection="0"/>
    <xf numFmtId="0" fontId="15" fillId="0" borderId="0"/>
    <xf numFmtId="0" fontId="15" fillId="0" borderId="0"/>
    <xf numFmtId="43" fontId="15"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44" fontId="14" fillId="0" borderId="0" applyFont="0" applyFill="0" applyBorder="0" applyAlignment="0" applyProtection="0"/>
    <xf numFmtId="9" fontId="14" fillId="0" borderId="0" applyFont="0" applyFill="0" applyBorder="0" applyAlignment="0" applyProtection="0"/>
    <xf numFmtId="0" fontId="32" fillId="8" borderId="85" applyNumberFormat="0" applyProtection="0">
      <alignment horizontal="left" vertical="center" indent="1"/>
    </xf>
    <xf numFmtId="0" fontId="32" fillId="8" borderId="85" applyNumberFormat="0" applyProtection="0">
      <alignment horizontal="left" vertical="center" indent="1"/>
    </xf>
    <xf numFmtId="0" fontId="32" fillId="8" borderId="85" applyNumberFormat="0" applyProtection="0">
      <alignment horizontal="left" vertical="center" indent="1"/>
    </xf>
    <xf numFmtId="4" fontId="82" fillId="9" borderId="85" applyNumberFormat="0" applyProtection="0">
      <alignment horizontal="right" vertical="center"/>
    </xf>
    <xf numFmtId="0" fontId="14" fillId="0" borderId="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14" fillId="30" borderId="86" applyNumberFormat="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23" fillId="17" borderId="86" applyNumberFormat="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32"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126" fillId="30" borderId="85" applyNumberFormat="0" applyAlignment="0" applyProtection="0"/>
    <xf numFmtId="9" fontId="14" fillId="0" borderId="0" applyFont="0" applyFill="0" applyBorder="0" applyAlignment="0" applyProtection="0"/>
    <xf numFmtId="0" fontId="32" fillId="8" borderId="85" applyNumberFormat="0" applyProtection="0">
      <alignment horizontal="left" vertical="center" indent="1"/>
    </xf>
    <xf numFmtId="0" fontId="32" fillId="8" borderId="85" applyNumberFormat="0" applyProtection="0">
      <alignment horizontal="left" vertical="center" indent="1"/>
    </xf>
    <xf numFmtId="4" fontId="82" fillId="9" borderId="85" applyNumberFormat="0" applyProtection="0">
      <alignment horizontal="right" vertical="center"/>
    </xf>
    <xf numFmtId="4" fontId="82" fillId="9" borderId="85" applyNumberFormat="0" applyProtection="0">
      <alignment horizontal="right" vertical="center"/>
    </xf>
    <xf numFmtId="4" fontId="82" fillId="9" borderId="85" applyNumberFormat="0" applyProtection="0">
      <alignment horizontal="right" vertical="center"/>
    </xf>
    <xf numFmtId="0" fontId="32" fillId="8" borderId="85" applyNumberFormat="0" applyProtection="0">
      <alignment horizontal="left" vertical="center" indent="1"/>
    </xf>
    <xf numFmtId="0" fontId="32" fillId="8" borderId="85" applyNumberFormat="0" applyProtection="0">
      <alignment horizontal="left" vertical="center" indent="1"/>
    </xf>
    <xf numFmtId="0" fontId="32" fillId="8" borderId="85" applyNumberFormat="0" applyProtection="0">
      <alignment horizontal="left" vertical="center" indent="1"/>
    </xf>
    <xf numFmtId="0" fontId="32" fillId="8" borderId="85" applyNumberFormat="0" applyProtection="0">
      <alignment horizontal="left" vertical="center" indent="1"/>
    </xf>
    <xf numFmtId="0" fontId="32" fillId="8" borderId="85" applyNumberFormat="0" applyProtection="0">
      <alignment horizontal="left" vertical="center" indent="1"/>
    </xf>
    <xf numFmtId="0" fontId="108" fillId="0" borderId="88" applyNumberFormat="0" applyFill="0" applyAlignment="0" applyProtection="0"/>
    <xf numFmtId="4" fontId="82" fillId="35" borderId="89" applyNumberFormat="0" applyProtection="0">
      <alignment horizontal="left" vertical="center" indent="1"/>
    </xf>
    <xf numFmtId="0" fontId="14" fillId="0" borderId="0"/>
    <xf numFmtId="43" fontId="14" fillId="0" borderId="0" applyFont="0" applyFill="0" applyBorder="0" applyAlignment="0" applyProtection="0"/>
    <xf numFmtId="9" fontId="14"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43" fontId="14" fillId="0" borderId="0" applyFont="0" applyFill="0" applyBorder="0" applyAlignment="0" applyProtection="0"/>
    <xf numFmtId="44" fontId="14" fillId="0" borderId="0" applyFont="0" applyFill="0" applyBorder="0" applyAlignment="0" applyProtection="0"/>
    <xf numFmtId="9" fontId="14" fillId="0" borderId="0" applyFont="0" applyFill="0" applyBorder="0" applyAlignment="0" applyProtection="0"/>
    <xf numFmtId="0" fontId="81" fillId="34" borderId="90" applyNumberFormat="0" applyFont="0" applyAlignment="0" applyProtection="0"/>
    <xf numFmtId="0" fontId="14" fillId="0" borderId="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4" fontId="82" fillId="35" borderId="93" applyNumberFormat="0" applyProtection="0">
      <alignment horizontal="left" vertical="center" indent="1"/>
    </xf>
    <xf numFmtId="0" fontId="108" fillId="0" borderId="92" applyNumberFormat="0" applyFill="0" applyAlignment="0" applyProtection="0"/>
    <xf numFmtId="0" fontId="32" fillId="8" borderId="91" applyNumberFormat="0" applyProtection="0">
      <alignment horizontal="left" vertical="center" indent="1"/>
    </xf>
    <xf numFmtId="0" fontId="32" fillId="8" borderId="91" applyNumberFormat="0" applyProtection="0">
      <alignment horizontal="left" vertical="center" indent="1"/>
    </xf>
    <xf numFmtId="0" fontId="32" fillId="8" borderId="91" applyNumberFormat="0" applyProtection="0">
      <alignment horizontal="left" vertical="center" indent="1"/>
    </xf>
    <xf numFmtId="0" fontId="32" fillId="8" borderId="91" applyNumberFormat="0" applyProtection="0">
      <alignment horizontal="left" vertical="center" indent="1"/>
    </xf>
    <xf numFmtId="0" fontId="32" fillId="8" borderId="91" applyNumberFormat="0" applyProtection="0">
      <alignment horizontal="left" vertical="center" indent="1"/>
    </xf>
    <xf numFmtId="4" fontId="82" fillId="9" borderId="91" applyNumberFormat="0" applyProtection="0">
      <alignment horizontal="right" vertical="center"/>
    </xf>
    <xf numFmtId="4" fontId="82" fillId="9" borderId="91" applyNumberFormat="0" applyProtection="0">
      <alignment horizontal="right" vertical="center"/>
    </xf>
    <xf numFmtId="4" fontId="82" fillId="9" borderId="91" applyNumberFormat="0" applyProtection="0">
      <alignment horizontal="right" vertical="center"/>
    </xf>
    <xf numFmtId="0" fontId="32" fillId="8" borderId="91" applyNumberFormat="0" applyProtection="0">
      <alignment horizontal="left" vertical="center" indent="1"/>
    </xf>
    <xf numFmtId="0" fontId="32" fillId="8" borderId="91" applyNumberFormat="0" applyProtection="0">
      <alignment horizontal="left" vertical="center" indent="1"/>
    </xf>
    <xf numFmtId="0" fontId="126" fillId="30" borderId="91" applyNumberFormat="0" applyAlignment="0" applyProtection="0"/>
    <xf numFmtId="0" fontId="81" fillId="34" borderId="90" applyNumberFormat="0" applyFont="0" applyAlignment="0" applyProtection="0"/>
    <xf numFmtId="0" fontId="81" fillId="34" borderId="90" applyNumberFormat="0" applyFont="0" applyAlignment="0" applyProtection="0"/>
    <xf numFmtId="0" fontId="81" fillId="34" borderId="90" applyNumberFormat="0" applyFont="0" applyAlignment="0" applyProtection="0"/>
    <xf numFmtId="0" fontId="81" fillId="34" borderId="90" applyNumberFormat="0" applyFont="0" applyAlignment="0" applyProtection="0"/>
    <xf numFmtId="0" fontId="81" fillId="34" borderId="90" applyNumberFormat="0" applyFont="0" applyAlignment="0" applyProtection="0"/>
    <xf numFmtId="0" fontId="81" fillId="34" borderId="90" applyNumberFormat="0" applyFont="0" applyAlignment="0" applyProtection="0"/>
    <xf numFmtId="0" fontId="81" fillId="34" borderId="90" applyNumberFormat="0" applyFont="0" applyAlignment="0" applyProtection="0"/>
    <xf numFmtId="0" fontId="81" fillId="34" borderId="90" applyNumberFormat="0" applyFont="0" applyAlignment="0" applyProtection="0"/>
    <xf numFmtId="0" fontId="81" fillId="34" borderId="90" applyNumberFormat="0" applyFont="0" applyAlignment="0" applyProtection="0"/>
    <xf numFmtId="0" fontId="81" fillId="34" borderId="90" applyNumberFormat="0" applyFont="0" applyAlignment="0" applyProtection="0"/>
    <xf numFmtId="0" fontId="81" fillId="34" borderId="90" applyNumberFormat="0" applyFont="0" applyAlignment="0" applyProtection="0"/>
    <xf numFmtId="0" fontId="81" fillId="34" borderId="90" applyNumberFormat="0" applyFont="0" applyAlignment="0" applyProtection="0"/>
    <xf numFmtId="0" fontId="81" fillId="34" borderId="90" applyNumberFormat="0" applyFont="0" applyAlignment="0" applyProtection="0"/>
    <xf numFmtId="0" fontId="81" fillId="34" borderId="90" applyNumberFormat="0" applyFont="0" applyAlignment="0" applyProtection="0"/>
    <xf numFmtId="0" fontId="81" fillId="34" borderId="90" applyNumberFormat="0" applyFont="0" applyAlignment="0" applyProtection="0"/>
    <xf numFmtId="0" fontId="81" fillId="34" borderId="90" applyNumberFormat="0" applyFont="0" applyAlignment="0" applyProtection="0"/>
    <xf numFmtId="0" fontId="81" fillId="34" borderId="90" applyNumberFormat="0" applyFont="0" applyAlignment="0" applyProtection="0"/>
    <xf numFmtId="0" fontId="81" fillId="34" borderId="90" applyNumberFormat="0" applyFont="0" applyAlignment="0" applyProtection="0"/>
    <xf numFmtId="0" fontId="81" fillId="34" borderId="90" applyNumberFormat="0" applyFont="0" applyAlignment="0" applyProtection="0"/>
    <xf numFmtId="0" fontId="81" fillId="34" borderId="90" applyNumberFormat="0" applyFont="0" applyAlignment="0" applyProtection="0"/>
    <xf numFmtId="0" fontId="81" fillId="34" borderId="90" applyNumberFormat="0" applyFont="0" applyAlignment="0" applyProtection="0"/>
    <xf numFmtId="0" fontId="81" fillId="34" borderId="90" applyNumberFormat="0" applyFont="0" applyAlignment="0" applyProtection="0"/>
    <xf numFmtId="0" fontId="81" fillId="34" borderId="90" applyNumberFormat="0" applyFont="0" applyAlignment="0" applyProtection="0"/>
    <xf numFmtId="0" fontId="81" fillId="34" borderId="90" applyNumberFormat="0" applyFont="0" applyAlignment="0" applyProtection="0"/>
    <xf numFmtId="0" fontId="81" fillId="34" borderId="90" applyNumberFormat="0" applyFont="0" applyAlignment="0" applyProtection="0"/>
    <xf numFmtId="0" fontId="81" fillId="34" borderId="90" applyNumberFormat="0" applyFont="0" applyAlignment="0" applyProtection="0"/>
    <xf numFmtId="0" fontId="81" fillId="34" borderId="90" applyNumberFormat="0" applyFont="0" applyAlignment="0" applyProtection="0"/>
    <xf numFmtId="0" fontId="81" fillId="34" borderId="90" applyNumberFormat="0" applyFont="0" applyAlignment="0" applyProtection="0"/>
    <xf numFmtId="0" fontId="81" fillId="34" borderId="90" applyNumberFormat="0" applyFont="0" applyAlignment="0" applyProtection="0"/>
    <xf numFmtId="0" fontId="81" fillId="34" borderId="90" applyNumberFormat="0" applyFont="0" applyAlignment="0" applyProtection="0"/>
    <xf numFmtId="0" fontId="81" fillId="34" borderId="90" applyNumberFormat="0" applyFont="0" applyAlignment="0" applyProtection="0"/>
    <xf numFmtId="0" fontId="32" fillId="34" borderId="90" applyNumberFormat="0" applyFont="0" applyAlignment="0" applyProtection="0"/>
    <xf numFmtId="0" fontId="81" fillId="34" borderId="90" applyNumberFormat="0" applyFont="0" applyAlignment="0" applyProtection="0"/>
    <xf numFmtId="0" fontId="81" fillId="34" borderId="90" applyNumberFormat="0" applyFont="0" applyAlignment="0" applyProtection="0"/>
    <xf numFmtId="0" fontId="81" fillId="34" borderId="90" applyNumberFormat="0" applyFont="0" applyAlignment="0" applyProtection="0"/>
    <xf numFmtId="0" fontId="81" fillId="34" borderId="90" applyNumberFormat="0" applyFont="0" applyAlignment="0" applyProtection="0"/>
    <xf numFmtId="0" fontId="81" fillId="34" borderId="90" applyNumberFormat="0" applyFont="0" applyAlignment="0" applyProtection="0"/>
    <xf numFmtId="0" fontId="81" fillId="34" borderId="90" applyNumberFormat="0" applyFont="0" applyAlignment="0" applyProtection="0"/>
    <xf numFmtId="0" fontId="81" fillId="34" borderId="90" applyNumberFormat="0" applyFont="0" applyAlignment="0" applyProtection="0"/>
    <xf numFmtId="0" fontId="81" fillId="34" borderId="90" applyNumberFormat="0" applyFont="0" applyAlignment="0" applyProtection="0"/>
    <xf numFmtId="0" fontId="81" fillId="34" borderId="90" applyNumberFormat="0" applyFont="0" applyAlignment="0" applyProtection="0"/>
    <xf numFmtId="0" fontId="81" fillId="34" borderId="90" applyNumberFormat="0" applyFont="0" applyAlignment="0" applyProtection="0"/>
    <xf numFmtId="0" fontId="81" fillId="34" borderId="90" applyNumberFormat="0" applyFont="0" applyAlignment="0" applyProtection="0"/>
    <xf numFmtId="0" fontId="81" fillId="34" borderId="90" applyNumberFormat="0" applyFont="0" applyAlignment="0" applyProtection="0"/>
    <xf numFmtId="0" fontId="81" fillId="34" borderId="90" applyNumberFormat="0" applyFont="0" applyAlignment="0" applyProtection="0"/>
    <xf numFmtId="0" fontId="81" fillId="34" borderId="90" applyNumberFormat="0" applyFont="0" applyAlignment="0" applyProtection="0"/>
    <xf numFmtId="0" fontId="81" fillId="34" borderId="90" applyNumberFormat="0" applyFont="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81" fillId="34" borderId="90" applyNumberFormat="0" applyFont="0" applyAlignment="0" applyProtection="0"/>
    <xf numFmtId="0" fontId="81" fillId="34" borderId="90" applyNumberFormat="0" applyFont="0" applyAlignment="0" applyProtection="0"/>
    <xf numFmtId="0" fontId="81" fillId="34" borderId="90" applyNumberFormat="0" applyFont="0" applyAlignment="0" applyProtection="0"/>
    <xf numFmtId="0" fontId="81" fillId="34" borderId="90" applyNumberFormat="0" applyFont="0" applyAlignment="0" applyProtection="0"/>
    <xf numFmtId="0" fontId="81" fillId="34" borderId="90" applyNumberFormat="0" applyFont="0" applyAlignment="0" applyProtection="0"/>
    <xf numFmtId="0" fontId="14" fillId="0" borderId="0"/>
    <xf numFmtId="43" fontId="14" fillId="0" borderId="0" applyFont="0" applyFill="0" applyBorder="0" applyAlignment="0" applyProtection="0"/>
    <xf numFmtId="9" fontId="14"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43" fontId="14" fillId="0" borderId="0" applyFont="0" applyFill="0" applyBorder="0" applyAlignment="0" applyProtection="0"/>
    <xf numFmtId="44" fontId="14" fillId="0" borderId="0" applyFont="0" applyFill="0" applyBorder="0" applyAlignment="0" applyProtection="0"/>
    <xf numFmtId="9"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43" fontId="14" fillId="0" borderId="0" applyFont="0" applyFill="0" applyBorder="0" applyAlignment="0" applyProtection="0"/>
    <xf numFmtId="9" fontId="14"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43" fontId="14" fillId="0" borderId="0" applyFont="0" applyFill="0" applyBorder="0" applyAlignment="0" applyProtection="0"/>
    <xf numFmtId="44" fontId="14" fillId="0" borderId="0" applyFont="0" applyFill="0" applyBorder="0" applyAlignment="0" applyProtection="0"/>
    <xf numFmtId="9"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43" fontId="14" fillId="0" borderId="0" applyFont="0" applyFill="0" applyBorder="0" applyAlignment="0" applyProtection="0"/>
    <xf numFmtId="9" fontId="14"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4" fontId="82" fillId="35" borderId="93" applyNumberFormat="0" applyProtection="0">
      <alignment horizontal="left" vertical="center" indent="1"/>
    </xf>
    <xf numFmtId="43" fontId="14" fillId="0" borderId="0" applyFont="0" applyFill="0" applyBorder="0" applyAlignment="0" applyProtection="0"/>
    <xf numFmtId="0" fontId="114" fillId="30" borderId="86" applyNumberFormat="0" applyAlignment="0" applyProtection="0"/>
    <xf numFmtId="0" fontId="114" fillId="30" borderId="86" applyNumberFormat="0" applyAlignment="0" applyProtection="0"/>
    <xf numFmtId="0" fontId="114" fillId="30" borderId="86" applyNumberFormat="0" applyAlignment="0" applyProtection="0"/>
    <xf numFmtId="0" fontId="114" fillId="30" borderId="86" applyNumberFormat="0" applyAlignment="0" applyProtection="0"/>
    <xf numFmtId="0" fontId="114" fillId="30" borderId="86" applyNumberFormat="0" applyAlignment="0" applyProtection="0"/>
    <xf numFmtId="0" fontId="123" fillId="17" borderId="86" applyNumberFormat="0" applyAlignment="0" applyProtection="0"/>
    <xf numFmtId="0" fontId="123" fillId="17" borderId="86" applyNumberFormat="0" applyAlignment="0" applyProtection="0"/>
    <xf numFmtId="0" fontId="123" fillId="17" borderId="86" applyNumberFormat="0" applyAlignment="0" applyProtection="0"/>
    <xf numFmtId="0" fontId="123" fillId="17" borderId="86" applyNumberFormat="0" applyAlignment="0" applyProtection="0"/>
    <xf numFmtId="0" fontId="123" fillId="17" borderId="86" applyNumberForma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32" fillId="34" borderId="87" applyNumberFormat="0" applyFont="0" applyAlignment="0" applyProtection="0"/>
    <xf numFmtId="0" fontId="32" fillId="34" borderId="87" applyNumberFormat="0" applyFont="0" applyAlignment="0" applyProtection="0"/>
    <xf numFmtId="0" fontId="32" fillId="34" borderId="87" applyNumberFormat="0" applyFont="0" applyAlignment="0" applyProtection="0"/>
    <xf numFmtId="0" fontId="32"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126" fillId="30" borderId="85" applyNumberFormat="0" applyAlignment="0" applyProtection="0"/>
    <xf numFmtId="0" fontId="126" fillId="30" borderId="85" applyNumberFormat="0" applyAlignment="0" applyProtection="0"/>
    <xf numFmtId="0" fontId="126" fillId="30" borderId="85" applyNumberFormat="0" applyAlignment="0" applyProtection="0"/>
    <xf numFmtId="0" fontId="126" fillId="30" borderId="85" applyNumberFormat="0" applyAlignment="0" applyProtection="0"/>
    <xf numFmtId="0" fontId="32" fillId="8" borderId="85" applyNumberFormat="0" applyProtection="0">
      <alignment horizontal="left" vertical="center" indent="1"/>
    </xf>
    <xf numFmtId="0" fontId="32" fillId="8" borderId="85" applyNumberFormat="0" applyProtection="0">
      <alignment horizontal="left" vertical="center" indent="1"/>
    </xf>
    <xf numFmtId="0" fontId="32" fillId="8" borderId="85" applyNumberFormat="0" applyProtection="0">
      <alignment horizontal="left" vertical="center" indent="1"/>
    </xf>
    <xf numFmtId="0" fontId="32" fillId="8" borderId="85" applyNumberFormat="0" applyProtection="0">
      <alignment horizontal="left" vertical="center" indent="1"/>
    </xf>
    <xf numFmtId="0" fontId="32" fillId="8" borderId="85" applyNumberFormat="0" applyProtection="0">
      <alignment horizontal="left" vertical="center" indent="1"/>
    </xf>
    <xf numFmtId="0" fontId="32" fillId="8" borderId="85" applyNumberFormat="0" applyProtection="0">
      <alignment horizontal="left" vertical="center" indent="1"/>
    </xf>
    <xf numFmtId="0" fontId="32" fillId="8" borderId="85" applyNumberFormat="0" applyProtection="0">
      <alignment horizontal="left" vertical="center" indent="1"/>
    </xf>
    <xf numFmtId="0" fontId="32" fillId="8" borderId="85" applyNumberFormat="0" applyProtection="0">
      <alignment horizontal="left" vertical="center" indent="1"/>
    </xf>
    <xf numFmtId="0" fontId="32" fillId="8" borderId="85" applyNumberFormat="0" applyProtection="0">
      <alignment horizontal="left" vertical="center" indent="1"/>
    </xf>
    <xf numFmtId="4" fontId="82" fillId="9" borderId="85" applyNumberFormat="0" applyProtection="0">
      <alignment horizontal="right" vertical="center"/>
    </xf>
    <xf numFmtId="4" fontId="82" fillId="9" borderId="85" applyNumberFormat="0" applyProtection="0">
      <alignment horizontal="right" vertical="center"/>
    </xf>
    <xf numFmtId="4" fontId="82" fillId="9" borderId="85" applyNumberFormat="0" applyProtection="0">
      <alignment horizontal="right" vertical="center"/>
    </xf>
    <xf numFmtId="4" fontId="82" fillId="9" borderId="85" applyNumberFormat="0" applyProtection="0">
      <alignment horizontal="right" vertical="center"/>
    </xf>
    <xf numFmtId="4" fontId="82" fillId="9" borderId="85" applyNumberFormat="0" applyProtection="0">
      <alignment horizontal="right" vertical="center"/>
    </xf>
    <xf numFmtId="4" fontId="82" fillId="9" borderId="85" applyNumberFormat="0" applyProtection="0">
      <alignment horizontal="right" vertical="center"/>
    </xf>
    <xf numFmtId="4" fontId="82" fillId="9" borderId="85" applyNumberFormat="0" applyProtection="0">
      <alignment horizontal="right" vertical="center"/>
    </xf>
    <xf numFmtId="4" fontId="82" fillId="9" borderId="85" applyNumberFormat="0" applyProtection="0">
      <alignment horizontal="right" vertical="center"/>
    </xf>
    <xf numFmtId="4" fontId="82" fillId="9" borderId="85" applyNumberFormat="0" applyProtection="0">
      <alignment horizontal="right" vertical="center"/>
    </xf>
    <xf numFmtId="4" fontId="82" fillId="9" borderId="85" applyNumberFormat="0" applyProtection="0">
      <alignment horizontal="right" vertical="center"/>
    </xf>
    <xf numFmtId="4" fontId="82" fillId="9" borderId="85" applyNumberFormat="0" applyProtection="0">
      <alignment horizontal="right" vertical="center"/>
    </xf>
    <xf numFmtId="4" fontId="82" fillId="9" borderId="85" applyNumberFormat="0" applyProtection="0">
      <alignment horizontal="right" vertical="center"/>
    </xf>
    <xf numFmtId="4" fontId="82" fillId="9" borderId="85" applyNumberFormat="0" applyProtection="0">
      <alignment horizontal="right" vertical="center"/>
    </xf>
    <xf numFmtId="0" fontId="32" fillId="8" borderId="85" applyNumberFormat="0" applyProtection="0">
      <alignment horizontal="left" vertical="center" indent="1"/>
    </xf>
    <xf numFmtId="0" fontId="32" fillId="8" borderId="85" applyNumberFormat="0" applyProtection="0">
      <alignment horizontal="left" vertical="center" indent="1"/>
    </xf>
    <xf numFmtId="0" fontId="32" fillId="8" borderId="85" applyNumberFormat="0" applyProtection="0">
      <alignment horizontal="left" vertical="center" indent="1"/>
    </xf>
    <xf numFmtId="0" fontId="32" fillId="8" borderId="85" applyNumberFormat="0" applyProtection="0">
      <alignment horizontal="left" vertical="center" indent="1"/>
    </xf>
    <xf numFmtId="0" fontId="32" fillId="8" borderId="85" applyNumberFormat="0" applyProtection="0">
      <alignment horizontal="left" vertical="center" indent="1"/>
    </xf>
    <xf numFmtId="0" fontId="32" fillId="8" borderId="85" applyNumberFormat="0" applyProtection="0">
      <alignment horizontal="left" vertical="center" indent="1"/>
    </xf>
    <xf numFmtId="0" fontId="32" fillId="8" borderId="85" applyNumberFormat="0" applyProtection="0">
      <alignment horizontal="left" vertical="center" indent="1"/>
    </xf>
    <xf numFmtId="0" fontId="32" fillId="8" borderId="85" applyNumberFormat="0" applyProtection="0">
      <alignment horizontal="left" vertical="center" indent="1"/>
    </xf>
    <xf numFmtId="0" fontId="32" fillId="8" borderId="85" applyNumberFormat="0" applyProtection="0">
      <alignment horizontal="left" vertical="center" indent="1"/>
    </xf>
    <xf numFmtId="0" fontId="32" fillId="8" borderId="85" applyNumberFormat="0" applyProtection="0">
      <alignment horizontal="left" vertical="center" indent="1"/>
    </xf>
    <xf numFmtId="0" fontId="32" fillId="8" borderId="85" applyNumberFormat="0" applyProtection="0">
      <alignment horizontal="left" vertical="center" indent="1"/>
    </xf>
    <xf numFmtId="0" fontId="32" fillId="8" borderId="85" applyNumberFormat="0" applyProtection="0">
      <alignment horizontal="left" vertical="center" indent="1"/>
    </xf>
    <xf numFmtId="4" fontId="82" fillId="35" borderId="93" applyNumberFormat="0" applyProtection="0">
      <alignment horizontal="left" vertical="center" indent="1"/>
    </xf>
    <xf numFmtId="4" fontId="82" fillId="35" borderId="93" applyNumberFormat="0" applyProtection="0">
      <alignment horizontal="left" vertical="center" indent="1"/>
    </xf>
    <xf numFmtId="4" fontId="82" fillId="35" borderId="93" applyNumberFormat="0" applyProtection="0">
      <alignment horizontal="left" vertical="center" indent="1"/>
    </xf>
    <xf numFmtId="0" fontId="32" fillId="8" borderId="85" applyNumberFormat="0" applyProtection="0">
      <alignment horizontal="left" vertical="center" indent="1"/>
    </xf>
    <xf numFmtId="0" fontId="32" fillId="8" borderId="85" applyNumberFormat="0" applyProtection="0">
      <alignment horizontal="left" vertical="center" indent="1"/>
    </xf>
    <xf numFmtId="0" fontId="32" fillId="8" borderId="85" applyNumberFormat="0" applyProtection="0">
      <alignment horizontal="left" vertical="center" indent="1"/>
    </xf>
    <xf numFmtId="0" fontId="32" fillId="8" borderId="85" applyNumberFormat="0" applyProtection="0">
      <alignment horizontal="left" vertical="center" indent="1"/>
    </xf>
    <xf numFmtId="0" fontId="32" fillId="8" borderId="85" applyNumberFormat="0" applyProtection="0">
      <alignment horizontal="left" vertical="center" indent="1"/>
    </xf>
    <xf numFmtId="0" fontId="32" fillId="8" borderId="85" applyNumberFormat="0" applyProtection="0">
      <alignment horizontal="left" vertical="center" indent="1"/>
    </xf>
    <xf numFmtId="0" fontId="32" fillId="8" borderId="85" applyNumberFormat="0" applyProtection="0">
      <alignment horizontal="left" vertical="center" indent="1"/>
    </xf>
    <xf numFmtId="0" fontId="32" fillId="8" borderId="85" applyNumberFormat="0" applyProtection="0">
      <alignment horizontal="left" vertical="center" indent="1"/>
    </xf>
    <xf numFmtId="0" fontId="32" fillId="8" borderId="85" applyNumberFormat="0" applyProtection="0">
      <alignment horizontal="left" vertical="center" indent="1"/>
    </xf>
    <xf numFmtId="0" fontId="32" fillId="8" borderId="85" applyNumberFormat="0" applyProtection="0">
      <alignment horizontal="left" vertical="center" indent="1"/>
    </xf>
    <xf numFmtId="0" fontId="108" fillId="0" borderId="88" applyNumberFormat="0" applyFill="0" applyAlignment="0" applyProtection="0"/>
    <xf numFmtId="0" fontId="108" fillId="0" borderId="88" applyNumberFormat="0" applyFill="0" applyAlignment="0" applyProtection="0"/>
    <xf numFmtId="0" fontId="108" fillId="0" borderId="88" applyNumberFormat="0" applyFill="0" applyAlignment="0" applyProtection="0"/>
    <xf numFmtId="0" fontId="108" fillId="0" borderId="88" applyNumberFormat="0" applyFill="0" applyAlignment="0" applyProtection="0"/>
    <xf numFmtId="0" fontId="14" fillId="0" borderId="0"/>
    <xf numFmtId="0" fontId="14" fillId="0" borderId="0"/>
    <xf numFmtId="43" fontId="14" fillId="0" borderId="0" applyFont="0" applyFill="0" applyBorder="0" applyAlignment="0" applyProtection="0"/>
    <xf numFmtId="0" fontId="81" fillId="34" borderId="94" applyNumberFormat="0" applyFont="0" applyAlignment="0" applyProtection="0"/>
    <xf numFmtId="4" fontId="82" fillId="35" borderId="97" applyNumberFormat="0" applyProtection="0">
      <alignment horizontal="left" vertical="center" indent="1"/>
    </xf>
    <xf numFmtId="0" fontId="108" fillId="0" borderId="96" applyNumberFormat="0" applyFill="0" applyAlignment="0" applyProtection="0"/>
    <xf numFmtId="0" fontId="32" fillId="8" borderId="95" applyNumberFormat="0" applyProtection="0">
      <alignment horizontal="left" vertical="center" indent="1"/>
    </xf>
    <xf numFmtId="0" fontId="32" fillId="8" borderId="95" applyNumberFormat="0" applyProtection="0">
      <alignment horizontal="left" vertical="center" indent="1"/>
    </xf>
    <xf numFmtId="0" fontId="32" fillId="8" borderId="95" applyNumberFormat="0" applyProtection="0">
      <alignment horizontal="left" vertical="center" indent="1"/>
    </xf>
    <xf numFmtId="0" fontId="32" fillId="8" borderId="95" applyNumberFormat="0" applyProtection="0">
      <alignment horizontal="left" vertical="center" indent="1"/>
    </xf>
    <xf numFmtId="0" fontId="32" fillId="8" borderId="95" applyNumberFormat="0" applyProtection="0">
      <alignment horizontal="left" vertical="center" indent="1"/>
    </xf>
    <xf numFmtId="4" fontId="82" fillId="9" borderId="95" applyNumberFormat="0" applyProtection="0">
      <alignment horizontal="right" vertical="center"/>
    </xf>
    <xf numFmtId="4" fontId="82" fillId="9" borderId="95" applyNumberFormat="0" applyProtection="0">
      <alignment horizontal="right" vertical="center"/>
    </xf>
    <xf numFmtId="4" fontId="82" fillId="9" borderId="95" applyNumberFormat="0" applyProtection="0">
      <alignment horizontal="right" vertical="center"/>
    </xf>
    <xf numFmtId="0" fontId="32" fillId="8" borderId="95" applyNumberFormat="0" applyProtection="0">
      <alignment horizontal="left" vertical="center" indent="1"/>
    </xf>
    <xf numFmtId="0" fontId="32" fillId="8" borderId="95" applyNumberFormat="0" applyProtection="0">
      <alignment horizontal="left" vertical="center" indent="1"/>
    </xf>
    <xf numFmtId="0" fontId="126" fillId="30" borderId="95" applyNumberFormat="0" applyAlignment="0" applyProtection="0"/>
    <xf numFmtId="0" fontId="81" fillId="34" borderId="94" applyNumberFormat="0" applyFont="0" applyAlignment="0" applyProtection="0"/>
    <xf numFmtId="0" fontId="81" fillId="34" borderId="94" applyNumberFormat="0" applyFont="0" applyAlignment="0" applyProtection="0"/>
    <xf numFmtId="0" fontId="81" fillId="34" borderId="94" applyNumberFormat="0" applyFont="0" applyAlignment="0" applyProtection="0"/>
    <xf numFmtId="0" fontId="81" fillId="34" borderId="94" applyNumberFormat="0" applyFont="0" applyAlignment="0" applyProtection="0"/>
    <xf numFmtId="0" fontId="81" fillId="34" borderId="94" applyNumberFormat="0" applyFont="0" applyAlignment="0" applyProtection="0"/>
    <xf numFmtId="0" fontId="81" fillId="34" borderId="94" applyNumberFormat="0" applyFont="0" applyAlignment="0" applyProtection="0"/>
    <xf numFmtId="0" fontId="81" fillId="34" borderId="94" applyNumberFormat="0" applyFont="0" applyAlignment="0" applyProtection="0"/>
    <xf numFmtId="0" fontId="81" fillId="34" borderId="94" applyNumberFormat="0" applyFont="0" applyAlignment="0" applyProtection="0"/>
    <xf numFmtId="0" fontId="81" fillId="34" borderId="94" applyNumberFormat="0" applyFont="0" applyAlignment="0" applyProtection="0"/>
    <xf numFmtId="0" fontId="81" fillId="34" borderId="94" applyNumberFormat="0" applyFont="0" applyAlignment="0" applyProtection="0"/>
    <xf numFmtId="0" fontId="81" fillId="34" borderId="94" applyNumberFormat="0" applyFont="0" applyAlignment="0" applyProtection="0"/>
    <xf numFmtId="0" fontId="81" fillId="34" borderId="94" applyNumberFormat="0" applyFont="0" applyAlignment="0" applyProtection="0"/>
    <xf numFmtId="0" fontId="81" fillId="34" borderId="94" applyNumberFormat="0" applyFont="0" applyAlignment="0" applyProtection="0"/>
    <xf numFmtId="0" fontId="81" fillId="34" borderId="94" applyNumberFormat="0" applyFont="0" applyAlignment="0" applyProtection="0"/>
    <xf numFmtId="0" fontId="81" fillId="34" borderId="94" applyNumberFormat="0" applyFont="0" applyAlignment="0" applyProtection="0"/>
    <xf numFmtId="0" fontId="81" fillId="34" borderId="94" applyNumberFormat="0" applyFont="0" applyAlignment="0" applyProtection="0"/>
    <xf numFmtId="0" fontId="81" fillId="34" borderId="94" applyNumberFormat="0" applyFont="0" applyAlignment="0" applyProtection="0"/>
    <xf numFmtId="0" fontId="81" fillId="34" borderId="94" applyNumberFormat="0" applyFont="0" applyAlignment="0" applyProtection="0"/>
    <xf numFmtId="0" fontId="81" fillId="34" borderId="94" applyNumberFormat="0" applyFont="0" applyAlignment="0" applyProtection="0"/>
    <xf numFmtId="0" fontId="81" fillId="34" borderId="94" applyNumberFormat="0" applyFont="0" applyAlignment="0" applyProtection="0"/>
    <xf numFmtId="0" fontId="81" fillId="34" borderId="94" applyNumberFormat="0" applyFont="0" applyAlignment="0" applyProtection="0"/>
    <xf numFmtId="0" fontId="81" fillId="34" borderId="94" applyNumberFormat="0" applyFont="0" applyAlignment="0" applyProtection="0"/>
    <xf numFmtId="0" fontId="81" fillId="34" borderId="94" applyNumberFormat="0" applyFont="0" applyAlignment="0" applyProtection="0"/>
    <xf numFmtId="0" fontId="81" fillId="34" borderId="94" applyNumberFormat="0" applyFont="0" applyAlignment="0" applyProtection="0"/>
    <xf numFmtId="0" fontId="81" fillId="34" borderId="94" applyNumberFormat="0" applyFont="0" applyAlignment="0" applyProtection="0"/>
    <xf numFmtId="0" fontId="81" fillId="34" borderId="94" applyNumberFormat="0" applyFont="0" applyAlignment="0" applyProtection="0"/>
    <xf numFmtId="0" fontId="81" fillId="34" borderId="94" applyNumberFormat="0" applyFont="0" applyAlignment="0" applyProtection="0"/>
    <xf numFmtId="0" fontId="81" fillId="34" borderId="94" applyNumberFormat="0" applyFont="0" applyAlignment="0" applyProtection="0"/>
    <xf numFmtId="0" fontId="81" fillId="34" borderId="94" applyNumberFormat="0" applyFont="0" applyAlignment="0" applyProtection="0"/>
    <xf numFmtId="0" fontId="81" fillId="34" borderId="94" applyNumberFormat="0" applyFont="0" applyAlignment="0" applyProtection="0"/>
    <xf numFmtId="0" fontId="81" fillId="34" borderId="94" applyNumberFormat="0" applyFont="0" applyAlignment="0" applyProtection="0"/>
    <xf numFmtId="0" fontId="32" fillId="34" borderId="94" applyNumberFormat="0" applyFont="0" applyAlignment="0" applyProtection="0"/>
    <xf numFmtId="0" fontId="81" fillId="34" borderId="94" applyNumberFormat="0" applyFont="0" applyAlignment="0" applyProtection="0"/>
    <xf numFmtId="0" fontId="81" fillId="34" borderId="94" applyNumberFormat="0" applyFont="0" applyAlignment="0" applyProtection="0"/>
    <xf numFmtId="0" fontId="81" fillId="34" borderId="94" applyNumberFormat="0" applyFont="0" applyAlignment="0" applyProtection="0"/>
    <xf numFmtId="0" fontId="81" fillId="34" borderId="94" applyNumberFormat="0" applyFont="0" applyAlignment="0" applyProtection="0"/>
    <xf numFmtId="0" fontId="81" fillId="34" borderId="94" applyNumberFormat="0" applyFont="0" applyAlignment="0" applyProtection="0"/>
    <xf numFmtId="0" fontId="81" fillId="34" borderId="94" applyNumberFormat="0" applyFont="0" applyAlignment="0" applyProtection="0"/>
    <xf numFmtId="0" fontId="81" fillId="34" borderId="94" applyNumberFormat="0" applyFont="0" applyAlignment="0" applyProtection="0"/>
    <xf numFmtId="0" fontId="81" fillId="34" borderId="94" applyNumberFormat="0" applyFont="0" applyAlignment="0" applyProtection="0"/>
    <xf numFmtId="0" fontId="81" fillId="34" borderId="94" applyNumberFormat="0" applyFont="0" applyAlignment="0" applyProtection="0"/>
    <xf numFmtId="0" fontId="81" fillId="34" borderId="94" applyNumberFormat="0" applyFont="0" applyAlignment="0" applyProtection="0"/>
    <xf numFmtId="0" fontId="81" fillId="34" borderId="94" applyNumberFormat="0" applyFont="0" applyAlignment="0" applyProtection="0"/>
    <xf numFmtId="0" fontId="81" fillId="34" borderId="94" applyNumberFormat="0" applyFont="0" applyAlignment="0" applyProtection="0"/>
    <xf numFmtId="0" fontId="81" fillId="34" borderId="94" applyNumberFormat="0" applyFont="0" applyAlignment="0" applyProtection="0"/>
    <xf numFmtId="0" fontId="81" fillId="34" borderId="94" applyNumberFormat="0" applyFont="0" applyAlignment="0" applyProtection="0"/>
    <xf numFmtId="0" fontId="81" fillId="34" borderId="94" applyNumberFormat="0" applyFont="0" applyAlignment="0" applyProtection="0"/>
    <xf numFmtId="0" fontId="81" fillId="34" borderId="94" applyNumberFormat="0" applyFont="0" applyAlignment="0" applyProtection="0"/>
    <xf numFmtId="0" fontId="81" fillId="34" borderId="94" applyNumberFormat="0" applyFont="0" applyAlignment="0" applyProtection="0"/>
    <xf numFmtId="0" fontId="81" fillId="34" borderId="94" applyNumberFormat="0" applyFont="0" applyAlignment="0" applyProtection="0"/>
    <xf numFmtId="0" fontId="81" fillId="34" borderId="94" applyNumberFormat="0" applyFont="0" applyAlignment="0" applyProtection="0"/>
    <xf numFmtId="0" fontId="81" fillId="34" borderId="94" applyNumberFormat="0" applyFont="0" applyAlignment="0" applyProtection="0"/>
    <xf numFmtId="4" fontId="82" fillId="35" borderId="97" applyNumberFormat="0" applyProtection="0">
      <alignment horizontal="left" vertical="center" indent="1"/>
    </xf>
    <xf numFmtId="4" fontId="82" fillId="35" borderId="97" applyNumberFormat="0" applyProtection="0">
      <alignment horizontal="left" vertical="center" indent="1"/>
    </xf>
    <xf numFmtId="4" fontId="82" fillId="35" borderId="97" applyNumberFormat="0" applyProtection="0">
      <alignment horizontal="left" vertical="center" indent="1"/>
    </xf>
    <xf numFmtId="4" fontId="82" fillId="35" borderId="97" applyNumberFormat="0" applyProtection="0">
      <alignment horizontal="left" vertical="center" indent="1"/>
    </xf>
    <xf numFmtId="0" fontId="13" fillId="0" borderId="0"/>
    <xf numFmtId="0" fontId="13" fillId="0" borderId="0"/>
    <xf numFmtId="43" fontId="13" fillId="0" borderId="0" applyFont="0" applyFill="0" applyBorder="0" applyAlignment="0" applyProtection="0"/>
    <xf numFmtId="44" fontId="13" fillId="0" borderId="0" applyFont="0" applyFill="0" applyBorder="0" applyAlignment="0" applyProtection="0"/>
    <xf numFmtId="9" fontId="13" fillId="0" borderId="0" applyFont="0" applyFill="0" applyBorder="0" applyAlignment="0" applyProtection="0"/>
    <xf numFmtId="0" fontId="32" fillId="8" borderId="111" applyNumberFormat="0" applyProtection="0">
      <alignment horizontal="left" vertical="center" indent="1"/>
    </xf>
    <xf numFmtId="0" fontId="32" fillId="8" borderId="111" applyNumberFormat="0" applyProtection="0">
      <alignment horizontal="left" vertical="center" indent="1"/>
    </xf>
    <xf numFmtId="0" fontId="32" fillId="8" borderId="111" applyNumberFormat="0" applyProtection="0">
      <alignment horizontal="left" vertical="center" indent="1"/>
    </xf>
    <xf numFmtId="4" fontId="82" fillId="9" borderId="111" applyNumberFormat="0" applyProtection="0">
      <alignment horizontal="right" vertical="center"/>
    </xf>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14" fillId="30" borderId="112" applyNumberFormat="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23" fillId="17" borderId="112" applyNumberFormat="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32"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126" fillId="30" borderId="114" applyNumberFormat="0" applyAlignment="0" applyProtection="0"/>
    <xf numFmtId="9" fontId="13" fillId="0" borderId="0" applyFont="0" applyFill="0" applyBorder="0" applyAlignment="0" applyProtection="0"/>
    <xf numFmtId="0" fontId="32" fillId="8" borderId="114" applyNumberFormat="0" applyProtection="0">
      <alignment horizontal="left" vertical="center" indent="1"/>
    </xf>
    <xf numFmtId="0" fontId="32" fillId="8" borderId="114" applyNumberFormat="0" applyProtection="0">
      <alignment horizontal="left" vertical="center" indent="1"/>
    </xf>
    <xf numFmtId="4" fontId="82" fillId="9" borderId="114" applyNumberFormat="0" applyProtection="0">
      <alignment horizontal="right" vertical="center"/>
    </xf>
    <xf numFmtId="4" fontId="82" fillId="9" borderId="114" applyNumberFormat="0" applyProtection="0">
      <alignment horizontal="right" vertical="center"/>
    </xf>
    <xf numFmtId="4" fontId="82" fillId="9" borderId="114" applyNumberFormat="0" applyProtection="0">
      <alignment horizontal="right" vertical="center"/>
    </xf>
    <xf numFmtId="0" fontId="32" fillId="8" borderId="114" applyNumberFormat="0" applyProtection="0">
      <alignment horizontal="left" vertical="center" indent="1"/>
    </xf>
    <xf numFmtId="0" fontId="32" fillId="8" borderId="114" applyNumberFormat="0" applyProtection="0">
      <alignment horizontal="left" vertical="center" indent="1"/>
    </xf>
    <xf numFmtId="0" fontId="32" fillId="8" borderId="114" applyNumberFormat="0" applyProtection="0">
      <alignment horizontal="left" vertical="center" indent="1"/>
    </xf>
    <xf numFmtId="0" fontId="32" fillId="8" borderId="114" applyNumberFormat="0" applyProtection="0">
      <alignment horizontal="left" vertical="center" indent="1"/>
    </xf>
    <xf numFmtId="0" fontId="32" fillId="8" borderId="114" applyNumberFormat="0" applyProtection="0">
      <alignment horizontal="left" vertical="center" indent="1"/>
    </xf>
    <xf numFmtId="0" fontId="108" fillId="0" borderId="115" applyNumberFormat="0" applyFill="0" applyAlignment="0" applyProtection="0"/>
    <xf numFmtId="4" fontId="82" fillId="35" borderId="116" applyNumberFormat="0" applyProtection="0">
      <alignment horizontal="left" vertical="center" indent="1"/>
    </xf>
    <xf numFmtId="0" fontId="13" fillId="0" borderId="0"/>
    <xf numFmtId="43" fontId="13" fillId="0" borderId="0" applyFont="0" applyFill="0" applyBorder="0" applyAlignment="0" applyProtection="0"/>
    <xf numFmtId="9"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43" fontId="13" fillId="0" borderId="0" applyFont="0" applyFill="0" applyBorder="0" applyAlignment="0" applyProtection="0"/>
    <xf numFmtId="44" fontId="13" fillId="0" borderId="0" applyFont="0" applyFill="0" applyBorder="0" applyAlignment="0" applyProtection="0"/>
    <xf numFmtId="9"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0" fontId="13" fillId="0" borderId="0"/>
    <xf numFmtId="43" fontId="13" fillId="0" borderId="0" applyFont="0" applyFill="0" applyBorder="0" applyAlignment="0" applyProtection="0"/>
    <xf numFmtId="9"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43" fontId="13" fillId="0" borderId="0" applyFont="0" applyFill="0" applyBorder="0" applyAlignment="0" applyProtection="0"/>
    <xf numFmtId="44" fontId="13" fillId="0" borderId="0" applyFont="0" applyFill="0" applyBorder="0" applyAlignment="0" applyProtection="0"/>
    <xf numFmtId="9"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0" fontId="13" fillId="0" borderId="0"/>
    <xf numFmtId="43" fontId="13" fillId="0" borderId="0" applyFont="0" applyFill="0" applyBorder="0" applyAlignment="0" applyProtection="0"/>
    <xf numFmtId="9"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43" fontId="13" fillId="0" borderId="0" applyFont="0" applyFill="0" applyBorder="0" applyAlignment="0" applyProtection="0"/>
    <xf numFmtId="44" fontId="13" fillId="0" borderId="0" applyFont="0" applyFill="0" applyBorder="0" applyAlignment="0" applyProtection="0"/>
    <xf numFmtId="9"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0" fontId="13" fillId="0" borderId="0"/>
    <xf numFmtId="43" fontId="13" fillId="0" borderId="0" applyFont="0" applyFill="0" applyBorder="0" applyAlignment="0" applyProtection="0"/>
    <xf numFmtId="9"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14" fillId="30" borderId="112" applyNumberFormat="0" applyAlignment="0" applyProtection="0"/>
    <xf numFmtId="0" fontId="114" fillId="30" borderId="112" applyNumberFormat="0" applyAlignment="0" applyProtection="0"/>
    <xf numFmtId="0" fontId="114" fillId="30" borderId="112" applyNumberFormat="0" applyAlignment="0" applyProtection="0"/>
    <xf numFmtId="0" fontId="114" fillId="30" borderId="112" applyNumberFormat="0" applyAlignment="0" applyProtection="0"/>
    <xf numFmtId="0" fontId="114" fillId="30" borderId="112" applyNumberFormat="0" applyAlignment="0" applyProtection="0"/>
    <xf numFmtId="0" fontId="123" fillId="17" borderId="112" applyNumberFormat="0" applyAlignment="0" applyProtection="0"/>
    <xf numFmtId="0" fontId="123" fillId="17" borderId="112" applyNumberFormat="0" applyAlignment="0" applyProtection="0"/>
    <xf numFmtId="0" fontId="123" fillId="17" borderId="112" applyNumberFormat="0" applyAlignment="0" applyProtection="0"/>
    <xf numFmtId="0" fontId="123" fillId="17" borderId="112" applyNumberFormat="0" applyAlignment="0" applyProtection="0"/>
    <xf numFmtId="0" fontId="123" fillId="17" borderId="112" applyNumberForma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32" fillId="34" borderId="113" applyNumberFormat="0" applyFont="0" applyAlignment="0" applyProtection="0"/>
    <xf numFmtId="0" fontId="32" fillId="34" borderId="113" applyNumberFormat="0" applyFont="0" applyAlignment="0" applyProtection="0"/>
    <xf numFmtId="0" fontId="32" fillId="34" borderId="113" applyNumberFormat="0" applyFont="0" applyAlignment="0" applyProtection="0"/>
    <xf numFmtId="0" fontId="32"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126" fillId="30" borderId="114" applyNumberFormat="0" applyAlignment="0" applyProtection="0"/>
    <xf numFmtId="0" fontId="126" fillId="30" borderId="114" applyNumberFormat="0" applyAlignment="0" applyProtection="0"/>
    <xf numFmtId="0" fontId="126" fillId="30" borderId="114" applyNumberFormat="0" applyAlignment="0" applyProtection="0"/>
    <xf numFmtId="0" fontId="126" fillId="30" borderId="114" applyNumberFormat="0" applyAlignment="0" applyProtection="0"/>
    <xf numFmtId="0" fontId="32" fillId="8" borderId="114" applyNumberFormat="0" applyProtection="0">
      <alignment horizontal="left" vertical="center" indent="1"/>
    </xf>
    <xf numFmtId="0" fontId="32" fillId="8" borderId="114" applyNumberFormat="0" applyProtection="0">
      <alignment horizontal="left" vertical="center" indent="1"/>
    </xf>
    <xf numFmtId="0" fontId="32" fillId="8" borderId="114" applyNumberFormat="0" applyProtection="0">
      <alignment horizontal="left" vertical="center" indent="1"/>
    </xf>
    <xf numFmtId="0" fontId="32" fillId="8" borderId="114" applyNumberFormat="0" applyProtection="0">
      <alignment horizontal="left" vertical="center" indent="1"/>
    </xf>
    <xf numFmtId="0" fontId="32" fillId="8" borderId="114" applyNumberFormat="0" applyProtection="0">
      <alignment horizontal="left" vertical="center" indent="1"/>
    </xf>
    <xf numFmtId="0" fontId="32" fillId="8" borderId="114" applyNumberFormat="0" applyProtection="0">
      <alignment horizontal="left" vertical="center" indent="1"/>
    </xf>
    <xf numFmtId="0" fontId="32" fillId="8" borderId="114" applyNumberFormat="0" applyProtection="0">
      <alignment horizontal="left" vertical="center" indent="1"/>
    </xf>
    <xf numFmtId="0" fontId="32" fillId="8" borderId="114" applyNumberFormat="0" applyProtection="0">
      <alignment horizontal="left" vertical="center" indent="1"/>
    </xf>
    <xf numFmtId="0" fontId="32" fillId="8" borderId="114" applyNumberFormat="0" applyProtection="0">
      <alignment horizontal="left" vertical="center" indent="1"/>
    </xf>
    <xf numFmtId="4" fontId="82" fillId="9" borderId="114" applyNumberFormat="0" applyProtection="0">
      <alignment horizontal="right" vertical="center"/>
    </xf>
    <xf numFmtId="4" fontId="82" fillId="9" borderId="114" applyNumberFormat="0" applyProtection="0">
      <alignment horizontal="right" vertical="center"/>
    </xf>
    <xf numFmtId="4" fontId="82" fillId="9" borderId="114" applyNumberFormat="0" applyProtection="0">
      <alignment horizontal="right" vertical="center"/>
    </xf>
    <xf numFmtId="4" fontId="82" fillId="9" borderId="114" applyNumberFormat="0" applyProtection="0">
      <alignment horizontal="right" vertical="center"/>
    </xf>
    <xf numFmtId="4" fontId="82" fillId="9" borderId="114" applyNumberFormat="0" applyProtection="0">
      <alignment horizontal="right" vertical="center"/>
    </xf>
    <xf numFmtId="4" fontId="82" fillId="9" borderId="114" applyNumberFormat="0" applyProtection="0">
      <alignment horizontal="right" vertical="center"/>
    </xf>
    <xf numFmtId="4" fontId="82" fillId="9" borderId="114" applyNumberFormat="0" applyProtection="0">
      <alignment horizontal="right" vertical="center"/>
    </xf>
    <xf numFmtId="4" fontId="82" fillId="9" borderId="114" applyNumberFormat="0" applyProtection="0">
      <alignment horizontal="right" vertical="center"/>
    </xf>
    <xf numFmtId="4" fontId="82" fillId="9" borderId="114" applyNumberFormat="0" applyProtection="0">
      <alignment horizontal="right" vertical="center"/>
    </xf>
    <xf numFmtId="4" fontId="82" fillId="9" borderId="114" applyNumberFormat="0" applyProtection="0">
      <alignment horizontal="right" vertical="center"/>
    </xf>
    <xf numFmtId="4" fontId="82" fillId="9" borderId="114" applyNumberFormat="0" applyProtection="0">
      <alignment horizontal="right" vertical="center"/>
    </xf>
    <xf numFmtId="4" fontId="82" fillId="9" borderId="114" applyNumberFormat="0" applyProtection="0">
      <alignment horizontal="right" vertical="center"/>
    </xf>
    <xf numFmtId="4" fontId="82" fillId="9" borderId="114" applyNumberFormat="0" applyProtection="0">
      <alignment horizontal="right" vertical="center"/>
    </xf>
    <xf numFmtId="0" fontId="32" fillId="8" borderId="114" applyNumberFormat="0" applyProtection="0">
      <alignment horizontal="left" vertical="center" indent="1"/>
    </xf>
    <xf numFmtId="0" fontId="32" fillId="8" borderId="114" applyNumberFormat="0" applyProtection="0">
      <alignment horizontal="left" vertical="center" indent="1"/>
    </xf>
    <xf numFmtId="0" fontId="32" fillId="8" borderId="114" applyNumberFormat="0" applyProtection="0">
      <alignment horizontal="left" vertical="center" indent="1"/>
    </xf>
    <xf numFmtId="0" fontId="32" fillId="8" borderId="114" applyNumberFormat="0" applyProtection="0">
      <alignment horizontal="left" vertical="center" indent="1"/>
    </xf>
    <xf numFmtId="0" fontId="32" fillId="8" borderId="114" applyNumberFormat="0" applyProtection="0">
      <alignment horizontal="left" vertical="center" indent="1"/>
    </xf>
    <xf numFmtId="0" fontId="32" fillId="8" borderId="114" applyNumberFormat="0" applyProtection="0">
      <alignment horizontal="left" vertical="center" indent="1"/>
    </xf>
    <xf numFmtId="0" fontId="32" fillId="8" borderId="114" applyNumberFormat="0" applyProtection="0">
      <alignment horizontal="left" vertical="center" indent="1"/>
    </xf>
    <xf numFmtId="0" fontId="32" fillId="8" borderId="114" applyNumberFormat="0" applyProtection="0">
      <alignment horizontal="left" vertical="center" indent="1"/>
    </xf>
    <xf numFmtId="0" fontId="32" fillId="8" borderId="114" applyNumberFormat="0" applyProtection="0">
      <alignment horizontal="left" vertical="center" indent="1"/>
    </xf>
    <xf numFmtId="0" fontId="32" fillId="8" borderId="114" applyNumberFormat="0" applyProtection="0">
      <alignment horizontal="left" vertical="center" indent="1"/>
    </xf>
    <xf numFmtId="0" fontId="32" fillId="8" borderId="114" applyNumberFormat="0" applyProtection="0">
      <alignment horizontal="left" vertical="center" indent="1"/>
    </xf>
    <xf numFmtId="0" fontId="32" fillId="8" borderId="114" applyNumberFormat="0" applyProtection="0">
      <alignment horizontal="left" vertical="center" indent="1"/>
    </xf>
    <xf numFmtId="0" fontId="32" fillId="8" borderId="114" applyNumberFormat="0" applyProtection="0">
      <alignment horizontal="left" vertical="center" indent="1"/>
    </xf>
    <xf numFmtId="0" fontId="32" fillId="8" borderId="114" applyNumberFormat="0" applyProtection="0">
      <alignment horizontal="left" vertical="center" indent="1"/>
    </xf>
    <xf numFmtId="0" fontId="32" fillId="8" borderId="114" applyNumberFormat="0" applyProtection="0">
      <alignment horizontal="left" vertical="center" indent="1"/>
    </xf>
    <xf numFmtId="0" fontId="32" fillId="8" borderId="114" applyNumberFormat="0" applyProtection="0">
      <alignment horizontal="left" vertical="center" indent="1"/>
    </xf>
    <xf numFmtId="0" fontId="32" fillId="8" borderId="114" applyNumberFormat="0" applyProtection="0">
      <alignment horizontal="left" vertical="center" indent="1"/>
    </xf>
    <xf numFmtId="0" fontId="32" fillId="8" borderId="114" applyNumberFormat="0" applyProtection="0">
      <alignment horizontal="left" vertical="center" indent="1"/>
    </xf>
    <xf numFmtId="0" fontId="32" fillId="8" borderId="114" applyNumberFormat="0" applyProtection="0">
      <alignment horizontal="left" vertical="center" indent="1"/>
    </xf>
    <xf numFmtId="0" fontId="32" fillId="8" borderId="114" applyNumberFormat="0" applyProtection="0">
      <alignment horizontal="left" vertical="center" indent="1"/>
    </xf>
    <xf numFmtId="0" fontId="32" fillId="8" borderId="114" applyNumberFormat="0" applyProtection="0">
      <alignment horizontal="left" vertical="center" indent="1"/>
    </xf>
    <xf numFmtId="0" fontId="32" fillId="8" borderId="114" applyNumberFormat="0" applyProtection="0">
      <alignment horizontal="left" vertical="center" indent="1"/>
    </xf>
    <xf numFmtId="0" fontId="108" fillId="0" borderId="115" applyNumberFormat="0" applyFill="0" applyAlignment="0" applyProtection="0"/>
    <xf numFmtId="0" fontId="108" fillId="0" borderId="115" applyNumberFormat="0" applyFill="0" applyAlignment="0" applyProtection="0"/>
    <xf numFmtId="0" fontId="108" fillId="0" borderId="115" applyNumberFormat="0" applyFill="0" applyAlignment="0" applyProtection="0"/>
    <xf numFmtId="0" fontId="108" fillId="0" borderId="115" applyNumberFormat="0" applyFill="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44" fontId="13" fillId="0" borderId="0" applyFont="0" applyFill="0" applyBorder="0" applyAlignment="0" applyProtection="0"/>
    <xf numFmtId="9" fontId="13" fillId="0" borderId="0" applyFont="0" applyFill="0" applyBorder="0" applyAlignment="0" applyProtection="0"/>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4" fontId="82" fillId="9" borderId="117" applyNumberFormat="0" applyProtection="0">
      <alignment horizontal="right" vertical="center"/>
    </xf>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14" fillId="30" borderId="118" applyNumberFormat="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23" fillId="17" borderId="118" applyNumberFormat="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32"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126" fillId="30" borderId="117" applyNumberFormat="0" applyAlignment="0" applyProtection="0"/>
    <xf numFmtId="9" fontId="13" fillId="0" borderId="0" applyFont="0" applyFill="0" applyBorder="0" applyAlignment="0" applyProtection="0"/>
    <xf numFmtId="0" fontId="32" fillId="8" borderId="117" applyNumberFormat="0" applyProtection="0">
      <alignment horizontal="left" vertical="center" indent="1"/>
    </xf>
    <xf numFmtId="0" fontId="32" fillId="8" borderId="117" applyNumberFormat="0" applyProtection="0">
      <alignment horizontal="left" vertical="center" indent="1"/>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108" fillId="0" borderId="120" applyNumberFormat="0" applyFill="0" applyAlignment="0" applyProtection="0"/>
    <xf numFmtId="4" fontId="82" fillId="35" borderId="121" applyNumberFormat="0" applyProtection="0">
      <alignment horizontal="left" vertical="center" indent="1"/>
    </xf>
    <xf numFmtId="0" fontId="13" fillId="0" borderId="0"/>
    <xf numFmtId="43" fontId="13" fillId="0" borderId="0" applyFont="0" applyFill="0" applyBorder="0" applyAlignment="0" applyProtection="0"/>
    <xf numFmtId="9"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43" fontId="13" fillId="0" borderId="0" applyFont="0" applyFill="0" applyBorder="0" applyAlignment="0" applyProtection="0"/>
    <xf numFmtId="44" fontId="13" fillId="0" borderId="0" applyFont="0" applyFill="0" applyBorder="0" applyAlignment="0" applyProtection="0"/>
    <xf numFmtId="9" fontId="13" fillId="0" borderId="0" applyFont="0" applyFill="0" applyBorder="0" applyAlignment="0" applyProtection="0"/>
    <xf numFmtId="0" fontId="81" fillId="34" borderId="119" applyNumberFormat="0" applyFont="0" applyAlignment="0" applyProtection="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4" fontId="82" fillId="35" borderId="121" applyNumberFormat="0" applyProtection="0">
      <alignment horizontal="left" vertical="center" indent="1"/>
    </xf>
    <xf numFmtId="0" fontId="108" fillId="0" borderId="120" applyNumberFormat="0" applyFill="0" applyAlignment="0" applyProtection="0"/>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126" fillId="30" borderId="117" applyNumberForma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32"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13" fillId="0" borderId="0"/>
    <xf numFmtId="43" fontId="13" fillId="0" borderId="0" applyFont="0" applyFill="0" applyBorder="0" applyAlignment="0" applyProtection="0"/>
    <xf numFmtId="9"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43" fontId="13" fillId="0" borderId="0" applyFont="0" applyFill="0" applyBorder="0" applyAlignment="0" applyProtection="0"/>
    <xf numFmtId="44" fontId="13" fillId="0" borderId="0" applyFont="0" applyFill="0" applyBorder="0" applyAlignment="0" applyProtection="0"/>
    <xf numFmtId="9"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0" fontId="13" fillId="0" borderId="0"/>
    <xf numFmtId="43" fontId="13" fillId="0" borderId="0" applyFont="0" applyFill="0" applyBorder="0" applyAlignment="0" applyProtection="0"/>
    <xf numFmtId="9"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43" fontId="13" fillId="0" borderId="0" applyFont="0" applyFill="0" applyBorder="0" applyAlignment="0" applyProtection="0"/>
    <xf numFmtId="44" fontId="13" fillId="0" borderId="0" applyFont="0" applyFill="0" applyBorder="0" applyAlignment="0" applyProtection="0"/>
    <xf numFmtId="9"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0" fontId="13" fillId="0" borderId="0"/>
    <xf numFmtId="43" fontId="13" fillId="0" borderId="0" applyFont="0" applyFill="0" applyBorder="0" applyAlignment="0" applyProtection="0"/>
    <xf numFmtId="9"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4" fontId="82" fillId="35" borderId="121" applyNumberFormat="0" applyProtection="0">
      <alignment horizontal="left" vertical="center" indent="1"/>
    </xf>
    <xf numFmtId="43" fontId="13" fillId="0" borderId="0" applyFont="0" applyFill="0" applyBorder="0" applyAlignment="0" applyProtection="0"/>
    <xf numFmtId="0" fontId="114" fillId="30" borderId="118" applyNumberFormat="0" applyAlignment="0" applyProtection="0"/>
    <xf numFmtId="0" fontId="114" fillId="30" borderId="118" applyNumberFormat="0" applyAlignment="0" applyProtection="0"/>
    <xf numFmtId="0" fontId="114" fillId="30" borderId="118" applyNumberFormat="0" applyAlignment="0" applyProtection="0"/>
    <xf numFmtId="0" fontId="114" fillId="30" borderId="118" applyNumberFormat="0" applyAlignment="0" applyProtection="0"/>
    <xf numFmtId="0" fontId="114" fillId="30" borderId="118" applyNumberFormat="0" applyAlignment="0" applyProtection="0"/>
    <xf numFmtId="0" fontId="123" fillId="17" borderId="118" applyNumberFormat="0" applyAlignment="0" applyProtection="0"/>
    <xf numFmtId="0" fontId="123" fillId="17" borderId="118" applyNumberFormat="0" applyAlignment="0" applyProtection="0"/>
    <xf numFmtId="0" fontId="123" fillId="17" borderId="118" applyNumberFormat="0" applyAlignment="0" applyProtection="0"/>
    <xf numFmtId="0" fontId="123" fillId="17" borderId="118" applyNumberFormat="0" applyAlignment="0" applyProtection="0"/>
    <xf numFmtId="0" fontId="123" fillId="17" borderId="118" applyNumberForma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32" fillId="34" borderId="119" applyNumberFormat="0" applyFont="0" applyAlignment="0" applyProtection="0"/>
    <xf numFmtId="0" fontId="32" fillId="34" borderId="119" applyNumberFormat="0" applyFont="0" applyAlignment="0" applyProtection="0"/>
    <xf numFmtId="0" fontId="32" fillId="34" borderId="119" applyNumberFormat="0" applyFont="0" applyAlignment="0" applyProtection="0"/>
    <xf numFmtId="0" fontId="32"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126" fillId="30" borderId="117" applyNumberFormat="0" applyAlignment="0" applyProtection="0"/>
    <xf numFmtId="0" fontId="126" fillId="30" borderId="117" applyNumberFormat="0" applyAlignment="0" applyProtection="0"/>
    <xf numFmtId="0" fontId="126" fillId="30" borderId="117" applyNumberFormat="0" applyAlignment="0" applyProtection="0"/>
    <xf numFmtId="0" fontId="126" fillId="30" borderId="117" applyNumberFormat="0" applyAlignment="0" applyProtection="0"/>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4" fontId="82" fillId="35" borderId="121" applyNumberFormat="0" applyProtection="0">
      <alignment horizontal="left" vertical="center" indent="1"/>
    </xf>
    <xf numFmtId="4" fontId="82" fillId="35" borderId="121" applyNumberFormat="0" applyProtection="0">
      <alignment horizontal="left" vertical="center" indent="1"/>
    </xf>
    <xf numFmtId="4" fontId="82" fillId="35" borderId="121"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108" fillId="0" borderId="120" applyNumberFormat="0" applyFill="0" applyAlignment="0" applyProtection="0"/>
    <xf numFmtId="0" fontId="108" fillId="0" borderId="120" applyNumberFormat="0" applyFill="0" applyAlignment="0" applyProtection="0"/>
    <xf numFmtId="0" fontId="108" fillId="0" borderId="120" applyNumberFormat="0" applyFill="0" applyAlignment="0" applyProtection="0"/>
    <xf numFmtId="0" fontId="108" fillId="0" borderId="120" applyNumberFormat="0" applyFill="0" applyAlignment="0" applyProtection="0"/>
    <xf numFmtId="0" fontId="13" fillId="0" borderId="0"/>
    <xf numFmtId="0" fontId="13" fillId="0" borderId="0"/>
    <xf numFmtId="43" fontId="13" fillId="0" borderId="0" applyFont="0" applyFill="0" applyBorder="0" applyAlignment="0" applyProtection="0"/>
    <xf numFmtId="0" fontId="81" fillId="34" borderId="119" applyNumberFormat="0" applyFont="0" applyAlignment="0" applyProtection="0"/>
    <xf numFmtId="4" fontId="82" fillId="35" borderId="121" applyNumberFormat="0" applyProtection="0">
      <alignment horizontal="left" vertical="center" indent="1"/>
    </xf>
    <xf numFmtId="0" fontId="108" fillId="0" borderId="120" applyNumberFormat="0" applyFill="0" applyAlignment="0" applyProtection="0"/>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126" fillId="30" borderId="117" applyNumberForma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32"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4" fontId="82" fillId="35" borderId="121" applyNumberFormat="0" applyProtection="0">
      <alignment horizontal="left" vertical="center" indent="1"/>
    </xf>
    <xf numFmtId="4" fontId="82" fillId="35" borderId="121" applyNumberFormat="0" applyProtection="0">
      <alignment horizontal="left" vertical="center" indent="1"/>
    </xf>
    <xf numFmtId="4" fontId="82" fillId="35" borderId="121" applyNumberFormat="0" applyProtection="0">
      <alignment horizontal="left" vertical="center" indent="1"/>
    </xf>
    <xf numFmtId="4" fontId="82" fillId="35" borderId="121" applyNumberFormat="0" applyProtection="0">
      <alignment horizontal="left" vertical="center" indent="1"/>
    </xf>
    <xf numFmtId="0" fontId="114" fillId="30" borderId="118" applyNumberFormat="0" applyAlignment="0" applyProtection="0"/>
    <xf numFmtId="0" fontId="114" fillId="30" borderId="118" applyNumberFormat="0" applyAlignment="0" applyProtection="0"/>
    <xf numFmtId="0" fontId="114" fillId="30" borderId="118" applyNumberFormat="0" applyAlignment="0" applyProtection="0"/>
    <xf numFmtId="0" fontId="114" fillId="30" borderId="118" applyNumberFormat="0" applyAlignment="0" applyProtection="0"/>
    <xf numFmtId="0" fontId="114" fillId="30" borderId="118" applyNumberFormat="0" applyAlignment="0" applyProtection="0"/>
    <xf numFmtId="0" fontId="114" fillId="30" borderId="118" applyNumberFormat="0" applyAlignment="0" applyProtection="0"/>
    <xf numFmtId="0" fontId="114" fillId="30" borderId="118" applyNumberFormat="0" applyAlignment="0" applyProtection="0"/>
    <xf numFmtId="0" fontId="114" fillId="30" borderId="118" applyNumberFormat="0" applyAlignment="0" applyProtection="0"/>
    <xf numFmtId="0" fontId="114" fillId="30" borderId="118" applyNumberFormat="0" applyAlignment="0" applyProtection="0"/>
    <xf numFmtId="0" fontId="114" fillId="30" borderId="118" applyNumberFormat="0" applyAlignment="0" applyProtection="0"/>
    <xf numFmtId="0" fontId="114" fillId="30" borderId="118" applyNumberFormat="0" applyAlignment="0" applyProtection="0"/>
    <xf numFmtId="0" fontId="114" fillId="30" borderId="118" applyNumberFormat="0" applyAlignment="0" applyProtection="0"/>
    <xf numFmtId="0" fontId="114" fillId="30" borderId="118" applyNumberFormat="0" applyAlignment="0" applyProtection="0"/>
    <xf numFmtId="0" fontId="114" fillId="30" borderId="118" applyNumberFormat="0" applyAlignment="0" applyProtection="0"/>
    <xf numFmtId="0" fontId="114" fillId="30" borderId="118" applyNumberFormat="0" applyAlignment="0" applyProtection="0"/>
    <xf numFmtId="0" fontId="114" fillId="30" borderId="118" applyNumberFormat="0" applyAlignment="0" applyProtection="0"/>
    <xf numFmtId="0" fontId="114" fillId="30" borderId="118" applyNumberFormat="0" applyAlignment="0" applyProtection="0"/>
    <xf numFmtId="0" fontId="114" fillId="30" borderId="118" applyNumberFormat="0" applyAlignment="0" applyProtection="0"/>
    <xf numFmtId="0" fontId="114" fillId="30" borderId="118" applyNumberFormat="0" applyAlignment="0" applyProtection="0"/>
    <xf numFmtId="0" fontId="114" fillId="30" borderId="118" applyNumberFormat="0" applyAlignment="0" applyProtection="0"/>
    <xf numFmtId="0" fontId="114" fillId="30" borderId="118" applyNumberFormat="0" applyAlignment="0" applyProtection="0"/>
    <xf numFmtId="0" fontId="114" fillId="30" borderId="118" applyNumberFormat="0" applyAlignment="0" applyProtection="0"/>
    <xf numFmtId="0" fontId="114" fillId="30" borderId="118" applyNumberFormat="0" applyAlignment="0" applyProtection="0"/>
    <xf numFmtId="0" fontId="114" fillId="30" borderId="118" applyNumberFormat="0" applyAlignment="0" applyProtection="0"/>
    <xf numFmtId="0" fontId="114" fillId="30" borderId="118" applyNumberFormat="0" applyAlignment="0" applyProtection="0"/>
    <xf numFmtId="0" fontId="114" fillId="30" borderId="118" applyNumberFormat="0" applyAlignment="0" applyProtection="0"/>
    <xf numFmtId="0" fontId="114" fillId="30" borderId="118" applyNumberFormat="0" applyAlignment="0" applyProtection="0"/>
    <xf numFmtId="0" fontId="114" fillId="30" borderId="118" applyNumberFormat="0" applyAlignment="0" applyProtection="0"/>
    <xf numFmtId="0" fontId="114" fillId="30" borderId="118" applyNumberFormat="0" applyAlignment="0" applyProtection="0"/>
    <xf numFmtId="0" fontId="114" fillId="30" borderId="118" applyNumberFormat="0" applyAlignment="0" applyProtection="0"/>
    <xf numFmtId="0" fontId="114" fillId="30" borderId="118" applyNumberFormat="0" applyAlignment="0" applyProtection="0"/>
    <xf numFmtId="0" fontId="114" fillId="30" borderId="118" applyNumberFormat="0" applyAlignment="0" applyProtection="0"/>
    <xf numFmtId="0" fontId="114" fillId="30" borderId="118" applyNumberFormat="0" applyAlignment="0" applyProtection="0"/>
    <xf numFmtId="0" fontId="114" fillId="30" borderId="118" applyNumberFormat="0" applyAlignment="0" applyProtection="0"/>
    <xf numFmtId="0" fontId="114" fillId="30" borderId="118" applyNumberFormat="0" applyAlignment="0" applyProtection="0"/>
    <xf numFmtId="0" fontId="114" fillId="30" borderId="118" applyNumberFormat="0" applyAlignment="0" applyProtection="0"/>
    <xf numFmtId="0" fontId="114" fillId="30" borderId="118" applyNumberFormat="0" applyAlignment="0" applyProtection="0"/>
    <xf numFmtId="0" fontId="114" fillId="30" borderId="118" applyNumberFormat="0" applyAlignment="0" applyProtection="0"/>
    <xf numFmtId="0" fontId="114" fillId="30" borderId="118" applyNumberFormat="0" applyAlignment="0" applyProtection="0"/>
    <xf numFmtId="0" fontId="114" fillId="30" borderId="118" applyNumberFormat="0" applyAlignment="0" applyProtection="0"/>
    <xf numFmtId="0" fontId="114" fillId="30" borderId="118" applyNumberFormat="0" applyAlignment="0" applyProtection="0"/>
    <xf numFmtId="0" fontId="114" fillId="30" borderId="118" applyNumberFormat="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23" fillId="17" borderId="118" applyNumberFormat="0" applyAlignment="0" applyProtection="0"/>
    <xf numFmtId="0" fontId="123" fillId="17" borderId="118" applyNumberFormat="0" applyAlignment="0" applyProtection="0"/>
    <xf numFmtId="0" fontId="123" fillId="17" borderId="118" applyNumberFormat="0" applyAlignment="0" applyProtection="0"/>
    <xf numFmtId="0" fontId="123" fillId="17" borderId="118" applyNumberFormat="0" applyAlignment="0" applyProtection="0"/>
    <xf numFmtId="0" fontId="123" fillId="17" borderId="118" applyNumberFormat="0" applyAlignment="0" applyProtection="0"/>
    <xf numFmtId="0" fontId="123" fillId="17" borderId="118" applyNumberFormat="0" applyAlignment="0" applyProtection="0"/>
    <xf numFmtId="0" fontId="123" fillId="17" borderId="118" applyNumberFormat="0" applyAlignment="0" applyProtection="0"/>
    <xf numFmtId="0" fontId="123" fillId="17" borderId="118" applyNumberFormat="0" applyAlignment="0" applyProtection="0"/>
    <xf numFmtId="0" fontId="123" fillId="17" borderId="118" applyNumberFormat="0" applyAlignment="0" applyProtection="0"/>
    <xf numFmtId="0" fontId="123" fillId="17" borderId="118" applyNumberFormat="0" applyAlignment="0" applyProtection="0"/>
    <xf numFmtId="0" fontId="123" fillId="17" borderId="118" applyNumberFormat="0" applyAlignment="0" applyProtection="0"/>
    <xf numFmtId="0" fontId="123" fillId="17" borderId="118" applyNumberFormat="0" applyAlignment="0" applyProtection="0"/>
    <xf numFmtId="0" fontId="123" fillId="17" borderId="118" applyNumberFormat="0" applyAlignment="0" applyProtection="0"/>
    <xf numFmtId="0" fontId="123" fillId="17" borderId="118" applyNumberFormat="0" applyAlignment="0" applyProtection="0"/>
    <xf numFmtId="0" fontId="123" fillId="17" borderId="118" applyNumberFormat="0" applyAlignment="0" applyProtection="0"/>
    <xf numFmtId="0" fontId="123" fillId="17" borderId="118" applyNumberFormat="0" applyAlignment="0" applyProtection="0"/>
    <xf numFmtId="0" fontId="123" fillId="17" borderId="118" applyNumberFormat="0" applyAlignment="0" applyProtection="0"/>
    <xf numFmtId="0" fontId="123" fillId="17" borderId="118" applyNumberFormat="0" applyAlignment="0" applyProtection="0"/>
    <xf numFmtId="0" fontId="123" fillId="17" borderId="118" applyNumberFormat="0" applyAlignment="0" applyProtection="0"/>
    <xf numFmtId="0" fontId="123" fillId="17" borderId="118" applyNumberFormat="0" applyAlignment="0" applyProtection="0"/>
    <xf numFmtId="0" fontId="123" fillId="17" borderId="118" applyNumberFormat="0" applyAlignment="0" applyProtection="0"/>
    <xf numFmtId="0" fontId="123" fillId="17" borderId="118" applyNumberFormat="0" applyAlignment="0" applyProtection="0"/>
    <xf numFmtId="0" fontId="123" fillId="17" borderId="118" applyNumberFormat="0" applyAlignment="0" applyProtection="0"/>
    <xf numFmtId="0" fontId="123" fillId="17" borderId="118" applyNumberFormat="0" applyAlignment="0" applyProtection="0"/>
    <xf numFmtId="0" fontId="123" fillId="17" borderId="118" applyNumberFormat="0" applyAlignment="0" applyProtection="0"/>
    <xf numFmtId="0" fontId="123" fillId="17" borderId="118" applyNumberFormat="0" applyAlignment="0" applyProtection="0"/>
    <xf numFmtId="0" fontId="123" fillId="17" borderId="118" applyNumberFormat="0" applyAlignment="0" applyProtection="0"/>
    <xf numFmtId="0" fontId="123" fillId="17" borderId="118" applyNumberFormat="0" applyAlignment="0" applyProtection="0"/>
    <xf numFmtId="0" fontId="123" fillId="17" borderId="118" applyNumberFormat="0" applyAlignment="0" applyProtection="0"/>
    <xf numFmtId="0" fontId="123" fillId="17" borderId="118" applyNumberFormat="0" applyAlignment="0" applyProtection="0"/>
    <xf numFmtId="0" fontId="123" fillId="17" borderId="118" applyNumberFormat="0" applyAlignment="0" applyProtection="0"/>
    <xf numFmtId="0" fontId="123" fillId="17" borderId="118" applyNumberFormat="0" applyAlignment="0" applyProtection="0"/>
    <xf numFmtId="0" fontId="123" fillId="17" borderId="118" applyNumberFormat="0" applyAlignment="0" applyProtection="0"/>
    <xf numFmtId="0" fontId="123" fillId="17" borderId="118" applyNumberFormat="0" applyAlignment="0" applyProtection="0"/>
    <xf numFmtId="0" fontId="123" fillId="17" borderId="118" applyNumberFormat="0" applyAlignment="0" applyProtection="0"/>
    <xf numFmtId="0" fontId="123" fillId="17" borderId="118" applyNumberFormat="0" applyAlignment="0" applyProtection="0"/>
    <xf numFmtId="0" fontId="123" fillId="17" borderId="118" applyNumberFormat="0" applyAlignment="0" applyProtection="0"/>
    <xf numFmtId="0" fontId="123" fillId="17" borderId="118" applyNumberFormat="0" applyAlignment="0" applyProtection="0"/>
    <xf numFmtId="0" fontId="123" fillId="17" borderId="118" applyNumberFormat="0" applyAlignment="0" applyProtection="0"/>
    <xf numFmtId="0" fontId="123" fillId="17" borderId="118" applyNumberFormat="0" applyAlignment="0" applyProtection="0"/>
    <xf numFmtId="0" fontId="123" fillId="17" borderId="118" applyNumberFormat="0" applyAlignment="0" applyProtection="0"/>
    <xf numFmtId="0" fontId="123" fillId="17" borderId="118" applyNumberFormat="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32" fillId="34" borderId="119" applyNumberFormat="0" applyFont="0" applyAlignment="0" applyProtection="0"/>
    <xf numFmtId="0" fontId="32" fillId="34" borderId="119" applyNumberFormat="0" applyFont="0" applyAlignment="0" applyProtection="0"/>
    <xf numFmtId="0" fontId="32" fillId="34" borderId="119" applyNumberFormat="0" applyFont="0" applyAlignment="0" applyProtection="0"/>
    <xf numFmtId="0" fontId="32" fillId="34" borderId="119" applyNumberFormat="0" applyFont="0" applyAlignment="0" applyProtection="0"/>
    <xf numFmtId="0" fontId="32" fillId="34" borderId="119" applyNumberFormat="0" applyFont="0" applyAlignment="0" applyProtection="0"/>
    <xf numFmtId="0" fontId="32" fillId="34" borderId="119" applyNumberFormat="0" applyFont="0" applyAlignment="0" applyProtection="0"/>
    <xf numFmtId="0" fontId="32" fillId="34" borderId="119" applyNumberFormat="0" applyFont="0" applyAlignment="0" applyProtection="0"/>
    <xf numFmtId="0" fontId="32" fillId="34" borderId="119" applyNumberFormat="0" applyFont="0" applyAlignment="0" applyProtection="0"/>
    <xf numFmtId="0" fontId="32" fillId="34" borderId="119" applyNumberFormat="0" applyFont="0" applyAlignment="0" applyProtection="0"/>
    <xf numFmtId="0" fontId="32" fillId="34" borderId="119" applyNumberFormat="0" applyFont="0" applyAlignment="0" applyProtection="0"/>
    <xf numFmtId="0" fontId="32" fillId="34" borderId="119" applyNumberFormat="0" applyFont="0" applyAlignment="0" applyProtection="0"/>
    <xf numFmtId="0" fontId="32" fillId="34" borderId="119" applyNumberFormat="0" applyFont="0" applyAlignment="0" applyProtection="0"/>
    <xf numFmtId="0" fontId="32" fillId="34" borderId="119" applyNumberFormat="0" applyFont="0" applyAlignment="0" applyProtection="0"/>
    <xf numFmtId="0" fontId="32" fillId="34" borderId="119" applyNumberFormat="0" applyFont="0" applyAlignment="0" applyProtection="0"/>
    <xf numFmtId="0" fontId="32" fillId="34" borderId="119" applyNumberFormat="0" applyFont="0" applyAlignment="0" applyProtection="0"/>
    <xf numFmtId="0" fontId="32" fillId="34" borderId="119" applyNumberFormat="0" applyFont="0" applyAlignment="0" applyProtection="0"/>
    <xf numFmtId="0" fontId="32" fillId="34" borderId="119" applyNumberFormat="0" applyFont="0" applyAlignment="0" applyProtection="0"/>
    <xf numFmtId="0" fontId="32" fillId="34" borderId="119" applyNumberFormat="0" applyFont="0" applyAlignment="0" applyProtection="0"/>
    <xf numFmtId="0" fontId="32" fillId="34" borderId="119" applyNumberFormat="0" applyFont="0" applyAlignment="0" applyProtection="0"/>
    <xf numFmtId="0" fontId="32" fillId="34" borderId="119" applyNumberFormat="0" applyFont="0" applyAlignment="0" applyProtection="0"/>
    <xf numFmtId="0" fontId="32" fillId="34" borderId="119" applyNumberFormat="0" applyFont="0" applyAlignment="0" applyProtection="0"/>
    <xf numFmtId="0" fontId="32" fillId="34" borderId="119" applyNumberFormat="0" applyFont="0" applyAlignment="0" applyProtection="0"/>
    <xf numFmtId="0" fontId="32" fillId="34" borderId="119" applyNumberFormat="0" applyFont="0" applyAlignment="0" applyProtection="0"/>
    <xf numFmtId="0" fontId="32" fillId="34" borderId="119" applyNumberFormat="0" applyFont="0" applyAlignment="0" applyProtection="0"/>
    <xf numFmtId="0" fontId="32" fillId="34" borderId="119" applyNumberFormat="0" applyFont="0" applyAlignment="0" applyProtection="0"/>
    <xf numFmtId="0" fontId="32" fillId="34" borderId="119" applyNumberFormat="0" applyFont="0" applyAlignment="0" applyProtection="0"/>
    <xf numFmtId="0" fontId="32" fillId="34" borderId="119" applyNumberFormat="0" applyFont="0" applyAlignment="0" applyProtection="0"/>
    <xf numFmtId="0" fontId="32" fillId="34" borderId="119" applyNumberFormat="0" applyFont="0" applyAlignment="0" applyProtection="0"/>
    <xf numFmtId="0" fontId="32" fillId="34" borderId="119" applyNumberFormat="0" applyFont="0" applyAlignment="0" applyProtection="0"/>
    <xf numFmtId="0" fontId="32" fillId="34" borderId="119" applyNumberFormat="0" applyFont="0" applyAlignment="0" applyProtection="0"/>
    <xf numFmtId="0" fontId="32" fillId="34" borderId="119" applyNumberFormat="0" applyFont="0" applyAlignment="0" applyProtection="0"/>
    <xf numFmtId="0" fontId="32" fillId="34" borderId="119" applyNumberFormat="0" applyFont="0" applyAlignment="0" applyProtection="0"/>
    <xf numFmtId="0" fontId="32" fillId="34" borderId="119" applyNumberFormat="0" applyFont="0" applyAlignment="0" applyProtection="0"/>
    <xf numFmtId="0" fontId="32" fillId="34" borderId="119" applyNumberFormat="0" applyFont="0" applyAlignment="0" applyProtection="0"/>
    <xf numFmtId="0" fontId="32" fillId="34" borderId="119" applyNumberFormat="0" applyFont="0" applyAlignment="0" applyProtection="0"/>
    <xf numFmtId="0" fontId="32"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126" fillId="30" borderId="117" applyNumberFormat="0" applyAlignment="0" applyProtection="0"/>
    <xf numFmtId="0" fontId="126" fillId="30" borderId="117" applyNumberFormat="0" applyAlignment="0" applyProtection="0"/>
    <xf numFmtId="0" fontId="126" fillId="30" borderId="117" applyNumberFormat="0" applyAlignment="0" applyProtection="0"/>
    <xf numFmtId="0" fontId="126" fillId="30" borderId="117" applyNumberFormat="0" applyAlignment="0" applyProtection="0"/>
    <xf numFmtId="0" fontId="126" fillId="30" borderId="117" applyNumberFormat="0" applyAlignment="0" applyProtection="0"/>
    <xf numFmtId="0" fontId="126" fillId="30" borderId="117" applyNumberFormat="0" applyAlignment="0" applyProtection="0"/>
    <xf numFmtId="0" fontId="126" fillId="30" borderId="117" applyNumberFormat="0" applyAlignment="0" applyProtection="0"/>
    <xf numFmtId="0" fontId="126" fillId="30" borderId="117" applyNumberFormat="0" applyAlignment="0" applyProtection="0"/>
    <xf numFmtId="0" fontId="126" fillId="30" borderId="117" applyNumberFormat="0" applyAlignment="0" applyProtection="0"/>
    <xf numFmtId="0" fontId="126" fillId="30" borderId="117" applyNumberFormat="0" applyAlignment="0" applyProtection="0"/>
    <xf numFmtId="0" fontId="126" fillId="30" borderId="117" applyNumberFormat="0" applyAlignment="0" applyProtection="0"/>
    <xf numFmtId="0" fontId="126" fillId="30" borderId="117" applyNumberFormat="0" applyAlignment="0" applyProtection="0"/>
    <xf numFmtId="0" fontId="126" fillId="30" borderId="117" applyNumberFormat="0" applyAlignment="0" applyProtection="0"/>
    <xf numFmtId="0" fontId="126" fillId="30" borderId="117" applyNumberFormat="0" applyAlignment="0" applyProtection="0"/>
    <xf numFmtId="0" fontId="126" fillId="30" borderId="117" applyNumberFormat="0" applyAlignment="0" applyProtection="0"/>
    <xf numFmtId="0" fontId="126" fillId="30" borderId="117" applyNumberFormat="0" applyAlignment="0" applyProtection="0"/>
    <xf numFmtId="0" fontId="126" fillId="30" borderId="117" applyNumberFormat="0" applyAlignment="0" applyProtection="0"/>
    <xf numFmtId="0" fontId="126" fillId="30" borderId="117" applyNumberFormat="0" applyAlignment="0" applyProtection="0"/>
    <xf numFmtId="0" fontId="126" fillId="30" borderId="117" applyNumberFormat="0" applyAlignment="0" applyProtection="0"/>
    <xf numFmtId="0" fontId="126" fillId="30" borderId="117" applyNumberFormat="0" applyAlignment="0" applyProtection="0"/>
    <xf numFmtId="0" fontId="126" fillId="30" borderId="117" applyNumberFormat="0" applyAlignment="0" applyProtection="0"/>
    <xf numFmtId="0" fontId="126" fillId="30" borderId="117" applyNumberFormat="0" applyAlignment="0" applyProtection="0"/>
    <xf numFmtId="0" fontId="126" fillId="30" borderId="117" applyNumberFormat="0" applyAlignment="0" applyProtection="0"/>
    <xf numFmtId="0" fontId="126" fillId="30" borderId="117" applyNumberFormat="0" applyAlignment="0" applyProtection="0"/>
    <xf numFmtId="0" fontId="126" fillId="30" borderId="117" applyNumberFormat="0" applyAlignment="0" applyProtection="0"/>
    <xf numFmtId="0" fontId="126" fillId="30" borderId="117" applyNumberFormat="0" applyAlignment="0" applyProtection="0"/>
    <xf numFmtId="0" fontId="126" fillId="30" borderId="117" applyNumberFormat="0" applyAlignment="0" applyProtection="0"/>
    <xf numFmtId="0" fontId="126" fillId="30" borderId="117" applyNumberFormat="0" applyAlignment="0" applyProtection="0"/>
    <xf numFmtId="0" fontId="126" fillId="30" borderId="117" applyNumberFormat="0" applyAlignment="0" applyProtection="0"/>
    <xf numFmtId="0" fontId="126" fillId="30" borderId="117" applyNumberFormat="0" applyAlignment="0" applyProtection="0"/>
    <xf numFmtId="0" fontId="126" fillId="30" borderId="117" applyNumberFormat="0" applyAlignment="0" applyProtection="0"/>
    <xf numFmtId="0" fontId="126" fillId="30" borderId="117" applyNumberFormat="0" applyAlignment="0" applyProtection="0"/>
    <xf numFmtId="0" fontId="126" fillId="30" borderId="117" applyNumberFormat="0" applyAlignment="0" applyProtection="0"/>
    <xf numFmtId="0" fontId="126" fillId="30" borderId="117" applyNumberFormat="0" applyAlignment="0" applyProtection="0"/>
    <xf numFmtId="0" fontId="126" fillId="30" borderId="117" applyNumberFormat="0" applyAlignment="0" applyProtection="0"/>
    <xf numFmtId="0" fontId="126" fillId="30" borderId="117" applyNumberFormat="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4" fontId="82" fillId="35" borderId="121" applyNumberFormat="0" applyProtection="0">
      <alignment horizontal="left" vertical="center" indent="1"/>
    </xf>
    <xf numFmtId="4" fontId="82" fillId="35" borderId="121" applyNumberFormat="0" applyProtection="0">
      <alignment horizontal="left" vertical="center" indent="1"/>
    </xf>
    <xf numFmtId="4" fontId="82" fillId="35" borderId="121" applyNumberFormat="0" applyProtection="0">
      <alignment horizontal="left" vertical="center" indent="1"/>
    </xf>
    <xf numFmtId="4" fontId="82" fillId="35" borderId="121" applyNumberFormat="0" applyProtection="0">
      <alignment horizontal="left" vertical="center" indent="1"/>
    </xf>
    <xf numFmtId="4" fontId="82" fillId="35" borderId="121" applyNumberFormat="0" applyProtection="0">
      <alignment horizontal="left" vertical="center" indent="1"/>
    </xf>
    <xf numFmtId="4" fontId="82" fillId="35" borderId="121" applyNumberFormat="0" applyProtection="0">
      <alignment horizontal="left" vertical="center" indent="1"/>
    </xf>
    <xf numFmtId="4" fontId="82" fillId="35" borderId="121" applyNumberFormat="0" applyProtection="0">
      <alignment horizontal="left" vertical="center" indent="1"/>
    </xf>
    <xf numFmtId="4" fontId="82" fillId="35" borderId="121" applyNumberFormat="0" applyProtection="0">
      <alignment horizontal="left" vertical="center" indent="1"/>
    </xf>
    <xf numFmtId="4" fontId="82" fillId="35" borderId="121" applyNumberFormat="0" applyProtection="0">
      <alignment horizontal="left" vertical="center" indent="1"/>
    </xf>
    <xf numFmtId="4" fontId="82" fillId="35" borderId="121" applyNumberFormat="0" applyProtection="0">
      <alignment horizontal="left" vertical="center" indent="1"/>
    </xf>
    <xf numFmtId="4" fontId="82" fillId="35" borderId="121" applyNumberFormat="0" applyProtection="0">
      <alignment horizontal="left" vertical="center" indent="1"/>
    </xf>
    <xf numFmtId="4" fontId="82" fillId="35" borderId="121" applyNumberFormat="0" applyProtection="0">
      <alignment horizontal="left" vertical="center" indent="1"/>
    </xf>
    <xf numFmtId="4" fontId="82" fillId="35" borderId="121" applyNumberFormat="0" applyProtection="0">
      <alignment horizontal="left" vertical="center" indent="1"/>
    </xf>
    <xf numFmtId="4" fontId="82" fillId="35" borderId="121" applyNumberFormat="0" applyProtection="0">
      <alignment horizontal="left" vertical="center" indent="1"/>
    </xf>
    <xf numFmtId="4" fontId="82" fillId="35" borderId="121" applyNumberFormat="0" applyProtection="0">
      <alignment horizontal="left" vertical="center" indent="1"/>
    </xf>
    <xf numFmtId="4" fontId="82" fillId="35" borderId="121" applyNumberFormat="0" applyProtection="0">
      <alignment horizontal="left" vertical="center" indent="1"/>
    </xf>
    <xf numFmtId="4" fontId="82" fillId="35" borderId="121" applyNumberFormat="0" applyProtection="0">
      <alignment horizontal="left" vertical="center" indent="1"/>
    </xf>
    <xf numFmtId="4" fontId="82" fillId="35" borderId="121" applyNumberFormat="0" applyProtection="0">
      <alignment horizontal="left" vertical="center" indent="1"/>
    </xf>
    <xf numFmtId="4" fontId="82" fillId="35" borderId="121" applyNumberFormat="0" applyProtection="0">
      <alignment horizontal="left" vertical="center" indent="1"/>
    </xf>
    <xf numFmtId="4" fontId="82" fillId="35" borderId="121" applyNumberFormat="0" applyProtection="0">
      <alignment horizontal="left" vertical="center" indent="1"/>
    </xf>
    <xf numFmtId="4" fontId="82" fillId="35" borderId="121" applyNumberFormat="0" applyProtection="0">
      <alignment horizontal="left" vertical="center" indent="1"/>
    </xf>
    <xf numFmtId="4" fontId="82" fillId="35" borderId="121" applyNumberFormat="0" applyProtection="0">
      <alignment horizontal="left" vertical="center" indent="1"/>
    </xf>
    <xf numFmtId="4" fontId="82" fillId="35" borderId="121" applyNumberFormat="0" applyProtection="0">
      <alignment horizontal="left" vertical="center" indent="1"/>
    </xf>
    <xf numFmtId="4" fontId="82" fillId="35" borderId="121"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108" fillId="0" borderId="120" applyNumberFormat="0" applyFill="0" applyAlignment="0" applyProtection="0"/>
    <xf numFmtId="0" fontId="108" fillId="0" borderId="120" applyNumberFormat="0" applyFill="0" applyAlignment="0" applyProtection="0"/>
    <xf numFmtId="0" fontId="108" fillId="0" borderId="120" applyNumberFormat="0" applyFill="0" applyAlignment="0" applyProtection="0"/>
    <xf numFmtId="0" fontId="108" fillId="0" borderId="120" applyNumberFormat="0" applyFill="0" applyAlignment="0" applyProtection="0"/>
    <xf numFmtId="0" fontId="108" fillId="0" borderId="120" applyNumberFormat="0" applyFill="0" applyAlignment="0" applyProtection="0"/>
    <xf numFmtId="0" fontId="108" fillId="0" borderId="120" applyNumberFormat="0" applyFill="0" applyAlignment="0" applyProtection="0"/>
    <xf numFmtId="0" fontId="108" fillId="0" borderId="120" applyNumberFormat="0" applyFill="0" applyAlignment="0" applyProtection="0"/>
    <xf numFmtId="0" fontId="108" fillId="0" borderId="120" applyNumberFormat="0" applyFill="0" applyAlignment="0" applyProtection="0"/>
    <xf numFmtId="0" fontId="108" fillId="0" borderId="120" applyNumberFormat="0" applyFill="0" applyAlignment="0" applyProtection="0"/>
    <xf numFmtId="0" fontId="108" fillId="0" borderId="120" applyNumberFormat="0" applyFill="0" applyAlignment="0" applyProtection="0"/>
    <xf numFmtId="0" fontId="108" fillId="0" borderId="120" applyNumberFormat="0" applyFill="0" applyAlignment="0" applyProtection="0"/>
    <xf numFmtId="0" fontId="108" fillId="0" borderId="120" applyNumberFormat="0" applyFill="0" applyAlignment="0" applyProtection="0"/>
    <xf numFmtId="0" fontId="108" fillId="0" borderId="120" applyNumberFormat="0" applyFill="0" applyAlignment="0" applyProtection="0"/>
    <xf numFmtId="0" fontId="108" fillId="0" borderId="120" applyNumberFormat="0" applyFill="0" applyAlignment="0" applyProtection="0"/>
    <xf numFmtId="0" fontId="108" fillId="0" borderId="120" applyNumberFormat="0" applyFill="0" applyAlignment="0" applyProtection="0"/>
    <xf numFmtId="0" fontId="108" fillId="0" borderId="120" applyNumberFormat="0" applyFill="0" applyAlignment="0" applyProtection="0"/>
    <xf numFmtId="0" fontId="108" fillId="0" borderId="120" applyNumberFormat="0" applyFill="0" applyAlignment="0" applyProtection="0"/>
    <xf numFmtId="0" fontId="108" fillId="0" borderId="120" applyNumberFormat="0" applyFill="0" applyAlignment="0" applyProtection="0"/>
    <xf numFmtId="0" fontId="108" fillId="0" borderId="120" applyNumberFormat="0" applyFill="0" applyAlignment="0" applyProtection="0"/>
    <xf numFmtId="0" fontId="108" fillId="0" borderId="120" applyNumberFormat="0" applyFill="0" applyAlignment="0" applyProtection="0"/>
    <xf numFmtId="0" fontId="108" fillId="0" borderId="120" applyNumberFormat="0" applyFill="0" applyAlignment="0" applyProtection="0"/>
    <xf numFmtId="0" fontId="108" fillId="0" borderId="120" applyNumberFormat="0" applyFill="0" applyAlignment="0" applyProtection="0"/>
    <xf numFmtId="0" fontId="108" fillId="0" borderId="120" applyNumberFormat="0" applyFill="0" applyAlignment="0" applyProtection="0"/>
    <xf numFmtId="0" fontId="108" fillId="0" borderId="120" applyNumberFormat="0" applyFill="0" applyAlignment="0" applyProtection="0"/>
    <xf numFmtId="0" fontId="108" fillId="0" borderId="120" applyNumberFormat="0" applyFill="0" applyAlignment="0" applyProtection="0"/>
    <xf numFmtId="0" fontId="108" fillId="0" borderId="120" applyNumberFormat="0" applyFill="0" applyAlignment="0" applyProtection="0"/>
    <xf numFmtId="0" fontId="108" fillId="0" borderId="120" applyNumberFormat="0" applyFill="0" applyAlignment="0" applyProtection="0"/>
    <xf numFmtId="0" fontId="108" fillId="0" borderId="120" applyNumberFormat="0" applyFill="0" applyAlignment="0" applyProtection="0"/>
    <xf numFmtId="0" fontId="108" fillId="0" borderId="120" applyNumberFormat="0" applyFill="0" applyAlignment="0" applyProtection="0"/>
    <xf numFmtId="0" fontId="108" fillId="0" borderId="120" applyNumberFormat="0" applyFill="0" applyAlignment="0" applyProtection="0"/>
    <xf numFmtId="0" fontId="108" fillId="0" borderId="120" applyNumberFormat="0" applyFill="0" applyAlignment="0" applyProtection="0"/>
    <xf numFmtId="0" fontId="108" fillId="0" borderId="120" applyNumberFormat="0" applyFill="0" applyAlignment="0" applyProtection="0"/>
    <xf numFmtId="0" fontId="108" fillId="0" borderId="120" applyNumberFormat="0" applyFill="0" applyAlignment="0" applyProtection="0"/>
    <xf numFmtId="0" fontId="108" fillId="0" borderId="120" applyNumberFormat="0" applyFill="0" applyAlignment="0" applyProtection="0"/>
    <xf numFmtId="0" fontId="108" fillId="0" borderId="120" applyNumberFormat="0" applyFill="0" applyAlignment="0" applyProtection="0"/>
    <xf numFmtId="0" fontId="108" fillId="0" borderId="120" applyNumberFormat="0" applyFill="0" applyAlignment="0" applyProtection="0"/>
    <xf numFmtId="43" fontId="12" fillId="0" borderId="0" applyFont="0" applyFill="0" applyBorder="0" applyAlignment="0" applyProtection="0"/>
    <xf numFmtId="0" fontId="12" fillId="0" borderId="0"/>
    <xf numFmtId="0" fontId="12" fillId="0" borderId="0"/>
    <xf numFmtId="0" fontId="11" fillId="0" borderId="0"/>
    <xf numFmtId="0" fontId="32" fillId="49" borderId="133" applyNumberFormat="0" applyProtection="0">
      <alignment horizontal="left" vertical="top" indent="1"/>
    </xf>
    <xf numFmtId="43" fontId="32" fillId="0" borderId="0" applyFont="0" applyFill="0" applyBorder="0" applyAlignment="0" applyProtection="0"/>
    <xf numFmtId="0" fontId="32" fillId="8" borderId="142" applyNumberFormat="0" applyProtection="0">
      <alignment horizontal="left" vertical="center" indent="1"/>
    </xf>
    <xf numFmtId="44" fontId="32" fillId="0" borderId="0" applyFont="0" applyFill="0" applyBorder="0" applyAlignment="0" applyProtection="0"/>
    <xf numFmtId="4" fontId="179" fillId="0" borderId="0" applyNumberFormat="0" applyProtection="0">
      <alignment horizontal="left" vertical="center" indent="1"/>
    </xf>
    <xf numFmtId="9" fontId="32" fillId="0" borderId="0" applyFont="0" applyFill="0" applyBorder="0" applyAlignment="0" applyProtection="0"/>
    <xf numFmtId="41" fontId="32" fillId="0" borderId="0" applyFont="0" applyFill="0" applyBorder="0" applyAlignment="0" applyProtection="0"/>
    <xf numFmtId="194" fontId="32" fillId="0" borderId="0"/>
    <xf numFmtId="4" fontId="45" fillId="54" borderId="0" applyNumberFormat="0" applyProtection="0">
      <alignment horizontal="left"/>
    </xf>
    <xf numFmtId="195" fontId="173" fillId="0" borderId="0" applyFont="0" applyFill="0" applyBorder="0" applyProtection="0">
      <alignment horizontal="right"/>
    </xf>
    <xf numFmtId="0" fontId="11" fillId="0" borderId="0"/>
    <xf numFmtId="0" fontId="11" fillId="0" borderId="0"/>
    <xf numFmtId="43" fontId="11" fillId="0" borderId="0" applyFont="0" applyFill="0" applyBorder="0" applyAlignment="0" applyProtection="0"/>
    <xf numFmtId="44" fontId="11" fillId="0" borderId="0" applyFont="0" applyFill="0" applyBorder="0" applyAlignment="0" applyProtection="0"/>
    <xf numFmtId="9" fontId="11" fillId="0" borderId="0" applyFont="0" applyFill="0" applyBorder="0" applyAlignment="0" applyProtection="0"/>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4" fontId="82" fillId="9" borderId="129" applyNumberFormat="0" applyProtection="0">
      <alignment horizontal="right" vertical="center"/>
    </xf>
    <xf numFmtId="4" fontId="82" fillId="46" borderId="133" applyNumberFormat="0" applyProtection="0">
      <alignment horizontal="right" vertical="center"/>
    </xf>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32" fillId="49" borderId="133" applyNumberFormat="0" applyProtection="0">
      <alignment horizontal="left" vertical="top" indent="1"/>
    </xf>
    <xf numFmtId="43" fontId="11" fillId="0" borderId="0" applyFont="0" applyFill="0" applyBorder="0" applyAlignment="0" applyProtection="0"/>
    <xf numFmtId="43" fontId="139"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4" fontId="182" fillId="48" borderId="133" applyNumberFormat="0" applyProtection="0">
      <alignment horizontal="right" vertical="center"/>
    </xf>
    <xf numFmtId="0" fontId="33" fillId="0" borderId="0" applyNumberFormat="0" applyFill="0" applyBorder="0">
      <alignment horizontal="center" wrapText="1"/>
    </xf>
    <xf numFmtId="196" fontId="175" fillId="0" borderId="0" applyNumberFormat="0" applyFill="0" applyBorder="0" applyAlignment="0" applyProtection="0"/>
    <xf numFmtId="194" fontId="32" fillId="0" borderId="0"/>
    <xf numFmtId="0" fontId="32" fillId="52" borderId="133" applyNumberFormat="0" applyProtection="0">
      <alignment horizontal="left" vertical="center" indent="1"/>
    </xf>
    <xf numFmtId="0" fontId="114" fillId="30" borderId="130" applyNumberFormat="0" applyAlignment="0" applyProtection="0"/>
    <xf numFmtId="43" fontId="11" fillId="0" borderId="0" applyFont="0" applyFill="0" applyBorder="0" applyAlignment="0" applyProtection="0"/>
    <xf numFmtId="0" fontId="32" fillId="8" borderId="142" applyNumberFormat="0" applyProtection="0">
      <alignment horizontal="left" vertical="center" indent="1"/>
    </xf>
    <xf numFmtId="0" fontId="32"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3" fontId="184" fillId="55" borderId="141" applyProtection="0"/>
    <xf numFmtId="37" fontId="81" fillId="0" borderId="0"/>
    <xf numFmtId="4" fontId="45" fillId="54" borderId="0" applyNumberFormat="0" applyProtection="0">
      <alignment horizontal="left"/>
    </xf>
    <xf numFmtId="4" fontId="45" fillId="54" borderId="0" applyNumberFormat="0" applyProtection="0">
      <alignment horizontal="left"/>
    </xf>
    <xf numFmtId="0" fontId="123" fillId="17" borderId="130" applyNumberFormat="0" applyAlignment="0" applyProtection="0"/>
    <xf numFmtId="4" fontId="183" fillId="0" borderId="0" applyNumberFormat="0" applyProtection="0">
      <alignment horizontal="left" vertical="center"/>
    </xf>
    <xf numFmtId="0" fontId="82" fillId="45" borderId="133" applyNumberFormat="0" applyProtection="0">
      <alignment horizontal="left" vertical="top"/>
    </xf>
    <xf numFmtId="4" fontId="82" fillId="0" borderId="133" applyNumberFormat="0" applyProtection="0">
      <alignment horizontal="right" vertical="center"/>
    </xf>
    <xf numFmtId="0" fontId="32" fillId="52" borderId="133" applyNumberFormat="0" applyProtection="0">
      <alignment horizontal="left" vertical="top" indent="1"/>
    </xf>
    <xf numFmtId="0" fontId="11" fillId="0" borderId="0"/>
    <xf numFmtId="0" fontId="32" fillId="52" borderId="133" applyNumberFormat="0" applyProtection="0">
      <alignment horizontal="left" vertical="top" indent="1"/>
    </xf>
    <xf numFmtId="0" fontId="32" fillId="52" borderId="133" applyNumberFormat="0" applyProtection="0">
      <alignment horizontal="left" vertical="top" indent="1"/>
    </xf>
    <xf numFmtId="0" fontId="11" fillId="0" borderId="0"/>
    <xf numFmtId="0" fontId="32" fillId="52" borderId="133" applyNumberFormat="0" applyProtection="0">
      <alignment horizontal="left" vertical="top" indent="1"/>
    </xf>
    <xf numFmtId="0" fontId="32" fillId="45" borderId="133" applyNumberFormat="0" applyProtection="0">
      <alignment horizontal="left" vertical="top" indent="1"/>
    </xf>
    <xf numFmtId="0" fontId="32" fillId="45" borderId="133" applyNumberFormat="0" applyProtection="0">
      <alignment horizontal="left" vertical="top" indent="1"/>
    </xf>
    <xf numFmtId="0" fontId="11" fillId="0" borderId="0"/>
    <xf numFmtId="0" fontId="11" fillId="0" borderId="0"/>
    <xf numFmtId="0" fontId="11" fillId="0" borderId="0"/>
    <xf numFmtId="0" fontId="11" fillId="0" borderId="0"/>
    <xf numFmtId="0" fontId="32" fillId="45" borderId="133" applyNumberFormat="0" applyProtection="0">
      <alignment horizontal="left" vertical="top" indent="1"/>
    </xf>
    <xf numFmtId="0" fontId="11" fillId="0" borderId="0"/>
    <xf numFmtId="0" fontId="32" fillId="49" borderId="133" applyNumberFormat="0" applyProtection="0">
      <alignment horizontal="left" vertical="center" indent="1"/>
    </xf>
    <xf numFmtId="0" fontId="32" fillId="49" borderId="133" applyNumberFormat="0" applyProtection="0">
      <alignment horizontal="left" vertical="center" indent="1"/>
    </xf>
    <xf numFmtId="4" fontId="180" fillId="50" borderId="0" applyNumberFormat="0" applyProtection="0">
      <alignment horizontal="left" indent="1"/>
    </xf>
    <xf numFmtId="4" fontId="180" fillId="50" borderId="0" applyNumberFormat="0" applyProtection="0">
      <alignment horizontal="left" indent="1"/>
    </xf>
    <xf numFmtId="4" fontId="180" fillId="50" borderId="0" applyNumberFormat="0" applyProtection="0">
      <alignment horizontal="left" indent="1"/>
    </xf>
    <xf numFmtId="4" fontId="82" fillId="28" borderId="133" applyNumberFormat="0" applyProtection="0">
      <alignment horizontal="right" vertical="center"/>
    </xf>
    <xf numFmtId="4" fontId="82" fillId="29" borderId="133" applyNumberFormat="0" applyProtection="0">
      <alignment horizontal="right" vertical="center"/>
    </xf>
    <xf numFmtId="4" fontId="82" fillId="25" borderId="133" applyNumberFormat="0" applyProtection="0">
      <alignment horizontal="right" vertical="center"/>
    </xf>
    <xf numFmtId="4" fontId="83" fillId="45" borderId="133" applyNumberFormat="0" applyProtection="0"/>
    <xf numFmtId="0" fontId="83" fillId="4" borderId="133" applyNumberFormat="0" applyProtection="0">
      <alignment horizontal="left" vertical="top" indent="1"/>
    </xf>
    <xf numFmtId="4" fontId="83" fillId="4" borderId="133" applyNumberFormat="0" applyProtection="0">
      <alignment horizontal="left" vertical="center" indent="1"/>
    </xf>
    <xf numFmtId="10" fontId="32" fillId="0" borderId="0" applyFont="0" applyFill="0" applyBorder="0" applyAlignment="0" applyProtection="0"/>
    <xf numFmtId="12" fontId="34" fillId="44" borderId="75">
      <alignment horizontal="left"/>
    </xf>
    <xf numFmtId="0" fontId="32" fillId="0" borderId="0"/>
    <xf numFmtId="0" fontId="139" fillId="0" borderId="0"/>
    <xf numFmtId="0" fontId="139" fillId="0" borderId="0"/>
    <xf numFmtId="0" fontId="11" fillId="0" borderId="0"/>
    <xf numFmtId="197" fontId="32" fillId="0" borderId="0"/>
    <xf numFmtId="194" fontId="32" fillId="0" borderId="0"/>
    <xf numFmtId="194" fontId="32" fillId="0" borderId="0"/>
    <xf numFmtId="194" fontId="32"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32"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126" fillId="30" borderId="129" applyNumberFormat="0" applyAlignment="0" applyProtection="0"/>
    <xf numFmtId="9" fontId="11" fillId="0" borderId="0" applyFont="0" applyFill="0" applyBorder="0" applyAlignment="0" applyProtection="0"/>
    <xf numFmtId="0" fontId="32" fillId="8" borderId="129" applyNumberFormat="0" applyProtection="0">
      <alignment horizontal="left" vertical="center" indent="1"/>
    </xf>
    <xf numFmtId="0" fontId="32" fillId="8" borderId="129" applyNumberFormat="0" applyProtection="0">
      <alignment horizontal="left" vertical="center" indent="1"/>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108" fillId="0" borderId="132" applyNumberFormat="0" applyFill="0" applyAlignment="0" applyProtection="0"/>
    <xf numFmtId="4" fontId="82" fillId="35" borderId="133" applyNumberFormat="0" applyProtection="0">
      <alignment horizontal="left" vertical="center" indent="1"/>
    </xf>
    <xf numFmtId="0" fontId="11" fillId="0" borderId="0"/>
    <xf numFmtId="43" fontId="11" fillId="0" borderId="0" applyFont="0" applyFill="0" applyBorder="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44" fontId="11" fillId="0" borderId="0" applyFont="0" applyFill="0" applyBorder="0" applyAlignment="0" applyProtection="0"/>
    <xf numFmtId="9" fontId="11" fillId="0" borderId="0" applyFont="0" applyFill="0" applyBorder="0" applyAlignment="0" applyProtection="0"/>
    <xf numFmtId="0" fontId="81" fillId="34" borderId="131" applyNumberFormat="0" applyFont="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4" fontId="82" fillId="35" borderId="133" applyNumberFormat="0" applyProtection="0">
      <alignment horizontal="left" vertical="center" indent="1"/>
    </xf>
    <xf numFmtId="0" fontId="108" fillId="0" borderId="132" applyNumberFormat="0" applyFill="0" applyAlignment="0" applyProtection="0"/>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126" fillId="30" borderId="129" applyNumberForma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32"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11" fillId="0" borderId="0"/>
    <xf numFmtId="43" fontId="11" fillId="0" borderId="0" applyFont="0" applyFill="0" applyBorder="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44" fontId="11" fillId="0" borderId="0" applyFont="0" applyFill="0" applyBorder="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0" fontId="11" fillId="0" borderId="0"/>
    <xf numFmtId="43" fontId="11" fillId="0" borderId="0" applyFont="0" applyFill="0" applyBorder="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44" fontId="11" fillId="0" borderId="0" applyFont="0" applyFill="0" applyBorder="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0" fontId="11" fillId="0" borderId="0"/>
    <xf numFmtId="43" fontId="11" fillId="0" borderId="0" applyFont="0" applyFill="0" applyBorder="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 fontId="82" fillId="35" borderId="133" applyNumberFormat="0" applyProtection="0">
      <alignment horizontal="left" vertical="center" indent="1"/>
    </xf>
    <xf numFmtId="43" fontId="11" fillId="0" borderId="0" applyFont="0" applyFill="0" applyBorder="0" applyAlignment="0" applyProtection="0"/>
    <xf numFmtId="0" fontId="114" fillId="30" borderId="130" applyNumberFormat="0" applyAlignment="0" applyProtection="0"/>
    <xf numFmtId="0" fontId="114" fillId="30" borderId="130" applyNumberFormat="0" applyAlignment="0" applyProtection="0"/>
    <xf numFmtId="0" fontId="114" fillId="30" borderId="130" applyNumberFormat="0" applyAlignment="0" applyProtection="0"/>
    <xf numFmtId="0" fontId="114" fillId="30" borderId="130" applyNumberFormat="0" applyAlignment="0" applyProtection="0"/>
    <xf numFmtId="0" fontId="114" fillId="30" borderId="130" applyNumberFormat="0" applyAlignment="0" applyProtection="0"/>
    <xf numFmtId="0" fontId="123" fillId="17" borderId="130" applyNumberFormat="0" applyAlignment="0" applyProtection="0"/>
    <xf numFmtId="0" fontId="123" fillId="17" borderId="130" applyNumberFormat="0" applyAlignment="0" applyProtection="0"/>
    <xf numFmtId="0" fontId="123" fillId="17" borderId="130" applyNumberFormat="0" applyAlignment="0" applyProtection="0"/>
    <xf numFmtId="0" fontId="123" fillId="17" borderId="130" applyNumberFormat="0" applyAlignment="0" applyProtection="0"/>
    <xf numFmtId="0" fontId="123" fillId="17" borderId="130" applyNumberForma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32" fillId="34" borderId="131" applyNumberFormat="0" applyFont="0" applyAlignment="0" applyProtection="0"/>
    <xf numFmtId="0" fontId="32" fillId="34" borderId="131" applyNumberFormat="0" applyFont="0" applyAlignment="0" applyProtection="0"/>
    <xf numFmtId="0" fontId="32" fillId="34" borderId="131" applyNumberFormat="0" applyFont="0" applyAlignment="0" applyProtection="0"/>
    <xf numFmtId="0" fontId="32"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126" fillId="30" borderId="129" applyNumberFormat="0" applyAlignment="0" applyProtection="0"/>
    <xf numFmtId="0" fontId="126" fillId="30" borderId="129" applyNumberFormat="0" applyAlignment="0" applyProtection="0"/>
    <xf numFmtId="0" fontId="126" fillId="30" borderId="129" applyNumberFormat="0" applyAlignment="0" applyProtection="0"/>
    <xf numFmtId="0" fontId="126" fillId="30" borderId="129" applyNumberFormat="0" applyAlignment="0" applyProtection="0"/>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4" fontId="82" fillId="35" borderId="133" applyNumberFormat="0" applyProtection="0">
      <alignment horizontal="left" vertical="center" indent="1"/>
    </xf>
    <xf numFmtId="4" fontId="82" fillId="35" borderId="133" applyNumberFormat="0" applyProtection="0">
      <alignment horizontal="left" vertical="center" indent="1"/>
    </xf>
    <xf numFmtId="4" fontId="82" fillId="35" borderId="133"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108" fillId="0" borderId="132" applyNumberFormat="0" applyFill="0" applyAlignment="0" applyProtection="0"/>
    <xf numFmtId="0" fontId="108" fillId="0" borderId="132" applyNumberFormat="0" applyFill="0" applyAlignment="0" applyProtection="0"/>
    <xf numFmtId="0" fontId="108" fillId="0" borderId="132" applyNumberFormat="0" applyFill="0" applyAlignment="0" applyProtection="0"/>
    <xf numFmtId="0" fontId="108" fillId="0" borderId="132" applyNumberFormat="0" applyFill="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44" fontId="11" fillId="0" borderId="0" applyFont="0" applyFill="0" applyBorder="0" applyAlignment="0" applyProtection="0"/>
    <xf numFmtId="9" fontId="11" fillId="0" borderId="0" applyFont="0" applyFill="0" applyBorder="0" applyAlignment="0" applyProtection="0"/>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4" fontId="82" fillId="9" borderId="129" applyNumberFormat="0" applyProtection="0">
      <alignment horizontal="right" vertical="center"/>
    </xf>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4" fillId="30" borderId="130" applyNumberFormat="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23" fillId="17" borderId="130" applyNumberForma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32"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126" fillId="30" borderId="129" applyNumberFormat="0" applyAlignment="0" applyProtection="0"/>
    <xf numFmtId="9" fontId="11" fillId="0" borderId="0" applyFont="0" applyFill="0" applyBorder="0" applyAlignment="0" applyProtection="0"/>
    <xf numFmtId="0" fontId="32" fillId="8" borderId="129" applyNumberFormat="0" applyProtection="0">
      <alignment horizontal="left" vertical="center" indent="1"/>
    </xf>
    <xf numFmtId="0" fontId="32" fillId="8" borderId="129" applyNumberFormat="0" applyProtection="0">
      <alignment horizontal="left" vertical="center" indent="1"/>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108" fillId="0" borderId="132" applyNumberFormat="0" applyFill="0" applyAlignment="0" applyProtection="0"/>
    <xf numFmtId="4" fontId="82" fillId="35" borderId="133" applyNumberFormat="0" applyProtection="0">
      <alignment horizontal="left" vertical="center" indent="1"/>
    </xf>
    <xf numFmtId="0" fontId="11" fillId="0" borderId="0"/>
    <xf numFmtId="43" fontId="11" fillId="0" borderId="0" applyFont="0" applyFill="0" applyBorder="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44" fontId="11" fillId="0" borderId="0" applyFont="0" applyFill="0" applyBorder="0" applyAlignment="0" applyProtection="0"/>
    <xf numFmtId="9" fontId="11" fillId="0" borderId="0" applyFont="0" applyFill="0" applyBorder="0" applyAlignment="0" applyProtection="0"/>
    <xf numFmtId="0" fontId="81" fillId="34" borderId="131" applyNumberFormat="0" applyFont="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4" fontId="82" fillId="35" borderId="133" applyNumberFormat="0" applyProtection="0">
      <alignment horizontal="left" vertical="center" indent="1"/>
    </xf>
    <xf numFmtId="0" fontId="108" fillId="0" borderId="132" applyNumberFormat="0" applyFill="0" applyAlignment="0" applyProtection="0"/>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126" fillId="30" borderId="129" applyNumberForma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32"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11" fillId="0" borderId="0"/>
    <xf numFmtId="43" fontId="11" fillId="0" borderId="0" applyFont="0" applyFill="0" applyBorder="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44" fontId="11" fillId="0" borderId="0" applyFont="0" applyFill="0" applyBorder="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0" fontId="11" fillId="0" borderId="0"/>
    <xf numFmtId="43" fontId="11" fillId="0" borderId="0" applyFont="0" applyFill="0" applyBorder="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44" fontId="11" fillId="0" borderId="0" applyFont="0" applyFill="0" applyBorder="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0" fontId="11" fillId="0" borderId="0"/>
    <xf numFmtId="43" fontId="11" fillId="0" borderId="0" applyFont="0" applyFill="0" applyBorder="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 fontId="82" fillId="35" borderId="133" applyNumberFormat="0" applyProtection="0">
      <alignment horizontal="left" vertical="center" indent="1"/>
    </xf>
    <xf numFmtId="43" fontId="11" fillId="0" borderId="0" applyFont="0" applyFill="0" applyBorder="0" applyAlignment="0" applyProtection="0"/>
    <xf numFmtId="0" fontId="114" fillId="30" borderId="130" applyNumberFormat="0" applyAlignment="0" applyProtection="0"/>
    <xf numFmtId="0" fontId="114" fillId="30" borderId="130" applyNumberFormat="0" applyAlignment="0" applyProtection="0"/>
    <xf numFmtId="0" fontId="114" fillId="30" borderId="130" applyNumberFormat="0" applyAlignment="0" applyProtection="0"/>
    <xf numFmtId="0" fontId="114" fillId="30" borderId="130" applyNumberFormat="0" applyAlignment="0" applyProtection="0"/>
    <xf numFmtId="0" fontId="114" fillId="30" borderId="130" applyNumberFormat="0" applyAlignment="0" applyProtection="0"/>
    <xf numFmtId="0" fontId="123" fillId="17" borderId="130" applyNumberFormat="0" applyAlignment="0" applyProtection="0"/>
    <xf numFmtId="0" fontId="123" fillId="17" borderId="130" applyNumberFormat="0" applyAlignment="0" applyProtection="0"/>
    <xf numFmtId="0" fontId="123" fillId="17" borderId="130" applyNumberFormat="0" applyAlignment="0" applyProtection="0"/>
    <xf numFmtId="0" fontId="123" fillId="17" borderId="130" applyNumberFormat="0" applyAlignment="0" applyProtection="0"/>
    <xf numFmtId="0" fontId="123" fillId="17" borderId="130" applyNumberForma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32" fillId="34" borderId="131" applyNumberFormat="0" applyFont="0" applyAlignment="0" applyProtection="0"/>
    <xf numFmtId="0" fontId="32" fillId="34" borderId="131" applyNumberFormat="0" applyFont="0" applyAlignment="0" applyProtection="0"/>
    <xf numFmtId="0" fontId="32" fillId="34" borderId="131" applyNumberFormat="0" applyFont="0" applyAlignment="0" applyProtection="0"/>
    <xf numFmtId="0" fontId="32"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126" fillId="30" borderId="129" applyNumberFormat="0" applyAlignment="0" applyProtection="0"/>
    <xf numFmtId="0" fontId="126" fillId="30" borderId="129" applyNumberFormat="0" applyAlignment="0" applyProtection="0"/>
    <xf numFmtId="0" fontId="126" fillId="30" borderId="129" applyNumberFormat="0" applyAlignment="0" applyProtection="0"/>
    <xf numFmtId="0" fontId="126" fillId="30" borderId="129" applyNumberFormat="0" applyAlignment="0" applyProtection="0"/>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4" fontId="82" fillId="35" borderId="133" applyNumberFormat="0" applyProtection="0">
      <alignment horizontal="left" vertical="center" indent="1"/>
    </xf>
    <xf numFmtId="4" fontId="82" fillId="35" borderId="133" applyNumberFormat="0" applyProtection="0">
      <alignment horizontal="left" vertical="center" indent="1"/>
    </xf>
    <xf numFmtId="4" fontId="82" fillId="35" borderId="133"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108" fillId="0" borderId="132" applyNumberFormat="0" applyFill="0" applyAlignment="0" applyProtection="0"/>
    <xf numFmtId="0" fontId="108" fillId="0" borderId="132" applyNumberFormat="0" applyFill="0" applyAlignment="0" applyProtection="0"/>
    <xf numFmtId="0" fontId="108" fillId="0" borderId="132" applyNumberFormat="0" applyFill="0" applyAlignment="0" applyProtection="0"/>
    <xf numFmtId="0" fontId="108" fillId="0" borderId="132" applyNumberFormat="0" applyFill="0" applyAlignment="0" applyProtection="0"/>
    <xf numFmtId="0" fontId="11" fillId="0" borderId="0"/>
    <xf numFmtId="0" fontId="11" fillId="0" borderId="0"/>
    <xf numFmtId="43" fontId="11" fillId="0" borderId="0" applyFont="0" applyFill="0" applyBorder="0" applyAlignment="0" applyProtection="0"/>
    <xf numFmtId="0" fontId="81" fillId="34" borderId="131" applyNumberFormat="0" applyFont="0" applyAlignment="0" applyProtection="0"/>
    <xf numFmtId="4" fontId="82" fillId="35" borderId="133" applyNumberFormat="0" applyProtection="0">
      <alignment horizontal="left" vertical="center" indent="1"/>
    </xf>
    <xf numFmtId="0" fontId="108" fillId="0" borderId="132" applyNumberFormat="0" applyFill="0" applyAlignment="0" applyProtection="0"/>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126" fillId="30" borderId="129" applyNumberForma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32"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4" fontId="82" fillId="35" borderId="133" applyNumberFormat="0" applyProtection="0">
      <alignment horizontal="left" vertical="center" indent="1"/>
    </xf>
    <xf numFmtId="4" fontId="82" fillId="35" borderId="133" applyNumberFormat="0" applyProtection="0">
      <alignment horizontal="left" vertical="center" indent="1"/>
    </xf>
    <xf numFmtId="4" fontId="82" fillId="35" borderId="133" applyNumberFormat="0" applyProtection="0">
      <alignment horizontal="left" vertical="center" indent="1"/>
    </xf>
    <xf numFmtId="4" fontId="82" fillId="35" borderId="133" applyNumberFormat="0" applyProtection="0">
      <alignment horizontal="left" vertical="center" indent="1"/>
    </xf>
    <xf numFmtId="0" fontId="11" fillId="0" borderId="0"/>
    <xf numFmtId="0" fontId="11" fillId="0" borderId="0"/>
    <xf numFmtId="43" fontId="11" fillId="0" borderId="0" applyFont="0" applyFill="0" applyBorder="0" applyAlignment="0" applyProtection="0"/>
    <xf numFmtId="44" fontId="11" fillId="0" borderId="0" applyFont="0" applyFill="0" applyBorder="0" applyAlignment="0" applyProtection="0"/>
    <xf numFmtId="9" fontId="11" fillId="0" borderId="0" applyFont="0" applyFill="0" applyBorder="0" applyAlignment="0" applyProtection="0"/>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4" fontId="82" fillId="9" borderId="129" applyNumberFormat="0" applyProtection="0">
      <alignment horizontal="right" vertical="center"/>
    </xf>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4" fillId="30" borderId="130" applyNumberFormat="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23" fillId="17" borderId="130" applyNumberForma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32"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126" fillId="30" borderId="129" applyNumberFormat="0" applyAlignment="0" applyProtection="0"/>
    <xf numFmtId="9" fontId="11" fillId="0" borderId="0" applyFont="0" applyFill="0" applyBorder="0" applyAlignment="0" applyProtection="0"/>
    <xf numFmtId="0" fontId="32" fillId="8" borderId="129" applyNumberFormat="0" applyProtection="0">
      <alignment horizontal="left" vertical="center" indent="1"/>
    </xf>
    <xf numFmtId="0" fontId="32" fillId="8" borderId="129" applyNumberFormat="0" applyProtection="0">
      <alignment horizontal="left" vertical="center" indent="1"/>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108" fillId="0" borderId="132" applyNumberFormat="0" applyFill="0" applyAlignment="0" applyProtection="0"/>
    <xf numFmtId="4" fontId="82" fillId="35" borderId="133" applyNumberFormat="0" applyProtection="0">
      <alignment horizontal="left" vertical="center" indent="1"/>
    </xf>
    <xf numFmtId="0" fontId="11" fillId="0" borderId="0"/>
    <xf numFmtId="43" fontId="11" fillId="0" borderId="0" applyFont="0" applyFill="0" applyBorder="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44" fontId="11" fillId="0" borderId="0" applyFont="0" applyFill="0" applyBorder="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0" fontId="11" fillId="0" borderId="0"/>
    <xf numFmtId="43" fontId="11" fillId="0" borderId="0" applyFont="0" applyFill="0" applyBorder="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44" fontId="11" fillId="0" borderId="0" applyFont="0" applyFill="0" applyBorder="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0" fontId="11" fillId="0" borderId="0"/>
    <xf numFmtId="43" fontId="11" fillId="0" borderId="0" applyFont="0" applyFill="0" applyBorder="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44" fontId="11" fillId="0" borderId="0" applyFont="0" applyFill="0" applyBorder="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0" fontId="11" fillId="0" borderId="0"/>
    <xf numFmtId="43" fontId="11" fillId="0" borderId="0" applyFont="0" applyFill="0" applyBorder="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4" fillId="30" borderId="130" applyNumberFormat="0" applyAlignment="0" applyProtection="0"/>
    <xf numFmtId="0" fontId="114" fillId="30" borderId="130" applyNumberFormat="0" applyAlignment="0" applyProtection="0"/>
    <xf numFmtId="0" fontId="114" fillId="30" borderId="130" applyNumberFormat="0" applyAlignment="0" applyProtection="0"/>
    <xf numFmtId="0" fontId="114" fillId="30" borderId="130" applyNumberFormat="0" applyAlignment="0" applyProtection="0"/>
    <xf numFmtId="0" fontId="114" fillId="30" borderId="130" applyNumberFormat="0" applyAlignment="0" applyProtection="0"/>
    <xf numFmtId="0" fontId="123" fillId="17" borderId="130" applyNumberFormat="0" applyAlignment="0" applyProtection="0"/>
    <xf numFmtId="0" fontId="123" fillId="17" borderId="130" applyNumberFormat="0" applyAlignment="0" applyProtection="0"/>
    <xf numFmtId="0" fontId="123" fillId="17" borderId="130" applyNumberFormat="0" applyAlignment="0" applyProtection="0"/>
    <xf numFmtId="0" fontId="123" fillId="17" borderId="130" applyNumberFormat="0" applyAlignment="0" applyProtection="0"/>
    <xf numFmtId="0" fontId="123" fillId="17" borderId="130" applyNumberForma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32" fillId="34" borderId="131" applyNumberFormat="0" applyFont="0" applyAlignment="0" applyProtection="0"/>
    <xf numFmtId="0" fontId="32" fillId="34" borderId="131" applyNumberFormat="0" applyFont="0" applyAlignment="0" applyProtection="0"/>
    <xf numFmtId="0" fontId="32" fillId="34" borderId="131" applyNumberFormat="0" applyFont="0" applyAlignment="0" applyProtection="0"/>
    <xf numFmtId="0" fontId="32"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126" fillId="30" borderId="129" applyNumberFormat="0" applyAlignment="0" applyProtection="0"/>
    <xf numFmtId="0" fontId="126" fillId="30" borderId="129" applyNumberFormat="0" applyAlignment="0" applyProtection="0"/>
    <xf numFmtId="0" fontId="126" fillId="30" borderId="129" applyNumberFormat="0" applyAlignment="0" applyProtection="0"/>
    <xf numFmtId="0" fontId="126" fillId="30" borderId="129" applyNumberFormat="0" applyAlignment="0" applyProtection="0"/>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108" fillId="0" borderId="132" applyNumberFormat="0" applyFill="0" applyAlignment="0" applyProtection="0"/>
    <xf numFmtId="0" fontId="108" fillId="0" borderId="132" applyNumberFormat="0" applyFill="0" applyAlignment="0" applyProtection="0"/>
    <xf numFmtId="0" fontId="108" fillId="0" borderId="132" applyNumberFormat="0" applyFill="0" applyAlignment="0" applyProtection="0"/>
    <xf numFmtId="0" fontId="108" fillId="0" borderId="132" applyNumberFormat="0" applyFill="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44" fontId="11" fillId="0" borderId="0" applyFont="0" applyFill="0" applyBorder="0" applyAlignment="0" applyProtection="0"/>
    <xf numFmtId="9" fontId="11" fillId="0" borderId="0" applyFont="0" applyFill="0" applyBorder="0" applyAlignment="0" applyProtection="0"/>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4" fontId="82" fillId="9" borderId="129" applyNumberFormat="0" applyProtection="0">
      <alignment horizontal="right" vertical="center"/>
    </xf>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4" fillId="30" borderId="130" applyNumberFormat="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23" fillId="17" borderId="130" applyNumberForma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32"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126" fillId="30" borderId="129" applyNumberFormat="0" applyAlignment="0" applyProtection="0"/>
    <xf numFmtId="9" fontId="11" fillId="0" borderId="0" applyFont="0" applyFill="0" applyBorder="0" applyAlignment="0" applyProtection="0"/>
    <xf numFmtId="0" fontId="32" fillId="8" borderId="129" applyNumberFormat="0" applyProtection="0">
      <alignment horizontal="left" vertical="center" indent="1"/>
    </xf>
    <xf numFmtId="0" fontId="32" fillId="8" borderId="129" applyNumberFormat="0" applyProtection="0">
      <alignment horizontal="left" vertical="center" indent="1"/>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108" fillId="0" borderId="132" applyNumberFormat="0" applyFill="0" applyAlignment="0" applyProtection="0"/>
    <xf numFmtId="4" fontId="82" fillId="35" borderId="133" applyNumberFormat="0" applyProtection="0">
      <alignment horizontal="left" vertical="center" indent="1"/>
    </xf>
    <xf numFmtId="0" fontId="11" fillId="0" borderId="0"/>
    <xf numFmtId="43" fontId="11" fillId="0" borderId="0" applyFont="0" applyFill="0" applyBorder="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44" fontId="11" fillId="0" borderId="0" applyFont="0" applyFill="0" applyBorder="0" applyAlignment="0" applyProtection="0"/>
    <xf numFmtId="9" fontId="11" fillId="0" borderId="0" applyFont="0" applyFill="0" applyBorder="0" applyAlignment="0" applyProtection="0"/>
    <xf numFmtId="0" fontId="81" fillId="34" borderId="131" applyNumberFormat="0" applyFont="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4" fontId="82" fillId="35" borderId="133" applyNumberFormat="0" applyProtection="0">
      <alignment horizontal="left" vertical="center" indent="1"/>
    </xf>
    <xf numFmtId="0" fontId="108" fillId="0" borderId="132" applyNumberFormat="0" applyFill="0" applyAlignment="0" applyProtection="0"/>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126" fillId="30" borderId="129" applyNumberForma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32"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11" fillId="0" borderId="0"/>
    <xf numFmtId="43" fontId="11" fillId="0" borderId="0" applyFont="0" applyFill="0" applyBorder="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44" fontId="11" fillId="0" borderId="0" applyFont="0" applyFill="0" applyBorder="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0" fontId="11" fillId="0" borderId="0"/>
    <xf numFmtId="43" fontId="11" fillId="0" borderId="0" applyFont="0" applyFill="0" applyBorder="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44" fontId="11" fillId="0" borderId="0" applyFont="0" applyFill="0" applyBorder="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0" fontId="11" fillId="0" borderId="0"/>
    <xf numFmtId="43" fontId="11" fillId="0" borderId="0" applyFont="0" applyFill="0" applyBorder="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 fontId="82" fillId="35" borderId="133" applyNumberFormat="0" applyProtection="0">
      <alignment horizontal="left" vertical="center" indent="1"/>
    </xf>
    <xf numFmtId="43" fontId="11" fillId="0" borderId="0" applyFont="0" applyFill="0" applyBorder="0" applyAlignment="0" applyProtection="0"/>
    <xf numFmtId="0" fontId="114" fillId="30" borderId="130" applyNumberFormat="0" applyAlignment="0" applyProtection="0"/>
    <xf numFmtId="0" fontId="114" fillId="30" borderId="130" applyNumberFormat="0" applyAlignment="0" applyProtection="0"/>
    <xf numFmtId="0" fontId="114" fillId="30" borderId="130" applyNumberFormat="0" applyAlignment="0" applyProtection="0"/>
    <xf numFmtId="0" fontId="114" fillId="30" borderId="130" applyNumberFormat="0" applyAlignment="0" applyProtection="0"/>
    <xf numFmtId="0" fontId="114" fillId="30" borderId="130" applyNumberFormat="0" applyAlignment="0" applyProtection="0"/>
    <xf numFmtId="0" fontId="123" fillId="17" borderId="130" applyNumberFormat="0" applyAlignment="0" applyProtection="0"/>
    <xf numFmtId="0" fontId="123" fillId="17" borderId="130" applyNumberFormat="0" applyAlignment="0" applyProtection="0"/>
    <xf numFmtId="0" fontId="123" fillId="17" borderId="130" applyNumberFormat="0" applyAlignment="0" applyProtection="0"/>
    <xf numFmtId="0" fontId="123" fillId="17" borderId="130" applyNumberFormat="0" applyAlignment="0" applyProtection="0"/>
    <xf numFmtId="0" fontId="123" fillId="17" borderId="130" applyNumberForma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32" fillId="34" borderId="131" applyNumberFormat="0" applyFont="0" applyAlignment="0" applyProtection="0"/>
    <xf numFmtId="0" fontId="32" fillId="34" borderId="131" applyNumberFormat="0" applyFont="0" applyAlignment="0" applyProtection="0"/>
    <xf numFmtId="0" fontId="32" fillId="34" borderId="131" applyNumberFormat="0" applyFont="0" applyAlignment="0" applyProtection="0"/>
    <xf numFmtId="0" fontId="32"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126" fillId="30" borderId="129" applyNumberFormat="0" applyAlignment="0" applyProtection="0"/>
    <xf numFmtId="0" fontId="126" fillId="30" borderId="129" applyNumberFormat="0" applyAlignment="0" applyProtection="0"/>
    <xf numFmtId="0" fontId="126" fillId="30" borderId="129" applyNumberFormat="0" applyAlignment="0" applyProtection="0"/>
    <xf numFmtId="0" fontId="126" fillId="30" borderId="129" applyNumberFormat="0" applyAlignment="0" applyProtection="0"/>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4" fontId="82" fillId="35" borderId="133" applyNumberFormat="0" applyProtection="0">
      <alignment horizontal="left" vertical="center" indent="1"/>
    </xf>
    <xf numFmtId="4" fontId="82" fillId="35" borderId="133" applyNumberFormat="0" applyProtection="0">
      <alignment horizontal="left" vertical="center" indent="1"/>
    </xf>
    <xf numFmtId="4" fontId="82" fillId="35" borderId="133"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108" fillId="0" borderId="132" applyNumberFormat="0" applyFill="0" applyAlignment="0" applyProtection="0"/>
    <xf numFmtId="0" fontId="108" fillId="0" borderId="132" applyNumberFormat="0" applyFill="0" applyAlignment="0" applyProtection="0"/>
    <xf numFmtId="0" fontId="108" fillId="0" borderId="132" applyNumberFormat="0" applyFill="0" applyAlignment="0" applyProtection="0"/>
    <xf numFmtId="0" fontId="108" fillId="0" borderId="132" applyNumberFormat="0" applyFill="0" applyAlignment="0" applyProtection="0"/>
    <xf numFmtId="0" fontId="11" fillId="0" borderId="0"/>
    <xf numFmtId="0" fontId="11" fillId="0" borderId="0"/>
    <xf numFmtId="43" fontId="11" fillId="0" borderId="0" applyFont="0" applyFill="0" applyBorder="0" applyAlignment="0" applyProtection="0"/>
    <xf numFmtId="0" fontId="81" fillId="34" borderId="131" applyNumberFormat="0" applyFont="0" applyAlignment="0" applyProtection="0"/>
    <xf numFmtId="4" fontId="82" fillId="35" borderId="133" applyNumberFormat="0" applyProtection="0">
      <alignment horizontal="left" vertical="center" indent="1"/>
    </xf>
    <xf numFmtId="0" fontId="108" fillId="0" borderId="132" applyNumberFormat="0" applyFill="0" applyAlignment="0" applyProtection="0"/>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126" fillId="30" borderId="129" applyNumberForma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32"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4" fontId="82" fillId="35" borderId="133" applyNumberFormat="0" applyProtection="0">
      <alignment horizontal="left" vertical="center" indent="1"/>
    </xf>
    <xf numFmtId="4" fontId="82" fillId="35" borderId="133" applyNumberFormat="0" applyProtection="0">
      <alignment horizontal="left" vertical="center" indent="1"/>
    </xf>
    <xf numFmtId="4" fontId="82" fillId="35" borderId="133" applyNumberFormat="0" applyProtection="0">
      <alignment horizontal="left" vertical="center" indent="1"/>
    </xf>
    <xf numFmtId="4" fontId="82" fillId="35" borderId="133" applyNumberFormat="0" applyProtection="0">
      <alignment horizontal="left" vertical="center" indent="1"/>
    </xf>
    <xf numFmtId="0" fontId="114" fillId="30" borderId="130" applyNumberFormat="0" applyAlignment="0" applyProtection="0"/>
    <xf numFmtId="0" fontId="114" fillId="30" borderId="130" applyNumberFormat="0" applyAlignment="0" applyProtection="0"/>
    <xf numFmtId="0" fontId="114" fillId="30" borderId="130" applyNumberFormat="0" applyAlignment="0" applyProtection="0"/>
    <xf numFmtId="0" fontId="114" fillId="30" borderId="130" applyNumberFormat="0" applyAlignment="0" applyProtection="0"/>
    <xf numFmtId="0" fontId="114" fillId="30" borderId="130" applyNumberFormat="0" applyAlignment="0" applyProtection="0"/>
    <xf numFmtId="0" fontId="114" fillId="30" borderId="130" applyNumberFormat="0" applyAlignment="0" applyProtection="0"/>
    <xf numFmtId="0" fontId="114" fillId="30" borderId="130" applyNumberFormat="0" applyAlignment="0" applyProtection="0"/>
    <xf numFmtId="0" fontId="114" fillId="30" borderId="130" applyNumberFormat="0" applyAlignment="0" applyProtection="0"/>
    <xf numFmtId="0" fontId="114" fillId="30" borderId="130" applyNumberFormat="0" applyAlignment="0" applyProtection="0"/>
    <xf numFmtId="0" fontId="114" fillId="30" borderId="130" applyNumberFormat="0" applyAlignment="0" applyProtection="0"/>
    <xf numFmtId="0" fontId="114" fillId="30" borderId="130" applyNumberFormat="0" applyAlignment="0" applyProtection="0"/>
    <xf numFmtId="0" fontId="114" fillId="30" borderId="130" applyNumberFormat="0" applyAlignment="0" applyProtection="0"/>
    <xf numFmtId="0" fontId="114" fillId="30" borderId="130" applyNumberFormat="0" applyAlignment="0" applyProtection="0"/>
    <xf numFmtId="0" fontId="114" fillId="30" borderId="130" applyNumberFormat="0" applyAlignment="0" applyProtection="0"/>
    <xf numFmtId="0" fontId="114" fillId="30" borderId="130" applyNumberFormat="0" applyAlignment="0" applyProtection="0"/>
    <xf numFmtId="0" fontId="114" fillId="30" borderId="130" applyNumberFormat="0" applyAlignment="0" applyProtection="0"/>
    <xf numFmtId="0" fontId="114" fillId="30" borderId="130" applyNumberFormat="0" applyAlignment="0" applyProtection="0"/>
    <xf numFmtId="0" fontId="114" fillId="30" borderId="130" applyNumberFormat="0" applyAlignment="0" applyProtection="0"/>
    <xf numFmtId="0" fontId="114" fillId="30" borderId="130" applyNumberFormat="0" applyAlignment="0" applyProtection="0"/>
    <xf numFmtId="0" fontId="114" fillId="30" borderId="130" applyNumberFormat="0" applyAlignment="0" applyProtection="0"/>
    <xf numFmtId="0" fontId="114" fillId="30" borderId="130" applyNumberFormat="0" applyAlignment="0" applyProtection="0"/>
    <xf numFmtId="0" fontId="114" fillId="30" borderId="130" applyNumberFormat="0" applyAlignment="0" applyProtection="0"/>
    <xf numFmtId="0" fontId="114" fillId="30" borderId="130" applyNumberFormat="0" applyAlignment="0" applyProtection="0"/>
    <xf numFmtId="0" fontId="114" fillId="30" borderId="130" applyNumberFormat="0" applyAlignment="0" applyProtection="0"/>
    <xf numFmtId="0" fontId="114" fillId="30" borderId="130" applyNumberFormat="0" applyAlignment="0" applyProtection="0"/>
    <xf numFmtId="0" fontId="114" fillId="30" borderId="130" applyNumberFormat="0" applyAlignment="0" applyProtection="0"/>
    <xf numFmtId="0" fontId="114" fillId="30" borderId="130" applyNumberFormat="0" applyAlignment="0" applyProtection="0"/>
    <xf numFmtId="0" fontId="114" fillId="30" borderId="130" applyNumberFormat="0" applyAlignment="0" applyProtection="0"/>
    <xf numFmtId="0" fontId="114" fillId="30" borderId="130" applyNumberFormat="0" applyAlignment="0" applyProtection="0"/>
    <xf numFmtId="0" fontId="114" fillId="30" borderId="130" applyNumberFormat="0" applyAlignment="0" applyProtection="0"/>
    <xf numFmtId="0" fontId="114" fillId="30" borderId="130" applyNumberFormat="0" applyAlignment="0" applyProtection="0"/>
    <xf numFmtId="0" fontId="114" fillId="30" borderId="130" applyNumberFormat="0" applyAlignment="0" applyProtection="0"/>
    <xf numFmtId="0" fontId="114" fillId="30" borderId="130" applyNumberFormat="0" applyAlignment="0" applyProtection="0"/>
    <xf numFmtId="0" fontId="114" fillId="30" borderId="130" applyNumberFormat="0" applyAlignment="0" applyProtection="0"/>
    <xf numFmtId="0" fontId="114" fillId="30" borderId="130" applyNumberFormat="0" applyAlignment="0" applyProtection="0"/>
    <xf numFmtId="0" fontId="114" fillId="30" borderId="130" applyNumberFormat="0" applyAlignment="0" applyProtection="0"/>
    <xf numFmtId="0" fontId="114" fillId="30" borderId="130" applyNumberFormat="0" applyAlignment="0" applyProtection="0"/>
    <xf numFmtId="0" fontId="114" fillId="30" borderId="130" applyNumberFormat="0" applyAlignment="0" applyProtection="0"/>
    <xf numFmtId="0" fontId="114" fillId="30" borderId="130" applyNumberFormat="0" applyAlignment="0" applyProtection="0"/>
    <xf numFmtId="0" fontId="114" fillId="30" borderId="130" applyNumberFormat="0" applyAlignment="0" applyProtection="0"/>
    <xf numFmtId="0" fontId="114" fillId="30" borderId="130" applyNumberFormat="0" applyAlignment="0" applyProtection="0"/>
    <xf numFmtId="0" fontId="114" fillId="30" borderId="130" applyNumberFormat="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23" fillId="17" borderId="130" applyNumberFormat="0" applyAlignment="0" applyProtection="0"/>
    <xf numFmtId="0" fontId="123" fillId="17" borderId="130" applyNumberFormat="0" applyAlignment="0" applyProtection="0"/>
    <xf numFmtId="0" fontId="123" fillId="17" borderId="130" applyNumberFormat="0" applyAlignment="0" applyProtection="0"/>
    <xf numFmtId="0" fontId="123" fillId="17" borderId="130" applyNumberFormat="0" applyAlignment="0" applyProtection="0"/>
    <xf numFmtId="0" fontId="123" fillId="17" borderId="130" applyNumberFormat="0" applyAlignment="0" applyProtection="0"/>
    <xf numFmtId="0" fontId="123" fillId="17" borderId="130" applyNumberFormat="0" applyAlignment="0" applyProtection="0"/>
    <xf numFmtId="0" fontId="123" fillId="17" borderId="130" applyNumberFormat="0" applyAlignment="0" applyProtection="0"/>
    <xf numFmtId="0" fontId="123" fillId="17" borderId="130" applyNumberFormat="0" applyAlignment="0" applyProtection="0"/>
    <xf numFmtId="0" fontId="123" fillId="17" borderId="130" applyNumberFormat="0" applyAlignment="0" applyProtection="0"/>
    <xf numFmtId="0" fontId="123" fillId="17" borderId="130" applyNumberFormat="0" applyAlignment="0" applyProtection="0"/>
    <xf numFmtId="0" fontId="123" fillId="17" borderId="130" applyNumberFormat="0" applyAlignment="0" applyProtection="0"/>
    <xf numFmtId="0" fontId="123" fillId="17" borderId="130" applyNumberFormat="0" applyAlignment="0" applyProtection="0"/>
    <xf numFmtId="0" fontId="123" fillId="17" borderId="130" applyNumberFormat="0" applyAlignment="0" applyProtection="0"/>
    <xf numFmtId="0" fontId="123" fillId="17" borderId="130" applyNumberFormat="0" applyAlignment="0" applyProtection="0"/>
    <xf numFmtId="0" fontId="123" fillId="17" borderId="130" applyNumberFormat="0" applyAlignment="0" applyProtection="0"/>
    <xf numFmtId="0" fontId="123" fillId="17" borderId="130" applyNumberFormat="0" applyAlignment="0" applyProtection="0"/>
    <xf numFmtId="0" fontId="123" fillId="17" borderId="130" applyNumberFormat="0" applyAlignment="0" applyProtection="0"/>
    <xf numFmtId="0" fontId="123" fillId="17" borderId="130" applyNumberFormat="0" applyAlignment="0" applyProtection="0"/>
    <xf numFmtId="0" fontId="123" fillId="17" borderId="130" applyNumberFormat="0" applyAlignment="0" applyProtection="0"/>
    <xf numFmtId="0" fontId="123" fillId="17" borderId="130" applyNumberFormat="0" applyAlignment="0" applyProtection="0"/>
    <xf numFmtId="0" fontId="123" fillId="17" borderId="130" applyNumberFormat="0" applyAlignment="0" applyProtection="0"/>
    <xf numFmtId="0" fontId="123" fillId="17" borderId="130" applyNumberFormat="0" applyAlignment="0" applyProtection="0"/>
    <xf numFmtId="0" fontId="123" fillId="17" borderId="130" applyNumberFormat="0" applyAlignment="0" applyProtection="0"/>
    <xf numFmtId="0" fontId="123" fillId="17" borderId="130" applyNumberFormat="0" applyAlignment="0" applyProtection="0"/>
    <xf numFmtId="0" fontId="123" fillId="17" borderId="130" applyNumberFormat="0" applyAlignment="0" applyProtection="0"/>
    <xf numFmtId="0" fontId="123" fillId="17" borderId="130" applyNumberFormat="0" applyAlignment="0" applyProtection="0"/>
    <xf numFmtId="0" fontId="123" fillId="17" borderId="130" applyNumberFormat="0" applyAlignment="0" applyProtection="0"/>
    <xf numFmtId="0" fontId="123" fillId="17" borderId="130" applyNumberFormat="0" applyAlignment="0" applyProtection="0"/>
    <xf numFmtId="0" fontId="123" fillId="17" borderId="130" applyNumberFormat="0" applyAlignment="0" applyProtection="0"/>
    <xf numFmtId="0" fontId="123" fillId="17" borderId="130" applyNumberFormat="0" applyAlignment="0" applyProtection="0"/>
    <xf numFmtId="0" fontId="123" fillId="17" borderId="130" applyNumberFormat="0" applyAlignment="0" applyProtection="0"/>
    <xf numFmtId="0" fontId="123" fillId="17" borderId="130" applyNumberFormat="0" applyAlignment="0" applyProtection="0"/>
    <xf numFmtId="0" fontId="123" fillId="17" borderId="130" applyNumberFormat="0" applyAlignment="0" applyProtection="0"/>
    <xf numFmtId="0" fontId="123" fillId="17" borderId="130" applyNumberFormat="0" applyAlignment="0" applyProtection="0"/>
    <xf numFmtId="0" fontId="123" fillId="17" borderId="130" applyNumberFormat="0" applyAlignment="0" applyProtection="0"/>
    <xf numFmtId="0" fontId="123" fillId="17" borderId="130" applyNumberFormat="0" applyAlignment="0" applyProtection="0"/>
    <xf numFmtId="0" fontId="123" fillId="17" borderId="130" applyNumberFormat="0" applyAlignment="0" applyProtection="0"/>
    <xf numFmtId="0" fontId="123" fillId="17" borderId="130" applyNumberFormat="0" applyAlignment="0" applyProtection="0"/>
    <xf numFmtId="0" fontId="123" fillId="17" borderId="130" applyNumberFormat="0" applyAlignment="0" applyProtection="0"/>
    <xf numFmtId="0" fontId="123" fillId="17" borderId="130" applyNumberFormat="0" applyAlignment="0" applyProtection="0"/>
    <xf numFmtId="0" fontId="123" fillId="17" borderId="130" applyNumberFormat="0" applyAlignment="0" applyProtection="0"/>
    <xf numFmtId="0" fontId="123" fillId="17" borderId="130" applyNumberForma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32" fillId="34" borderId="131" applyNumberFormat="0" applyFont="0" applyAlignment="0" applyProtection="0"/>
    <xf numFmtId="0" fontId="32" fillId="34" borderId="131" applyNumberFormat="0" applyFont="0" applyAlignment="0" applyProtection="0"/>
    <xf numFmtId="0" fontId="32" fillId="34" borderId="131" applyNumberFormat="0" applyFont="0" applyAlignment="0" applyProtection="0"/>
    <xf numFmtId="0" fontId="32" fillId="34" borderId="131" applyNumberFormat="0" applyFont="0" applyAlignment="0" applyProtection="0"/>
    <xf numFmtId="0" fontId="32" fillId="34" borderId="131" applyNumberFormat="0" applyFont="0" applyAlignment="0" applyProtection="0"/>
    <xf numFmtId="0" fontId="32" fillId="34" borderId="131" applyNumberFormat="0" applyFont="0" applyAlignment="0" applyProtection="0"/>
    <xf numFmtId="0" fontId="32" fillId="34" borderId="131" applyNumberFormat="0" applyFont="0" applyAlignment="0" applyProtection="0"/>
    <xf numFmtId="0" fontId="32" fillId="34" borderId="131" applyNumberFormat="0" applyFont="0" applyAlignment="0" applyProtection="0"/>
    <xf numFmtId="0" fontId="32" fillId="34" borderId="131" applyNumberFormat="0" applyFont="0" applyAlignment="0" applyProtection="0"/>
    <xf numFmtId="0" fontId="32" fillId="34" borderId="131" applyNumberFormat="0" applyFont="0" applyAlignment="0" applyProtection="0"/>
    <xf numFmtId="0" fontId="32" fillId="34" borderId="131" applyNumberFormat="0" applyFont="0" applyAlignment="0" applyProtection="0"/>
    <xf numFmtId="0" fontId="32" fillId="34" borderId="131" applyNumberFormat="0" applyFont="0" applyAlignment="0" applyProtection="0"/>
    <xf numFmtId="0" fontId="32" fillId="34" borderId="131" applyNumberFormat="0" applyFont="0" applyAlignment="0" applyProtection="0"/>
    <xf numFmtId="0" fontId="32" fillId="34" borderId="131" applyNumberFormat="0" applyFont="0" applyAlignment="0" applyProtection="0"/>
    <xf numFmtId="0" fontId="32" fillId="34" borderId="131" applyNumberFormat="0" applyFont="0" applyAlignment="0" applyProtection="0"/>
    <xf numFmtId="0" fontId="32" fillId="34" borderId="131" applyNumberFormat="0" applyFont="0" applyAlignment="0" applyProtection="0"/>
    <xf numFmtId="0" fontId="32" fillId="34" borderId="131" applyNumberFormat="0" applyFont="0" applyAlignment="0" applyProtection="0"/>
    <xf numFmtId="0" fontId="32" fillId="34" borderId="131" applyNumberFormat="0" applyFont="0" applyAlignment="0" applyProtection="0"/>
    <xf numFmtId="0" fontId="32" fillId="34" borderId="131" applyNumberFormat="0" applyFont="0" applyAlignment="0" applyProtection="0"/>
    <xf numFmtId="0" fontId="32" fillId="34" borderId="131" applyNumberFormat="0" applyFont="0" applyAlignment="0" applyProtection="0"/>
    <xf numFmtId="0" fontId="32" fillId="34" borderId="131" applyNumberFormat="0" applyFont="0" applyAlignment="0" applyProtection="0"/>
    <xf numFmtId="0" fontId="32" fillId="34" borderId="131" applyNumberFormat="0" applyFont="0" applyAlignment="0" applyProtection="0"/>
    <xf numFmtId="0" fontId="32" fillId="34" borderId="131" applyNumberFormat="0" applyFont="0" applyAlignment="0" applyProtection="0"/>
    <xf numFmtId="0" fontId="32" fillId="34" borderId="131" applyNumberFormat="0" applyFont="0" applyAlignment="0" applyProtection="0"/>
    <xf numFmtId="0" fontId="32" fillId="34" borderId="131" applyNumberFormat="0" applyFont="0" applyAlignment="0" applyProtection="0"/>
    <xf numFmtId="0" fontId="32" fillId="34" borderId="131" applyNumberFormat="0" applyFont="0" applyAlignment="0" applyProtection="0"/>
    <xf numFmtId="0" fontId="32" fillId="34" borderId="131" applyNumberFormat="0" applyFont="0" applyAlignment="0" applyProtection="0"/>
    <xf numFmtId="0" fontId="32" fillId="34" borderId="131" applyNumberFormat="0" applyFont="0" applyAlignment="0" applyProtection="0"/>
    <xf numFmtId="0" fontId="32" fillId="34" borderId="131" applyNumberFormat="0" applyFont="0" applyAlignment="0" applyProtection="0"/>
    <xf numFmtId="0" fontId="32" fillId="34" borderId="131" applyNumberFormat="0" applyFont="0" applyAlignment="0" applyProtection="0"/>
    <xf numFmtId="0" fontId="32" fillId="34" borderId="131" applyNumberFormat="0" applyFont="0" applyAlignment="0" applyProtection="0"/>
    <xf numFmtId="0" fontId="32" fillId="34" borderId="131" applyNumberFormat="0" applyFont="0" applyAlignment="0" applyProtection="0"/>
    <xf numFmtId="0" fontId="32" fillId="34" borderId="131" applyNumberFormat="0" applyFont="0" applyAlignment="0" applyProtection="0"/>
    <xf numFmtId="0" fontId="32" fillId="34" borderId="131" applyNumberFormat="0" applyFont="0" applyAlignment="0" applyProtection="0"/>
    <xf numFmtId="0" fontId="32" fillId="34" borderId="131" applyNumberFormat="0" applyFont="0" applyAlignment="0" applyProtection="0"/>
    <xf numFmtId="0" fontId="32"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126" fillId="30" borderId="129" applyNumberFormat="0" applyAlignment="0" applyProtection="0"/>
    <xf numFmtId="0" fontId="126" fillId="30" borderId="129" applyNumberFormat="0" applyAlignment="0" applyProtection="0"/>
    <xf numFmtId="0" fontId="126" fillId="30" borderId="129" applyNumberFormat="0" applyAlignment="0" applyProtection="0"/>
    <xf numFmtId="0" fontId="126" fillId="30" borderId="129" applyNumberFormat="0" applyAlignment="0" applyProtection="0"/>
    <xf numFmtId="0" fontId="126" fillId="30" borderId="129" applyNumberFormat="0" applyAlignment="0" applyProtection="0"/>
    <xf numFmtId="0" fontId="126" fillId="30" borderId="129" applyNumberFormat="0" applyAlignment="0" applyProtection="0"/>
    <xf numFmtId="0" fontId="126" fillId="30" borderId="129" applyNumberFormat="0" applyAlignment="0" applyProtection="0"/>
    <xf numFmtId="0" fontId="126" fillId="30" borderId="129" applyNumberFormat="0" applyAlignment="0" applyProtection="0"/>
    <xf numFmtId="0" fontId="126" fillId="30" borderId="129" applyNumberFormat="0" applyAlignment="0" applyProtection="0"/>
    <xf numFmtId="0" fontId="126" fillId="30" borderId="129" applyNumberFormat="0" applyAlignment="0" applyProtection="0"/>
    <xf numFmtId="0" fontId="126" fillId="30" borderId="129" applyNumberFormat="0" applyAlignment="0" applyProtection="0"/>
    <xf numFmtId="0" fontId="126" fillId="30" borderId="129" applyNumberFormat="0" applyAlignment="0" applyProtection="0"/>
    <xf numFmtId="0" fontId="126" fillId="30" borderId="129" applyNumberFormat="0" applyAlignment="0" applyProtection="0"/>
    <xf numFmtId="0" fontId="126" fillId="30" borderId="129" applyNumberFormat="0" applyAlignment="0" applyProtection="0"/>
    <xf numFmtId="0" fontId="126" fillId="30" borderId="129" applyNumberFormat="0" applyAlignment="0" applyProtection="0"/>
    <xf numFmtId="0" fontId="126" fillId="30" borderId="129" applyNumberFormat="0" applyAlignment="0" applyProtection="0"/>
    <xf numFmtId="0" fontId="126" fillId="30" borderId="129" applyNumberFormat="0" applyAlignment="0" applyProtection="0"/>
    <xf numFmtId="0" fontId="126" fillId="30" borderId="129" applyNumberFormat="0" applyAlignment="0" applyProtection="0"/>
    <xf numFmtId="0" fontId="126" fillId="30" borderId="129" applyNumberFormat="0" applyAlignment="0" applyProtection="0"/>
    <xf numFmtId="0" fontId="126" fillId="30" borderId="129" applyNumberFormat="0" applyAlignment="0" applyProtection="0"/>
    <xf numFmtId="0" fontId="126" fillId="30" borderId="129" applyNumberFormat="0" applyAlignment="0" applyProtection="0"/>
    <xf numFmtId="0" fontId="126" fillId="30" borderId="129" applyNumberFormat="0" applyAlignment="0" applyProtection="0"/>
    <xf numFmtId="0" fontId="126" fillId="30" borderId="129" applyNumberFormat="0" applyAlignment="0" applyProtection="0"/>
    <xf numFmtId="0" fontId="126" fillId="30" borderId="129" applyNumberFormat="0" applyAlignment="0" applyProtection="0"/>
    <xf numFmtId="0" fontId="126" fillId="30" borderId="129" applyNumberFormat="0" applyAlignment="0" applyProtection="0"/>
    <xf numFmtId="0" fontId="126" fillId="30" borderId="129" applyNumberFormat="0" applyAlignment="0" applyProtection="0"/>
    <xf numFmtId="0" fontId="126" fillId="30" borderId="129" applyNumberFormat="0" applyAlignment="0" applyProtection="0"/>
    <xf numFmtId="0" fontId="126" fillId="30" borderId="129" applyNumberFormat="0" applyAlignment="0" applyProtection="0"/>
    <xf numFmtId="0" fontId="126" fillId="30" borderId="129" applyNumberFormat="0" applyAlignment="0" applyProtection="0"/>
    <xf numFmtId="0" fontId="126" fillId="30" borderId="129" applyNumberFormat="0" applyAlignment="0" applyProtection="0"/>
    <xf numFmtId="0" fontId="126" fillId="30" borderId="129" applyNumberFormat="0" applyAlignment="0" applyProtection="0"/>
    <xf numFmtId="0" fontId="126" fillId="30" borderId="129" applyNumberFormat="0" applyAlignment="0" applyProtection="0"/>
    <xf numFmtId="0" fontId="126" fillId="30" borderId="129" applyNumberFormat="0" applyAlignment="0" applyProtection="0"/>
    <xf numFmtId="0" fontId="126" fillId="30" borderId="129" applyNumberFormat="0" applyAlignment="0" applyProtection="0"/>
    <xf numFmtId="0" fontId="126" fillId="30" borderId="129" applyNumberFormat="0" applyAlignment="0" applyProtection="0"/>
    <xf numFmtId="0" fontId="126" fillId="30" borderId="129" applyNumberFormat="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4" fontId="82" fillId="35" borderId="133" applyNumberFormat="0" applyProtection="0">
      <alignment horizontal="left" vertical="center" indent="1"/>
    </xf>
    <xf numFmtId="4" fontId="82" fillId="35" borderId="133" applyNumberFormat="0" applyProtection="0">
      <alignment horizontal="left" vertical="center" indent="1"/>
    </xf>
    <xf numFmtId="4" fontId="82" fillId="35" borderId="133" applyNumberFormat="0" applyProtection="0">
      <alignment horizontal="left" vertical="center" indent="1"/>
    </xf>
    <xf numFmtId="4" fontId="82" fillId="35" borderId="133" applyNumberFormat="0" applyProtection="0">
      <alignment horizontal="left" vertical="center" indent="1"/>
    </xf>
    <xf numFmtId="4" fontId="82" fillId="35" borderId="133" applyNumberFormat="0" applyProtection="0">
      <alignment horizontal="left" vertical="center" indent="1"/>
    </xf>
    <xf numFmtId="4" fontId="82" fillId="35" borderId="133" applyNumberFormat="0" applyProtection="0">
      <alignment horizontal="left" vertical="center" indent="1"/>
    </xf>
    <xf numFmtId="4" fontId="82" fillId="35" borderId="133" applyNumberFormat="0" applyProtection="0">
      <alignment horizontal="left" vertical="center" indent="1"/>
    </xf>
    <xf numFmtId="4" fontId="82" fillId="35" borderId="133" applyNumberFormat="0" applyProtection="0">
      <alignment horizontal="left" vertical="center" indent="1"/>
    </xf>
    <xf numFmtId="4" fontId="82" fillId="35" borderId="133" applyNumberFormat="0" applyProtection="0">
      <alignment horizontal="left" vertical="center" indent="1"/>
    </xf>
    <xf numFmtId="4" fontId="82" fillId="35" borderId="133" applyNumberFormat="0" applyProtection="0">
      <alignment horizontal="left" vertical="center" indent="1"/>
    </xf>
    <xf numFmtId="4" fontId="82" fillId="35" borderId="133" applyNumberFormat="0" applyProtection="0">
      <alignment horizontal="left" vertical="center" indent="1"/>
    </xf>
    <xf numFmtId="4" fontId="82" fillId="35" borderId="133" applyNumberFormat="0" applyProtection="0">
      <alignment horizontal="left" vertical="center" indent="1"/>
    </xf>
    <xf numFmtId="4" fontId="82" fillId="35" borderId="133" applyNumberFormat="0" applyProtection="0">
      <alignment horizontal="left" vertical="center" indent="1"/>
    </xf>
    <xf numFmtId="4" fontId="82" fillId="35" borderId="133" applyNumberFormat="0" applyProtection="0">
      <alignment horizontal="left" vertical="center" indent="1"/>
    </xf>
    <xf numFmtId="4" fontId="82" fillId="35" borderId="133" applyNumberFormat="0" applyProtection="0">
      <alignment horizontal="left" vertical="center" indent="1"/>
    </xf>
    <xf numFmtId="4" fontId="82" fillId="35" borderId="133" applyNumberFormat="0" applyProtection="0">
      <alignment horizontal="left" vertical="center" indent="1"/>
    </xf>
    <xf numFmtId="4" fontId="82" fillId="35" borderId="133" applyNumberFormat="0" applyProtection="0">
      <alignment horizontal="left" vertical="center" indent="1"/>
    </xf>
    <xf numFmtId="4" fontId="82" fillId="35" borderId="133" applyNumberFormat="0" applyProtection="0">
      <alignment horizontal="left" vertical="center" indent="1"/>
    </xf>
    <xf numFmtId="4" fontId="82" fillId="35" borderId="133" applyNumberFormat="0" applyProtection="0">
      <alignment horizontal="left" vertical="center" indent="1"/>
    </xf>
    <xf numFmtId="4" fontId="82" fillId="35" borderId="133" applyNumberFormat="0" applyProtection="0">
      <alignment horizontal="left" vertical="center" indent="1"/>
    </xf>
    <xf numFmtId="4" fontId="82" fillId="35" borderId="133" applyNumberFormat="0" applyProtection="0">
      <alignment horizontal="left" vertical="center" indent="1"/>
    </xf>
    <xf numFmtId="4" fontId="82" fillId="35" borderId="133" applyNumberFormat="0" applyProtection="0">
      <alignment horizontal="left" vertical="center" indent="1"/>
    </xf>
    <xf numFmtId="4" fontId="82" fillId="35" borderId="133" applyNumberFormat="0" applyProtection="0">
      <alignment horizontal="left" vertical="center" indent="1"/>
    </xf>
    <xf numFmtId="4" fontId="82" fillId="35" borderId="133"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108" fillId="0" borderId="132" applyNumberFormat="0" applyFill="0" applyAlignment="0" applyProtection="0"/>
    <xf numFmtId="0" fontId="108" fillId="0" borderId="132" applyNumberFormat="0" applyFill="0" applyAlignment="0" applyProtection="0"/>
    <xf numFmtId="0" fontId="108" fillId="0" borderId="132" applyNumberFormat="0" applyFill="0" applyAlignment="0" applyProtection="0"/>
    <xf numFmtId="0" fontId="108" fillId="0" borderId="132" applyNumberFormat="0" applyFill="0" applyAlignment="0" applyProtection="0"/>
    <xf numFmtId="0" fontId="108" fillId="0" borderId="132" applyNumberFormat="0" applyFill="0" applyAlignment="0" applyProtection="0"/>
    <xf numFmtId="0" fontId="108" fillId="0" borderId="132" applyNumberFormat="0" applyFill="0" applyAlignment="0" applyProtection="0"/>
    <xf numFmtId="0" fontId="108" fillId="0" borderId="132" applyNumberFormat="0" applyFill="0" applyAlignment="0" applyProtection="0"/>
    <xf numFmtId="0" fontId="108" fillId="0" borderId="132" applyNumberFormat="0" applyFill="0" applyAlignment="0" applyProtection="0"/>
    <xf numFmtId="0" fontId="108" fillId="0" borderId="132" applyNumberFormat="0" applyFill="0" applyAlignment="0" applyProtection="0"/>
    <xf numFmtId="0" fontId="108" fillId="0" borderId="132" applyNumberFormat="0" applyFill="0" applyAlignment="0" applyProtection="0"/>
    <xf numFmtId="0" fontId="108" fillId="0" borderId="132" applyNumberFormat="0" applyFill="0" applyAlignment="0" applyProtection="0"/>
    <xf numFmtId="0" fontId="108" fillId="0" borderId="132" applyNumberFormat="0" applyFill="0" applyAlignment="0" applyProtection="0"/>
    <xf numFmtId="0" fontId="108" fillId="0" borderId="132" applyNumberFormat="0" applyFill="0" applyAlignment="0" applyProtection="0"/>
    <xf numFmtId="0" fontId="108" fillId="0" borderId="132" applyNumberFormat="0" applyFill="0" applyAlignment="0" applyProtection="0"/>
    <xf numFmtId="0" fontId="108" fillId="0" borderId="132" applyNumberFormat="0" applyFill="0" applyAlignment="0" applyProtection="0"/>
    <xf numFmtId="0" fontId="108" fillId="0" borderId="132" applyNumberFormat="0" applyFill="0" applyAlignment="0" applyProtection="0"/>
    <xf numFmtId="0" fontId="108" fillId="0" borderId="132" applyNumberFormat="0" applyFill="0" applyAlignment="0" applyProtection="0"/>
    <xf numFmtId="0" fontId="108" fillId="0" borderId="132" applyNumberFormat="0" applyFill="0" applyAlignment="0" applyProtection="0"/>
    <xf numFmtId="0" fontId="108" fillId="0" borderId="132" applyNumberFormat="0" applyFill="0" applyAlignment="0" applyProtection="0"/>
    <xf numFmtId="0" fontId="108" fillId="0" borderId="132" applyNumberFormat="0" applyFill="0" applyAlignment="0" applyProtection="0"/>
    <xf numFmtId="0" fontId="108" fillId="0" borderId="132" applyNumberFormat="0" applyFill="0" applyAlignment="0" applyProtection="0"/>
    <xf numFmtId="0" fontId="108" fillId="0" borderId="132" applyNumberFormat="0" applyFill="0" applyAlignment="0" applyProtection="0"/>
    <xf numFmtId="0" fontId="108" fillId="0" borderId="132" applyNumberFormat="0" applyFill="0" applyAlignment="0" applyProtection="0"/>
    <xf numFmtId="0" fontId="108" fillId="0" borderId="132" applyNumberFormat="0" applyFill="0" applyAlignment="0" applyProtection="0"/>
    <xf numFmtId="0" fontId="108" fillId="0" borderId="132" applyNumberFormat="0" applyFill="0" applyAlignment="0" applyProtection="0"/>
    <xf numFmtId="0" fontId="108" fillId="0" borderId="132" applyNumberFormat="0" applyFill="0" applyAlignment="0" applyProtection="0"/>
    <xf numFmtId="0" fontId="108" fillId="0" borderId="132" applyNumberFormat="0" applyFill="0" applyAlignment="0" applyProtection="0"/>
    <xf numFmtId="0" fontId="108" fillId="0" borderId="132" applyNumberFormat="0" applyFill="0" applyAlignment="0" applyProtection="0"/>
    <xf numFmtId="0" fontId="108" fillId="0" borderId="132" applyNumberFormat="0" applyFill="0" applyAlignment="0" applyProtection="0"/>
    <xf numFmtId="0" fontId="108" fillId="0" borderId="132" applyNumberFormat="0" applyFill="0" applyAlignment="0" applyProtection="0"/>
    <xf numFmtId="0" fontId="108" fillId="0" borderId="132" applyNumberFormat="0" applyFill="0" applyAlignment="0" applyProtection="0"/>
    <xf numFmtId="0" fontId="108" fillId="0" borderId="132" applyNumberFormat="0" applyFill="0" applyAlignment="0" applyProtection="0"/>
    <xf numFmtId="0" fontId="108" fillId="0" borderId="132" applyNumberFormat="0" applyFill="0" applyAlignment="0" applyProtection="0"/>
    <xf numFmtId="0" fontId="108" fillId="0" borderId="132" applyNumberFormat="0" applyFill="0" applyAlignment="0" applyProtection="0"/>
    <xf numFmtId="0" fontId="108" fillId="0" borderId="132" applyNumberFormat="0" applyFill="0" applyAlignment="0" applyProtection="0"/>
    <xf numFmtId="0" fontId="108" fillId="0" borderId="132" applyNumberFormat="0" applyFill="0" applyAlignment="0" applyProtection="0"/>
    <xf numFmtId="0" fontId="32" fillId="53" borderId="133" applyNumberFormat="0" applyProtection="0">
      <alignment horizontal="left" vertical="top" indent="1"/>
    </xf>
    <xf numFmtId="4" fontId="45" fillId="54" borderId="0" applyNumberFormat="0" applyProtection="0">
      <alignment horizontal="left"/>
    </xf>
    <xf numFmtId="4" fontId="82" fillId="35" borderId="133" applyNumberFormat="0" applyProtection="0">
      <alignment horizontal="right" vertical="center"/>
    </xf>
    <xf numFmtId="4" fontId="178" fillId="49" borderId="0" applyNumberFormat="0" applyProtection="0">
      <alignment horizontal="left" vertical="center" indent="1"/>
    </xf>
    <xf numFmtId="0" fontId="32" fillId="52" borderId="133" applyNumberFormat="0" applyProtection="0">
      <alignment horizontal="left" vertical="center" indent="1"/>
    </xf>
    <xf numFmtId="0" fontId="32" fillId="49" borderId="133" applyNumberFormat="0" applyProtection="0">
      <alignment horizontal="left" vertical="center" indent="1"/>
    </xf>
    <xf numFmtId="0" fontId="32" fillId="52" borderId="133" applyNumberFormat="0" applyProtection="0">
      <alignment horizontal="left" vertical="center" indent="1"/>
    </xf>
    <xf numFmtId="4" fontId="178" fillId="49" borderId="0" applyNumberFormat="0" applyProtection="0">
      <alignment horizontal="left" vertical="center" indent="1"/>
    </xf>
    <xf numFmtId="37" fontId="81" fillId="4" borderId="0" applyNumberFormat="0" applyBorder="0" applyAlignment="0" applyProtection="0"/>
    <xf numFmtId="4" fontId="181" fillId="51" borderId="0" applyNumberFormat="0" applyProtection="0"/>
    <xf numFmtId="194" fontId="32" fillId="0" borderId="0"/>
    <xf numFmtId="4" fontId="83" fillId="33" borderId="133" applyNumberFormat="0" applyProtection="0">
      <alignment vertical="center"/>
    </xf>
    <xf numFmtId="4" fontId="35" fillId="48" borderId="133" applyNumberFormat="0" applyProtection="0">
      <alignment horizontal="right" vertical="center"/>
    </xf>
    <xf numFmtId="4" fontId="83" fillId="4" borderId="133" applyNumberFormat="0" applyProtection="0">
      <alignment horizontal="left" vertical="center" indent="1"/>
    </xf>
    <xf numFmtId="4" fontId="82" fillId="48" borderId="0" applyNumberFormat="0" applyProtection="0">
      <alignment horizontal="left" indent="1"/>
    </xf>
    <xf numFmtId="4" fontId="178" fillId="49" borderId="0" applyNumberFormat="0" applyProtection="0">
      <alignment horizontal="left" vertical="center" indent="1"/>
    </xf>
    <xf numFmtId="4" fontId="180" fillId="50" borderId="0" applyNumberFormat="0" applyProtection="0">
      <alignment horizontal="left" indent="1"/>
    </xf>
    <xf numFmtId="0" fontId="82" fillId="43" borderId="133" applyNumberFormat="0" applyProtection="0">
      <alignment horizontal="left" vertical="top" indent="1"/>
    </xf>
    <xf numFmtId="4" fontId="181" fillId="51" borderId="0" applyNumberFormat="0" applyProtection="0"/>
    <xf numFmtId="0" fontId="139" fillId="0" borderId="0"/>
    <xf numFmtId="4" fontId="82" fillId="27" borderId="133" applyNumberFormat="0" applyProtection="0">
      <alignment horizontal="right" vertical="center"/>
    </xf>
    <xf numFmtId="4" fontId="82" fillId="19" borderId="133" applyNumberFormat="0" applyProtection="0">
      <alignment horizontal="right" vertical="center"/>
    </xf>
    <xf numFmtId="0" fontId="32" fillId="49" borderId="133" applyNumberFormat="0" applyProtection="0">
      <alignment horizontal="left" vertical="center" indent="1"/>
    </xf>
    <xf numFmtId="4" fontId="45" fillId="54" borderId="0" applyNumberFormat="0" applyProtection="0">
      <alignment horizontal="left"/>
    </xf>
    <xf numFmtId="0" fontId="32" fillId="45" borderId="133" applyNumberFormat="0" applyProtection="0">
      <alignment horizontal="left" vertical="top" indent="1"/>
    </xf>
    <xf numFmtId="0" fontId="139" fillId="0" borderId="0"/>
    <xf numFmtId="4" fontId="83" fillId="4" borderId="133" applyNumberFormat="0" applyProtection="0">
      <alignment horizontal="left" vertical="center" indent="1"/>
    </xf>
    <xf numFmtId="0" fontId="32" fillId="53" borderId="133" applyNumberFormat="0" applyProtection="0">
      <alignment horizontal="left" vertical="center" indent="1"/>
    </xf>
    <xf numFmtId="4" fontId="82" fillId="9" borderId="142" applyNumberFormat="0" applyProtection="0">
      <alignment horizontal="right" vertical="center"/>
    </xf>
    <xf numFmtId="0" fontId="32" fillId="0" borderId="0"/>
    <xf numFmtId="4" fontId="180" fillId="50" borderId="0" applyNumberFormat="0" applyProtection="0">
      <alignment horizontal="left" indent="1"/>
    </xf>
    <xf numFmtId="4" fontId="82" fillId="13" borderId="133" applyNumberFormat="0" applyProtection="0">
      <alignment horizontal="right" vertical="center"/>
    </xf>
    <xf numFmtId="0" fontId="32" fillId="49" borderId="133" applyNumberFormat="0" applyProtection="0">
      <alignment horizontal="left" vertical="top" indent="1"/>
    </xf>
    <xf numFmtId="4" fontId="82" fillId="48" borderId="0" applyNumberFormat="0" applyProtection="0">
      <alignment horizontal="left" indent="1"/>
    </xf>
    <xf numFmtId="0" fontId="32" fillId="53" borderId="133" applyNumberFormat="0" applyProtection="0">
      <alignment horizontal="left" vertical="center" indent="1"/>
    </xf>
    <xf numFmtId="4" fontId="82" fillId="0" borderId="133" applyNumberFormat="0" applyProtection="0">
      <alignment horizontal="left" vertical="center" indent="1"/>
    </xf>
    <xf numFmtId="4" fontId="177" fillId="4" borderId="133" applyNumberFormat="0" applyProtection="0">
      <alignment vertical="center"/>
    </xf>
    <xf numFmtId="0" fontId="32" fillId="53" borderId="133" applyNumberFormat="0" applyProtection="0">
      <alignment horizontal="left" vertical="top" indent="1"/>
    </xf>
    <xf numFmtId="0" fontId="32" fillId="45" borderId="133" applyNumberFormat="0" applyProtection="0">
      <alignment horizontal="left" vertical="center" indent="1"/>
    </xf>
    <xf numFmtId="4" fontId="82" fillId="48" borderId="0" applyNumberFormat="0" applyProtection="0">
      <alignment horizontal="left" indent="1"/>
    </xf>
    <xf numFmtId="0" fontId="32" fillId="49" borderId="133" applyNumberFormat="0" applyProtection="0">
      <alignment horizontal="left" vertical="center" indent="1"/>
    </xf>
    <xf numFmtId="4" fontId="82" fillId="48" borderId="0" applyNumberFormat="0" applyProtection="0">
      <alignment horizontal="left" indent="1"/>
    </xf>
    <xf numFmtId="43" fontId="32" fillId="0" borderId="0" applyFont="0" applyFill="0" applyBorder="0" applyAlignment="0" applyProtection="0"/>
    <xf numFmtId="0" fontId="81" fillId="0" borderId="139" applyNumberFormat="0" applyBorder="0" applyAlignment="0"/>
    <xf numFmtId="4" fontId="181" fillId="0" borderId="0" applyNumberFormat="0" applyProtection="0">
      <alignment horizontal="left" vertical="center" indent="1"/>
    </xf>
    <xf numFmtId="4" fontId="82" fillId="21" borderId="133" applyNumberFormat="0" applyProtection="0">
      <alignment horizontal="right" vertical="center"/>
    </xf>
    <xf numFmtId="0" fontId="32" fillId="49" borderId="133" applyNumberFormat="0" applyProtection="0">
      <alignment horizontal="left" vertical="top" indent="1"/>
    </xf>
    <xf numFmtId="4" fontId="178" fillId="49" borderId="0" applyNumberFormat="0" applyProtection="0">
      <alignment horizontal="left" vertical="center" indent="1"/>
    </xf>
    <xf numFmtId="0" fontId="33" fillId="0" borderId="0" applyNumberFormat="0" applyFill="0" applyBorder="0">
      <alignment horizontal="center" wrapText="1"/>
    </xf>
    <xf numFmtId="4" fontId="82" fillId="20" borderId="133" applyNumberFormat="0" applyProtection="0">
      <alignment horizontal="right" vertical="center"/>
    </xf>
    <xf numFmtId="0" fontId="32" fillId="52" borderId="133" applyNumberFormat="0" applyProtection="0">
      <alignment horizontal="left" vertical="center" indent="1"/>
    </xf>
    <xf numFmtId="0" fontId="32" fillId="45" borderId="133" applyNumberFormat="0" applyProtection="0">
      <alignment horizontal="left" vertical="center" indent="1"/>
    </xf>
    <xf numFmtId="0" fontId="32" fillId="52" borderId="133" applyNumberFormat="0" applyProtection="0">
      <alignment horizontal="left" vertical="center" indent="1"/>
    </xf>
    <xf numFmtId="0" fontId="32" fillId="52" borderId="133" applyNumberFormat="0" applyProtection="0">
      <alignment horizontal="left" vertical="top" indent="1"/>
    </xf>
    <xf numFmtId="0" fontId="139" fillId="0" borderId="0"/>
    <xf numFmtId="0" fontId="32" fillId="45" borderId="133" applyNumberFormat="0" applyProtection="0">
      <alignment horizontal="left" vertical="center" indent="1"/>
    </xf>
    <xf numFmtId="43" fontId="139" fillId="0" borderId="0" applyFont="0" applyFill="0" applyBorder="0" applyAlignment="0" applyProtection="0"/>
    <xf numFmtId="4" fontId="82" fillId="43" borderId="133" applyNumberFormat="0" applyProtection="0">
      <alignment vertical="center"/>
    </xf>
    <xf numFmtId="0" fontId="32" fillId="53" borderId="133" applyNumberFormat="0" applyProtection="0">
      <alignment horizontal="left" vertical="top" indent="1"/>
    </xf>
    <xf numFmtId="194" fontId="32" fillId="0" borderId="0"/>
    <xf numFmtId="4" fontId="82" fillId="43" borderId="133" applyNumberFormat="0" applyProtection="0">
      <alignment horizontal="left" vertical="center" indent="1"/>
    </xf>
    <xf numFmtId="0" fontId="32" fillId="8" borderId="142" applyNumberFormat="0" applyProtection="0">
      <alignment horizontal="left" vertical="center" indent="1"/>
    </xf>
    <xf numFmtId="38" fontId="81" fillId="42" borderId="0" applyNumberFormat="0" applyBorder="0" applyAlignment="0" applyProtection="0"/>
    <xf numFmtId="4" fontId="83" fillId="4" borderId="133" applyNumberFormat="0" applyProtection="0">
      <alignment horizontal="left" vertical="center" indent="1"/>
    </xf>
    <xf numFmtId="4" fontId="82" fillId="48" borderId="0" applyNumberFormat="0" applyProtection="0">
      <alignment horizontal="left" indent="1"/>
    </xf>
    <xf numFmtId="0" fontId="32" fillId="53" borderId="133" applyNumberFormat="0" applyProtection="0">
      <alignment horizontal="left" vertical="center" indent="1"/>
    </xf>
    <xf numFmtId="4" fontId="45" fillId="54" borderId="0" applyNumberFormat="0" applyProtection="0">
      <alignment horizontal="left"/>
    </xf>
    <xf numFmtId="4" fontId="181" fillId="51" borderId="0" applyNumberFormat="0" applyProtection="0"/>
    <xf numFmtId="4" fontId="181" fillId="51" borderId="0" applyNumberFormat="0" applyProtection="0"/>
    <xf numFmtId="0" fontId="32" fillId="45" borderId="133" applyNumberFormat="0" applyProtection="0">
      <alignment horizontal="left" vertical="center" indent="1"/>
    </xf>
    <xf numFmtId="4" fontId="83" fillId="4" borderId="133" applyNumberFormat="0" applyProtection="0">
      <alignment horizontal="left" vertical="center" indent="1"/>
    </xf>
    <xf numFmtId="4" fontId="82" fillId="48" borderId="0" applyNumberFormat="0" applyProtection="0">
      <alignment horizontal="left" vertical="center" indent="1"/>
    </xf>
    <xf numFmtId="0" fontId="32" fillId="53" borderId="133" applyNumberFormat="0" applyProtection="0">
      <alignment horizontal="left" vertical="center" indent="1"/>
    </xf>
    <xf numFmtId="0" fontId="34" fillId="0" borderId="5" applyNumberFormat="0" applyAlignment="0" applyProtection="0">
      <alignment horizontal="left" vertical="center"/>
    </xf>
    <xf numFmtId="4" fontId="83" fillId="4" borderId="133" applyNumberFormat="0" applyProtection="0">
      <alignment horizontal="left" vertical="center" indent="1"/>
    </xf>
    <xf numFmtId="4" fontId="178" fillId="49" borderId="0" applyNumberFormat="0" applyProtection="0">
      <alignment horizontal="left" vertical="center" indent="1"/>
    </xf>
    <xf numFmtId="4" fontId="180" fillId="50" borderId="0" applyNumberFormat="0" applyProtection="0">
      <alignment horizontal="left" indent="1"/>
    </xf>
    <xf numFmtId="4" fontId="181" fillId="51" borderId="0" applyNumberFormat="0" applyProtection="0"/>
    <xf numFmtId="43" fontId="139" fillId="0" borderId="0" applyFont="0" applyFill="0" applyBorder="0" applyAlignment="0" applyProtection="0"/>
    <xf numFmtId="43" fontId="139" fillId="0" borderId="0" applyFont="0" applyFill="0" applyBorder="0" applyAlignment="0" applyProtection="0"/>
    <xf numFmtId="194" fontId="32" fillId="0" borderId="0"/>
    <xf numFmtId="4" fontId="182" fillId="43" borderId="133" applyNumberFormat="0" applyProtection="0">
      <alignment vertical="center"/>
    </xf>
    <xf numFmtId="4" fontId="45" fillId="54" borderId="0" applyNumberFormat="0" applyProtection="0">
      <alignment horizontal="left"/>
    </xf>
    <xf numFmtId="4" fontId="181" fillId="51" borderId="0" applyNumberFormat="0" applyProtection="0"/>
    <xf numFmtId="4" fontId="180" fillId="50" borderId="0" applyNumberFormat="0" applyProtection="0">
      <alignment horizontal="left" indent="1"/>
    </xf>
    <xf numFmtId="0" fontId="174" fillId="0" borderId="0"/>
    <xf numFmtId="0" fontId="32" fillId="53" borderId="133" applyNumberFormat="0" applyProtection="0">
      <alignment horizontal="left" vertical="top" indent="1"/>
    </xf>
    <xf numFmtId="4" fontId="83" fillId="4" borderId="133" applyNumberFormat="0" applyProtection="0">
      <alignment vertical="center"/>
    </xf>
    <xf numFmtId="0" fontId="76" fillId="0" borderId="0"/>
    <xf numFmtId="4" fontId="83" fillId="47" borderId="140" applyNumberFormat="0" applyProtection="0">
      <alignment horizontal="left" vertical="center" indent="1"/>
    </xf>
    <xf numFmtId="0" fontId="32" fillId="45" borderId="133" applyNumberFormat="0" applyProtection="0">
      <alignment horizontal="left" vertical="top" indent="1"/>
    </xf>
    <xf numFmtId="0" fontId="34" fillId="0" borderId="138">
      <alignment horizontal="left" vertical="center"/>
    </xf>
    <xf numFmtId="0" fontId="32" fillId="53" borderId="133" applyNumberFormat="0" applyProtection="0">
      <alignment horizontal="left" vertical="top" indent="1"/>
    </xf>
    <xf numFmtId="188" fontId="32" fillId="0" borderId="0" applyFill="0" applyBorder="0" applyAlignment="0" applyProtection="0">
      <alignment wrapText="1"/>
    </xf>
    <xf numFmtId="37" fontId="176" fillId="0" borderId="0" applyNumberFormat="0" applyFill="0" applyBorder="0"/>
    <xf numFmtId="0" fontId="32" fillId="45" borderId="133" applyNumberFormat="0" applyProtection="0">
      <alignment horizontal="left" vertical="center" indent="1"/>
    </xf>
    <xf numFmtId="10" fontId="81" fillId="43" borderId="126" applyNumberFormat="0" applyBorder="0" applyAlignment="0" applyProtection="0"/>
    <xf numFmtId="0" fontId="32" fillId="53" borderId="133" applyNumberFormat="0" applyProtection="0">
      <alignment horizontal="left" vertical="center" indent="1"/>
    </xf>
    <xf numFmtId="4" fontId="181" fillId="51" borderId="0" applyNumberFormat="0" applyProtection="0"/>
    <xf numFmtId="0" fontId="32" fillId="49" borderId="133" applyNumberFormat="0" applyProtection="0">
      <alignment horizontal="left" vertical="top" indent="1"/>
    </xf>
    <xf numFmtId="0" fontId="33" fillId="0" borderId="126">
      <alignment horizontal="center" vertical="center" wrapText="1"/>
    </xf>
    <xf numFmtId="4" fontId="82" fillId="48" borderId="0" applyNumberFormat="0" applyProtection="0">
      <alignment horizontal="left" indent="1"/>
    </xf>
    <xf numFmtId="0" fontId="10" fillId="0" borderId="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23" fillId="17" borderId="146" applyNumberFormat="0" applyAlignment="0" applyProtection="0"/>
    <xf numFmtId="0" fontId="123" fillId="17" borderId="146" applyNumberFormat="0" applyAlignment="0" applyProtection="0"/>
    <xf numFmtId="0" fontId="123" fillId="17" borderId="146" applyNumberFormat="0" applyAlignment="0" applyProtection="0"/>
    <xf numFmtId="0" fontId="123" fillId="17" borderId="146" applyNumberFormat="0" applyAlignment="0" applyProtection="0"/>
    <xf numFmtId="0" fontId="123" fillId="17" borderId="146" applyNumberFormat="0" applyAlignment="0" applyProtection="0"/>
    <xf numFmtId="0" fontId="123" fillId="17" borderId="146" applyNumberForma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32" fillId="34" borderId="147" applyNumberFormat="0" applyFont="0" applyAlignment="0" applyProtection="0"/>
    <xf numFmtId="0" fontId="32" fillId="34" borderId="147" applyNumberFormat="0" applyFont="0" applyAlignment="0" applyProtection="0"/>
    <xf numFmtId="0" fontId="32" fillId="34" borderId="147" applyNumberFormat="0" applyFont="0" applyAlignment="0" applyProtection="0"/>
    <xf numFmtId="0" fontId="32" fillId="34" borderId="147" applyNumberFormat="0" applyFont="0" applyAlignment="0" applyProtection="0"/>
    <xf numFmtId="0" fontId="32"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126" fillId="30" borderId="148" applyNumberFormat="0" applyAlignment="0" applyProtection="0"/>
    <xf numFmtId="0" fontId="126" fillId="30" borderId="148" applyNumberFormat="0" applyAlignment="0" applyProtection="0"/>
    <xf numFmtId="0" fontId="126" fillId="30" borderId="148" applyNumberFormat="0" applyAlignment="0" applyProtection="0"/>
    <xf numFmtId="0" fontId="126" fillId="30" borderId="148" applyNumberFormat="0" applyAlignment="0" applyProtection="0"/>
    <xf numFmtId="0" fontId="126" fillId="30" borderId="148" applyNumberFormat="0" applyAlignment="0" applyProtection="0"/>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4" fontId="82" fillId="35" borderId="149"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108" fillId="0" borderId="150" applyNumberFormat="0" applyFill="0" applyAlignment="0" applyProtection="0"/>
    <xf numFmtId="0" fontId="108" fillId="0" borderId="150" applyNumberFormat="0" applyFill="0" applyAlignment="0" applyProtection="0"/>
    <xf numFmtId="0" fontId="108" fillId="0" borderId="150" applyNumberFormat="0" applyFill="0" applyAlignment="0" applyProtection="0"/>
    <xf numFmtId="0" fontId="108" fillId="0" borderId="150" applyNumberFormat="0" applyFill="0" applyAlignment="0" applyProtection="0"/>
    <xf numFmtId="0" fontId="108" fillId="0" borderId="150" applyNumberFormat="0" applyFill="0" applyAlignment="0" applyProtection="0"/>
    <xf numFmtId="0" fontId="10" fillId="0" borderId="0"/>
    <xf numFmtId="43" fontId="10" fillId="0" borderId="0" applyFont="0" applyFill="0" applyBorder="0" applyAlignment="0" applyProtection="0"/>
    <xf numFmtId="0" fontId="77" fillId="0" borderId="75">
      <alignment horizontal="center"/>
    </xf>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23" fillId="17" borderId="146" applyNumberFormat="0" applyAlignment="0" applyProtection="0"/>
    <xf numFmtId="0" fontId="123" fillId="17" borderId="146" applyNumberFormat="0" applyAlignment="0" applyProtection="0"/>
    <xf numFmtId="0" fontId="123" fillId="17" borderId="146" applyNumberFormat="0" applyAlignment="0" applyProtection="0"/>
    <xf numFmtId="0" fontId="123" fillId="17" borderId="146" applyNumberFormat="0" applyAlignment="0" applyProtection="0"/>
    <xf numFmtId="0" fontId="123" fillId="17" borderId="146" applyNumberFormat="0" applyAlignment="0" applyProtection="0"/>
    <xf numFmtId="0" fontId="123" fillId="17" borderId="146" applyNumberFormat="0" applyAlignment="0" applyProtection="0"/>
    <xf numFmtId="0" fontId="123" fillId="17" borderId="146" applyNumberFormat="0" applyAlignment="0" applyProtection="0"/>
    <xf numFmtId="0" fontId="123" fillId="17" borderId="146" applyNumberFormat="0" applyAlignment="0" applyProtection="0"/>
    <xf numFmtId="0" fontId="123" fillId="17" borderId="146" applyNumberFormat="0" applyAlignment="0" applyProtection="0"/>
    <xf numFmtId="0" fontId="123" fillId="17" borderId="146" applyNumberFormat="0" applyAlignment="0" applyProtection="0"/>
    <xf numFmtId="0" fontId="123" fillId="17" borderId="146" applyNumberFormat="0" applyAlignment="0" applyProtection="0"/>
    <xf numFmtId="0" fontId="123" fillId="17" borderId="146" applyNumberFormat="0" applyAlignment="0" applyProtection="0"/>
    <xf numFmtId="0" fontId="123" fillId="17" borderId="146" applyNumberFormat="0" applyAlignment="0" applyProtection="0"/>
    <xf numFmtId="0" fontId="123" fillId="17" borderId="146" applyNumberFormat="0" applyAlignment="0" applyProtection="0"/>
    <xf numFmtId="0" fontId="123" fillId="17" borderId="146" applyNumberFormat="0" applyAlignment="0" applyProtection="0"/>
    <xf numFmtId="0" fontId="123" fillId="17" borderId="146" applyNumberFormat="0" applyAlignment="0" applyProtection="0"/>
    <xf numFmtId="0" fontId="123" fillId="17" borderId="146" applyNumberFormat="0" applyAlignment="0" applyProtection="0"/>
    <xf numFmtId="0" fontId="123" fillId="17" borderId="146" applyNumberFormat="0" applyAlignment="0" applyProtection="0"/>
    <xf numFmtId="0" fontId="123" fillId="17" borderId="146" applyNumberFormat="0" applyAlignment="0" applyProtection="0"/>
    <xf numFmtId="0" fontId="123" fillId="17" borderId="146" applyNumberFormat="0" applyAlignment="0" applyProtection="0"/>
    <xf numFmtId="0" fontId="123" fillId="17" borderId="146" applyNumberFormat="0" applyAlignment="0" applyProtection="0"/>
    <xf numFmtId="0" fontId="123" fillId="17" borderId="146" applyNumberFormat="0" applyAlignment="0" applyProtection="0"/>
    <xf numFmtId="0" fontId="123" fillId="17" borderId="146" applyNumberFormat="0" applyAlignment="0" applyProtection="0"/>
    <xf numFmtId="0" fontId="123" fillId="17" borderId="146" applyNumberFormat="0" applyAlignment="0" applyProtection="0"/>
    <xf numFmtId="0" fontId="123" fillId="17" borderId="146" applyNumberFormat="0" applyAlignment="0" applyProtection="0"/>
    <xf numFmtId="0" fontId="123" fillId="17" borderId="146" applyNumberFormat="0" applyAlignment="0" applyProtection="0"/>
    <xf numFmtId="0" fontId="123" fillId="17" borderId="146" applyNumberFormat="0" applyAlignment="0" applyProtection="0"/>
    <xf numFmtId="0" fontId="123" fillId="17" borderId="146" applyNumberFormat="0" applyAlignment="0" applyProtection="0"/>
    <xf numFmtId="0" fontId="123" fillId="17" borderId="146" applyNumberFormat="0" applyAlignment="0" applyProtection="0"/>
    <xf numFmtId="0" fontId="123" fillId="17" borderId="146" applyNumberFormat="0" applyAlignment="0" applyProtection="0"/>
    <xf numFmtId="0" fontId="123" fillId="17" borderId="146" applyNumberFormat="0" applyAlignment="0" applyProtection="0"/>
    <xf numFmtId="0" fontId="123" fillId="17" borderId="146" applyNumberFormat="0" applyAlignment="0" applyProtection="0"/>
    <xf numFmtId="0" fontId="123" fillId="17" borderId="146" applyNumberFormat="0" applyAlignment="0" applyProtection="0"/>
    <xf numFmtId="0" fontId="123" fillId="17" borderId="146" applyNumberFormat="0" applyAlignment="0" applyProtection="0"/>
    <xf numFmtId="0" fontId="123" fillId="17" borderId="146" applyNumberFormat="0" applyAlignment="0" applyProtection="0"/>
    <xf numFmtId="0" fontId="123" fillId="17" borderId="146" applyNumberFormat="0" applyAlignment="0" applyProtection="0"/>
    <xf numFmtId="0" fontId="123" fillId="17" borderId="146" applyNumberFormat="0" applyAlignment="0" applyProtection="0"/>
    <xf numFmtId="0" fontId="123" fillId="17" borderId="146" applyNumberFormat="0" applyAlignment="0" applyProtection="0"/>
    <xf numFmtId="0" fontId="123" fillId="17" borderId="146" applyNumberFormat="0" applyAlignment="0" applyProtection="0"/>
    <xf numFmtId="0" fontId="123" fillId="17" borderId="146" applyNumberFormat="0" applyAlignment="0" applyProtection="0"/>
    <xf numFmtId="0" fontId="123" fillId="17" borderId="146" applyNumberFormat="0" applyAlignment="0" applyProtection="0"/>
    <xf numFmtId="0" fontId="123" fillId="17" borderId="146" applyNumberFormat="0" applyAlignment="0" applyProtection="0"/>
    <xf numFmtId="0" fontId="123" fillId="17" borderId="146" applyNumberFormat="0" applyAlignment="0" applyProtection="0"/>
    <xf numFmtId="0" fontId="123" fillId="17" borderId="146" applyNumberFormat="0" applyAlignment="0" applyProtection="0"/>
    <xf numFmtId="0" fontId="123" fillId="17" borderId="146" applyNumberFormat="0" applyAlignment="0" applyProtection="0"/>
    <xf numFmtId="0" fontId="123" fillId="17" borderId="146" applyNumberFormat="0" applyAlignment="0" applyProtection="0"/>
    <xf numFmtId="0" fontId="123" fillId="17" borderId="146" applyNumberFormat="0" applyAlignment="0" applyProtection="0"/>
    <xf numFmtId="0" fontId="123" fillId="17" borderId="146" applyNumberFormat="0" applyAlignment="0" applyProtection="0"/>
    <xf numFmtId="0" fontId="123" fillId="17" borderId="146" applyNumberFormat="0" applyAlignment="0" applyProtection="0"/>
    <xf numFmtId="0" fontId="123" fillId="17" borderId="146" applyNumberFormat="0" applyAlignment="0" applyProtection="0"/>
    <xf numFmtId="0" fontId="123" fillId="17" borderId="146" applyNumberFormat="0" applyAlignment="0" applyProtection="0"/>
    <xf numFmtId="0" fontId="123" fillId="17" borderId="146" applyNumberFormat="0" applyAlignment="0" applyProtection="0"/>
    <xf numFmtId="0" fontId="123" fillId="17" borderId="146" applyNumberFormat="0" applyAlignment="0" applyProtection="0"/>
    <xf numFmtId="0" fontId="123" fillId="17" borderId="146"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32" fillId="34" borderId="147" applyNumberFormat="0" applyFont="0" applyAlignment="0" applyProtection="0"/>
    <xf numFmtId="0" fontId="32" fillId="34" borderId="147" applyNumberFormat="0" applyFont="0" applyAlignment="0" applyProtection="0"/>
    <xf numFmtId="0" fontId="32" fillId="34" borderId="147" applyNumberFormat="0" applyFont="0" applyAlignment="0" applyProtection="0"/>
    <xf numFmtId="0" fontId="32" fillId="34" borderId="147" applyNumberFormat="0" applyFont="0" applyAlignment="0" applyProtection="0"/>
    <xf numFmtId="0" fontId="32" fillId="34" borderId="147" applyNumberFormat="0" applyFont="0" applyAlignment="0" applyProtection="0"/>
    <xf numFmtId="0" fontId="32" fillId="34" borderId="147" applyNumberFormat="0" applyFont="0" applyAlignment="0" applyProtection="0"/>
    <xf numFmtId="0" fontId="32" fillId="34" borderId="147" applyNumberFormat="0" applyFont="0" applyAlignment="0" applyProtection="0"/>
    <xf numFmtId="0" fontId="32" fillId="34" borderId="147" applyNumberFormat="0" applyFont="0" applyAlignment="0" applyProtection="0"/>
    <xf numFmtId="0" fontId="32" fillId="34" borderId="147" applyNumberFormat="0" applyFont="0" applyAlignment="0" applyProtection="0"/>
    <xf numFmtId="0" fontId="32" fillId="34" borderId="147" applyNumberFormat="0" applyFont="0" applyAlignment="0" applyProtection="0"/>
    <xf numFmtId="0" fontId="32" fillId="34" borderId="147" applyNumberFormat="0" applyFont="0" applyAlignment="0" applyProtection="0"/>
    <xf numFmtId="0" fontId="32" fillId="34" borderId="147" applyNumberFormat="0" applyFont="0" applyAlignment="0" applyProtection="0"/>
    <xf numFmtId="0" fontId="32" fillId="34" borderId="147" applyNumberFormat="0" applyFont="0" applyAlignment="0" applyProtection="0"/>
    <xf numFmtId="0" fontId="32" fillId="34" borderId="147" applyNumberFormat="0" applyFont="0" applyAlignment="0" applyProtection="0"/>
    <xf numFmtId="0" fontId="32" fillId="34" borderId="147" applyNumberFormat="0" applyFont="0" applyAlignment="0" applyProtection="0"/>
    <xf numFmtId="0" fontId="32" fillId="34" borderId="147" applyNumberFormat="0" applyFont="0" applyAlignment="0" applyProtection="0"/>
    <xf numFmtId="0" fontId="32" fillId="34" borderId="147" applyNumberFormat="0" applyFont="0" applyAlignment="0" applyProtection="0"/>
    <xf numFmtId="0" fontId="32" fillId="34" borderId="147" applyNumberFormat="0" applyFont="0" applyAlignment="0" applyProtection="0"/>
    <xf numFmtId="0" fontId="32" fillId="34" borderId="147" applyNumberFormat="0" applyFont="0" applyAlignment="0" applyProtection="0"/>
    <xf numFmtId="0" fontId="32" fillId="34" borderId="147" applyNumberFormat="0" applyFont="0" applyAlignment="0" applyProtection="0"/>
    <xf numFmtId="0" fontId="32" fillId="34" borderId="147" applyNumberFormat="0" applyFont="0" applyAlignment="0" applyProtection="0"/>
    <xf numFmtId="0" fontId="32" fillId="34" borderId="147" applyNumberFormat="0" applyFont="0" applyAlignment="0" applyProtection="0"/>
    <xf numFmtId="0" fontId="32" fillId="34" borderId="147" applyNumberFormat="0" applyFont="0" applyAlignment="0" applyProtection="0"/>
    <xf numFmtId="0" fontId="32" fillId="34" borderId="147" applyNumberFormat="0" applyFont="0" applyAlignment="0" applyProtection="0"/>
    <xf numFmtId="0" fontId="32" fillId="34" borderId="147" applyNumberFormat="0" applyFont="0" applyAlignment="0" applyProtection="0"/>
    <xf numFmtId="0" fontId="32" fillId="34" borderId="147" applyNumberFormat="0" applyFont="0" applyAlignment="0" applyProtection="0"/>
    <xf numFmtId="0" fontId="32" fillId="34" borderId="147" applyNumberFormat="0" applyFont="0" applyAlignment="0" applyProtection="0"/>
    <xf numFmtId="0" fontId="32" fillId="34" borderId="147" applyNumberFormat="0" applyFont="0" applyAlignment="0" applyProtection="0"/>
    <xf numFmtId="0" fontId="32" fillId="34" borderId="147" applyNumberFormat="0" applyFont="0" applyAlignment="0" applyProtection="0"/>
    <xf numFmtId="0" fontId="32" fillId="34" borderId="147" applyNumberFormat="0" applyFont="0" applyAlignment="0" applyProtection="0"/>
    <xf numFmtId="0" fontId="32" fillId="34" borderId="147" applyNumberFormat="0" applyFont="0" applyAlignment="0" applyProtection="0"/>
    <xf numFmtId="0" fontId="32" fillId="34" borderId="147" applyNumberFormat="0" applyFont="0" applyAlignment="0" applyProtection="0"/>
    <xf numFmtId="0" fontId="32" fillId="34" borderId="147" applyNumberFormat="0" applyFont="0" applyAlignment="0" applyProtection="0"/>
    <xf numFmtId="0" fontId="32" fillId="34" borderId="147" applyNumberFormat="0" applyFont="0" applyAlignment="0" applyProtection="0"/>
    <xf numFmtId="0" fontId="32" fillId="34" borderId="147" applyNumberFormat="0" applyFont="0" applyAlignment="0" applyProtection="0"/>
    <xf numFmtId="0" fontId="32" fillId="34" borderId="147" applyNumberFormat="0" applyFont="0" applyAlignment="0" applyProtection="0"/>
    <xf numFmtId="0" fontId="32" fillId="34" borderId="147" applyNumberFormat="0" applyFont="0" applyAlignment="0" applyProtection="0"/>
    <xf numFmtId="0" fontId="32" fillId="34" borderId="147" applyNumberFormat="0" applyFont="0" applyAlignment="0" applyProtection="0"/>
    <xf numFmtId="0" fontId="32" fillId="34" borderId="147" applyNumberFormat="0" applyFont="0" applyAlignment="0" applyProtection="0"/>
    <xf numFmtId="0" fontId="32" fillId="34" borderId="147" applyNumberFormat="0" applyFont="0" applyAlignment="0" applyProtection="0"/>
    <xf numFmtId="0" fontId="32" fillId="34" borderId="147" applyNumberFormat="0" applyFont="0" applyAlignment="0" applyProtection="0"/>
    <xf numFmtId="0" fontId="32" fillId="34" borderId="147" applyNumberFormat="0" applyFont="0" applyAlignment="0" applyProtection="0"/>
    <xf numFmtId="0" fontId="32" fillId="34" borderId="147" applyNumberFormat="0" applyFont="0" applyAlignment="0" applyProtection="0"/>
    <xf numFmtId="0" fontId="32" fillId="34" borderId="147" applyNumberFormat="0" applyFont="0" applyAlignment="0" applyProtection="0"/>
    <xf numFmtId="0" fontId="32" fillId="34" borderId="147" applyNumberFormat="0" applyFont="0" applyAlignment="0" applyProtection="0"/>
    <xf numFmtId="0" fontId="32" fillId="34" borderId="147" applyNumberFormat="0" applyFont="0" applyAlignment="0" applyProtection="0"/>
    <xf numFmtId="0" fontId="32" fillId="34" borderId="147" applyNumberFormat="0" applyFont="0" applyAlignment="0" applyProtection="0"/>
    <xf numFmtId="0" fontId="32" fillId="34" borderId="147" applyNumberFormat="0" applyFont="0" applyAlignment="0" applyProtection="0"/>
    <xf numFmtId="0" fontId="32" fillId="34" borderId="147" applyNumberFormat="0" applyFont="0" applyAlignment="0" applyProtection="0"/>
    <xf numFmtId="0" fontId="32" fillId="34" borderId="147" applyNumberFormat="0" applyFont="0" applyAlignment="0" applyProtection="0"/>
    <xf numFmtId="0" fontId="32"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126" fillId="30" borderId="148" applyNumberFormat="0" applyAlignment="0" applyProtection="0"/>
    <xf numFmtId="0" fontId="126" fillId="30" borderId="148" applyNumberFormat="0" applyAlignment="0" applyProtection="0"/>
    <xf numFmtId="0" fontId="126" fillId="30" borderId="148" applyNumberFormat="0" applyAlignment="0" applyProtection="0"/>
    <xf numFmtId="0" fontId="126" fillId="30" borderId="148" applyNumberFormat="0" applyAlignment="0" applyProtection="0"/>
    <xf numFmtId="0" fontId="126" fillId="30" borderId="148" applyNumberFormat="0" applyAlignment="0" applyProtection="0"/>
    <xf numFmtId="0" fontId="126" fillId="30" borderId="148" applyNumberFormat="0" applyAlignment="0" applyProtection="0"/>
    <xf numFmtId="0" fontId="126" fillId="30" borderId="148" applyNumberFormat="0" applyAlignment="0" applyProtection="0"/>
    <xf numFmtId="0" fontId="126" fillId="30" borderId="148" applyNumberFormat="0" applyAlignment="0" applyProtection="0"/>
    <xf numFmtId="0" fontId="126" fillId="30" borderId="148" applyNumberFormat="0" applyAlignment="0" applyProtection="0"/>
    <xf numFmtId="0" fontId="126" fillId="30" borderId="148" applyNumberFormat="0" applyAlignment="0" applyProtection="0"/>
    <xf numFmtId="0" fontId="126" fillId="30" borderId="148" applyNumberFormat="0" applyAlignment="0" applyProtection="0"/>
    <xf numFmtId="0" fontId="126" fillId="30" borderId="148" applyNumberFormat="0" applyAlignment="0" applyProtection="0"/>
    <xf numFmtId="0" fontId="126" fillId="30" borderId="148" applyNumberFormat="0" applyAlignment="0" applyProtection="0"/>
    <xf numFmtId="0" fontId="126" fillId="30" borderId="148" applyNumberFormat="0" applyAlignment="0" applyProtection="0"/>
    <xf numFmtId="0" fontId="126" fillId="30" borderId="148" applyNumberFormat="0" applyAlignment="0" applyProtection="0"/>
    <xf numFmtId="0" fontId="126" fillId="30" borderId="148" applyNumberFormat="0" applyAlignment="0" applyProtection="0"/>
    <xf numFmtId="0" fontId="126" fillId="30" borderId="148" applyNumberFormat="0" applyAlignment="0" applyProtection="0"/>
    <xf numFmtId="0" fontId="126" fillId="30" borderId="148" applyNumberFormat="0" applyAlignment="0" applyProtection="0"/>
    <xf numFmtId="0" fontId="126" fillId="30" borderId="148" applyNumberFormat="0" applyAlignment="0" applyProtection="0"/>
    <xf numFmtId="0" fontId="126" fillId="30" borderId="148" applyNumberFormat="0" applyAlignment="0" applyProtection="0"/>
    <xf numFmtId="0" fontId="126" fillId="30" borderId="148" applyNumberFormat="0" applyAlignment="0" applyProtection="0"/>
    <xf numFmtId="0" fontId="126" fillId="30" borderId="148" applyNumberFormat="0" applyAlignment="0" applyProtection="0"/>
    <xf numFmtId="0" fontId="126" fillId="30" borderId="148" applyNumberFormat="0" applyAlignment="0" applyProtection="0"/>
    <xf numFmtId="0" fontId="126" fillId="30" borderId="148" applyNumberFormat="0" applyAlignment="0" applyProtection="0"/>
    <xf numFmtId="0" fontId="126" fillId="30" borderId="148" applyNumberFormat="0" applyAlignment="0" applyProtection="0"/>
    <xf numFmtId="0" fontId="126" fillId="30" borderId="148" applyNumberFormat="0" applyAlignment="0" applyProtection="0"/>
    <xf numFmtId="0" fontId="126" fillId="30" borderId="148" applyNumberFormat="0" applyAlignment="0" applyProtection="0"/>
    <xf numFmtId="0" fontId="126" fillId="30" borderId="148" applyNumberFormat="0" applyAlignment="0" applyProtection="0"/>
    <xf numFmtId="0" fontId="126" fillId="30" borderId="148" applyNumberFormat="0" applyAlignment="0" applyProtection="0"/>
    <xf numFmtId="0" fontId="126" fillId="30" borderId="148" applyNumberFormat="0" applyAlignment="0" applyProtection="0"/>
    <xf numFmtId="0" fontId="126" fillId="30" borderId="148" applyNumberFormat="0" applyAlignment="0" applyProtection="0"/>
    <xf numFmtId="0" fontId="126" fillId="30" borderId="148" applyNumberFormat="0" applyAlignment="0" applyProtection="0"/>
    <xf numFmtId="0" fontId="126" fillId="30" borderId="148" applyNumberFormat="0" applyAlignment="0" applyProtection="0"/>
    <xf numFmtId="0" fontId="126" fillId="30" borderId="148" applyNumberFormat="0" applyAlignment="0" applyProtection="0"/>
    <xf numFmtId="0" fontId="126" fillId="30" borderId="148" applyNumberFormat="0" applyAlignment="0" applyProtection="0"/>
    <xf numFmtId="0" fontId="126" fillId="30" borderId="148" applyNumberFormat="0" applyAlignment="0" applyProtection="0"/>
    <xf numFmtId="0" fontId="126" fillId="30" borderId="148" applyNumberFormat="0" applyAlignment="0" applyProtection="0"/>
    <xf numFmtId="0" fontId="126" fillId="30" borderId="148" applyNumberFormat="0" applyAlignment="0" applyProtection="0"/>
    <xf numFmtId="0" fontId="126" fillId="30" borderId="148" applyNumberFormat="0" applyAlignment="0" applyProtection="0"/>
    <xf numFmtId="0" fontId="126" fillId="30" borderId="148" applyNumberFormat="0" applyAlignment="0" applyProtection="0"/>
    <xf numFmtId="0" fontId="126" fillId="30" borderId="148" applyNumberFormat="0" applyAlignment="0" applyProtection="0"/>
    <xf numFmtId="0" fontId="126" fillId="30" borderId="148" applyNumberFormat="0" applyAlignment="0" applyProtection="0"/>
    <xf numFmtId="0" fontId="126" fillId="30" borderId="148" applyNumberFormat="0" applyAlignment="0" applyProtection="0"/>
    <xf numFmtId="0" fontId="126" fillId="30" borderId="148" applyNumberFormat="0" applyAlignment="0" applyProtection="0"/>
    <xf numFmtId="0" fontId="126" fillId="30" borderId="148" applyNumberFormat="0" applyAlignment="0" applyProtection="0"/>
    <xf numFmtId="0" fontId="126" fillId="30" borderId="148" applyNumberFormat="0" applyAlignment="0" applyProtection="0"/>
    <xf numFmtId="0" fontId="126" fillId="30" borderId="148" applyNumberFormat="0" applyAlignment="0" applyProtection="0"/>
    <xf numFmtId="0" fontId="126" fillId="30" borderId="148" applyNumberFormat="0" applyAlignment="0" applyProtection="0"/>
    <xf numFmtId="0" fontId="126" fillId="30" borderId="148" applyNumberFormat="0" applyAlignment="0" applyProtection="0"/>
    <xf numFmtId="0" fontId="126" fillId="30" borderId="148" applyNumberFormat="0" applyAlignment="0" applyProtection="0"/>
    <xf numFmtId="0" fontId="126" fillId="30" borderId="148" applyNumberFormat="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77" fillId="0" borderId="1">
      <alignment horizontal="center"/>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4" fontId="82" fillId="35" borderId="149" applyNumberFormat="0" applyProtection="0">
      <alignment horizontal="left" vertical="center" indent="1"/>
    </xf>
    <xf numFmtId="4" fontId="82" fillId="35" borderId="149" applyNumberFormat="0" applyProtection="0">
      <alignment horizontal="left" vertical="center" indent="1"/>
    </xf>
    <xf numFmtId="4" fontId="82" fillId="35" borderId="149" applyNumberFormat="0" applyProtection="0">
      <alignment horizontal="left" vertical="center" indent="1"/>
    </xf>
    <xf numFmtId="4" fontId="82" fillId="35" borderId="149" applyNumberFormat="0" applyProtection="0">
      <alignment horizontal="left" vertical="center" indent="1"/>
    </xf>
    <xf numFmtId="4" fontId="82" fillId="35" borderId="149" applyNumberFormat="0" applyProtection="0">
      <alignment horizontal="left" vertical="center" indent="1"/>
    </xf>
    <xf numFmtId="4" fontId="82" fillId="35" borderId="149" applyNumberFormat="0" applyProtection="0">
      <alignment horizontal="left" vertical="center" indent="1"/>
    </xf>
    <xf numFmtId="4" fontId="82" fillId="35" borderId="149" applyNumberFormat="0" applyProtection="0">
      <alignment horizontal="left" vertical="center" indent="1"/>
    </xf>
    <xf numFmtId="4" fontId="82" fillId="35" borderId="149" applyNumberFormat="0" applyProtection="0">
      <alignment horizontal="left" vertical="center" indent="1"/>
    </xf>
    <xf numFmtId="4" fontId="82" fillId="35" borderId="149" applyNumberFormat="0" applyProtection="0">
      <alignment horizontal="left" vertical="center" indent="1"/>
    </xf>
    <xf numFmtId="4" fontId="82" fillId="35" borderId="149" applyNumberFormat="0" applyProtection="0">
      <alignment horizontal="left" vertical="center" indent="1"/>
    </xf>
    <xf numFmtId="4" fontId="82" fillId="35" borderId="149" applyNumberFormat="0" applyProtection="0">
      <alignment horizontal="left" vertical="center" indent="1"/>
    </xf>
    <xf numFmtId="4" fontId="82" fillId="35" borderId="149" applyNumberFormat="0" applyProtection="0">
      <alignment horizontal="left" vertical="center" indent="1"/>
    </xf>
    <xf numFmtId="4" fontId="82" fillId="35" borderId="149" applyNumberFormat="0" applyProtection="0">
      <alignment horizontal="left" vertical="center" indent="1"/>
    </xf>
    <xf numFmtId="4" fontId="82" fillId="35" borderId="149" applyNumberFormat="0" applyProtection="0">
      <alignment horizontal="left" vertical="center" indent="1"/>
    </xf>
    <xf numFmtId="4" fontId="82" fillId="35" borderId="149" applyNumberFormat="0" applyProtection="0">
      <alignment horizontal="left" vertical="center" indent="1"/>
    </xf>
    <xf numFmtId="4" fontId="82" fillId="35" borderId="149" applyNumberFormat="0" applyProtection="0">
      <alignment horizontal="left" vertical="center" indent="1"/>
    </xf>
    <xf numFmtId="4" fontId="82" fillId="35" borderId="149" applyNumberFormat="0" applyProtection="0">
      <alignment horizontal="left" vertical="center" indent="1"/>
    </xf>
    <xf numFmtId="4" fontId="82" fillId="35" borderId="149" applyNumberFormat="0" applyProtection="0">
      <alignment horizontal="left" vertical="center" indent="1"/>
    </xf>
    <xf numFmtId="4" fontId="82" fillId="35" borderId="149" applyNumberFormat="0" applyProtection="0">
      <alignment horizontal="left" vertical="center" indent="1"/>
    </xf>
    <xf numFmtId="4" fontId="82" fillId="35" borderId="149" applyNumberFormat="0" applyProtection="0">
      <alignment horizontal="left" vertical="center" indent="1"/>
    </xf>
    <xf numFmtId="4" fontId="82" fillId="35" borderId="149" applyNumberFormat="0" applyProtection="0">
      <alignment horizontal="left" vertical="center" indent="1"/>
    </xf>
    <xf numFmtId="4" fontId="82" fillId="35" borderId="149" applyNumberFormat="0" applyProtection="0">
      <alignment horizontal="left" vertical="center" indent="1"/>
    </xf>
    <xf numFmtId="4" fontId="82" fillId="35" borderId="149" applyNumberFormat="0" applyProtection="0">
      <alignment horizontal="left" vertical="center" indent="1"/>
    </xf>
    <xf numFmtId="4" fontId="82" fillId="35" borderId="149" applyNumberFormat="0" applyProtection="0">
      <alignment horizontal="left" vertical="center" indent="1"/>
    </xf>
    <xf numFmtId="4" fontId="82" fillId="35" borderId="149" applyNumberFormat="0" applyProtection="0">
      <alignment horizontal="left" vertical="center" indent="1"/>
    </xf>
    <xf numFmtId="4" fontId="82" fillId="35" borderId="149" applyNumberFormat="0" applyProtection="0">
      <alignment horizontal="left" vertical="center" indent="1"/>
    </xf>
    <xf numFmtId="4" fontId="82" fillId="35" borderId="149" applyNumberFormat="0" applyProtection="0">
      <alignment horizontal="left" vertical="center" indent="1"/>
    </xf>
    <xf numFmtId="4" fontId="82" fillId="35" borderId="149" applyNumberFormat="0" applyProtection="0">
      <alignment horizontal="left" vertical="center" indent="1"/>
    </xf>
    <xf numFmtId="4" fontId="82" fillId="35" borderId="149" applyNumberFormat="0" applyProtection="0">
      <alignment horizontal="left" vertical="center" indent="1"/>
    </xf>
    <xf numFmtId="4" fontId="82" fillId="35" borderId="149" applyNumberFormat="0" applyProtection="0">
      <alignment horizontal="left" vertical="center" indent="1"/>
    </xf>
    <xf numFmtId="4" fontId="82" fillId="35" borderId="149" applyNumberFormat="0" applyProtection="0">
      <alignment horizontal="left" vertical="center" indent="1"/>
    </xf>
    <xf numFmtId="4" fontId="82" fillId="35" borderId="149" applyNumberFormat="0" applyProtection="0">
      <alignment horizontal="left" vertical="center" indent="1"/>
    </xf>
    <xf numFmtId="4" fontId="82" fillId="35" borderId="149" applyNumberFormat="0" applyProtection="0">
      <alignment horizontal="left" vertical="center" indent="1"/>
    </xf>
    <xf numFmtId="4" fontId="82" fillId="35" borderId="149" applyNumberFormat="0" applyProtection="0">
      <alignment horizontal="left" vertical="center" indent="1"/>
    </xf>
    <xf numFmtId="4" fontId="82" fillId="35" borderId="149" applyNumberFormat="0" applyProtection="0">
      <alignment horizontal="left" vertical="center" indent="1"/>
    </xf>
    <xf numFmtId="4" fontId="82" fillId="35" borderId="149" applyNumberFormat="0" applyProtection="0">
      <alignment horizontal="left" vertical="center" indent="1"/>
    </xf>
    <xf numFmtId="4" fontId="82" fillId="35" borderId="149" applyNumberFormat="0" applyProtection="0">
      <alignment horizontal="left" vertical="center" indent="1"/>
    </xf>
    <xf numFmtId="4" fontId="82" fillId="35" borderId="149" applyNumberFormat="0" applyProtection="0">
      <alignment horizontal="left" vertical="center" indent="1"/>
    </xf>
    <xf numFmtId="4" fontId="82" fillId="35" borderId="149" applyNumberFormat="0" applyProtection="0">
      <alignment horizontal="left" vertical="center" indent="1"/>
    </xf>
    <xf numFmtId="4" fontId="82" fillId="35" borderId="149" applyNumberFormat="0" applyProtection="0">
      <alignment horizontal="left" vertical="center" indent="1"/>
    </xf>
    <xf numFmtId="4" fontId="82" fillId="35" borderId="149" applyNumberFormat="0" applyProtection="0">
      <alignment horizontal="left" vertical="center" indent="1"/>
    </xf>
    <xf numFmtId="4" fontId="82" fillId="35" borderId="149" applyNumberFormat="0" applyProtection="0">
      <alignment horizontal="left" vertical="center" indent="1"/>
    </xf>
    <xf numFmtId="4" fontId="82" fillId="35" borderId="149" applyNumberFormat="0" applyProtection="0">
      <alignment horizontal="left" vertical="center" indent="1"/>
    </xf>
    <xf numFmtId="4" fontId="82" fillId="35" borderId="149" applyNumberFormat="0" applyProtection="0">
      <alignment horizontal="left" vertical="center" indent="1"/>
    </xf>
    <xf numFmtId="4" fontId="82" fillId="35" borderId="149" applyNumberFormat="0" applyProtection="0">
      <alignment horizontal="left" vertical="center" indent="1"/>
    </xf>
    <xf numFmtId="4" fontId="82" fillId="35" borderId="149" applyNumberFormat="0" applyProtection="0">
      <alignment horizontal="left" vertical="center" indent="1"/>
    </xf>
    <xf numFmtId="4" fontId="82" fillId="35" borderId="149" applyNumberFormat="0" applyProtection="0">
      <alignment horizontal="left" vertical="center" indent="1"/>
    </xf>
    <xf numFmtId="4" fontId="82" fillId="35" borderId="149" applyNumberFormat="0" applyProtection="0">
      <alignment horizontal="left" vertical="center" indent="1"/>
    </xf>
    <xf numFmtId="4" fontId="82" fillId="35" borderId="149" applyNumberFormat="0" applyProtection="0">
      <alignment horizontal="left" vertical="center" indent="1"/>
    </xf>
    <xf numFmtId="4" fontId="82" fillId="35" borderId="149" applyNumberFormat="0" applyProtection="0">
      <alignment horizontal="left" vertical="center" indent="1"/>
    </xf>
    <xf numFmtId="4" fontId="82" fillId="35" borderId="149"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108" fillId="0" borderId="150" applyNumberFormat="0" applyFill="0" applyAlignment="0" applyProtection="0"/>
    <xf numFmtId="0" fontId="108" fillId="0" borderId="150" applyNumberFormat="0" applyFill="0" applyAlignment="0" applyProtection="0"/>
    <xf numFmtId="0" fontId="108" fillId="0" borderId="150" applyNumberFormat="0" applyFill="0" applyAlignment="0" applyProtection="0"/>
    <xf numFmtId="0" fontId="108" fillId="0" borderId="150" applyNumberFormat="0" applyFill="0" applyAlignment="0" applyProtection="0"/>
    <xf numFmtId="0" fontId="108" fillId="0" borderId="150" applyNumberFormat="0" applyFill="0" applyAlignment="0" applyProtection="0"/>
    <xf numFmtId="0" fontId="108" fillId="0" borderId="150" applyNumberFormat="0" applyFill="0" applyAlignment="0" applyProtection="0"/>
    <xf numFmtId="0" fontId="108" fillId="0" borderId="150" applyNumberFormat="0" applyFill="0" applyAlignment="0" applyProtection="0"/>
    <xf numFmtId="0" fontId="108" fillId="0" borderId="150" applyNumberFormat="0" applyFill="0" applyAlignment="0" applyProtection="0"/>
    <xf numFmtId="0" fontId="108" fillId="0" borderId="150" applyNumberFormat="0" applyFill="0" applyAlignment="0" applyProtection="0"/>
    <xf numFmtId="0" fontId="108" fillId="0" borderId="150" applyNumberFormat="0" applyFill="0" applyAlignment="0" applyProtection="0"/>
    <xf numFmtId="0" fontId="108" fillId="0" borderId="150" applyNumberFormat="0" applyFill="0" applyAlignment="0" applyProtection="0"/>
    <xf numFmtId="0" fontId="108" fillId="0" borderId="150" applyNumberFormat="0" applyFill="0" applyAlignment="0" applyProtection="0"/>
    <xf numFmtId="0" fontId="108" fillId="0" borderId="150" applyNumberFormat="0" applyFill="0" applyAlignment="0" applyProtection="0"/>
    <xf numFmtId="0" fontId="108" fillId="0" borderId="150" applyNumberFormat="0" applyFill="0" applyAlignment="0" applyProtection="0"/>
    <xf numFmtId="0" fontId="108" fillId="0" borderId="150" applyNumberFormat="0" applyFill="0" applyAlignment="0" applyProtection="0"/>
    <xf numFmtId="0" fontId="108" fillId="0" borderId="150" applyNumberFormat="0" applyFill="0" applyAlignment="0" applyProtection="0"/>
    <xf numFmtId="0" fontId="108" fillId="0" borderId="150" applyNumberFormat="0" applyFill="0" applyAlignment="0" applyProtection="0"/>
    <xf numFmtId="0" fontId="108" fillId="0" borderId="150" applyNumberFormat="0" applyFill="0" applyAlignment="0" applyProtection="0"/>
    <xf numFmtId="0" fontId="108" fillId="0" borderId="150" applyNumberFormat="0" applyFill="0" applyAlignment="0" applyProtection="0"/>
    <xf numFmtId="0" fontId="108" fillId="0" borderId="150" applyNumberFormat="0" applyFill="0" applyAlignment="0" applyProtection="0"/>
    <xf numFmtId="0" fontId="108" fillId="0" borderId="150" applyNumberFormat="0" applyFill="0" applyAlignment="0" applyProtection="0"/>
    <xf numFmtId="0" fontId="108" fillId="0" borderId="150" applyNumberFormat="0" applyFill="0" applyAlignment="0" applyProtection="0"/>
    <xf numFmtId="0" fontId="108" fillId="0" borderId="150" applyNumberFormat="0" applyFill="0" applyAlignment="0" applyProtection="0"/>
    <xf numFmtId="0" fontId="108" fillId="0" borderId="150" applyNumberFormat="0" applyFill="0" applyAlignment="0" applyProtection="0"/>
    <xf numFmtId="0" fontId="108" fillId="0" borderId="150" applyNumberFormat="0" applyFill="0" applyAlignment="0" applyProtection="0"/>
    <xf numFmtId="0" fontId="108" fillId="0" borderId="150" applyNumberFormat="0" applyFill="0" applyAlignment="0" applyProtection="0"/>
    <xf numFmtId="0" fontId="108" fillId="0" borderId="150" applyNumberFormat="0" applyFill="0" applyAlignment="0" applyProtection="0"/>
    <xf numFmtId="0" fontId="108" fillId="0" borderId="150" applyNumberFormat="0" applyFill="0" applyAlignment="0" applyProtection="0"/>
    <xf numFmtId="0" fontId="108" fillId="0" borderId="150" applyNumberFormat="0" applyFill="0" applyAlignment="0" applyProtection="0"/>
    <xf numFmtId="0" fontId="108" fillId="0" borderId="150" applyNumberFormat="0" applyFill="0" applyAlignment="0" applyProtection="0"/>
    <xf numFmtId="0" fontId="108" fillId="0" borderId="150" applyNumberFormat="0" applyFill="0" applyAlignment="0" applyProtection="0"/>
    <xf numFmtId="0" fontId="108" fillId="0" borderId="150" applyNumberFormat="0" applyFill="0" applyAlignment="0" applyProtection="0"/>
    <xf numFmtId="0" fontId="108" fillId="0" borderId="150" applyNumberFormat="0" applyFill="0" applyAlignment="0" applyProtection="0"/>
    <xf numFmtId="0" fontId="108" fillId="0" borderId="150" applyNumberFormat="0" applyFill="0" applyAlignment="0" applyProtection="0"/>
    <xf numFmtId="0" fontId="108" fillId="0" borderId="150" applyNumberFormat="0" applyFill="0" applyAlignment="0" applyProtection="0"/>
    <xf numFmtId="0" fontId="108" fillId="0" borderId="150" applyNumberFormat="0" applyFill="0" applyAlignment="0" applyProtection="0"/>
    <xf numFmtId="0" fontId="108" fillId="0" borderId="150" applyNumberFormat="0" applyFill="0" applyAlignment="0" applyProtection="0"/>
    <xf numFmtId="0" fontId="108" fillId="0" borderId="150" applyNumberFormat="0" applyFill="0" applyAlignment="0" applyProtection="0"/>
    <xf numFmtId="0" fontId="108" fillId="0" borderId="150" applyNumberFormat="0" applyFill="0" applyAlignment="0" applyProtection="0"/>
    <xf numFmtId="0" fontId="108" fillId="0" borderId="150" applyNumberFormat="0" applyFill="0" applyAlignment="0" applyProtection="0"/>
    <xf numFmtId="0" fontId="108" fillId="0" borderId="150" applyNumberFormat="0" applyFill="0" applyAlignment="0" applyProtection="0"/>
    <xf numFmtId="0" fontId="108" fillId="0" borderId="150" applyNumberFormat="0" applyFill="0" applyAlignment="0" applyProtection="0"/>
    <xf numFmtId="0" fontId="108" fillId="0" borderId="150" applyNumberFormat="0" applyFill="0" applyAlignment="0" applyProtection="0"/>
    <xf numFmtId="0" fontId="108" fillId="0" borderId="150" applyNumberFormat="0" applyFill="0" applyAlignment="0" applyProtection="0"/>
    <xf numFmtId="0" fontId="108" fillId="0" borderId="150" applyNumberFormat="0" applyFill="0" applyAlignment="0" applyProtection="0"/>
    <xf numFmtId="0" fontId="108" fillId="0" borderId="150" applyNumberFormat="0" applyFill="0" applyAlignment="0" applyProtection="0"/>
    <xf numFmtId="0" fontId="108" fillId="0" borderId="150" applyNumberFormat="0" applyFill="0" applyAlignment="0" applyProtection="0"/>
    <xf numFmtId="0" fontId="108" fillId="0" borderId="150" applyNumberFormat="0" applyFill="0" applyAlignment="0" applyProtection="0"/>
    <xf numFmtId="0" fontId="108" fillId="0" borderId="150" applyNumberFormat="0" applyFill="0" applyAlignment="0" applyProtection="0"/>
    <xf numFmtId="0" fontId="108" fillId="0" borderId="150" applyNumberFormat="0" applyFill="0" applyAlignment="0" applyProtection="0"/>
    <xf numFmtId="0" fontId="108" fillId="0" borderId="150" applyNumberFormat="0" applyFill="0" applyAlignment="0" applyProtection="0"/>
    <xf numFmtId="0" fontId="10" fillId="0" borderId="0"/>
    <xf numFmtId="0" fontId="55" fillId="0" borderId="0"/>
    <xf numFmtId="43" fontId="55" fillId="0" borderId="0" applyFont="0" applyFill="0" applyBorder="0" applyAlignment="0" applyProtection="0"/>
    <xf numFmtId="0" fontId="55" fillId="0" borderId="0"/>
    <xf numFmtId="44" fontId="55" fillId="0" borderId="0" applyFont="0" applyFill="0" applyBorder="0" applyAlignment="0" applyProtection="0"/>
    <xf numFmtId="43" fontId="9" fillId="0" borderId="0" applyFont="0" applyFill="0" applyBorder="0" applyAlignment="0" applyProtection="0"/>
    <xf numFmtId="0" fontId="9" fillId="0" borderId="0"/>
    <xf numFmtId="9" fontId="9" fillId="0" borderId="0" applyFont="0" applyFill="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97" fillId="12"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97" fillId="13"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97" fillId="1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97" fillId="15"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97" fillId="17"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97" fillId="18"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97" fillId="20"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97" fillId="15"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97" fillId="21"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112" fillId="22" borderId="0" applyNumberFormat="0" applyBorder="0" applyAlignment="0" applyProtection="0"/>
    <xf numFmtId="0" fontId="205" fillId="16" borderId="0" applyNumberFormat="0" applyBorder="0" applyAlignment="0" applyProtection="0"/>
    <xf numFmtId="0" fontId="205" fillId="16" borderId="0" applyNumberFormat="0" applyBorder="0" applyAlignment="0" applyProtection="0"/>
    <xf numFmtId="0" fontId="205" fillId="16" borderId="0" applyNumberFormat="0" applyBorder="0" applyAlignment="0" applyProtection="0"/>
    <xf numFmtId="0" fontId="112" fillId="24" borderId="0" applyNumberFormat="0" applyBorder="0" applyAlignment="0" applyProtection="0"/>
    <xf numFmtId="0" fontId="112" fillId="22" borderId="0" applyNumberFormat="0" applyBorder="0" applyAlignment="0" applyProtection="0"/>
    <xf numFmtId="0" fontId="205" fillId="65" borderId="0" applyNumberFormat="0" applyBorder="0" applyAlignment="0" applyProtection="0"/>
    <xf numFmtId="0" fontId="205" fillId="29" borderId="0" applyNumberFormat="0" applyBorder="0" applyAlignment="0" applyProtection="0"/>
    <xf numFmtId="0" fontId="205" fillId="68" borderId="0" applyNumberFormat="0" applyBorder="0" applyAlignment="0" applyProtection="0"/>
    <xf numFmtId="0" fontId="112" fillId="20" borderId="0" applyNumberFormat="0" applyBorder="0" applyAlignment="0" applyProtection="0"/>
    <xf numFmtId="0" fontId="205" fillId="21" borderId="0" applyNumberFormat="0" applyBorder="0" applyAlignment="0" applyProtection="0"/>
    <xf numFmtId="0" fontId="205" fillId="21" borderId="0" applyNumberFormat="0" applyBorder="0" applyAlignment="0" applyProtection="0"/>
    <xf numFmtId="0" fontId="205" fillId="21" borderId="0" applyNumberFormat="0" applyBorder="0" applyAlignment="0" applyProtection="0"/>
    <xf numFmtId="0" fontId="112" fillId="33" borderId="0" applyNumberFormat="0" applyBorder="0" applyAlignment="0" applyProtection="0"/>
    <xf numFmtId="0" fontId="112" fillId="20" borderId="0" applyNumberFormat="0" applyBorder="0" applyAlignment="0" applyProtection="0"/>
    <xf numFmtId="0" fontId="205" fillId="70" borderId="0" applyNumberFormat="0" applyBorder="0" applyAlignment="0" applyProtection="0"/>
    <xf numFmtId="0" fontId="112" fillId="23" borderId="0" applyNumberFormat="0" applyBorder="0" applyAlignment="0" applyProtection="0"/>
    <xf numFmtId="0" fontId="205" fillId="13" borderId="0" applyNumberFormat="0" applyBorder="0" applyAlignment="0" applyProtection="0"/>
    <xf numFmtId="0" fontId="205" fillId="13" borderId="0" applyNumberFormat="0" applyBorder="0" applyAlignment="0" applyProtection="0"/>
    <xf numFmtId="0" fontId="205" fillId="13" borderId="0" applyNumberFormat="0" applyBorder="0" applyAlignment="0" applyProtection="0"/>
    <xf numFmtId="0" fontId="112" fillId="30" borderId="0" applyNumberFormat="0" applyBorder="0" applyAlignment="0" applyProtection="0"/>
    <xf numFmtId="0" fontId="112" fillId="23" borderId="0" applyNumberFormat="0" applyBorder="0" applyAlignment="0" applyProtection="0"/>
    <xf numFmtId="0" fontId="205" fillId="72" borderId="0" applyNumberFormat="0" applyBorder="0" applyAlignment="0" applyProtection="0"/>
    <xf numFmtId="0" fontId="205" fillId="16" borderId="0" applyNumberFormat="0" applyBorder="0" applyAlignment="0" applyProtection="0"/>
    <xf numFmtId="0" fontId="205" fillId="75" borderId="0" applyNumberFormat="0" applyBorder="0" applyAlignment="0" applyProtection="0"/>
    <xf numFmtId="0" fontId="112" fillId="25" borderId="0" applyNumberFormat="0" applyBorder="0" applyAlignment="0" applyProtection="0"/>
    <xf numFmtId="0" fontId="205" fillId="19" borderId="0" applyNumberFormat="0" applyBorder="0" applyAlignment="0" applyProtection="0"/>
    <xf numFmtId="0" fontId="205" fillId="19" borderId="0" applyNumberFormat="0" applyBorder="0" applyAlignment="0" applyProtection="0"/>
    <xf numFmtId="0" fontId="205" fillId="19" borderId="0" applyNumberFormat="0" applyBorder="0" applyAlignment="0" applyProtection="0"/>
    <xf numFmtId="0" fontId="112" fillId="17" borderId="0" applyNumberFormat="0" applyBorder="0" applyAlignment="0" applyProtection="0"/>
    <xf numFmtId="0" fontId="112" fillId="25" borderId="0" applyNumberFormat="0" applyBorder="0" applyAlignment="0" applyProtection="0"/>
    <xf numFmtId="0" fontId="205" fillId="77" borderId="0" applyNumberFormat="0" applyBorder="0" applyAlignment="0" applyProtection="0"/>
    <xf numFmtId="0" fontId="112" fillId="26" borderId="0" applyNumberFormat="0" applyBorder="0" applyAlignment="0" applyProtection="0"/>
    <xf numFmtId="0" fontId="205" fillId="78" borderId="0" applyNumberFormat="0" applyBorder="0" applyAlignment="0" applyProtection="0"/>
    <xf numFmtId="0" fontId="205" fillId="78" borderId="0" applyNumberFormat="0" applyBorder="0" applyAlignment="0" applyProtection="0"/>
    <xf numFmtId="0" fontId="205" fillId="78" borderId="0" applyNumberFormat="0" applyBorder="0" applyAlignment="0" applyProtection="0"/>
    <xf numFmtId="0" fontId="112" fillId="24" borderId="0" applyNumberFormat="0" applyBorder="0" applyAlignment="0" applyProtection="0"/>
    <xf numFmtId="0" fontId="112" fillId="26" borderId="0" applyNumberFormat="0" applyBorder="0" applyAlignment="0" applyProtection="0"/>
    <xf numFmtId="0" fontId="205" fillId="64" borderId="0" applyNumberFormat="0" applyBorder="0" applyAlignment="0" applyProtection="0"/>
    <xf numFmtId="0" fontId="205" fillId="29" borderId="0" applyNumberFormat="0" applyBorder="0" applyAlignment="0" applyProtection="0"/>
    <xf numFmtId="0" fontId="205" fillId="66" borderId="0" applyNumberFormat="0" applyBorder="0" applyAlignment="0" applyProtection="0"/>
    <xf numFmtId="0" fontId="205" fillId="21" borderId="0" applyNumberFormat="0" applyBorder="0" applyAlignment="0" applyProtection="0"/>
    <xf numFmtId="0" fontId="205" fillId="69" borderId="0" applyNumberFormat="0" applyBorder="0" applyAlignment="0" applyProtection="0"/>
    <xf numFmtId="0" fontId="112" fillId="23" borderId="0" applyNumberFormat="0" applyBorder="0" applyAlignment="0" applyProtection="0"/>
    <xf numFmtId="0" fontId="205" fillId="79" borderId="0" applyNumberFormat="0" applyBorder="0" applyAlignment="0" applyProtection="0"/>
    <xf numFmtId="0" fontId="205" fillId="79" borderId="0" applyNumberFormat="0" applyBorder="0" applyAlignment="0" applyProtection="0"/>
    <xf numFmtId="0" fontId="205" fillId="79" borderId="0" applyNumberFormat="0" applyBorder="0" applyAlignment="0" applyProtection="0"/>
    <xf numFmtId="0" fontId="112" fillId="79" borderId="0" applyNumberFormat="0" applyBorder="0" applyAlignment="0" applyProtection="0"/>
    <xf numFmtId="0" fontId="112" fillId="23" borderId="0" applyNumberFormat="0" applyBorder="0" applyAlignment="0" applyProtection="0"/>
    <xf numFmtId="0" fontId="205" fillId="71" borderId="0" applyNumberFormat="0" applyBorder="0" applyAlignment="0" applyProtection="0"/>
    <xf numFmtId="0" fontId="205" fillId="73" borderId="0" applyNumberFormat="0" applyBorder="0" applyAlignment="0" applyProtection="0"/>
    <xf numFmtId="0" fontId="205" fillId="27" borderId="0" applyNumberFormat="0" applyBorder="0" applyAlignment="0" applyProtection="0"/>
    <xf numFmtId="0" fontId="205" fillId="76" borderId="0" applyNumberFormat="0" applyBorder="0" applyAlignment="0" applyProtection="0"/>
    <xf numFmtId="0" fontId="196" fillId="15" borderId="0" applyNumberFormat="0" applyBorder="0" applyAlignment="0" applyProtection="0"/>
    <xf numFmtId="0" fontId="196" fillId="58" borderId="0" applyNumberFormat="0" applyBorder="0" applyAlignment="0" applyProtection="0"/>
    <xf numFmtId="0" fontId="208" fillId="80" borderId="161" applyNumberFormat="0" applyAlignment="0" applyProtection="0"/>
    <xf numFmtId="0" fontId="114" fillId="80" borderId="171" applyNumberFormat="0" applyAlignment="0" applyProtection="0"/>
    <xf numFmtId="0" fontId="114" fillId="30" borderId="171" applyNumberFormat="0" applyAlignment="0" applyProtection="0"/>
    <xf numFmtId="0" fontId="200" fillId="61" borderId="161" applyNumberFormat="0" applyAlignment="0" applyProtection="0"/>
    <xf numFmtId="0" fontId="209" fillId="0" borderId="0"/>
    <xf numFmtId="0" fontId="202" fillId="62" borderId="164" applyNumberFormat="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1" fontId="210" fillId="0" borderId="0"/>
    <xf numFmtId="4" fontId="211" fillId="0" borderId="0" applyFont="0" applyFill="0" applyBorder="0" applyAlignment="0" applyProtection="0"/>
    <xf numFmtId="4" fontId="211" fillId="0" borderId="0" applyFont="0" applyFill="0" applyBorder="0" applyAlignment="0" applyProtection="0"/>
    <xf numFmtId="4" fontId="211" fillId="0" borderId="0" applyFont="0" applyFill="0" applyBorder="0" applyAlignment="0" applyProtection="0"/>
    <xf numFmtId="4" fontId="211" fillId="0" borderId="0" applyFont="0" applyFill="0" applyBorder="0" applyAlignment="0" applyProtection="0"/>
    <xf numFmtId="4" fontId="211" fillId="0" borderId="0" applyFont="0" applyFill="0" applyBorder="0" applyAlignment="0" applyProtection="0"/>
    <xf numFmtId="4" fontId="211" fillId="0" borderId="0" applyFont="0" applyFill="0" applyBorder="0" applyAlignment="0" applyProtection="0"/>
    <xf numFmtId="4" fontId="211" fillId="0" borderId="0" applyFont="0" applyFill="0" applyBorder="0" applyAlignment="0" applyProtection="0"/>
    <xf numFmtId="4" fontId="211" fillId="0" borderId="0" applyFont="0" applyFill="0" applyBorder="0" applyAlignment="0" applyProtection="0"/>
    <xf numFmtId="4" fontId="211" fillId="0" borderId="0" applyFont="0" applyFill="0" applyBorder="0" applyAlignment="0" applyProtection="0"/>
    <xf numFmtId="4" fontId="211" fillId="0" borderId="0" applyFont="0" applyFill="0" applyBorder="0" applyAlignment="0" applyProtection="0"/>
    <xf numFmtId="4" fontId="211" fillId="0" borderId="0" applyFont="0" applyFill="0" applyBorder="0" applyAlignment="0" applyProtection="0"/>
    <xf numFmtId="4" fontId="211" fillId="0" borderId="0" applyFont="0" applyFill="0" applyBorder="0" applyAlignment="0" applyProtection="0"/>
    <xf numFmtId="4" fontId="211" fillId="0" borderId="0" applyFont="0" applyFill="0" applyBorder="0" applyAlignment="0" applyProtection="0"/>
    <xf numFmtId="4" fontId="211" fillId="0" borderId="0" applyFont="0" applyFill="0" applyBorder="0" applyAlignment="0" applyProtection="0"/>
    <xf numFmtId="4" fontId="211" fillId="0" borderId="0" applyFont="0" applyFill="0" applyBorder="0" applyAlignment="0" applyProtection="0"/>
    <xf numFmtId="4" fontId="211" fillId="0" borderId="0" applyFont="0" applyFill="0" applyBorder="0" applyAlignment="0" applyProtection="0"/>
    <xf numFmtId="4" fontId="211" fillId="0" borderId="0" applyFont="0" applyFill="0" applyBorder="0" applyAlignment="0" applyProtection="0"/>
    <xf numFmtId="4" fontId="211" fillId="0" borderId="0" applyFont="0" applyFill="0" applyBorder="0" applyAlignment="0" applyProtection="0"/>
    <xf numFmtId="4" fontId="211" fillId="0" borderId="0" applyFont="0" applyFill="0" applyBorder="0" applyAlignment="0" applyProtection="0"/>
    <xf numFmtId="4" fontId="211" fillId="0" borderId="0" applyFont="0" applyFill="0" applyBorder="0" applyAlignment="0" applyProtection="0"/>
    <xf numFmtId="4" fontId="211" fillId="0" borderId="0" applyFont="0" applyFill="0" applyBorder="0" applyAlignment="0" applyProtection="0"/>
    <xf numFmtId="4" fontId="211" fillId="0" borderId="0" applyFont="0" applyFill="0" applyBorder="0" applyAlignment="0" applyProtection="0"/>
    <xf numFmtId="4" fontId="211" fillId="0" borderId="0" applyFont="0" applyFill="0" applyBorder="0" applyAlignment="0" applyProtection="0"/>
    <xf numFmtId="4" fontId="211" fillId="0" borderId="0" applyFont="0" applyFill="0" applyBorder="0" applyAlignment="0" applyProtection="0"/>
    <xf numFmtId="4" fontId="211" fillId="0" borderId="0" applyFont="0" applyFill="0" applyBorder="0" applyAlignment="0" applyProtection="0"/>
    <xf numFmtId="4" fontId="211" fillId="0" borderId="0" applyFont="0" applyFill="0" applyBorder="0" applyAlignment="0" applyProtection="0"/>
    <xf numFmtId="4" fontId="211" fillId="0" borderId="0" applyFont="0" applyFill="0" applyBorder="0" applyAlignment="0" applyProtection="0"/>
    <xf numFmtId="4" fontId="211" fillId="0" borderId="0" applyFont="0" applyFill="0" applyBorder="0" applyAlignment="0" applyProtection="0"/>
    <xf numFmtId="4" fontId="211" fillId="0" borderId="0" applyFont="0" applyFill="0" applyBorder="0" applyAlignment="0" applyProtection="0"/>
    <xf numFmtId="4" fontId="211" fillId="0" borderId="0" applyFont="0" applyFill="0" applyBorder="0" applyAlignment="0" applyProtection="0"/>
    <xf numFmtId="4" fontId="211" fillId="0" borderId="0" applyFont="0" applyFill="0" applyBorder="0" applyAlignment="0" applyProtection="0"/>
    <xf numFmtId="4" fontId="211" fillId="0" borderId="0" applyFont="0" applyFill="0" applyBorder="0" applyAlignment="0" applyProtection="0"/>
    <xf numFmtId="4" fontId="211" fillId="0" borderId="0" applyFont="0" applyFill="0" applyBorder="0" applyAlignment="0" applyProtection="0"/>
    <xf numFmtId="4" fontId="211" fillId="0" borderId="0" applyFont="0" applyFill="0" applyBorder="0" applyAlignment="0" applyProtection="0"/>
    <xf numFmtId="4" fontId="211" fillId="0" borderId="0" applyFont="0" applyFill="0" applyBorder="0" applyAlignment="0" applyProtection="0"/>
    <xf numFmtId="4" fontId="211" fillId="0" borderId="0" applyFont="0" applyFill="0" applyBorder="0" applyAlignment="0" applyProtection="0"/>
    <xf numFmtId="43" fontId="32" fillId="0" borderId="0" applyFont="0" applyFill="0" applyBorder="0" applyAlignment="0" applyProtection="0"/>
    <xf numFmtId="4" fontId="211" fillId="0" borderId="0" applyFont="0" applyFill="0" applyBorder="0" applyAlignment="0" applyProtection="0"/>
    <xf numFmtId="4" fontId="211" fillId="0" borderId="0" applyFont="0" applyFill="0" applyBorder="0" applyAlignment="0" applyProtection="0"/>
    <xf numFmtId="4" fontId="211" fillId="0" borderId="0" applyFont="0" applyFill="0" applyBorder="0" applyAlignment="0" applyProtection="0"/>
    <xf numFmtId="4" fontId="211" fillId="0" borderId="0" applyFont="0" applyFill="0" applyBorder="0" applyAlignment="0" applyProtection="0"/>
    <xf numFmtId="4" fontId="211" fillId="0" borderId="0" applyFont="0" applyFill="0" applyBorder="0" applyAlignment="0" applyProtection="0"/>
    <xf numFmtId="4" fontId="211" fillId="0" borderId="0" applyFont="0" applyFill="0" applyBorder="0" applyAlignment="0" applyProtection="0"/>
    <xf numFmtId="4" fontId="211" fillId="0" borderId="0" applyFont="0" applyFill="0" applyBorder="0" applyAlignment="0" applyProtection="0"/>
    <xf numFmtId="4" fontId="211" fillId="0" borderId="0" applyFont="0" applyFill="0" applyBorder="0" applyAlignment="0" applyProtection="0"/>
    <xf numFmtId="4" fontId="211" fillId="0" borderId="0" applyFont="0" applyFill="0" applyBorder="0" applyAlignment="0" applyProtection="0"/>
    <xf numFmtId="4" fontId="211" fillId="0" borderId="0" applyFont="0" applyFill="0" applyBorder="0" applyAlignment="0" applyProtection="0"/>
    <xf numFmtId="4" fontId="211" fillId="0" borderId="0" applyFont="0" applyFill="0" applyBorder="0" applyAlignment="0" applyProtection="0"/>
    <xf numFmtId="4" fontId="211" fillId="0" borderId="0" applyFont="0" applyFill="0" applyBorder="0" applyAlignment="0" applyProtection="0"/>
    <xf numFmtId="4" fontId="211" fillId="0" borderId="0" applyFont="0" applyFill="0" applyBorder="0" applyAlignment="0" applyProtection="0"/>
    <xf numFmtId="4" fontId="211" fillId="0" borderId="0" applyFont="0" applyFill="0" applyBorder="0" applyAlignment="0" applyProtection="0"/>
    <xf numFmtId="4" fontId="211" fillId="0" borderId="0" applyFont="0" applyFill="0" applyBorder="0" applyAlignment="0" applyProtection="0"/>
    <xf numFmtId="4" fontId="211" fillId="0" borderId="0" applyFont="0" applyFill="0" applyBorder="0" applyAlignment="0" applyProtection="0"/>
    <xf numFmtId="4" fontId="211" fillId="0" borderId="0" applyFont="0" applyFill="0" applyBorder="0" applyAlignment="0" applyProtection="0"/>
    <xf numFmtId="4" fontId="211" fillId="0" borderId="0" applyFont="0" applyFill="0" applyBorder="0" applyAlignment="0" applyProtection="0"/>
    <xf numFmtId="4" fontId="211" fillId="0" borderId="0" applyFont="0" applyFill="0" applyBorder="0" applyAlignment="0" applyProtection="0"/>
    <xf numFmtId="4" fontId="211" fillId="0" borderId="0" applyFont="0" applyFill="0" applyBorder="0" applyAlignment="0" applyProtection="0"/>
    <xf numFmtId="4" fontId="211" fillId="0" borderId="0" applyFont="0" applyFill="0" applyBorder="0" applyAlignment="0" applyProtection="0"/>
    <xf numFmtId="4" fontId="211" fillId="0" borderId="0" applyFont="0" applyFill="0" applyBorder="0" applyAlignment="0" applyProtection="0"/>
    <xf numFmtId="4" fontId="211" fillId="0" borderId="0" applyFont="0" applyFill="0" applyBorder="0" applyAlignment="0" applyProtection="0"/>
    <xf numFmtId="4" fontId="211" fillId="0" borderId="0" applyFont="0" applyFill="0" applyBorder="0" applyAlignment="0" applyProtection="0"/>
    <xf numFmtId="4" fontId="211" fillId="0" borderId="0" applyFont="0" applyFill="0" applyBorder="0" applyAlignment="0" applyProtection="0"/>
    <xf numFmtId="4" fontId="211" fillId="0" borderId="0" applyFont="0" applyFill="0" applyBorder="0" applyAlignment="0" applyProtection="0"/>
    <xf numFmtId="4" fontId="211" fillId="0" borderId="0" applyFont="0" applyFill="0" applyBorder="0" applyAlignment="0" applyProtection="0"/>
    <xf numFmtId="4" fontId="211" fillId="0" borderId="0" applyFont="0" applyFill="0" applyBorder="0" applyAlignment="0" applyProtection="0"/>
    <xf numFmtId="4" fontId="211" fillId="0" borderId="0" applyFont="0" applyFill="0" applyBorder="0" applyAlignment="0" applyProtection="0"/>
    <xf numFmtId="4" fontId="211" fillId="0" borderId="0" applyFont="0" applyFill="0" applyBorder="0" applyAlignment="0" applyProtection="0"/>
    <xf numFmtId="4" fontId="211" fillId="0" borderId="0" applyFont="0" applyFill="0" applyBorder="0" applyAlignment="0" applyProtection="0"/>
    <xf numFmtId="4" fontId="211" fillId="0" borderId="0" applyFont="0" applyFill="0" applyBorder="0" applyAlignment="0" applyProtection="0"/>
    <xf numFmtId="4" fontId="211" fillId="0" borderId="0" applyFont="0" applyFill="0" applyBorder="0" applyAlignment="0" applyProtection="0"/>
    <xf numFmtId="4" fontId="211" fillId="0" borderId="0" applyFont="0" applyFill="0" applyBorder="0" applyAlignment="0" applyProtection="0"/>
    <xf numFmtId="4" fontId="211" fillId="0" borderId="0" applyFont="0" applyFill="0" applyBorder="0" applyAlignment="0" applyProtection="0"/>
    <xf numFmtId="4" fontId="211" fillId="0" borderId="0" applyFont="0" applyFill="0" applyBorder="0" applyAlignment="0" applyProtection="0"/>
    <xf numFmtId="4" fontId="211" fillId="0" borderId="0" applyFont="0" applyFill="0" applyBorder="0" applyAlignment="0" applyProtection="0"/>
    <xf numFmtId="4" fontId="211" fillId="0" borderId="0" applyFont="0" applyFill="0" applyBorder="0" applyAlignment="0" applyProtection="0"/>
    <xf numFmtId="4" fontId="211" fillId="0" borderId="0" applyFont="0" applyFill="0" applyBorder="0" applyAlignment="0" applyProtection="0"/>
    <xf numFmtId="4" fontId="211" fillId="0" borderId="0" applyFont="0" applyFill="0" applyBorder="0" applyAlignment="0" applyProtection="0"/>
    <xf numFmtId="4" fontId="211" fillId="0" borderId="0" applyFont="0" applyFill="0" applyBorder="0" applyAlignment="0" applyProtection="0"/>
    <xf numFmtId="4" fontId="211" fillId="0" borderId="0" applyFont="0" applyFill="0" applyBorder="0" applyAlignment="0" applyProtection="0"/>
    <xf numFmtId="4" fontId="211" fillId="0" borderId="0" applyFont="0" applyFill="0" applyBorder="0" applyAlignment="0" applyProtection="0"/>
    <xf numFmtId="4" fontId="211" fillId="0" borderId="0" applyFont="0" applyFill="0" applyBorder="0" applyAlignment="0" applyProtection="0"/>
    <xf numFmtId="4" fontId="21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212" fillId="0" borderId="0"/>
    <xf numFmtId="0" fontId="212" fillId="0" borderId="0"/>
    <xf numFmtId="0" fontId="212" fillId="0" borderId="0"/>
    <xf numFmtId="0" fontId="212" fillId="0" borderId="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7" fontId="32" fillId="0" borderId="0" applyFill="0" applyBorder="0" applyAlignment="0" applyProtection="0"/>
    <xf numFmtId="37" fontId="32" fillId="0" borderId="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0" fontId="212" fillId="0" borderId="0"/>
    <xf numFmtId="0" fontId="212" fillId="0" borderId="0"/>
    <xf numFmtId="0" fontId="212" fillId="0" borderId="0"/>
    <xf numFmtId="5" fontId="212" fillId="0" borderId="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5" fontId="32" fillId="0" borderId="0" applyFill="0" applyBorder="0" applyAlignment="0" applyProtection="0"/>
    <xf numFmtId="5" fontId="32" fillId="0" borderId="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0" fontId="213" fillId="0" borderId="0"/>
    <xf numFmtId="0" fontId="213" fillId="0" borderId="172"/>
    <xf numFmtId="0" fontId="212" fillId="0" borderId="0"/>
    <xf numFmtId="0" fontId="212" fillId="0" borderId="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187" fontId="32" fillId="0" borderId="0" applyFill="0" applyBorder="0" applyAlignment="0" applyProtection="0"/>
    <xf numFmtId="187" fontId="32" fillId="0" borderId="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0" fontId="204" fillId="0" borderId="0" applyNumberFormat="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32" fillId="0" borderId="0" applyFill="0" applyBorder="0" applyAlignment="0" applyProtection="0"/>
    <xf numFmtId="2" fontId="32" fillId="0" borderId="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0" fontId="212" fillId="0" borderId="0"/>
    <xf numFmtId="0" fontId="195" fillId="16" borderId="0" applyNumberFormat="0" applyBorder="0" applyAlignment="0" applyProtection="0"/>
    <xf numFmtId="0" fontId="195" fillId="57" borderId="0" applyNumberFormat="0" applyBorder="0" applyAlignment="0" applyProtection="0"/>
    <xf numFmtId="38" fontId="81" fillId="42" borderId="0" applyNumberFormat="0" applyBorder="0" applyAlignment="0" applyProtection="0"/>
    <xf numFmtId="38" fontId="81" fillId="42" borderId="0" applyNumberFormat="0" applyBorder="0" applyAlignment="0" applyProtection="0"/>
    <xf numFmtId="38" fontId="81" fillId="42" borderId="0" applyNumberFormat="0" applyBorder="0" applyAlignment="0" applyProtection="0"/>
    <xf numFmtId="38" fontId="81" fillId="42" borderId="0" applyNumberFormat="0" applyBorder="0" applyAlignment="0" applyProtection="0"/>
    <xf numFmtId="38" fontId="81" fillId="42" borderId="0" applyNumberFormat="0" applyBorder="0" applyAlignment="0" applyProtection="0"/>
    <xf numFmtId="38" fontId="81" fillId="42" borderId="0" applyNumberFormat="0" applyBorder="0" applyAlignment="0" applyProtection="0"/>
    <xf numFmtId="38" fontId="81" fillId="42" borderId="0" applyNumberFormat="0" applyBorder="0" applyAlignment="0" applyProtection="0"/>
    <xf numFmtId="38" fontId="81" fillId="42" borderId="0" applyNumberFormat="0" applyBorder="0" applyAlignment="0" applyProtection="0"/>
    <xf numFmtId="38" fontId="81" fillId="42" borderId="0" applyNumberFormat="0" applyBorder="0" applyAlignment="0" applyProtection="0"/>
    <xf numFmtId="38" fontId="81" fillId="42" borderId="0" applyNumberFormat="0" applyBorder="0" applyAlignment="0" applyProtection="0"/>
    <xf numFmtId="38" fontId="81" fillId="42" borderId="0" applyNumberFormat="0" applyBorder="0" applyAlignment="0" applyProtection="0"/>
    <xf numFmtId="38" fontId="81" fillId="42" borderId="0" applyNumberFormat="0" applyBorder="0" applyAlignment="0" applyProtection="0"/>
    <xf numFmtId="38" fontId="81" fillId="42" borderId="0" applyNumberFormat="0" applyBorder="0" applyAlignment="0" applyProtection="0"/>
    <xf numFmtId="38" fontId="81" fillId="42" borderId="0" applyNumberFormat="0" applyBorder="0" applyAlignment="0" applyProtection="0"/>
    <xf numFmtId="38" fontId="81" fillId="42" borderId="0" applyNumberFormat="0" applyBorder="0" applyAlignment="0" applyProtection="0"/>
    <xf numFmtId="38" fontId="81" fillId="42" borderId="0" applyNumberFormat="0" applyBorder="0" applyAlignment="0" applyProtection="0"/>
    <xf numFmtId="38" fontId="81" fillId="42" borderId="0" applyNumberFormat="0" applyBorder="0" applyAlignment="0" applyProtection="0"/>
    <xf numFmtId="38" fontId="81" fillId="42" borderId="0" applyNumberFormat="0" applyBorder="0" applyAlignment="0" applyProtection="0"/>
    <xf numFmtId="38" fontId="81" fillId="42" borderId="0" applyNumberFormat="0" applyBorder="0" applyAlignment="0" applyProtection="0"/>
    <xf numFmtId="38" fontId="81" fillId="42" borderId="0" applyNumberFormat="0" applyBorder="0" applyAlignment="0" applyProtection="0"/>
    <xf numFmtId="38" fontId="81" fillId="42" borderId="0" applyNumberFormat="0" applyBorder="0" applyAlignment="0" applyProtection="0"/>
    <xf numFmtId="38" fontId="81" fillId="42" borderId="0" applyNumberFormat="0" applyBorder="0" applyAlignment="0" applyProtection="0"/>
    <xf numFmtId="38" fontId="81" fillId="42" borderId="0" applyNumberFormat="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5" fillId="0" borderId="173" applyNumberFormat="0" applyFill="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92" fillId="0" borderId="158" applyNumberFormat="0" applyFill="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7" fillId="0" borderId="174" applyNumberFormat="0" applyFill="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193" fillId="0" borderId="159" applyNumberFormat="0" applyFill="0" applyAlignment="0" applyProtection="0"/>
    <xf numFmtId="0" fontId="121" fillId="0" borderId="54" applyNumberFormat="0" applyFill="0" applyAlignment="0" applyProtection="0"/>
    <xf numFmtId="0" fontId="218" fillId="0" borderId="175" applyNumberFormat="0" applyFill="0" applyAlignment="0" applyProtection="0"/>
    <xf numFmtId="0" fontId="218" fillId="0" borderId="175" applyNumberFormat="0" applyFill="0" applyAlignment="0" applyProtection="0"/>
    <xf numFmtId="0" fontId="218" fillId="0" borderId="175" applyNumberFormat="0" applyFill="0" applyAlignment="0" applyProtection="0"/>
    <xf numFmtId="0" fontId="219" fillId="0" borderId="176" applyNumberFormat="0" applyFill="0" applyAlignment="0" applyProtection="0"/>
    <xf numFmtId="0" fontId="121" fillId="0" borderId="54" applyNumberFormat="0" applyFill="0" applyAlignment="0" applyProtection="0"/>
    <xf numFmtId="0" fontId="194" fillId="0" borderId="160" applyNumberFormat="0" applyFill="0" applyAlignment="0" applyProtection="0"/>
    <xf numFmtId="0" fontId="121" fillId="0" borderId="0" applyNumberFormat="0" applyFill="0" applyBorder="0" applyAlignment="0" applyProtection="0"/>
    <xf numFmtId="0" fontId="218" fillId="0" borderId="0" applyNumberFormat="0" applyFill="0" applyBorder="0" applyAlignment="0" applyProtection="0"/>
    <xf numFmtId="0" fontId="218" fillId="0" borderId="0" applyNumberFormat="0" applyFill="0" applyBorder="0" applyAlignment="0" applyProtection="0"/>
    <xf numFmtId="0" fontId="218" fillId="0" borderId="0" applyNumberFormat="0" applyFill="0" applyBorder="0" applyAlignment="0" applyProtection="0"/>
    <xf numFmtId="0" fontId="219" fillId="0" borderId="0" applyNumberFormat="0" applyFill="0" applyBorder="0" applyAlignment="0" applyProtection="0"/>
    <xf numFmtId="0" fontId="121" fillId="0" borderId="0" applyNumberFormat="0" applyFill="0" applyBorder="0" applyAlignment="0" applyProtection="0"/>
    <xf numFmtId="0" fontId="194" fillId="0" borderId="0" applyNumberFormat="0" applyFill="0" applyBorder="0" applyAlignment="0" applyProtection="0"/>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0" fontId="122" fillId="0" borderId="0" applyNumberFormat="0" applyFill="0" applyBorder="0" applyAlignment="0" applyProtection="0">
      <alignment vertical="top"/>
      <protection locked="0"/>
    </xf>
    <xf numFmtId="0" fontId="122" fillId="0" borderId="0" applyNumberFormat="0" applyFill="0" applyBorder="0" applyAlignment="0" applyProtection="0">
      <alignment vertical="top"/>
      <protection locked="0"/>
    </xf>
    <xf numFmtId="10" fontId="81" fillId="43" borderId="153" applyNumberFormat="0" applyBorder="0" applyAlignment="0" applyProtection="0"/>
    <xf numFmtId="10" fontId="81" fillId="43" borderId="153" applyNumberFormat="0" applyBorder="0" applyAlignment="0" applyProtection="0"/>
    <xf numFmtId="10" fontId="81" fillId="43" borderId="153" applyNumberFormat="0" applyBorder="0" applyAlignment="0" applyProtection="0"/>
    <xf numFmtId="10" fontId="81" fillId="43" borderId="153" applyNumberFormat="0" applyBorder="0" applyAlignment="0" applyProtection="0"/>
    <xf numFmtId="10" fontId="81" fillId="43" borderId="153" applyNumberFormat="0" applyBorder="0" applyAlignment="0" applyProtection="0"/>
    <xf numFmtId="10" fontId="81" fillId="43" borderId="153" applyNumberFormat="0" applyBorder="0" applyAlignment="0" applyProtection="0"/>
    <xf numFmtId="10" fontId="81" fillId="43" borderId="153" applyNumberFormat="0" applyBorder="0" applyAlignment="0" applyProtection="0"/>
    <xf numFmtId="10" fontId="81" fillId="43" borderId="153" applyNumberFormat="0" applyBorder="0" applyAlignment="0" applyProtection="0"/>
    <xf numFmtId="10" fontId="81" fillId="43" borderId="153" applyNumberFormat="0" applyBorder="0" applyAlignment="0" applyProtection="0"/>
    <xf numFmtId="10" fontId="81" fillId="43" borderId="153" applyNumberFormat="0" applyBorder="0" applyAlignment="0" applyProtection="0"/>
    <xf numFmtId="10" fontId="81" fillId="43" borderId="153" applyNumberFormat="0" applyBorder="0" applyAlignment="0" applyProtection="0"/>
    <xf numFmtId="10" fontId="81" fillId="43" borderId="153" applyNumberFormat="0" applyBorder="0" applyAlignment="0" applyProtection="0"/>
    <xf numFmtId="10" fontId="81" fillId="43" borderId="153" applyNumberFormat="0" applyBorder="0" applyAlignment="0" applyProtection="0"/>
    <xf numFmtId="10" fontId="81" fillId="43" borderId="153" applyNumberFormat="0" applyBorder="0" applyAlignment="0" applyProtection="0"/>
    <xf numFmtId="10" fontId="81" fillId="43" borderId="153" applyNumberFormat="0" applyBorder="0" applyAlignment="0" applyProtection="0"/>
    <xf numFmtId="10" fontId="81" fillId="43" borderId="153" applyNumberFormat="0" applyBorder="0" applyAlignment="0" applyProtection="0"/>
    <xf numFmtId="10" fontId="81" fillId="43" borderId="153" applyNumberFormat="0" applyBorder="0" applyAlignment="0" applyProtection="0"/>
    <xf numFmtId="10" fontId="81" fillId="43" borderId="153" applyNumberFormat="0" applyBorder="0" applyAlignment="0" applyProtection="0"/>
    <xf numFmtId="10" fontId="81" fillId="43" borderId="153" applyNumberFormat="0" applyBorder="0" applyAlignment="0" applyProtection="0"/>
    <xf numFmtId="10" fontId="81" fillId="43" borderId="153" applyNumberFormat="0" applyBorder="0" applyAlignment="0" applyProtection="0"/>
    <xf numFmtId="10" fontId="81" fillId="43" borderId="153" applyNumberFormat="0" applyBorder="0" applyAlignment="0" applyProtection="0"/>
    <xf numFmtId="10" fontId="81" fillId="43" borderId="153" applyNumberFormat="0" applyBorder="0" applyAlignment="0" applyProtection="0"/>
    <xf numFmtId="10" fontId="81" fillId="43" borderId="153" applyNumberFormat="0" applyBorder="0" applyAlignment="0" applyProtection="0"/>
    <xf numFmtId="0" fontId="198" fillId="33" borderId="161" applyNumberFormat="0" applyAlignment="0" applyProtection="0"/>
    <xf numFmtId="0" fontId="198" fillId="60" borderId="161" applyNumberFormat="0" applyAlignment="0" applyProtection="0"/>
    <xf numFmtId="0" fontId="198" fillId="60" borderId="161" applyNumberFormat="0" applyAlignment="0" applyProtection="0"/>
    <xf numFmtId="0" fontId="198" fillId="60" borderId="161" applyNumberFormat="0" applyAlignment="0" applyProtection="0"/>
    <xf numFmtId="0" fontId="198" fillId="60" borderId="161" applyNumberFormat="0" applyAlignment="0" applyProtection="0"/>
    <xf numFmtId="38" fontId="50" fillId="0" borderId="0">
      <alignment horizontal="left" wrapText="1"/>
    </xf>
    <xf numFmtId="38" fontId="220" fillId="0" borderId="0">
      <alignment horizontal="left" wrapText="1"/>
    </xf>
    <xf numFmtId="0" fontId="221" fillId="81" borderId="177"/>
    <xf numFmtId="0" fontId="222" fillId="0" borderId="178" applyNumberFormat="0" applyFill="0" applyAlignment="0" applyProtection="0"/>
    <xf numFmtId="0" fontId="201" fillId="0" borderId="163" applyNumberFormat="0" applyFill="0" applyAlignment="0" applyProtection="0"/>
    <xf numFmtId="0" fontId="223" fillId="59" borderId="0" applyNumberFormat="0" applyBorder="0" applyAlignment="0" applyProtection="0"/>
    <xf numFmtId="0" fontId="197" fillId="59" borderId="0" applyNumberFormat="0" applyBorder="0" applyAlignment="0" applyProtection="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37" fontId="212" fillId="0" borderId="0"/>
    <xf numFmtId="0" fontId="97" fillId="63" borderId="165" applyNumberFormat="0" applyFont="0" applyAlignment="0" applyProtection="0"/>
    <xf numFmtId="0" fontId="97" fillId="63" borderId="165" applyNumberFormat="0" applyFont="0" applyAlignment="0" applyProtection="0"/>
    <xf numFmtId="0" fontId="97" fillId="63" borderId="165" applyNumberFormat="0" applyFont="0" applyAlignment="0" applyProtection="0"/>
    <xf numFmtId="0" fontId="97" fillId="34" borderId="147" applyNumberFormat="0" applyFont="0" applyAlignment="0" applyProtection="0"/>
    <xf numFmtId="0" fontId="97" fillId="63" borderId="165" applyNumberFormat="0" applyFont="0" applyAlignment="0" applyProtection="0"/>
    <xf numFmtId="0" fontId="97" fillId="63" borderId="165" applyNumberFormat="0" applyFont="0" applyAlignment="0" applyProtection="0"/>
    <xf numFmtId="0" fontId="97" fillId="63" borderId="165" applyNumberFormat="0" applyFont="0" applyAlignment="0" applyProtection="0"/>
    <xf numFmtId="0" fontId="97" fillId="63" borderId="165" applyNumberFormat="0" applyFont="0" applyAlignment="0" applyProtection="0"/>
    <xf numFmtId="0" fontId="199" fillId="80" borderId="162" applyNumberFormat="0" applyAlignment="0" applyProtection="0"/>
    <xf numFmtId="0" fontId="126" fillId="80" borderId="148" applyNumberFormat="0" applyAlignment="0" applyProtection="0"/>
    <xf numFmtId="0" fontId="126" fillId="30" borderId="148" applyNumberFormat="0" applyAlignment="0" applyProtection="0"/>
    <xf numFmtId="0" fontId="199" fillId="61" borderId="162" applyNumberFormat="0" applyAlignment="0" applyProtection="0"/>
    <xf numFmtId="40" fontId="82" fillId="5" borderId="0">
      <alignment horizontal="right"/>
    </xf>
    <xf numFmtId="0" fontId="83" fillId="5" borderId="0">
      <alignment horizontal="left"/>
    </xf>
    <xf numFmtId="0" fontId="212" fillId="0" borderId="0"/>
    <xf numFmtId="0" fontId="212" fillId="0" borderId="0"/>
    <xf numFmtId="10" fontId="32" fillId="0" borderId="0" applyFont="0" applyFill="0" applyBorder="0" applyAlignment="0" applyProtection="0"/>
    <xf numFmtId="10" fontId="32" fillId="0" borderId="0" applyFont="0" applyFill="0" applyBorder="0" applyAlignment="0" applyProtection="0"/>
    <xf numFmtId="10" fontId="32" fillId="0" borderId="0" applyFont="0" applyFill="0" applyBorder="0" applyAlignment="0" applyProtection="0"/>
    <xf numFmtId="10" fontId="32" fillId="0" borderId="0" applyFont="0" applyFill="0" applyBorder="0" applyAlignment="0" applyProtection="0"/>
    <xf numFmtId="10" fontId="32" fillId="0" borderId="0" applyFont="0" applyFill="0" applyBorder="0" applyAlignment="0" applyProtection="0"/>
    <xf numFmtId="10" fontId="32" fillId="0" borderId="0" applyFont="0" applyFill="0" applyBorder="0" applyAlignment="0" applyProtection="0"/>
    <xf numFmtId="10" fontId="32" fillId="0" borderId="0" applyFont="0" applyFill="0" applyBorder="0" applyAlignment="0" applyProtection="0"/>
    <xf numFmtId="10" fontId="32" fillId="0" borderId="0" applyFont="0" applyFill="0" applyBorder="0" applyAlignment="0" applyProtection="0"/>
    <xf numFmtId="10" fontId="32" fillId="0" borderId="0" applyFont="0" applyFill="0" applyBorder="0" applyAlignment="0" applyProtection="0"/>
    <xf numFmtId="10" fontId="32" fillId="0" borderId="0" applyFont="0" applyFill="0" applyBorder="0" applyAlignment="0" applyProtection="0"/>
    <xf numFmtId="10" fontId="32" fillId="0" borderId="0" applyFont="0" applyFill="0" applyBorder="0" applyAlignment="0" applyProtection="0"/>
    <xf numFmtId="10" fontId="32" fillId="0" borderId="0" applyFont="0" applyFill="0" applyBorder="0" applyAlignment="0" applyProtection="0"/>
    <xf numFmtId="10" fontId="32" fillId="0" borderId="0" applyFont="0" applyFill="0" applyBorder="0" applyAlignment="0" applyProtection="0"/>
    <xf numFmtId="10" fontId="32" fillId="0" borderId="0" applyFont="0" applyFill="0" applyBorder="0" applyAlignment="0" applyProtection="0"/>
    <xf numFmtId="10" fontId="32" fillId="0" borderId="0" applyFont="0" applyFill="0" applyBorder="0" applyAlignment="0" applyProtection="0"/>
    <xf numFmtId="10" fontId="32" fillId="0" borderId="0" applyFont="0" applyFill="0" applyBorder="0" applyAlignment="0" applyProtection="0"/>
    <xf numFmtId="10" fontId="32" fillId="0" borderId="0" applyFont="0" applyFill="0" applyBorder="0" applyAlignment="0" applyProtection="0"/>
    <xf numFmtId="10" fontId="32" fillId="0" borderId="0" applyFont="0" applyFill="0" applyBorder="0" applyAlignment="0" applyProtection="0"/>
    <xf numFmtId="10" fontId="32" fillId="0" borderId="0" applyFont="0" applyFill="0" applyBorder="0" applyAlignment="0" applyProtection="0"/>
    <xf numFmtId="10" fontId="32" fillId="0" borderId="0" applyFont="0" applyFill="0" applyBorder="0" applyAlignment="0" applyProtection="0"/>
    <xf numFmtId="10" fontId="32" fillId="0" borderId="0" applyFont="0" applyFill="0" applyBorder="0" applyAlignment="0" applyProtection="0"/>
    <xf numFmtId="10" fontId="32"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224" fillId="0" borderId="0"/>
    <xf numFmtId="9" fontId="224" fillId="0" borderId="0"/>
    <xf numFmtId="9" fontId="225" fillId="0" borderId="0"/>
    <xf numFmtId="9" fontId="224" fillId="0" borderId="0"/>
    <xf numFmtId="9" fontId="225" fillId="0" borderId="0"/>
    <xf numFmtId="9" fontId="224" fillId="0" borderId="0"/>
    <xf numFmtId="0" fontId="213" fillId="0" borderId="0"/>
    <xf numFmtId="37" fontId="226" fillId="82" borderId="0" applyNumberFormat="0" applyFont="0" applyBorder="0" applyAlignment="0" applyProtection="0"/>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0" fontId="68" fillId="83" borderId="179"/>
    <xf numFmtId="0" fontId="68" fillId="83" borderId="179"/>
    <xf numFmtId="0" fontId="213" fillId="0" borderId="177"/>
    <xf numFmtId="38" fontId="32" fillId="0" borderId="0">
      <alignment horizontal="left" wrapText="1"/>
    </xf>
    <xf numFmtId="38" fontId="32" fillId="0" borderId="0">
      <alignment horizontal="left" wrapText="1"/>
    </xf>
    <xf numFmtId="38" fontId="32" fillId="0" borderId="0">
      <alignment horizontal="left" wrapText="1"/>
    </xf>
    <xf numFmtId="38" fontId="32" fillId="0" borderId="0">
      <alignment horizontal="left" wrapText="1"/>
    </xf>
    <xf numFmtId="38" fontId="32" fillId="0" borderId="0">
      <alignment horizontal="left" wrapText="1"/>
    </xf>
    <xf numFmtId="38" fontId="32" fillId="0" borderId="0">
      <alignment horizontal="left" wrapText="1"/>
    </xf>
    <xf numFmtId="38" fontId="32" fillId="0" borderId="0">
      <alignment horizontal="left" wrapText="1"/>
    </xf>
    <xf numFmtId="38" fontId="32" fillId="0" borderId="0">
      <alignment horizontal="left" wrapText="1"/>
    </xf>
    <xf numFmtId="38" fontId="32" fillId="0" borderId="0">
      <alignment horizontal="left" wrapText="1"/>
    </xf>
    <xf numFmtId="38" fontId="32" fillId="0" borderId="0">
      <alignment horizontal="left" wrapText="1"/>
    </xf>
    <xf numFmtId="38" fontId="32" fillId="0" borderId="0">
      <alignment horizontal="left" wrapText="1"/>
    </xf>
    <xf numFmtId="38" fontId="32" fillId="0" borderId="0">
      <alignment horizontal="left" wrapText="1"/>
    </xf>
    <xf numFmtId="38" fontId="32" fillId="0" borderId="0">
      <alignment horizontal="left" wrapText="1"/>
    </xf>
    <xf numFmtId="38" fontId="32" fillId="0" borderId="0">
      <alignment horizontal="left" wrapText="1"/>
    </xf>
    <xf numFmtId="38" fontId="32" fillId="0" borderId="0">
      <alignment horizontal="left" wrapText="1"/>
    </xf>
    <xf numFmtId="38" fontId="32" fillId="0" borderId="0">
      <alignment horizontal="left" wrapText="1"/>
    </xf>
    <xf numFmtId="38" fontId="32" fillId="0" borderId="0">
      <alignment horizontal="left" wrapText="1"/>
    </xf>
    <xf numFmtId="38" fontId="32" fillId="0" borderId="0">
      <alignment horizontal="left" wrapText="1"/>
    </xf>
    <xf numFmtId="38" fontId="32" fillId="0" borderId="0">
      <alignment horizontal="left" wrapText="1"/>
    </xf>
    <xf numFmtId="38" fontId="32" fillId="0" borderId="0">
      <alignment horizontal="left" wrapText="1"/>
    </xf>
    <xf numFmtId="38" fontId="32" fillId="0" borderId="0">
      <alignment horizontal="left" wrapText="1"/>
    </xf>
    <xf numFmtId="38" fontId="32" fillId="0" borderId="0">
      <alignment horizontal="left" wrapText="1"/>
    </xf>
    <xf numFmtId="38" fontId="32" fillId="0" borderId="0">
      <alignment horizontal="left" wrapText="1"/>
    </xf>
    <xf numFmtId="38" fontId="32" fillId="0" borderId="0">
      <alignment horizontal="left" wrapText="1"/>
    </xf>
    <xf numFmtId="38" fontId="32" fillId="0" borderId="0">
      <alignment horizontal="left" wrapText="1"/>
    </xf>
    <xf numFmtId="38" fontId="32" fillId="0" borderId="0">
      <alignment horizontal="left" wrapText="1"/>
    </xf>
    <xf numFmtId="38" fontId="32" fillId="0" borderId="0">
      <alignment horizontal="left" wrapText="1"/>
    </xf>
    <xf numFmtId="38" fontId="32" fillId="0" borderId="0">
      <alignment horizontal="left" wrapText="1"/>
    </xf>
    <xf numFmtId="38" fontId="32" fillId="0" borderId="0">
      <alignment horizontal="left" wrapText="1"/>
    </xf>
    <xf numFmtId="0" fontId="227" fillId="84" borderId="0"/>
    <xf numFmtId="0" fontId="127"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229" fillId="0" borderId="0" applyNumberFormat="0" applyFill="0" applyBorder="0" applyAlignment="0" applyProtection="0"/>
    <xf numFmtId="0" fontId="127" fillId="0" borderId="0" applyNumberFormat="0" applyFill="0" applyBorder="0" applyAlignment="0" applyProtection="0"/>
    <xf numFmtId="0" fontId="191" fillId="0" borderId="0" applyNumberFormat="0" applyFill="0" applyBorder="0" applyAlignment="0" applyProtection="0"/>
    <xf numFmtId="0" fontId="191" fillId="0" borderId="0" applyNumberFormat="0" applyFill="0" applyBorder="0" applyAlignment="0" applyProtection="0"/>
    <xf numFmtId="0" fontId="191" fillId="0" borderId="0" applyNumberFormat="0" applyFill="0" applyBorder="0" applyAlignment="0" applyProtection="0"/>
    <xf numFmtId="0" fontId="191" fillId="0" borderId="0" applyNumberFormat="0" applyFill="0" applyBorder="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211" fillId="0" borderId="180" applyNumberFormat="0" applyFont="0" applyFill="0" applyAlignment="0" applyProtection="0"/>
    <xf numFmtId="0" fontId="211" fillId="0" borderId="180" applyNumberFormat="0" applyFont="0" applyFill="0" applyAlignment="0" applyProtection="0"/>
    <xf numFmtId="0" fontId="211" fillId="0" borderId="180" applyNumberFormat="0" applyFont="0" applyFill="0" applyAlignment="0" applyProtection="0"/>
    <xf numFmtId="0" fontId="211" fillId="0" borderId="180" applyNumberFormat="0" applyFont="0" applyFill="0" applyAlignment="0" applyProtection="0"/>
    <xf numFmtId="0" fontId="211" fillId="0" borderId="180" applyNumberFormat="0" applyFont="0" applyFill="0" applyAlignment="0" applyProtection="0"/>
    <xf numFmtId="0" fontId="211" fillId="0" borderId="180" applyNumberFormat="0" applyFont="0" applyFill="0" applyAlignment="0" applyProtection="0"/>
    <xf numFmtId="0" fontId="211" fillId="0" borderId="180" applyNumberFormat="0" applyFont="0" applyFill="0" applyAlignment="0" applyProtection="0"/>
    <xf numFmtId="0" fontId="211" fillId="0" borderId="180" applyNumberFormat="0" applyFont="0" applyFill="0" applyAlignment="0" applyProtection="0"/>
    <xf numFmtId="0" fontId="211" fillId="0" borderId="180" applyNumberFormat="0" applyFont="0" applyFill="0" applyAlignment="0" applyProtection="0"/>
    <xf numFmtId="0" fontId="211" fillId="0" borderId="180" applyNumberFormat="0" applyFont="0" applyFill="0" applyAlignment="0" applyProtection="0"/>
    <xf numFmtId="0" fontId="211" fillId="0" borderId="180" applyNumberFormat="0" applyFont="0" applyFill="0" applyAlignment="0" applyProtection="0"/>
    <xf numFmtId="0" fontId="211" fillId="0" borderId="180" applyNumberFormat="0" applyFont="0" applyFill="0" applyAlignment="0" applyProtection="0"/>
    <xf numFmtId="0" fontId="211" fillId="0" borderId="180" applyNumberFormat="0" applyFont="0" applyFill="0" applyAlignment="0" applyProtection="0"/>
    <xf numFmtId="0" fontId="211" fillId="0" borderId="180" applyNumberFormat="0" applyFont="0" applyFill="0" applyAlignment="0" applyProtection="0"/>
    <xf numFmtId="0" fontId="211" fillId="0" borderId="180" applyNumberFormat="0" applyFont="0" applyFill="0" applyAlignment="0" applyProtection="0"/>
    <xf numFmtId="0" fontId="211" fillId="0" borderId="180" applyNumberFormat="0" applyFont="0" applyFill="0" applyAlignment="0" applyProtection="0"/>
    <xf numFmtId="0" fontId="211" fillId="0" borderId="180" applyNumberFormat="0" applyFont="0" applyFill="0" applyAlignment="0" applyProtection="0"/>
    <xf numFmtId="0" fontId="211" fillId="0" borderId="180" applyNumberFormat="0" applyFont="0" applyFill="0" applyAlignment="0" applyProtection="0"/>
    <xf numFmtId="0" fontId="211" fillId="0" borderId="180" applyNumberFormat="0" applyFont="0" applyFill="0" applyAlignment="0" applyProtection="0"/>
    <xf numFmtId="0" fontId="211" fillId="0" borderId="180" applyNumberFormat="0" applyFont="0" applyFill="0" applyAlignment="0" applyProtection="0"/>
    <xf numFmtId="0" fontId="211" fillId="0" borderId="180" applyNumberFormat="0" applyFont="0" applyFill="0" applyAlignment="0" applyProtection="0"/>
    <xf numFmtId="0" fontId="211" fillId="0" borderId="180" applyNumberFormat="0" applyFont="0" applyFill="0" applyAlignment="0" applyProtection="0"/>
    <xf numFmtId="0" fontId="211" fillId="0" borderId="180" applyNumberFormat="0" applyFont="0" applyFill="0" applyAlignment="0" applyProtection="0"/>
    <xf numFmtId="0" fontId="211" fillId="0" borderId="180" applyNumberFormat="0" applyFont="0" applyFill="0" applyAlignment="0" applyProtection="0"/>
    <xf numFmtId="0" fontId="211" fillId="0" borderId="180" applyNumberFormat="0" applyFont="0" applyFill="0" applyAlignment="0" applyProtection="0"/>
    <xf numFmtId="0" fontId="211" fillId="0" borderId="180" applyNumberFormat="0" applyFont="0" applyFill="0" applyAlignment="0" applyProtection="0"/>
    <xf numFmtId="0" fontId="211" fillId="0" borderId="180" applyNumberFormat="0" applyFont="0" applyFill="0" applyAlignment="0" applyProtection="0"/>
    <xf numFmtId="0" fontId="211" fillId="0" borderId="180" applyNumberFormat="0" applyFont="0" applyFill="0" applyAlignment="0" applyProtection="0"/>
    <xf numFmtId="0" fontId="211" fillId="0" borderId="180" applyNumberFormat="0" applyFont="0" applyFill="0" applyAlignment="0" applyProtection="0"/>
    <xf numFmtId="0" fontId="211" fillId="0" borderId="180" applyNumberFormat="0" applyFont="0" applyFill="0" applyAlignment="0" applyProtection="0"/>
    <xf numFmtId="0" fontId="211" fillId="0" borderId="180" applyNumberFormat="0" applyFont="0" applyFill="0" applyAlignment="0" applyProtection="0"/>
    <xf numFmtId="0" fontId="211" fillId="0" borderId="180" applyNumberFormat="0" applyFont="0" applyFill="0" applyAlignment="0" applyProtection="0"/>
    <xf numFmtId="0" fontId="211" fillId="0" borderId="180" applyNumberFormat="0" applyFont="0" applyFill="0" applyAlignment="0" applyProtection="0"/>
    <xf numFmtId="0" fontId="211" fillId="0" borderId="180" applyNumberFormat="0" applyFont="0" applyFill="0" applyAlignment="0" applyProtection="0"/>
    <xf numFmtId="0" fontId="211" fillId="0" borderId="180" applyNumberFormat="0" applyFont="0" applyFill="0" applyAlignment="0" applyProtection="0"/>
    <xf numFmtId="0" fontId="211" fillId="0" borderId="180" applyNumberFormat="0" applyFont="0" applyFill="0" applyAlignment="0" applyProtection="0"/>
    <xf numFmtId="0" fontId="211" fillId="0" borderId="180" applyNumberFormat="0" applyFont="0" applyFill="0" applyAlignment="0" applyProtection="0"/>
    <xf numFmtId="0" fontId="211" fillId="0" borderId="180" applyNumberFormat="0" applyFont="0" applyFill="0" applyAlignment="0" applyProtection="0"/>
    <xf numFmtId="0" fontId="211" fillId="0" borderId="180" applyNumberFormat="0" applyFont="0" applyFill="0" applyAlignment="0" applyProtection="0"/>
    <xf numFmtId="0" fontId="211" fillId="0" borderId="180" applyNumberFormat="0" applyFont="0" applyFill="0" applyAlignment="0" applyProtection="0"/>
    <xf numFmtId="0" fontId="211" fillId="0" borderId="180" applyNumberFormat="0" applyFont="0" applyFill="0" applyAlignment="0" applyProtection="0"/>
    <xf numFmtId="0" fontId="211" fillId="0" borderId="180" applyNumberFormat="0" applyFont="0" applyFill="0" applyAlignment="0" applyProtection="0"/>
    <xf numFmtId="0" fontId="211" fillId="0" borderId="180" applyNumberFormat="0" applyFont="0" applyFill="0" applyAlignment="0" applyProtection="0"/>
    <xf numFmtId="0" fontId="211" fillId="0" borderId="180" applyNumberFormat="0" applyFont="0" applyFill="0" applyAlignment="0" applyProtection="0"/>
    <xf numFmtId="0" fontId="211" fillId="0" borderId="180" applyNumberFormat="0" applyFont="0" applyFill="0" applyAlignment="0" applyProtection="0"/>
    <xf numFmtId="0" fontId="211" fillId="0" borderId="180" applyNumberFormat="0" applyFont="0" applyFill="0" applyAlignment="0" applyProtection="0"/>
    <xf numFmtId="0" fontId="211" fillId="0" borderId="180" applyNumberFormat="0" applyFont="0" applyFill="0" applyAlignment="0" applyProtection="0"/>
    <xf numFmtId="0" fontId="211" fillId="0" borderId="180" applyNumberFormat="0" applyFont="0" applyFill="0" applyAlignment="0" applyProtection="0"/>
    <xf numFmtId="0" fontId="211" fillId="0" borderId="180" applyNumberFormat="0" applyFont="0" applyFill="0" applyAlignment="0" applyProtection="0"/>
    <xf numFmtId="0" fontId="211" fillId="0" borderId="180" applyNumberFormat="0" applyFont="0" applyFill="0" applyAlignment="0" applyProtection="0"/>
    <xf numFmtId="0" fontId="211" fillId="0" borderId="180" applyNumberFormat="0" applyFont="0" applyFill="0" applyAlignment="0" applyProtection="0"/>
    <xf numFmtId="0" fontId="211" fillId="0" borderId="180" applyNumberFormat="0" applyFont="0" applyFill="0" applyAlignment="0" applyProtection="0"/>
    <xf numFmtId="0" fontId="211" fillId="0" borderId="180" applyNumberFormat="0" applyFont="0" applyFill="0" applyAlignment="0" applyProtection="0"/>
    <xf numFmtId="0" fontId="211" fillId="0" borderId="180" applyNumberFormat="0" applyFont="0" applyFill="0" applyAlignment="0" applyProtection="0"/>
    <xf numFmtId="0" fontId="211" fillId="0" borderId="180" applyNumberFormat="0" applyFont="0" applyFill="0" applyAlignment="0" applyProtection="0"/>
    <xf numFmtId="0" fontId="211" fillId="0" borderId="180" applyNumberFormat="0" applyFont="0" applyFill="0" applyAlignment="0" applyProtection="0"/>
    <xf numFmtId="0" fontId="211" fillId="0" borderId="180" applyNumberFormat="0" applyFont="0" applyFill="0" applyAlignment="0" applyProtection="0"/>
    <xf numFmtId="0" fontId="211" fillId="0" borderId="180" applyNumberFormat="0" applyFont="0" applyFill="0" applyAlignment="0" applyProtection="0"/>
    <xf numFmtId="0" fontId="211" fillId="0" borderId="180" applyNumberFormat="0" applyFont="0" applyFill="0" applyAlignment="0" applyProtection="0"/>
    <xf numFmtId="0" fontId="211" fillId="0" borderId="180" applyNumberFormat="0" applyFont="0" applyFill="0" applyAlignment="0" applyProtection="0"/>
    <xf numFmtId="0" fontId="211" fillId="0" borderId="180" applyNumberFormat="0" applyFont="0" applyFill="0" applyAlignment="0" applyProtection="0"/>
    <xf numFmtId="0" fontId="211" fillId="0" borderId="180" applyNumberFormat="0" applyFont="0" applyFill="0" applyAlignment="0" applyProtection="0"/>
    <xf numFmtId="0" fontId="211" fillId="0" borderId="180" applyNumberFormat="0" applyFont="0" applyFill="0" applyAlignment="0" applyProtection="0"/>
    <xf numFmtId="0" fontId="211" fillId="0" borderId="180" applyNumberFormat="0" applyFont="0" applyFill="0" applyAlignment="0" applyProtection="0"/>
    <xf numFmtId="0" fontId="211" fillId="0" borderId="180" applyNumberFormat="0" applyFont="0" applyFill="0" applyAlignment="0" applyProtection="0"/>
    <xf numFmtId="0" fontId="211" fillId="0" borderId="180" applyNumberFormat="0" applyFont="0" applyFill="0" applyAlignment="0" applyProtection="0"/>
    <xf numFmtId="0" fontId="211" fillId="0" borderId="180" applyNumberFormat="0" applyFont="0" applyFill="0" applyAlignment="0" applyProtection="0"/>
    <xf numFmtId="0" fontId="211" fillId="0" borderId="180" applyNumberFormat="0" applyFont="0" applyFill="0" applyAlignment="0" applyProtection="0"/>
    <xf numFmtId="0" fontId="211" fillId="0" borderId="180" applyNumberFormat="0" applyFont="0" applyFill="0" applyAlignment="0" applyProtection="0"/>
    <xf numFmtId="0" fontId="211" fillId="0" borderId="180" applyNumberFormat="0" applyFont="0" applyFill="0" applyAlignment="0" applyProtection="0"/>
    <xf numFmtId="0" fontId="211" fillId="0" borderId="180" applyNumberFormat="0" applyFont="0" applyFill="0" applyAlignment="0" applyProtection="0"/>
    <xf numFmtId="0" fontId="211" fillId="0" borderId="180" applyNumberFormat="0" applyFont="0" applyFill="0" applyAlignment="0" applyProtection="0"/>
    <xf numFmtId="0" fontId="211" fillId="0" borderId="180" applyNumberFormat="0" applyFont="0" applyFill="0" applyAlignment="0" applyProtection="0"/>
    <xf numFmtId="0" fontId="211" fillId="0" borderId="180" applyNumberFormat="0" applyFont="0" applyFill="0" applyAlignment="0" applyProtection="0"/>
    <xf numFmtId="0" fontId="211" fillId="0" borderId="180" applyNumberFormat="0" applyFont="0" applyFill="0" applyAlignment="0" applyProtection="0"/>
    <xf numFmtId="0" fontId="211" fillId="0" borderId="180" applyNumberFormat="0" applyFont="0" applyFill="0" applyAlignment="0" applyProtection="0"/>
    <xf numFmtId="0" fontId="211" fillId="0" borderId="180" applyNumberFormat="0" applyFont="0" applyFill="0" applyAlignment="0" applyProtection="0"/>
    <xf numFmtId="0" fontId="211" fillId="0" borderId="180" applyNumberFormat="0" applyFont="0" applyFill="0" applyAlignment="0" applyProtection="0"/>
    <xf numFmtId="0" fontId="211" fillId="0" borderId="180" applyNumberFormat="0" applyFont="0" applyFill="0" applyAlignment="0" applyProtection="0"/>
    <xf numFmtId="0" fontId="211" fillId="0" borderId="180" applyNumberFormat="0" applyFont="0" applyFill="0" applyAlignment="0" applyProtection="0"/>
    <xf numFmtId="0" fontId="211" fillId="0" borderId="180" applyNumberFormat="0" applyFont="0" applyFill="0" applyAlignment="0" applyProtection="0"/>
    <xf numFmtId="0" fontId="211" fillId="0" borderId="180" applyNumberFormat="0" applyFont="0" applyFill="0" applyAlignment="0" applyProtection="0"/>
    <xf numFmtId="0" fontId="211" fillId="0" borderId="180" applyNumberFormat="0" applyFont="0" applyFill="0" applyAlignment="0" applyProtection="0"/>
    <xf numFmtId="0" fontId="211" fillId="0" borderId="180" applyNumberFormat="0" applyFont="0" applyFill="0" applyAlignment="0" applyProtection="0"/>
    <xf numFmtId="0" fontId="211" fillId="0" borderId="180" applyNumberFormat="0" applyFont="0" applyFill="0" applyAlignment="0" applyProtection="0"/>
    <xf numFmtId="0" fontId="211" fillId="0" borderId="180" applyNumberFormat="0" applyFon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93" fillId="0" borderId="181"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93" fillId="0" borderId="166"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212" fillId="0" borderId="182"/>
    <xf numFmtId="0" fontId="221" fillId="0" borderId="183"/>
    <xf numFmtId="0" fontId="221" fillId="0" borderId="177"/>
    <xf numFmtId="204" fontId="32" fillId="0" borderId="0" applyFont="0" applyFill="0" applyBorder="0" applyAlignment="0" applyProtection="0"/>
    <xf numFmtId="205" fontId="32" fillId="0" borderId="0" applyFont="0" applyFill="0" applyBorder="0" applyAlignment="0" applyProtection="0"/>
    <xf numFmtId="0" fontId="212" fillId="0" borderId="184"/>
    <xf numFmtId="38" fontId="82" fillId="0" borderId="20" applyFill="0" applyBorder="0" applyAlignment="0" applyProtection="0">
      <protection locked="0"/>
    </xf>
    <xf numFmtId="38" fontId="82" fillId="0" borderId="20" applyFill="0" applyBorder="0" applyAlignment="0" applyProtection="0">
      <protection locked="0"/>
    </xf>
    <xf numFmtId="38" fontId="82" fillId="0" borderId="20" applyFill="0" applyBorder="0" applyAlignment="0" applyProtection="0">
      <protection locked="0"/>
    </xf>
    <xf numFmtId="38" fontId="82" fillId="0" borderId="20" applyFill="0" applyBorder="0" applyAlignment="0" applyProtection="0">
      <protection locked="0"/>
    </xf>
    <xf numFmtId="38" fontId="82" fillId="0" borderId="20" applyFill="0" applyBorder="0" applyAlignment="0" applyProtection="0">
      <protection locked="0"/>
    </xf>
    <xf numFmtId="38" fontId="82" fillId="0" borderId="20" applyFill="0" applyBorder="0" applyAlignment="0" applyProtection="0">
      <protection locked="0"/>
    </xf>
    <xf numFmtId="38" fontId="82" fillId="0" borderId="20" applyFill="0" applyBorder="0" applyAlignment="0" applyProtection="0">
      <protection locked="0"/>
    </xf>
    <xf numFmtId="38" fontId="82" fillId="0" borderId="20" applyFill="0" applyBorder="0" applyAlignment="0" applyProtection="0">
      <protection locked="0"/>
    </xf>
    <xf numFmtId="38" fontId="82" fillId="0" borderId="20" applyFill="0" applyBorder="0" applyAlignment="0" applyProtection="0">
      <protection locked="0"/>
    </xf>
    <xf numFmtId="38" fontId="82" fillId="0" borderId="20" applyFill="0" applyBorder="0" applyAlignment="0" applyProtection="0">
      <protection locked="0"/>
    </xf>
    <xf numFmtId="38" fontId="82" fillId="0" borderId="20" applyFill="0" applyBorder="0" applyAlignment="0" applyProtection="0">
      <protection locked="0"/>
    </xf>
    <xf numFmtId="38" fontId="82" fillId="0" borderId="20" applyFill="0" applyBorder="0" applyAlignment="0" applyProtection="0">
      <protection locked="0"/>
    </xf>
    <xf numFmtId="38" fontId="82" fillId="0" borderId="20" applyFill="0" applyBorder="0" applyAlignment="0" applyProtection="0">
      <protection locked="0"/>
    </xf>
    <xf numFmtId="38" fontId="82" fillId="0" borderId="20" applyFill="0" applyBorder="0" applyAlignment="0" applyProtection="0">
      <protection locked="0"/>
    </xf>
    <xf numFmtId="38" fontId="82" fillId="0" borderId="20" applyFill="0" applyBorder="0" applyAlignment="0" applyProtection="0">
      <protection locked="0"/>
    </xf>
    <xf numFmtId="38" fontId="82" fillId="0" borderId="20" applyFill="0" applyBorder="0" applyAlignment="0" applyProtection="0">
      <protection locked="0"/>
    </xf>
    <xf numFmtId="38" fontId="82" fillId="0" borderId="20" applyFill="0" applyBorder="0" applyAlignment="0" applyProtection="0">
      <protection locked="0"/>
    </xf>
    <xf numFmtId="38" fontId="82" fillId="0" borderId="20" applyFill="0" applyBorder="0" applyAlignment="0" applyProtection="0">
      <protection locked="0"/>
    </xf>
    <xf numFmtId="38" fontId="82" fillId="0" borderId="20" applyFill="0" applyBorder="0" applyAlignment="0" applyProtection="0">
      <protection locked="0"/>
    </xf>
    <xf numFmtId="38" fontId="82" fillId="0" borderId="20" applyFill="0" applyBorder="0" applyAlignment="0" applyProtection="0">
      <protection locked="0"/>
    </xf>
    <xf numFmtId="38" fontId="82" fillId="0" borderId="20" applyFill="0" applyBorder="0" applyAlignment="0" applyProtection="0">
      <protection locked="0"/>
    </xf>
    <xf numFmtId="38" fontId="82" fillId="0" borderId="20" applyFill="0" applyBorder="0" applyAlignment="0" applyProtection="0">
      <protection locked="0"/>
    </xf>
    <xf numFmtId="38" fontId="82" fillId="0" borderId="20" applyFill="0" applyBorder="0" applyAlignment="0" applyProtection="0">
      <protection locked="0"/>
    </xf>
    <xf numFmtId="38" fontId="82" fillId="0" borderId="20" applyFill="0" applyBorder="0" applyAlignment="0" applyProtection="0">
      <protection locked="0"/>
    </xf>
    <xf numFmtId="38" fontId="82" fillId="0" borderId="20" applyFill="0" applyBorder="0" applyAlignment="0" applyProtection="0">
      <protection locked="0"/>
    </xf>
    <xf numFmtId="38" fontId="82" fillId="0" borderId="20" applyFill="0" applyBorder="0" applyAlignment="0" applyProtection="0">
      <protection locked="0"/>
    </xf>
    <xf numFmtId="38" fontId="82" fillId="0" borderId="20" applyFill="0" applyBorder="0" applyAlignment="0" applyProtection="0">
      <protection locked="0"/>
    </xf>
    <xf numFmtId="38" fontId="82" fillId="0" borderId="20" applyFill="0" applyBorder="0" applyAlignment="0" applyProtection="0">
      <protection locked="0"/>
    </xf>
    <xf numFmtId="38" fontId="82" fillId="0" borderId="20" applyFill="0" applyBorder="0" applyAlignment="0" applyProtection="0">
      <protection locked="0"/>
    </xf>
    <xf numFmtId="38" fontId="82" fillId="0" borderId="20" applyFill="0" applyBorder="0" applyAlignment="0" applyProtection="0">
      <protection locked="0"/>
    </xf>
    <xf numFmtId="38" fontId="82" fillId="0" borderId="20" applyFill="0" applyBorder="0" applyAlignment="0" applyProtection="0">
      <protection locked="0"/>
    </xf>
    <xf numFmtId="38" fontId="82" fillId="0" borderId="20" applyFill="0" applyBorder="0" applyAlignment="0" applyProtection="0">
      <protection locked="0"/>
    </xf>
    <xf numFmtId="38" fontId="82" fillId="0" borderId="20" applyFill="0" applyBorder="0" applyAlignment="0" applyProtection="0">
      <protection locked="0"/>
    </xf>
    <xf numFmtId="38" fontId="82" fillId="0" borderId="20" applyFill="0" applyBorder="0" applyAlignment="0" applyProtection="0">
      <protection locked="0"/>
    </xf>
    <xf numFmtId="38" fontId="82" fillId="0" borderId="20" applyFill="0" applyBorder="0" applyAlignment="0" applyProtection="0">
      <protection locked="0"/>
    </xf>
    <xf numFmtId="38" fontId="82" fillId="0" borderId="20" applyFill="0" applyBorder="0" applyAlignment="0" applyProtection="0">
      <protection locked="0"/>
    </xf>
    <xf numFmtId="38" fontId="82" fillId="0" borderId="20" applyFill="0" applyBorder="0" applyAlignment="0" applyProtection="0">
      <protection locked="0"/>
    </xf>
    <xf numFmtId="38" fontId="82" fillId="0" borderId="20" applyFill="0" applyBorder="0" applyAlignment="0" applyProtection="0">
      <protection locked="0"/>
    </xf>
    <xf numFmtId="38" fontId="82" fillId="0" borderId="20" applyFill="0" applyBorder="0" applyAlignment="0" applyProtection="0">
      <protection locked="0"/>
    </xf>
    <xf numFmtId="38" fontId="82" fillId="0" borderId="20" applyFill="0" applyBorder="0" applyAlignment="0" applyProtection="0">
      <protection locked="0"/>
    </xf>
    <xf numFmtId="38" fontId="82" fillId="0" borderId="20" applyFill="0" applyBorder="0" applyAlignment="0" applyProtection="0">
      <protection locked="0"/>
    </xf>
    <xf numFmtId="38" fontId="82" fillId="0" borderId="20" applyFill="0" applyBorder="0" applyAlignment="0" applyProtection="0">
      <protection locked="0"/>
    </xf>
    <xf numFmtId="38" fontId="82" fillId="0" borderId="20" applyFill="0" applyBorder="0" applyAlignment="0" applyProtection="0">
      <protection locked="0"/>
    </xf>
    <xf numFmtId="38" fontId="82" fillId="0" borderId="20" applyFill="0" applyBorder="0" applyAlignment="0" applyProtection="0">
      <protection locked="0"/>
    </xf>
    <xf numFmtId="38" fontId="82" fillId="0" borderId="20" applyFill="0" applyBorder="0" applyAlignment="0" applyProtection="0">
      <protection locked="0"/>
    </xf>
    <xf numFmtId="38" fontId="82" fillId="0" borderId="20" applyFill="0" applyBorder="0" applyAlignment="0" applyProtection="0">
      <protection locked="0"/>
    </xf>
    <xf numFmtId="38" fontId="82" fillId="0" borderId="20" applyFill="0" applyBorder="0" applyAlignment="0" applyProtection="0">
      <protection locked="0"/>
    </xf>
    <xf numFmtId="38" fontId="82" fillId="0" borderId="20" applyFill="0" applyBorder="0" applyAlignment="0" applyProtection="0">
      <protection locked="0"/>
    </xf>
    <xf numFmtId="38" fontId="82" fillId="0" borderId="20" applyFill="0" applyBorder="0" applyAlignment="0" applyProtection="0">
      <protection locked="0"/>
    </xf>
    <xf numFmtId="38" fontId="82" fillId="0" borderId="20" applyFill="0" applyBorder="0" applyAlignment="0" applyProtection="0">
      <protection locked="0"/>
    </xf>
    <xf numFmtId="38" fontId="82" fillId="0" borderId="20" applyFill="0" applyBorder="0" applyAlignment="0" applyProtection="0">
      <protection locked="0"/>
    </xf>
    <xf numFmtId="38" fontId="82" fillId="0" borderId="20" applyFill="0" applyBorder="0" applyAlignment="0" applyProtection="0">
      <protection locked="0"/>
    </xf>
    <xf numFmtId="38" fontId="82" fillId="0" borderId="20" applyFill="0" applyBorder="0" applyAlignment="0" applyProtection="0">
      <protection locked="0"/>
    </xf>
    <xf numFmtId="38" fontId="82" fillId="0" borderId="20" applyFill="0" applyBorder="0" applyAlignment="0" applyProtection="0">
      <protection locked="0"/>
    </xf>
    <xf numFmtId="38" fontId="82" fillId="0" borderId="20" applyFill="0" applyBorder="0" applyAlignment="0" applyProtection="0">
      <protection locked="0"/>
    </xf>
    <xf numFmtId="38" fontId="82" fillId="0" borderId="20" applyFill="0" applyBorder="0" applyAlignment="0" applyProtection="0">
      <protection locked="0"/>
    </xf>
    <xf numFmtId="38" fontId="82" fillId="0" borderId="20" applyFill="0" applyBorder="0" applyAlignment="0" applyProtection="0">
      <protection locked="0"/>
    </xf>
    <xf numFmtId="38" fontId="82" fillId="0" borderId="20" applyFill="0" applyBorder="0" applyAlignment="0" applyProtection="0">
      <protection locked="0"/>
    </xf>
    <xf numFmtId="38" fontId="82" fillId="0" borderId="20" applyFill="0" applyBorder="0" applyAlignment="0" applyProtection="0">
      <protection locked="0"/>
    </xf>
    <xf numFmtId="38" fontId="82" fillId="0" borderId="20" applyFill="0" applyBorder="0" applyAlignment="0" applyProtection="0">
      <protection locked="0"/>
    </xf>
    <xf numFmtId="38" fontId="82" fillId="0" borderId="20" applyFill="0" applyBorder="0" applyAlignment="0" applyProtection="0">
      <protection locked="0"/>
    </xf>
    <xf numFmtId="38" fontId="82" fillId="0" borderId="20" applyFill="0" applyBorder="0" applyAlignment="0" applyProtection="0">
      <protection locked="0"/>
    </xf>
    <xf numFmtId="38" fontId="82" fillId="0" borderId="20" applyFill="0" applyBorder="0" applyAlignment="0" applyProtection="0">
      <protection locked="0"/>
    </xf>
    <xf numFmtId="38" fontId="82" fillId="0" borderId="20" applyFill="0" applyBorder="0" applyAlignment="0" applyProtection="0">
      <protection locked="0"/>
    </xf>
    <xf numFmtId="38" fontId="82" fillId="0" borderId="20" applyFill="0" applyBorder="0" applyAlignment="0" applyProtection="0">
      <protection locked="0"/>
    </xf>
    <xf numFmtId="38" fontId="82" fillId="0" borderId="20" applyFill="0" applyBorder="0" applyAlignment="0" applyProtection="0">
      <protection locked="0"/>
    </xf>
    <xf numFmtId="38" fontId="82" fillId="0" borderId="20" applyFill="0" applyBorder="0" applyAlignment="0" applyProtection="0">
      <protection locked="0"/>
    </xf>
    <xf numFmtId="38" fontId="82" fillId="0" borderId="20" applyFill="0" applyBorder="0" applyAlignment="0" applyProtection="0">
      <protection locked="0"/>
    </xf>
    <xf numFmtId="38" fontId="82" fillId="0" borderId="20" applyFill="0" applyBorder="0" applyAlignment="0" applyProtection="0">
      <protection locked="0"/>
    </xf>
    <xf numFmtId="38" fontId="82" fillId="0" borderId="20" applyFill="0" applyBorder="0" applyAlignment="0" applyProtection="0">
      <protection locked="0"/>
    </xf>
    <xf numFmtId="38" fontId="82" fillId="0" borderId="20" applyFill="0" applyBorder="0" applyAlignment="0" applyProtection="0">
      <protection locked="0"/>
    </xf>
    <xf numFmtId="38" fontId="82" fillId="0" borderId="20" applyFill="0" applyBorder="0" applyAlignment="0" applyProtection="0">
      <protection locked="0"/>
    </xf>
    <xf numFmtId="38" fontId="82" fillId="0" borderId="20" applyFill="0" applyBorder="0" applyAlignment="0" applyProtection="0">
      <protection locked="0"/>
    </xf>
    <xf numFmtId="38" fontId="82" fillId="0" borderId="20" applyFill="0" applyBorder="0" applyAlignment="0" applyProtection="0">
      <protection locked="0"/>
    </xf>
    <xf numFmtId="38" fontId="82" fillId="0" borderId="20" applyFill="0" applyBorder="0" applyAlignment="0" applyProtection="0">
      <protection locked="0"/>
    </xf>
    <xf numFmtId="38" fontId="82" fillId="0" borderId="20" applyFill="0" applyBorder="0" applyAlignment="0" applyProtection="0">
      <protection locked="0"/>
    </xf>
    <xf numFmtId="38" fontId="82" fillId="0" borderId="20" applyFill="0" applyBorder="0" applyAlignment="0" applyProtection="0">
      <protection locked="0"/>
    </xf>
    <xf numFmtId="38" fontId="82" fillId="0" borderId="20" applyFill="0" applyBorder="0" applyAlignment="0" applyProtection="0">
      <protection locked="0"/>
    </xf>
    <xf numFmtId="38" fontId="82" fillId="0" borderId="20" applyFill="0" applyBorder="0" applyAlignment="0" applyProtection="0">
      <protection locked="0"/>
    </xf>
    <xf numFmtId="38" fontId="82" fillId="0" borderId="20" applyFill="0" applyBorder="0" applyAlignment="0" applyProtection="0">
      <protection locked="0"/>
    </xf>
    <xf numFmtId="38" fontId="82" fillId="0" borderId="20" applyFill="0" applyBorder="0" applyAlignment="0" applyProtection="0">
      <protection locked="0"/>
    </xf>
    <xf numFmtId="38" fontId="82" fillId="0" borderId="20" applyFill="0" applyBorder="0" applyAlignment="0" applyProtection="0">
      <protection locked="0"/>
    </xf>
    <xf numFmtId="206" fontId="32" fillId="0" borderId="0" applyFont="0" applyFill="0" applyBorder="0" applyAlignment="0" applyProtection="0"/>
    <xf numFmtId="207" fontId="32" fillId="0" borderId="0" applyFont="0" applyFill="0" applyBorder="0" applyAlignment="0" applyProtection="0"/>
    <xf numFmtId="0" fontId="203" fillId="0" borderId="0" applyNumberForma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6" fillId="0" borderId="0"/>
    <xf numFmtId="0" fontId="5" fillId="0" borderId="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39" fillId="0" borderId="0" applyFont="0" applyFill="0" applyBorder="0" applyAlignment="0" applyProtection="0"/>
    <xf numFmtId="43" fontId="139" fillId="0" borderId="0" applyFont="0" applyFill="0" applyBorder="0" applyAlignment="0" applyProtection="0"/>
    <xf numFmtId="43" fontId="13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34" fillId="0" borderId="167">
      <alignment horizontal="left" vertical="center"/>
    </xf>
    <xf numFmtId="0" fontId="34" fillId="0" borderId="167">
      <alignment horizontal="left" vertical="center"/>
    </xf>
    <xf numFmtId="0" fontId="34" fillId="0" borderId="167">
      <alignment horizontal="left" vertical="center"/>
    </xf>
    <xf numFmtId="0" fontId="34" fillId="0" borderId="167">
      <alignment horizontal="left" vertical="center"/>
    </xf>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39" fillId="0" borderId="0"/>
    <xf numFmtId="0" fontId="139" fillId="0" borderId="0"/>
    <xf numFmtId="0" fontId="13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4" fillId="0" borderId="0"/>
    <xf numFmtId="0" fontId="32" fillId="8" borderId="185" applyNumberFormat="0" applyProtection="0">
      <alignment horizontal="left" vertical="center" indent="1"/>
    </xf>
    <xf numFmtId="0" fontId="4" fillId="0" borderId="0"/>
    <xf numFmtId="0" fontId="32" fillId="8" borderId="185" applyNumberFormat="0" applyProtection="0">
      <alignment horizontal="left" vertical="center" indent="1"/>
    </xf>
    <xf numFmtId="0" fontId="32" fillId="0" borderId="0"/>
    <xf numFmtId="43" fontId="3" fillId="0" borderId="0" applyFont="0" applyFill="0" applyBorder="0" applyAlignment="0" applyProtection="0"/>
    <xf numFmtId="0" fontId="2" fillId="0" borderId="0"/>
    <xf numFmtId="0" fontId="2" fillId="0" borderId="0"/>
    <xf numFmtId="0" fontId="32" fillId="8" borderId="185" applyNumberFormat="0" applyProtection="0">
      <alignment horizontal="left" vertical="center" indent="1"/>
    </xf>
    <xf numFmtId="0" fontId="2" fillId="0" borderId="0"/>
    <xf numFmtId="0" fontId="2" fillId="0" borderId="0"/>
    <xf numFmtId="0" fontId="1" fillId="0" borderId="0"/>
  </cellStyleXfs>
  <cellXfs count="2747">
    <xf numFmtId="0" fontId="0" fillId="0" borderId="0" xfId="0"/>
    <xf numFmtId="0" fontId="34" fillId="0" borderId="0" xfId="0" applyFont="1"/>
    <xf numFmtId="0" fontId="0" fillId="0" borderId="0" xfId="0" applyFill="1"/>
    <xf numFmtId="169" fontId="38" fillId="0" borderId="0" xfId="0" applyNumberFormat="1" applyFont="1" applyAlignment="1"/>
    <xf numFmtId="0" fontId="34" fillId="0" borderId="0" xfId="0" applyNumberFormat="1" applyFont="1" applyAlignment="1">
      <alignment horizontal="center"/>
    </xf>
    <xf numFmtId="168" fontId="38" fillId="0" borderId="0" xfId="0" applyNumberFormat="1" applyFont="1" applyAlignment="1">
      <alignment horizontal="left"/>
    </xf>
    <xf numFmtId="3" fontId="38" fillId="0" borderId="0" xfId="0" applyNumberFormat="1" applyFont="1" applyFill="1" applyAlignment="1">
      <alignment horizontal="right"/>
    </xf>
    <xf numFmtId="0" fontId="34" fillId="0" borderId="0" xfId="0" applyNumberFormat="1" applyFont="1" applyFill="1" applyAlignment="1"/>
    <xf numFmtId="0" fontId="36" fillId="0" borderId="0" xfId="0" applyNumberFormat="1" applyFont="1" applyAlignment="1">
      <alignment horizontal="center"/>
    </xf>
    <xf numFmtId="0" fontId="36" fillId="0" borderId="0" xfId="0" applyFont="1" applyAlignment="1"/>
    <xf numFmtId="0" fontId="38" fillId="0" borderId="0" xfId="0" applyFont="1"/>
    <xf numFmtId="172" fontId="34" fillId="0" borderId="0" xfId="13" applyNumberFormat="1" applyFont="1" applyAlignment="1"/>
    <xf numFmtId="0" fontId="34" fillId="0" borderId="2" xfId="0" applyNumberFormat="1" applyFont="1" applyFill="1" applyBorder="1" applyAlignment="1"/>
    <xf numFmtId="0" fontId="34" fillId="0" borderId="3" xfId="0" applyNumberFormat="1" applyFont="1" applyFill="1" applyBorder="1" applyAlignment="1"/>
    <xf numFmtId="3" fontId="34" fillId="0" borderId="3" xfId="0" applyNumberFormat="1" applyFont="1" applyBorder="1" applyAlignment="1"/>
    <xf numFmtId="0" fontId="34" fillId="0" borderId="3" xfId="0" applyFont="1" applyBorder="1"/>
    <xf numFmtId="0" fontId="34" fillId="0" borderId="0" xfId="0" applyNumberFormat="1" applyFont="1" applyFill="1" applyAlignment="1">
      <alignment horizontal="center"/>
    </xf>
    <xf numFmtId="0" fontId="34" fillId="0" borderId="0" xfId="0" applyNumberFormat="1" applyFont="1" applyFill="1" applyBorder="1" applyAlignment="1"/>
    <xf numFmtId="0" fontId="36" fillId="0" borderId="0" xfId="0" applyFont="1"/>
    <xf numFmtId="0" fontId="36" fillId="0" borderId="0" xfId="0" applyNumberFormat="1" applyFont="1" applyAlignment="1">
      <alignment horizontal="left"/>
    </xf>
    <xf numFmtId="0" fontId="36" fillId="0" borderId="0" xfId="0" applyNumberFormat="1" applyFont="1" applyFill="1" applyAlignment="1">
      <alignment horizontal="right"/>
    </xf>
    <xf numFmtId="0" fontId="36" fillId="0" borderId="0" xfId="0" applyNumberFormat="1" applyFont="1" applyFill="1" applyAlignment="1">
      <alignment horizontal="left"/>
    </xf>
    <xf numFmtId="0" fontId="36" fillId="0" borderId="0" xfId="0" applyFont="1" applyFill="1" applyAlignment="1"/>
    <xf numFmtId="0" fontId="36" fillId="0" borderId="0" xfId="0" applyFont="1" applyFill="1"/>
    <xf numFmtId="0" fontId="36" fillId="0" borderId="2" xfId="0" applyFont="1" applyFill="1" applyBorder="1" applyAlignment="1"/>
    <xf numFmtId="0" fontId="36" fillId="0" borderId="2" xfId="0" applyFont="1" applyBorder="1"/>
    <xf numFmtId="0" fontId="36" fillId="0" borderId="2" xfId="0" applyFont="1" applyFill="1" applyBorder="1"/>
    <xf numFmtId="0" fontId="36" fillId="0" borderId="2" xfId="0" applyFont="1" applyBorder="1" applyAlignment="1"/>
    <xf numFmtId="0" fontId="36" fillId="0" borderId="0" xfId="0" applyFont="1" applyBorder="1" applyAlignment="1"/>
    <xf numFmtId="0" fontId="36" fillId="0" borderId="0" xfId="0" applyFont="1" applyFill="1" applyAlignment="1">
      <alignment horizontal="left"/>
    </xf>
    <xf numFmtId="0" fontId="36" fillId="0" borderId="0" xfId="0" applyFont="1" applyAlignment="1">
      <alignment horizontal="left"/>
    </xf>
    <xf numFmtId="0" fontId="42" fillId="0" borderId="0" xfId="0" applyFont="1"/>
    <xf numFmtId="0" fontId="36" fillId="0" borderId="0" xfId="0" applyFont="1" applyAlignment="1">
      <alignment horizontal="right"/>
    </xf>
    <xf numFmtId="166" fontId="34" fillId="0" borderId="0" xfId="0" applyNumberFormat="1" applyFont="1" applyAlignment="1"/>
    <xf numFmtId="0" fontId="36" fillId="0" borderId="0" xfId="0" applyNumberFormat="1" applyFont="1" applyFill="1" applyAlignment="1">
      <alignment horizontal="center"/>
    </xf>
    <xf numFmtId="0" fontId="36" fillId="0" borderId="0" xfId="0" applyNumberFormat="1" applyFont="1" applyBorder="1" applyAlignment="1">
      <alignment horizontal="center"/>
    </xf>
    <xf numFmtId="0" fontId="36" fillId="0" borderId="0" xfId="0" applyNumberFormat="1" applyFont="1" applyBorder="1" applyAlignment="1">
      <alignment horizontal="left"/>
    </xf>
    <xf numFmtId="0" fontId="36" fillId="0" borderId="0" xfId="0" applyFont="1" applyFill="1" applyBorder="1" applyAlignment="1"/>
    <xf numFmtId="0" fontId="36" fillId="0" borderId="0" xfId="0" applyFont="1" applyBorder="1"/>
    <xf numFmtId="0" fontId="34" fillId="0" borderId="0" xfId="0" applyNumberFormat="1" applyFont="1" applyBorder="1" applyAlignment="1"/>
    <xf numFmtId="3" fontId="34" fillId="0" borderId="0" xfId="0" applyNumberFormat="1" applyFont="1" applyBorder="1" applyAlignment="1"/>
    <xf numFmtId="3" fontId="34" fillId="0" borderId="0" xfId="0" quotePrefix="1" applyNumberFormat="1" applyFont="1" applyBorder="1" applyAlignment="1">
      <alignment horizontal="right"/>
    </xf>
    <xf numFmtId="3" fontId="36" fillId="0" borderId="0" xfId="0" applyNumberFormat="1" applyFont="1"/>
    <xf numFmtId="0" fontId="47" fillId="3" borderId="0" xfId="0" applyFont="1" applyFill="1" applyBorder="1" applyAlignment="1"/>
    <xf numFmtId="0" fontId="36" fillId="0" borderId="0" xfId="0" applyFont="1" applyAlignment="1">
      <alignment horizontal="center"/>
    </xf>
    <xf numFmtId="0" fontId="36" fillId="0" borderId="0" xfId="0" applyFont="1" applyFill="1" applyAlignment="1">
      <alignment horizontal="center"/>
    </xf>
    <xf numFmtId="0" fontId="36" fillId="0" borderId="4" xfId="0" applyFont="1" applyFill="1" applyBorder="1" applyAlignment="1">
      <alignment horizontal="left"/>
    </xf>
    <xf numFmtId="0" fontId="36" fillId="0" borderId="0" xfId="0" applyFont="1" applyFill="1" applyBorder="1" applyAlignment="1">
      <alignment horizontal="left"/>
    </xf>
    <xf numFmtId="0" fontId="36" fillId="0" borderId="4" xfId="0" applyFont="1" applyBorder="1" applyAlignment="1"/>
    <xf numFmtId="0" fontId="34" fillId="0" borderId="0" xfId="0" applyNumberFormat="1" applyFont="1" applyAlignment="1">
      <alignment horizontal="left"/>
    </xf>
    <xf numFmtId="0" fontId="36" fillId="0" borderId="0" xfId="0" applyFont="1" applyFill="1" applyAlignment="1">
      <alignment horizontal="right"/>
    </xf>
    <xf numFmtId="0" fontId="36" fillId="0" borderId="0" xfId="0" applyFont="1" applyFill="1" applyBorder="1"/>
    <xf numFmtId="0" fontId="34" fillId="0" borderId="3" xfId="0" applyFont="1" applyBorder="1" applyAlignment="1"/>
    <xf numFmtId="0" fontId="36" fillId="0" borderId="3" xfId="0" applyFont="1" applyBorder="1"/>
    <xf numFmtId="168" fontId="34" fillId="0" borderId="3" xfId="0" applyNumberFormat="1" applyFont="1" applyBorder="1" applyAlignment="1">
      <alignment horizontal="left"/>
    </xf>
    <xf numFmtId="169" fontId="34" fillId="0" borderId="3" xfId="0" applyNumberFormat="1" applyFont="1" applyBorder="1" applyAlignment="1">
      <alignment horizontal="center"/>
    </xf>
    <xf numFmtId="0" fontId="36" fillId="3" borderId="0" xfId="0" applyFont="1" applyFill="1" applyBorder="1" applyAlignment="1"/>
    <xf numFmtId="0" fontId="36" fillId="3" borderId="0" xfId="0" applyFont="1" applyFill="1" applyBorder="1"/>
    <xf numFmtId="0" fontId="36" fillId="0" borderId="3" xfId="0" applyFont="1" applyFill="1" applyBorder="1" applyAlignment="1"/>
    <xf numFmtId="0" fontId="36" fillId="0" borderId="3" xfId="0" applyFont="1" applyBorder="1" applyAlignment="1"/>
    <xf numFmtId="0" fontId="46" fillId="0" borderId="0" xfId="0" applyFont="1" applyFill="1" applyBorder="1" applyAlignment="1">
      <alignment horizontal="center"/>
    </xf>
    <xf numFmtId="0" fontId="47" fillId="0" borderId="0" xfId="0" applyFont="1" applyFill="1" applyBorder="1" applyAlignment="1"/>
    <xf numFmtId="0" fontId="36" fillId="3" borderId="0" xfId="0" applyFont="1" applyFill="1" applyAlignment="1"/>
    <xf numFmtId="0" fontId="36" fillId="3" borderId="0" xfId="0" applyFont="1" applyFill="1"/>
    <xf numFmtId="0" fontId="36" fillId="3" borderId="0" xfId="0" applyFont="1" applyFill="1" applyBorder="1" applyAlignment="1">
      <alignment horizontal="center" wrapText="1"/>
    </xf>
    <xf numFmtId="0" fontId="34" fillId="0" borderId="0" xfId="0" applyFont="1" applyBorder="1" applyAlignment="1"/>
    <xf numFmtId="3" fontId="34" fillId="0" borderId="0" xfId="0" applyNumberFormat="1" applyFont="1" applyFill="1" applyBorder="1" applyAlignment="1"/>
    <xf numFmtId="169" fontId="34" fillId="0" borderId="3" xfId="0" applyNumberFormat="1" applyFont="1" applyBorder="1" applyAlignment="1"/>
    <xf numFmtId="168" fontId="34" fillId="0" borderId="0" xfId="0" applyNumberFormat="1" applyFont="1" applyBorder="1" applyAlignment="1">
      <alignment horizontal="left"/>
    </xf>
    <xf numFmtId="173" fontId="38" fillId="0" borderId="0" xfId="13" applyNumberFormat="1" applyFont="1" applyFill="1" applyAlignment="1">
      <alignment horizontal="right"/>
    </xf>
    <xf numFmtId="0" fontId="34" fillId="0" borderId="2" xfId="0" applyFont="1" applyFill="1" applyBorder="1" applyAlignment="1"/>
    <xf numFmtId="0" fontId="34" fillId="0" borderId="2" xfId="0" applyFont="1" applyBorder="1" applyAlignment="1"/>
    <xf numFmtId="0" fontId="48" fillId="0" borderId="5" xfId="0" applyNumberFormat="1" applyFont="1" applyBorder="1" applyAlignment="1">
      <alignment horizontal="center"/>
    </xf>
    <xf numFmtId="0" fontId="48" fillId="0" borderId="5" xfId="0" applyFont="1" applyBorder="1" applyAlignment="1"/>
    <xf numFmtId="0" fontId="45" fillId="0" borderId="6" xfId="0" applyNumberFormat="1" applyFont="1" applyBorder="1" applyAlignment="1">
      <alignment horizontal="center"/>
    </xf>
    <xf numFmtId="0" fontId="45" fillId="0" borderId="5" xfId="0" applyNumberFormat="1" applyFont="1" applyBorder="1" applyAlignment="1">
      <alignment horizontal="left"/>
    </xf>
    <xf numFmtId="0" fontId="45" fillId="0" borderId="5" xfId="0" applyFont="1" applyFill="1" applyBorder="1"/>
    <xf numFmtId="0" fontId="45" fillId="0" borderId="5" xfId="0" applyFont="1" applyBorder="1" applyAlignment="1"/>
    <xf numFmtId="0" fontId="36" fillId="0" borderId="4" xfId="0" applyNumberFormat="1" applyFont="1" applyFill="1" applyBorder="1" applyAlignment="1">
      <alignment horizontal="left"/>
    </xf>
    <xf numFmtId="0" fontId="34" fillId="0" borderId="5" xfId="0" applyFont="1" applyBorder="1"/>
    <xf numFmtId="0" fontId="45" fillId="0" borderId="0" xfId="0" applyNumberFormat="1" applyFont="1" applyBorder="1" applyAlignment="1">
      <alignment horizontal="center"/>
    </xf>
    <xf numFmtId="0" fontId="45" fillId="0" borderId="5" xfId="0" applyNumberFormat="1" applyFont="1" applyBorder="1" applyAlignment="1">
      <alignment horizontal="center"/>
    </xf>
    <xf numFmtId="0" fontId="34" fillId="0" borderId="0" xfId="0" applyNumberFormat="1" applyFont="1" applyBorder="1" applyAlignment="1">
      <alignment horizontal="left"/>
    </xf>
    <xf numFmtId="0" fontId="36" fillId="0" borderId="4" xfId="0" applyNumberFormat="1" applyFont="1" applyBorder="1" applyAlignment="1">
      <alignment horizontal="center"/>
    </xf>
    <xf numFmtId="0" fontId="41" fillId="0" borderId="0" xfId="0" applyFont="1" applyFill="1" applyAlignment="1">
      <alignment horizontal="center"/>
    </xf>
    <xf numFmtId="0" fontId="39" fillId="0" borderId="0" xfId="0" applyFont="1" applyFill="1" applyAlignment="1">
      <alignment horizontal="center"/>
    </xf>
    <xf numFmtId="0" fontId="36" fillId="0" borderId="2" xfId="0" applyFont="1" applyBorder="1" applyAlignment="1">
      <alignment horizontal="center"/>
    </xf>
    <xf numFmtId="0" fontId="36" fillId="0" borderId="3" xfId="0" applyFont="1" applyBorder="1" applyAlignment="1">
      <alignment horizontal="center"/>
    </xf>
    <xf numFmtId="0" fontId="34" fillId="0" borderId="3" xfId="0" applyFont="1" applyBorder="1" applyAlignment="1">
      <alignment horizontal="center"/>
    </xf>
    <xf numFmtId="0" fontId="36" fillId="0" borderId="4" xfId="0" applyNumberFormat="1" applyFont="1" applyFill="1" applyBorder="1" applyAlignment="1">
      <alignment horizontal="center"/>
    </xf>
    <xf numFmtId="0" fontId="36" fillId="0" borderId="2" xfId="0" applyFont="1" applyFill="1" applyBorder="1" applyAlignment="1">
      <alignment horizontal="center"/>
    </xf>
    <xf numFmtId="0" fontId="36" fillId="0" borderId="4" xfId="0" applyFont="1" applyBorder="1" applyAlignment="1">
      <alignment horizontal="center"/>
    </xf>
    <xf numFmtId="0" fontId="42" fillId="0" borderId="0" xfId="0" applyFont="1" applyBorder="1" applyAlignment="1">
      <alignment horizontal="center"/>
    </xf>
    <xf numFmtId="0" fontId="34" fillId="0" borderId="0" xfId="0" applyFont="1" applyBorder="1" applyAlignment="1">
      <alignment horizontal="center"/>
    </xf>
    <xf numFmtId="3" fontId="34" fillId="0" borderId="3" xfId="0" applyNumberFormat="1" applyFont="1" applyBorder="1" applyAlignment="1">
      <alignment horizontal="center"/>
    </xf>
    <xf numFmtId="0" fontId="36" fillId="0" borderId="0" xfId="0" applyNumberFormat="1" applyFont="1" applyFill="1" applyBorder="1" applyAlignment="1">
      <alignment horizontal="center"/>
    </xf>
    <xf numFmtId="3" fontId="34" fillId="0" borderId="2" xfId="0" applyNumberFormat="1" applyFont="1" applyBorder="1" applyAlignment="1">
      <alignment horizontal="center"/>
    </xf>
    <xf numFmtId="0" fontId="45" fillId="0" borderId="5" xfId="0" applyFont="1" applyBorder="1" applyAlignment="1">
      <alignment horizontal="center"/>
    </xf>
    <xf numFmtId="0" fontId="36" fillId="0" borderId="4" xfId="0" applyFont="1" applyFill="1" applyBorder="1" applyAlignment="1"/>
    <xf numFmtId="0" fontId="39" fillId="0" borderId="0" xfId="0" applyFont="1" applyFill="1" applyBorder="1" applyAlignment="1">
      <alignment horizontal="center"/>
    </xf>
    <xf numFmtId="0" fontId="39" fillId="0" borderId="2" xfId="0" applyFont="1" applyFill="1" applyBorder="1" applyAlignment="1"/>
    <xf numFmtId="0" fontId="39" fillId="0" borderId="4" xfId="0" applyFont="1" applyFill="1" applyBorder="1" applyAlignment="1"/>
    <xf numFmtId="0" fontId="39" fillId="0" borderId="4" xfId="0" applyFont="1" applyFill="1" applyBorder="1" applyAlignment="1">
      <alignment horizontal="center"/>
    </xf>
    <xf numFmtId="0" fontId="36" fillId="0" borderId="0" xfId="0" applyFont="1" applyFill="1" applyBorder="1" applyAlignment="1">
      <alignment horizontal="center"/>
    </xf>
    <xf numFmtId="0" fontId="39" fillId="0" borderId="0" xfId="0" applyFont="1" applyFill="1" applyAlignment="1">
      <alignment horizontal="left"/>
    </xf>
    <xf numFmtId="0" fontId="48" fillId="0" borderId="0" xfId="0" applyNumberFormat="1" applyFont="1" applyBorder="1" applyAlignment="1">
      <alignment horizontal="center"/>
    </xf>
    <xf numFmtId="0" fontId="48" fillId="0" borderId="0" xfId="0" applyFont="1" applyBorder="1" applyAlignment="1"/>
    <xf numFmtId="0" fontId="34" fillId="0" borderId="0" xfId="0" applyFont="1" applyFill="1"/>
    <xf numFmtId="0" fontId="34" fillId="0" borderId="0" xfId="0" applyFont="1" applyFill="1" applyBorder="1"/>
    <xf numFmtId="10" fontId="40" fillId="0" borderId="0" xfId="0" applyNumberFormat="1" applyFont="1" applyFill="1" applyAlignment="1">
      <alignment horizontal="right"/>
    </xf>
    <xf numFmtId="3" fontId="41" fillId="0" borderId="0" xfId="0" applyNumberFormat="1" applyFont="1" applyBorder="1" applyAlignment="1"/>
    <xf numFmtId="0" fontId="41" fillId="0" borderId="0" xfId="0" applyNumberFormat="1" applyFont="1" applyFill="1" applyBorder="1" applyAlignment="1">
      <alignment horizontal="center"/>
    </xf>
    <xf numFmtId="0" fontId="0" fillId="0" borderId="0" xfId="0" applyAlignment="1">
      <alignment horizontal="center"/>
    </xf>
    <xf numFmtId="0" fontId="52" fillId="0" borderId="0" xfId="0" applyFont="1" applyAlignment="1">
      <alignment horizontal="left"/>
    </xf>
    <xf numFmtId="0" fontId="52" fillId="0" borderId="0" xfId="0" applyFont="1"/>
    <xf numFmtId="0" fontId="53" fillId="0" borderId="0" xfId="0" applyFont="1"/>
    <xf numFmtId="0" fontId="53" fillId="0" borderId="0" xfId="0" applyFont="1" applyBorder="1"/>
    <xf numFmtId="0" fontId="53" fillId="0" borderId="0" xfId="0" applyFont="1" applyFill="1" applyBorder="1"/>
    <xf numFmtId="0" fontId="43" fillId="0" borderId="0" xfId="0" applyFont="1"/>
    <xf numFmtId="0" fontId="43" fillId="0" borderId="0" xfId="0" applyFont="1" applyFill="1"/>
    <xf numFmtId="3" fontId="36" fillId="0" borderId="0" xfId="0" applyNumberFormat="1" applyFont="1" applyFill="1" applyBorder="1" applyAlignment="1">
      <alignment horizontal="right"/>
    </xf>
    <xf numFmtId="0" fontId="42" fillId="0" borderId="0" xfId="0" applyFont="1" applyFill="1"/>
    <xf numFmtId="0" fontId="0" fillId="0" borderId="0" xfId="0" applyBorder="1"/>
    <xf numFmtId="0" fontId="33" fillId="0" borderId="0" xfId="0" applyFont="1" applyAlignment="1">
      <alignment horizontal="left"/>
    </xf>
    <xf numFmtId="0" fontId="42" fillId="0" borderId="0" xfId="0" applyNumberFormat="1" applyFont="1" applyFill="1" applyBorder="1" applyAlignment="1">
      <alignment horizontal="left"/>
    </xf>
    <xf numFmtId="0" fontId="36" fillId="0" borderId="4" xfId="0" applyFont="1" applyFill="1" applyBorder="1" applyAlignment="1">
      <alignment horizontal="center"/>
    </xf>
    <xf numFmtId="0" fontId="53" fillId="0" borderId="7" xfId="0" applyFont="1" applyBorder="1"/>
    <xf numFmtId="0" fontId="53" fillId="0" borderId="8" xfId="0" applyFont="1" applyBorder="1"/>
    <xf numFmtId="0" fontId="53" fillId="0" borderId="9" xfId="0" applyFont="1" applyBorder="1"/>
    <xf numFmtId="0" fontId="47" fillId="3" borderId="0" xfId="0" applyFont="1" applyFill="1" applyBorder="1" applyAlignment="1">
      <alignment horizontal="center"/>
    </xf>
    <xf numFmtId="0" fontId="53" fillId="0" borderId="0" xfId="0" applyFont="1" applyFill="1" applyBorder="1" applyAlignment="1">
      <alignment horizontal="center"/>
    </xf>
    <xf numFmtId="0" fontId="53" fillId="0" borderId="11" xfId="0" applyFont="1" applyBorder="1" applyAlignment="1">
      <alignment horizontal="center"/>
    </xf>
    <xf numFmtId="0" fontId="53" fillId="0" borderId="0" xfId="0" applyFont="1" applyBorder="1" applyAlignment="1">
      <alignment horizontal="center"/>
    </xf>
    <xf numFmtId="164" fontId="53" fillId="0" borderId="7" xfId="1" applyNumberFormat="1" applyFont="1" applyBorder="1" applyAlignment="1">
      <alignment horizontal="center"/>
    </xf>
    <xf numFmtId="0" fontId="53" fillId="0" borderId="7" xfId="0" applyFont="1" applyBorder="1" applyAlignment="1">
      <alignment horizontal="center"/>
    </xf>
    <xf numFmtId="164" fontId="53" fillId="0" borderId="7" xfId="1" applyNumberFormat="1" applyFont="1" applyBorder="1"/>
    <xf numFmtId="164" fontId="53" fillId="0" borderId="0" xfId="1" applyNumberFormat="1" applyFont="1" applyBorder="1"/>
    <xf numFmtId="0" fontId="53" fillId="0" borderId="14" xfId="0" applyFont="1" applyBorder="1" applyAlignment="1">
      <alignment horizontal="center"/>
    </xf>
    <xf numFmtId="164" fontId="53" fillId="0" borderId="0" xfId="0" applyNumberFormat="1" applyFont="1" applyBorder="1"/>
    <xf numFmtId="167" fontId="53" fillId="0" borderId="7" xfId="0" applyNumberFormat="1" applyFont="1" applyBorder="1"/>
    <xf numFmtId="164" fontId="53" fillId="0" borderId="8" xfId="0" applyNumberFormat="1" applyFont="1" applyBorder="1"/>
    <xf numFmtId="164" fontId="56" fillId="0" borderId="14" xfId="0" applyNumberFormat="1" applyFont="1" applyBorder="1"/>
    <xf numFmtId="164" fontId="56" fillId="0" borderId="0" xfId="0" applyNumberFormat="1" applyFont="1" applyBorder="1"/>
    <xf numFmtId="164" fontId="56" fillId="0" borderId="7" xfId="1" applyNumberFormat="1" applyFont="1" applyBorder="1"/>
    <xf numFmtId="164" fontId="56" fillId="0" borderId="15" xfId="0" applyNumberFormat="1" applyFont="1" applyBorder="1"/>
    <xf numFmtId="164" fontId="56" fillId="0" borderId="9" xfId="1" applyNumberFormat="1" applyFont="1" applyBorder="1"/>
    <xf numFmtId="0" fontId="53" fillId="0" borderId="0" xfId="0" applyFont="1" applyAlignment="1">
      <alignment horizontal="center"/>
    </xf>
    <xf numFmtId="164" fontId="53" fillId="0" borderId="0" xfId="1" applyNumberFormat="1" applyFont="1"/>
    <xf numFmtId="167" fontId="53" fillId="0" borderId="0" xfId="5" applyNumberFormat="1" applyFont="1"/>
    <xf numFmtId="167" fontId="53" fillId="0" borderId="14" xfId="5" applyNumberFormat="1" applyFont="1" applyBorder="1"/>
    <xf numFmtId="167" fontId="53" fillId="0" borderId="15" xfId="5" applyNumberFormat="1" applyFont="1" applyBorder="1"/>
    <xf numFmtId="0" fontId="53" fillId="0" borderId="8" xfId="0" applyFont="1" applyFill="1" applyBorder="1"/>
    <xf numFmtId="164" fontId="53" fillId="0" borderId="0" xfId="1" applyNumberFormat="1" applyFont="1" applyFill="1" applyBorder="1"/>
    <xf numFmtId="164" fontId="53" fillId="0" borderId="7" xfId="1" applyNumberFormat="1" applyFont="1" applyFill="1" applyBorder="1"/>
    <xf numFmtId="0" fontId="34" fillId="0" borderId="0" xfId="0" applyNumberFormat="1" applyFont="1" applyFill="1" applyBorder="1" applyAlignment="1">
      <alignment horizontal="left"/>
    </xf>
    <xf numFmtId="0" fontId="0" fillId="0" borderId="0" xfId="0" applyFill="1" applyBorder="1" applyAlignment="1">
      <alignment horizontal="center"/>
    </xf>
    <xf numFmtId="0" fontId="0" fillId="0" borderId="0" xfId="0" applyFill="1" applyBorder="1"/>
    <xf numFmtId="3" fontId="36" fillId="0" borderId="0" xfId="0" applyNumberFormat="1" applyFont="1" applyAlignment="1">
      <alignment horizontal="center"/>
    </xf>
    <xf numFmtId="0" fontId="0" fillId="0" borderId="0" xfId="0" applyFill="1" applyAlignment="1">
      <alignment wrapText="1"/>
    </xf>
    <xf numFmtId="0" fontId="35" fillId="0" borderId="0" xfId="0" applyFont="1" applyFill="1"/>
    <xf numFmtId="0" fontId="33" fillId="0" borderId="0" xfId="0" applyFont="1" applyAlignment="1"/>
    <xf numFmtId="0" fontId="0" fillId="0" borderId="0" xfId="0" applyAlignment="1">
      <alignment horizontal="left"/>
    </xf>
    <xf numFmtId="164" fontId="0" fillId="0" borderId="0" xfId="1" applyNumberFormat="1" applyFont="1" applyAlignment="1"/>
    <xf numFmtId="164" fontId="0" fillId="0" borderId="0" xfId="1" applyNumberFormat="1" applyFont="1" applyFill="1" applyAlignment="1"/>
    <xf numFmtId="164" fontId="0" fillId="0" borderId="0" xfId="1" applyNumberFormat="1" applyFont="1" applyFill="1" applyBorder="1" applyAlignment="1"/>
    <xf numFmtId="164" fontId="32" fillId="0" borderId="0" xfId="1" applyNumberFormat="1"/>
    <xf numFmtId="172" fontId="32" fillId="0" borderId="0" xfId="13" applyNumberFormat="1"/>
    <xf numFmtId="3" fontId="55" fillId="0" borderId="0" xfId="0" applyNumberFormat="1" applyFont="1"/>
    <xf numFmtId="0" fontId="0" fillId="0" borderId="0" xfId="0" applyFill="1" applyAlignment="1">
      <alignment horizontal="left"/>
    </xf>
    <xf numFmtId="0" fontId="0" fillId="0" borderId="0" xfId="0" applyFill="1" applyAlignment="1"/>
    <xf numFmtId="0" fontId="61" fillId="0" borderId="0" xfId="0" applyFont="1" applyFill="1" applyBorder="1"/>
    <xf numFmtId="0" fontId="34" fillId="0" borderId="3" xfId="0" applyFont="1" applyFill="1" applyBorder="1"/>
    <xf numFmtId="0" fontId="0" fillId="0" borderId="0" xfId="0" applyBorder="1" applyAlignment="1">
      <alignment horizontal="center"/>
    </xf>
    <xf numFmtId="0" fontId="53" fillId="0" borderId="10" xfId="0" applyFont="1" applyFill="1" applyBorder="1"/>
    <xf numFmtId="0" fontId="41" fillId="0" borderId="0" xfId="0" applyFont="1" applyFill="1" applyBorder="1" applyAlignment="1"/>
    <xf numFmtId="0" fontId="36" fillId="0" borderId="0" xfId="0" applyFont="1" applyFill="1" applyAlignment="1">
      <alignment wrapText="1"/>
    </xf>
    <xf numFmtId="3" fontId="34" fillId="0" borderId="3" xfId="0" applyNumberFormat="1" applyFont="1" applyFill="1" applyBorder="1" applyAlignment="1"/>
    <xf numFmtId="0" fontId="68" fillId="0" borderId="0" xfId="0" applyFont="1" applyBorder="1"/>
    <xf numFmtId="164" fontId="56" fillId="0" borderId="8" xfId="0" applyNumberFormat="1" applyFont="1" applyBorder="1"/>
    <xf numFmtId="164" fontId="56" fillId="0" borderId="24" xfId="0" applyNumberFormat="1" applyFont="1" applyBorder="1"/>
    <xf numFmtId="0" fontId="70" fillId="0" borderId="0" xfId="0" applyFont="1" applyFill="1" applyBorder="1" applyAlignment="1">
      <alignment horizontal="left"/>
    </xf>
    <xf numFmtId="0" fontId="34" fillId="0" borderId="2" xfId="0" applyNumberFormat="1" applyFont="1" applyFill="1" applyBorder="1" applyAlignment="1">
      <alignment horizontal="left"/>
    </xf>
    <xf numFmtId="0" fontId="34" fillId="0" borderId="0" xfId="0" applyNumberFormat="1" applyFont="1" applyFill="1" applyAlignment="1">
      <alignment horizontal="left"/>
    </xf>
    <xf numFmtId="0" fontId="71" fillId="0" borderId="0" xfId="0" applyNumberFormat="1" applyFont="1" applyFill="1" applyAlignment="1">
      <alignment horizontal="left"/>
    </xf>
    <xf numFmtId="0" fontId="34" fillId="0" borderId="2" xfId="0" applyFont="1" applyFill="1" applyBorder="1"/>
    <xf numFmtId="0" fontId="34" fillId="0" borderId="0" xfId="0" applyNumberFormat="1" applyFont="1" applyFill="1" applyAlignment="1">
      <alignment horizontal="right"/>
    </xf>
    <xf numFmtId="0" fontId="34" fillId="0" borderId="3" xfId="0" applyNumberFormat="1" applyFont="1" applyBorder="1" applyAlignment="1">
      <alignment horizontal="left"/>
    </xf>
    <xf numFmtId="0" fontId="47" fillId="3" borderId="0" xfId="0" applyFont="1" applyFill="1" applyAlignment="1"/>
    <xf numFmtId="0" fontId="34" fillId="3" borderId="0" xfId="0" applyNumberFormat="1" applyFont="1" applyFill="1" applyAlignment="1">
      <alignment horizontal="left"/>
    </xf>
    <xf numFmtId="0" fontId="72" fillId="0" borderId="8" xfId="0" applyFont="1" applyFill="1" applyBorder="1"/>
    <xf numFmtId="37" fontId="34" fillId="0" borderId="0" xfId="0" applyNumberFormat="1" applyFont="1" applyBorder="1" applyAlignment="1">
      <alignment horizontal="right"/>
    </xf>
    <xf numFmtId="3" fontId="39" fillId="0" borderId="0" xfId="0" applyNumberFormat="1" applyFont="1" applyFill="1" applyBorder="1" applyAlignment="1">
      <alignment horizontal="right"/>
    </xf>
    <xf numFmtId="4" fontId="39" fillId="0" borderId="0" xfId="0" applyNumberFormat="1" applyFont="1" applyFill="1" applyAlignment="1">
      <alignment horizontal="right"/>
    </xf>
    <xf numFmtId="3" fontId="39" fillId="0" borderId="0" xfId="0" applyNumberFormat="1" applyFont="1" applyFill="1" applyAlignment="1">
      <alignment horizontal="right"/>
    </xf>
    <xf numFmtId="0" fontId="34" fillId="0" borderId="3" xfId="0" applyFont="1" applyFill="1" applyBorder="1" applyAlignment="1">
      <alignment horizontal="center"/>
    </xf>
    <xf numFmtId="0" fontId="45" fillId="0" borderId="5" xfId="0" applyNumberFormat="1" applyFont="1" applyFill="1" applyBorder="1" applyAlignment="1"/>
    <xf numFmtId="0" fontId="45" fillId="0" borderId="0" xfId="0" applyNumberFormat="1" applyFont="1" applyFill="1" applyBorder="1" applyAlignment="1"/>
    <xf numFmtId="0" fontId="36" fillId="0" borderId="4" xfId="0" applyFont="1" applyFill="1" applyBorder="1"/>
    <xf numFmtId="0" fontId="36" fillId="0" borderId="2" xfId="0" applyNumberFormat="1" applyFont="1" applyFill="1" applyBorder="1" applyAlignment="1">
      <alignment horizontal="left"/>
    </xf>
    <xf numFmtId="0" fontId="34" fillId="0" borderId="3" xfId="0" applyFont="1" applyBorder="1" applyAlignment="1">
      <alignment horizontal="left"/>
    </xf>
    <xf numFmtId="164" fontId="36" fillId="0" borderId="0" xfId="1" applyNumberFormat="1" applyFont="1" applyFill="1" applyBorder="1"/>
    <xf numFmtId="0" fontId="53" fillId="0" borderId="14" xfId="0" applyFont="1" applyBorder="1"/>
    <xf numFmtId="0" fontId="53" fillId="0" borderId="14" xfId="0" applyFont="1" applyFill="1" applyBorder="1" applyAlignment="1">
      <alignment horizontal="center"/>
    </xf>
    <xf numFmtId="0" fontId="53" fillId="0" borderId="15" xfId="0" applyFont="1" applyBorder="1"/>
    <xf numFmtId="0" fontId="73" fillId="0" borderId="0" xfId="0" applyNumberFormat="1" applyFont="1" applyFill="1" applyBorder="1" applyAlignment="1">
      <alignment horizontal="center"/>
    </xf>
    <xf numFmtId="0" fontId="79" fillId="0" borderId="0" xfId="0" applyFont="1" applyFill="1" applyAlignment="1"/>
    <xf numFmtId="0" fontId="79" fillId="0" borderId="0" xfId="0" applyFont="1" applyFill="1"/>
    <xf numFmtId="0" fontId="79" fillId="0" borderId="0" xfId="0" applyFont="1" applyFill="1" applyAlignment="1">
      <alignment horizontal="left"/>
    </xf>
    <xf numFmtId="0" fontId="79" fillId="0" borderId="0" xfId="0" applyFont="1" applyFill="1" applyAlignment="1">
      <alignment horizontal="center"/>
    </xf>
    <xf numFmtId="0" fontId="79" fillId="0" borderId="0" xfId="0" applyFont="1" applyAlignment="1">
      <alignment horizontal="left"/>
    </xf>
    <xf numFmtId="0" fontId="79" fillId="0" borderId="0" xfId="0" applyFont="1" applyAlignment="1"/>
    <xf numFmtId="0" fontId="79" fillId="0" borderId="0" xfId="0" applyFont="1" applyAlignment="1">
      <alignment horizontal="center"/>
    </xf>
    <xf numFmtId="0" fontId="79" fillId="0" borderId="0" xfId="0" applyFont="1"/>
    <xf numFmtId="37" fontId="45" fillId="0" borderId="0" xfId="0" applyNumberFormat="1" applyFont="1" applyFill="1" applyBorder="1" applyAlignment="1">
      <alignment horizontal="right"/>
    </xf>
    <xf numFmtId="0" fontId="57" fillId="0" borderId="0" xfId="0" applyFont="1" applyFill="1" applyBorder="1" applyAlignment="1">
      <alignment horizontal="center"/>
    </xf>
    <xf numFmtId="0" fontId="53" fillId="0" borderId="24" xfId="0" applyFont="1" applyFill="1" applyBorder="1"/>
    <xf numFmtId="167" fontId="53" fillId="0" borderId="8" xfId="0" applyNumberFormat="1" applyFont="1" applyBorder="1"/>
    <xf numFmtId="167" fontId="53" fillId="0" borderId="24" xfId="0" applyNumberFormat="1" applyFont="1" applyBorder="1"/>
    <xf numFmtId="0" fontId="48" fillId="0" borderId="4" xfId="0" applyFont="1" applyBorder="1" applyAlignment="1"/>
    <xf numFmtId="0" fontId="36" fillId="0" borderId="0" xfId="0" applyNumberFormat="1" applyFont="1" applyFill="1" applyBorder="1" applyAlignment="1">
      <alignment horizontal="left"/>
    </xf>
    <xf numFmtId="0" fontId="34" fillId="0" borderId="0" xfId="0" applyFont="1" applyAlignment="1">
      <alignment horizontal="left"/>
    </xf>
    <xf numFmtId="0" fontId="68" fillId="0" borderId="0" xfId="0" applyFont="1" applyFill="1" applyBorder="1"/>
    <xf numFmtId="0" fontId="69" fillId="0" borderId="0" xfId="0" applyFont="1" applyFill="1" applyBorder="1" applyAlignment="1">
      <alignment horizontal="left"/>
    </xf>
    <xf numFmtId="172" fontId="53" fillId="0" borderId="8" xfId="0" applyNumberFormat="1" applyFont="1" applyBorder="1"/>
    <xf numFmtId="0" fontId="34" fillId="0" borderId="0" xfId="0" applyFont="1" applyFill="1" applyAlignment="1"/>
    <xf numFmtId="0" fontId="40" fillId="0" borderId="0" xfId="0" applyFont="1" applyBorder="1" applyAlignment="1">
      <alignment horizontal="center"/>
    </xf>
    <xf numFmtId="37" fontId="36" fillId="0" borderId="0" xfId="0" applyNumberFormat="1" applyFont="1" applyBorder="1" applyAlignment="1">
      <alignment horizontal="left"/>
    </xf>
    <xf numFmtId="0" fontId="40" fillId="0" borderId="0" xfId="0" applyFont="1" applyFill="1" applyBorder="1" applyAlignment="1">
      <alignment horizontal="center"/>
    </xf>
    <xf numFmtId="0" fontId="42" fillId="0" borderId="0" xfId="0" applyNumberFormat="1" applyFont="1" applyFill="1" applyBorder="1" applyAlignment="1"/>
    <xf numFmtId="0" fontId="36" fillId="0" borderId="7" xfId="0" applyFont="1" applyBorder="1"/>
    <xf numFmtId="0" fontId="36" fillId="0" borderId="8" xfId="0" applyNumberFormat="1" applyFont="1" applyFill="1" applyBorder="1" applyAlignment="1">
      <alignment horizontal="center"/>
    </xf>
    <xf numFmtId="0" fontId="39" fillId="0" borderId="0" xfId="0" applyNumberFormat="1" applyFont="1" applyFill="1" applyBorder="1" applyAlignment="1">
      <alignment horizontal="center"/>
    </xf>
    <xf numFmtId="0" fontId="36" fillId="0" borderId="8" xfId="0" applyFont="1" applyFill="1" applyBorder="1" applyAlignment="1">
      <alignment horizontal="center"/>
    </xf>
    <xf numFmtId="3" fontId="39" fillId="0" borderId="0" xfId="0" applyNumberFormat="1" applyFont="1" applyFill="1" applyBorder="1" applyAlignment="1">
      <alignment horizontal="center"/>
    </xf>
    <xf numFmtId="0" fontId="36" fillId="0" borderId="7" xfId="0" applyFont="1" applyBorder="1" applyAlignment="1"/>
    <xf numFmtId="0" fontId="36" fillId="0" borderId="0" xfId="0" applyNumberFormat="1" applyFont="1" applyFill="1" applyBorder="1" applyAlignment="1">
      <alignment horizontal="right"/>
    </xf>
    <xf numFmtId="0" fontId="39" fillId="0" borderId="0" xfId="0" applyNumberFormat="1" applyFont="1" applyBorder="1" applyAlignment="1">
      <alignment horizontal="center"/>
    </xf>
    <xf numFmtId="0" fontId="36" fillId="0" borderId="7" xfId="0" applyNumberFormat="1" applyFont="1" applyBorder="1" applyAlignment="1"/>
    <xf numFmtId="0" fontId="36" fillId="0" borderId="24" xfId="0" applyNumberFormat="1" applyFont="1" applyFill="1" applyBorder="1" applyAlignment="1">
      <alignment horizontal="center"/>
    </xf>
    <xf numFmtId="0" fontId="39" fillId="0" borderId="1" xfId="0" applyNumberFormat="1" applyFont="1" applyFill="1" applyBorder="1" applyAlignment="1">
      <alignment horizontal="center"/>
    </xf>
    <xf numFmtId="0" fontId="36" fillId="0" borderId="9" xfId="0" applyNumberFormat="1" applyFont="1" applyFill="1" applyBorder="1" applyAlignment="1"/>
    <xf numFmtId="0" fontId="36" fillId="0" borderId="7" xfId="0" applyNumberFormat="1" applyFont="1" applyFill="1" applyBorder="1" applyAlignment="1">
      <alignment horizontal="left"/>
    </xf>
    <xf numFmtId="3" fontId="36" fillId="0" borderId="0" xfId="0" applyNumberFormat="1" applyFont="1" applyFill="1" applyBorder="1" applyAlignment="1"/>
    <xf numFmtId="3" fontId="39" fillId="0" borderId="0" xfId="0" applyNumberFormat="1" applyFont="1" applyBorder="1" applyAlignment="1">
      <alignment horizontal="center"/>
    </xf>
    <xf numFmtId="0" fontId="36" fillId="0" borderId="9" xfId="0" applyNumberFormat="1" applyFont="1" applyFill="1" applyBorder="1" applyAlignment="1">
      <alignment horizontal="left"/>
    </xf>
    <xf numFmtId="3" fontId="36" fillId="0" borderId="0" xfId="0" applyNumberFormat="1" applyFont="1" applyFill="1" applyBorder="1" applyAlignment="1">
      <alignment horizontal="center"/>
    </xf>
    <xf numFmtId="0" fontId="36" fillId="0" borderId="1" xfId="0" applyNumberFormat="1" applyFont="1" applyFill="1" applyBorder="1" applyAlignment="1">
      <alignment horizontal="center"/>
    </xf>
    <xf numFmtId="0" fontId="36" fillId="0" borderId="1" xfId="0" applyFont="1" applyBorder="1"/>
    <xf numFmtId="3" fontId="36" fillId="0" borderId="8" xfId="0" applyNumberFormat="1" applyFont="1" applyFill="1" applyBorder="1" applyAlignment="1">
      <alignment horizontal="right"/>
    </xf>
    <xf numFmtId="0" fontId="36" fillId="0" borderId="0" xfId="0" applyNumberFormat="1" applyFont="1" applyFill="1" applyBorder="1" applyAlignment="1"/>
    <xf numFmtId="0" fontId="36" fillId="0" borderId="1" xfId="0" applyFont="1" applyFill="1" applyBorder="1"/>
    <xf numFmtId="0" fontId="33" fillId="0" borderId="0" xfId="0" applyFont="1" applyBorder="1" applyAlignment="1">
      <alignment horizontal="center"/>
    </xf>
    <xf numFmtId="3" fontId="36" fillId="0" borderId="0" xfId="0" applyNumberFormat="1" applyFont="1" applyBorder="1" applyAlignment="1">
      <alignment horizontal="center"/>
    </xf>
    <xf numFmtId="0" fontId="36" fillId="0" borderId="9" xfId="0" applyNumberFormat="1" applyFont="1" applyFill="1" applyBorder="1" applyAlignment="1">
      <alignment horizontal="center"/>
    </xf>
    <xf numFmtId="3" fontId="36" fillId="0" borderId="0" xfId="0" applyNumberFormat="1" applyFont="1" applyFill="1" applyAlignment="1"/>
    <xf numFmtId="0" fontId="36" fillId="0" borderId="8" xfId="0" applyFont="1" applyBorder="1"/>
    <xf numFmtId="3" fontId="36" fillId="0" borderId="8" xfId="0" applyNumberFormat="1" applyFont="1" applyBorder="1" applyAlignment="1">
      <alignment horizontal="center"/>
    </xf>
    <xf numFmtId="3" fontId="36" fillId="0" borderId="24" xfId="0" applyNumberFormat="1" applyFont="1" applyBorder="1" applyAlignment="1">
      <alignment horizontal="center"/>
    </xf>
    <xf numFmtId="3" fontId="36" fillId="0" borderId="1" xfId="0" applyNumberFormat="1" applyFont="1" applyFill="1" applyBorder="1" applyAlignment="1">
      <alignment horizontal="center"/>
    </xf>
    <xf numFmtId="3" fontId="36" fillId="0" borderId="1" xfId="0" applyNumberFormat="1" applyFont="1" applyBorder="1" applyAlignment="1">
      <alignment horizontal="center"/>
    </xf>
    <xf numFmtId="0" fontId="36" fillId="0" borderId="24" xfId="0" applyFont="1" applyBorder="1"/>
    <xf numFmtId="0" fontId="36" fillId="0" borderId="9" xfId="0" applyFont="1" applyBorder="1"/>
    <xf numFmtId="0" fontId="36" fillId="0" borderId="7" xfId="0" applyFont="1" applyFill="1" applyBorder="1"/>
    <xf numFmtId="0" fontId="36" fillId="0" borderId="1" xfId="0" applyFont="1" applyBorder="1" applyAlignment="1">
      <alignment horizontal="center"/>
    </xf>
    <xf numFmtId="0" fontId="41" fillId="0" borderId="24" xfId="0" applyFont="1" applyFill="1" applyBorder="1" applyAlignment="1">
      <alignment horizontal="left"/>
    </xf>
    <xf numFmtId="0" fontId="36" fillId="0" borderId="1" xfId="0" applyFont="1" applyFill="1" applyBorder="1" applyAlignment="1">
      <alignment horizontal="center"/>
    </xf>
    <xf numFmtId="0" fontId="36" fillId="0" borderId="1" xfId="0" applyFont="1" applyFill="1" applyBorder="1" applyAlignment="1">
      <alignment horizontal="left"/>
    </xf>
    <xf numFmtId="0" fontId="36" fillId="0" borderId="9" xfId="0" applyFont="1" applyFill="1" applyBorder="1" applyAlignment="1">
      <alignment horizontal="center"/>
    </xf>
    <xf numFmtId="0" fontId="42" fillId="0" borderId="8" xfId="0" applyFont="1" applyBorder="1" applyAlignment="1">
      <alignment horizontal="center"/>
    </xf>
    <xf numFmtId="0" fontId="36" fillId="0" borderId="0" xfId="0" applyFont="1" applyFill="1" applyBorder="1" applyAlignment="1">
      <alignment horizontal="right"/>
    </xf>
    <xf numFmtId="0" fontId="40" fillId="0" borderId="0" xfId="0" applyFont="1" applyBorder="1"/>
    <xf numFmtId="0" fontId="40" fillId="0" borderId="1" xfId="0" applyFont="1" applyFill="1" applyBorder="1"/>
    <xf numFmtId="0" fontId="36" fillId="0" borderId="9" xfId="0" applyFont="1" applyFill="1" applyBorder="1"/>
    <xf numFmtId="38" fontId="0" fillId="0" borderId="0" xfId="0" applyNumberFormat="1"/>
    <xf numFmtId="0" fontId="0" fillId="0" borderId="25" xfId="0" applyBorder="1" applyAlignment="1">
      <alignment horizontal="center"/>
    </xf>
    <xf numFmtId="0" fontId="0" fillId="0" borderId="22" xfId="0" applyBorder="1"/>
    <xf numFmtId="0" fontId="32" fillId="0" borderId="16" xfId="0" applyFont="1" applyFill="1" applyBorder="1"/>
    <xf numFmtId="0" fontId="48" fillId="0" borderId="0" xfId="0" applyFont="1" applyFill="1" applyAlignment="1">
      <alignment horizontal="left"/>
    </xf>
    <xf numFmtId="0" fontId="48" fillId="0" borderId="0" xfId="0" applyFont="1" applyFill="1"/>
    <xf numFmtId="0" fontId="48" fillId="0" borderId="0" xfId="0" applyFont="1" applyFill="1" applyAlignment="1"/>
    <xf numFmtId="0" fontId="44" fillId="0" borderId="0" xfId="8"/>
    <xf numFmtId="0" fontId="44" fillId="0" borderId="0" xfId="8" applyAlignment="1">
      <alignment horizontal="center"/>
    </xf>
    <xf numFmtId="0" fontId="65" fillId="0" borderId="0" xfId="8" applyFont="1"/>
    <xf numFmtId="0" fontId="58" fillId="0" borderId="0" xfId="8" applyFont="1" applyAlignment="1">
      <alignment horizontal="center"/>
    </xf>
    <xf numFmtId="0" fontId="58" fillId="0" borderId="0" xfId="8" applyFont="1"/>
    <xf numFmtId="0" fontId="59" fillId="0" borderId="0" xfId="8" applyFont="1"/>
    <xf numFmtId="0" fontId="58" fillId="0" borderId="0" xfId="8" applyFont="1" applyFill="1" applyAlignment="1">
      <alignment horizontal="center"/>
    </xf>
    <xf numFmtId="0" fontId="58" fillId="0" borderId="0" xfId="8" applyFont="1" applyAlignment="1">
      <alignment horizontal="left"/>
    </xf>
    <xf numFmtId="16" fontId="58" fillId="0" borderId="0" xfId="8" applyNumberFormat="1" applyFont="1" applyAlignment="1">
      <alignment horizontal="center"/>
    </xf>
    <xf numFmtId="0" fontId="44" fillId="0" borderId="0" xfId="8" applyAlignment="1"/>
    <xf numFmtId="164" fontId="58" fillId="0" borderId="0" xfId="2" applyNumberFormat="1" applyFont="1"/>
    <xf numFmtId="0" fontId="66" fillId="0" borderId="0" xfId="8" applyFont="1" applyFill="1" applyAlignment="1">
      <alignment horizontal="left"/>
    </xf>
    <xf numFmtId="164" fontId="58" fillId="0" borderId="0" xfId="8" applyNumberFormat="1" applyFont="1"/>
    <xf numFmtId="43" fontId="58" fillId="0" borderId="0" xfId="8" applyNumberFormat="1" applyFont="1"/>
    <xf numFmtId="167" fontId="58" fillId="0" borderId="0" xfId="8" applyNumberFormat="1" applyFont="1"/>
    <xf numFmtId="167" fontId="58" fillId="0" borderId="0" xfId="6" applyNumberFormat="1" applyFont="1"/>
    <xf numFmtId="0" fontId="58" fillId="0" borderId="0" xfId="8" applyFont="1" applyBorder="1" applyAlignment="1">
      <alignment horizontal="center"/>
    </xf>
    <xf numFmtId="0" fontId="58" fillId="0" borderId="0" xfId="8" applyFont="1" applyBorder="1"/>
    <xf numFmtId="0" fontId="67" fillId="0" borderId="0" xfId="8" applyFont="1" applyBorder="1"/>
    <xf numFmtId="167" fontId="58" fillId="0" borderId="0" xfId="6" applyNumberFormat="1" applyFont="1" applyFill="1" applyAlignment="1">
      <alignment horizontal="left"/>
    </xf>
    <xf numFmtId="167" fontId="58" fillId="0" borderId="0" xfId="6" applyNumberFormat="1" applyFont="1" applyAlignment="1">
      <alignment horizontal="left"/>
    </xf>
    <xf numFmtId="0" fontId="58" fillId="0" borderId="0" xfId="8" applyFont="1" applyFill="1"/>
    <xf numFmtId="0" fontId="58" fillId="0" borderId="0" xfId="6" applyNumberFormat="1" applyFont="1" applyFill="1" applyAlignment="1">
      <alignment horizontal="left"/>
    </xf>
    <xf numFmtId="164" fontId="58" fillId="0" borderId="0" xfId="8" applyNumberFormat="1" applyFont="1" applyFill="1"/>
    <xf numFmtId="0" fontId="58" fillId="0" borderId="0" xfId="8" applyFont="1" applyFill="1" applyAlignment="1">
      <alignment horizontal="left"/>
    </xf>
    <xf numFmtId="0" fontId="49" fillId="0" borderId="0" xfId="8" applyFont="1" applyAlignment="1">
      <alignment horizontal="center"/>
    </xf>
    <xf numFmtId="0" fontId="49" fillId="0" borderId="0" xfId="8" applyFont="1"/>
    <xf numFmtId="0" fontId="44" fillId="0" borderId="0" xfId="8" applyFill="1" applyBorder="1" applyAlignment="1">
      <alignment horizontal="center"/>
    </xf>
    <xf numFmtId="0" fontId="44" fillId="0" borderId="0" xfId="8" applyFill="1" applyBorder="1"/>
    <xf numFmtId="0" fontId="36" fillId="0" borderId="0" xfId="0" applyNumberFormat="1" applyFont="1" applyFill="1" applyAlignment="1"/>
    <xf numFmtId="3" fontId="36" fillId="0" borderId="7" xfId="0" applyNumberFormat="1" applyFont="1" applyFill="1" applyBorder="1" applyAlignment="1">
      <alignment vertical="center" wrapText="1"/>
    </xf>
    <xf numFmtId="0" fontId="86" fillId="0" borderId="0" xfId="0" applyNumberFormat="1" applyFont="1" applyFill="1" applyBorder="1" applyAlignment="1">
      <alignment horizontal="left"/>
    </xf>
    <xf numFmtId="0" fontId="48" fillId="0" borderId="0" xfId="0" applyNumberFormat="1" applyFont="1" applyFill="1"/>
    <xf numFmtId="0" fontId="36" fillId="0" borderId="2" xfId="0" applyNumberFormat="1" applyFont="1" applyFill="1" applyBorder="1" applyAlignment="1"/>
    <xf numFmtId="164" fontId="53" fillId="0" borderId="7" xfId="0" applyNumberFormat="1" applyFont="1" applyBorder="1"/>
    <xf numFmtId="0" fontId="53" fillId="0" borderId="7" xfId="0" applyFont="1" applyFill="1" applyBorder="1" applyAlignment="1">
      <alignment horizontal="left" wrapText="1"/>
    </xf>
    <xf numFmtId="10" fontId="53" fillId="0" borderId="7" xfId="13" applyNumberFormat="1" applyFont="1" applyFill="1" applyBorder="1" applyAlignment="1">
      <alignment horizontal="center"/>
    </xf>
    <xf numFmtId="0" fontId="53" fillId="0" borderId="7" xfId="0" applyFont="1" applyFill="1" applyBorder="1" applyAlignment="1">
      <alignment wrapText="1"/>
    </xf>
    <xf numFmtId="172" fontId="34" fillId="0" borderId="0" xfId="13" applyNumberFormat="1" applyFont="1" applyFill="1" applyAlignment="1"/>
    <xf numFmtId="0" fontId="36" fillId="0" borderId="0" xfId="0" applyFont="1" applyFill="1" applyBorder="1" applyAlignment="1">
      <alignment wrapText="1"/>
    </xf>
    <xf numFmtId="0" fontId="36" fillId="0" borderId="7" xfId="0" applyFont="1" applyFill="1" applyBorder="1" applyAlignment="1">
      <alignment wrapText="1"/>
    </xf>
    <xf numFmtId="164" fontId="0" fillId="0" borderId="0" xfId="1" applyNumberFormat="1" applyFont="1"/>
    <xf numFmtId="0" fontId="32" fillId="0" borderId="0" xfId="0" applyFont="1"/>
    <xf numFmtId="0" fontId="32" fillId="0" borderId="0" xfId="0" applyFont="1" applyFill="1"/>
    <xf numFmtId="164" fontId="0" fillId="0" borderId="0" xfId="1" applyNumberFormat="1" applyFont="1" applyAlignment="1">
      <alignment horizontal="left"/>
    </xf>
    <xf numFmtId="164" fontId="0" fillId="0" borderId="0" xfId="0" applyNumberFormat="1" applyAlignment="1">
      <alignment horizontal="left"/>
    </xf>
    <xf numFmtId="17" fontId="0" fillId="0" borderId="0" xfId="0" applyNumberFormat="1"/>
    <xf numFmtId="3" fontId="91" fillId="0" borderId="0" xfId="0" applyNumberFormat="1" applyFont="1" applyAlignment="1">
      <alignment horizontal="right"/>
    </xf>
    <xf numFmtId="0" fontId="76" fillId="0" borderId="0" xfId="37"/>
    <xf numFmtId="167" fontId="89" fillId="0" borderId="0" xfId="6" applyNumberFormat="1" applyFont="1" applyFill="1" applyAlignment="1">
      <alignment horizontal="left"/>
    </xf>
    <xf numFmtId="164" fontId="32" fillId="0" borderId="0" xfId="1" applyNumberFormat="1" applyFont="1" applyFill="1"/>
    <xf numFmtId="0" fontId="0" fillId="0" borderId="0" xfId="0" applyAlignment="1">
      <alignment vertical="center"/>
    </xf>
    <xf numFmtId="0" fontId="36" fillId="0" borderId="0" xfId="0" applyNumberFormat="1" applyFont="1" applyFill="1" applyBorder="1" applyAlignment="1">
      <alignment horizontal="left"/>
    </xf>
    <xf numFmtId="0" fontId="32" fillId="0" borderId="36" xfId="0" applyFont="1" applyFill="1" applyBorder="1" applyAlignment="1">
      <alignment horizontal="center"/>
    </xf>
    <xf numFmtId="0" fontId="32" fillId="0" borderId="36" xfId="0" applyFont="1" applyFill="1" applyBorder="1"/>
    <xf numFmtId="0" fontId="42" fillId="0" borderId="0" xfId="0" applyFont="1" applyFill="1" applyBorder="1" applyAlignment="1">
      <alignment horizontal="center" wrapText="1"/>
    </xf>
    <xf numFmtId="0" fontId="36" fillId="0" borderId="0" xfId="0" applyFont="1" applyFill="1" applyBorder="1" applyAlignment="1">
      <alignment horizontal="center" wrapText="1"/>
    </xf>
    <xf numFmtId="0" fontId="36" fillId="0" borderId="0" xfId="0" applyNumberFormat="1" applyFont="1" applyFill="1" applyBorder="1" applyAlignment="1">
      <alignment horizontal="center"/>
    </xf>
    <xf numFmtId="0" fontId="32" fillId="0" borderId="0" xfId="26"/>
    <xf numFmtId="0" fontId="94" fillId="0" borderId="0" xfId="29" applyFont="1"/>
    <xf numFmtId="0" fontId="75" fillId="0" borderId="0" xfId="0" applyFont="1" applyFill="1"/>
    <xf numFmtId="3" fontId="32" fillId="0" borderId="0" xfId="0" applyNumberFormat="1" applyFont="1"/>
    <xf numFmtId="0" fontId="95" fillId="10" borderId="38" xfId="37" applyFont="1" applyFill="1" applyBorder="1" applyAlignment="1" applyProtection="1">
      <alignment horizontal="center" vertical="center"/>
    </xf>
    <xf numFmtId="0" fontId="36" fillId="0" borderId="0" xfId="0" applyFont="1"/>
    <xf numFmtId="0" fontId="36" fillId="7" borderId="0" xfId="0" applyNumberFormat="1" applyFont="1" applyFill="1" applyAlignment="1">
      <alignment horizontal="center"/>
    </xf>
    <xf numFmtId="164" fontId="32" fillId="0" borderId="0" xfId="1" applyNumberFormat="1" applyFont="1" applyFill="1" applyAlignment="1">
      <alignment vertical="top"/>
    </xf>
    <xf numFmtId="0" fontId="36" fillId="0" borderId="0" xfId="0" applyFont="1"/>
    <xf numFmtId="10" fontId="34" fillId="0" borderId="0" xfId="13" applyNumberFormat="1" applyFont="1" applyAlignment="1"/>
    <xf numFmtId="172" fontId="53" fillId="0" borderId="0" xfId="0" applyNumberFormat="1" applyFont="1" applyBorder="1"/>
    <xf numFmtId="0" fontId="36" fillId="0" borderId="0" xfId="0" applyFont="1"/>
    <xf numFmtId="0" fontId="32" fillId="0" borderId="0" xfId="26" applyFont="1"/>
    <xf numFmtId="0" fontId="32" fillId="0" borderId="41" xfId="26" applyFont="1" applyBorder="1" applyAlignment="1">
      <alignment horizontal="center" wrapText="1"/>
    </xf>
    <xf numFmtId="0" fontId="96" fillId="0" borderId="0" xfId="26" applyFont="1"/>
    <xf numFmtId="0" fontId="89" fillId="0" borderId="0" xfId="8" applyFont="1" applyAlignment="1">
      <alignment horizontal="center"/>
    </xf>
    <xf numFmtId="0" fontId="45" fillId="0" borderId="0" xfId="0" applyFont="1" applyAlignment="1">
      <alignment horizontal="centerContinuous"/>
    </xf>
    <xf numFmtId="0" fontId="48" fillId="0" borderId="0" xfId="0" applyFont="1" applyFill="1" applyBorder="1" applyAlignment="1"/>
    <xf numFmtId="0" fontId="104" fillId="0" borderId="0" xfId="0" applyFont="1" applyFill="1" applyBorder="1" applyAlignment="1"/>
    <xf numFmtId="0" fontId="58" fillId="0" borderId="0" xfId="45" applyFont="1"/>
    <xf numFmtId="0" fontId="53" fillId="0" borderId="0" xfId="0" applyFont="1" applyFill="1" applyBorder="1" applyAlignment="1">
      <alignment horizontal="left" wrapText="1"/>
    </xf>
    <xf numFmtId="0" fontId="55" fillId="0" borderId="0" xfId="0" applyFont="1" applyFill="1"/>
    <xf numFmtId="0" fontId="55" fillId="0" borderId="0" xfId="0" applyFont="1" applyFill="1" applyAlignment="1">
      <alignment horizontal="center"/>
    </xf>
    <xf numFmtId="0" fontId="64" fillId="0" borderId="0" xfId="0" applyFont="1" applyFill="1" applyAlignment="1">
      <alignment horizontal="centerContinuous"/>
    </xf>
    <xf numFmtId="0" fontId="59" fillId="0" borderId="0" xfId="8" applyFont="1" applyFill="1"/>
    <xf numFmtId="0" fontId="44" fillId="0" borderId="0" xfId="8" applyFill="1"/>
    <xf numFmtId="16" fontId="58" fillId="0" borderId="0" xfId="8" applyNumberFormat="1" applyFont="1" applyFill="1" applyAlignment="1">
      <alignment horizontal="center"/>
    </xf>
    <xf numFmtId="0" fontId="45" fillId="0" borderId="0" xfId="8" applyFont="1" applyAlignment="1">
      <alignment horizontal="centerContinuous"/>
    </xf>
    <xf numFmtId="0" fontId="44" fillId="0" borderId="0" xfId="8" applyAlignment="1">
      <alignment horizontal="centerContinuous"/>
    </xf>
    <xf numFmtId="0" fontId="84" fillId="0" borderId="0" xfId="8" applyFont="1" applyAlignment="1">
      <alignment horizontal="centerContinuous"/>
    </xf>
    <xf numFmtId="0" fontId="85" fillId="0" borderId="0" xfId="8" applyFont="1" applyAlignment="1">
      <alignment horizontal="centerContinuous"/>
    </xf>
    <xf numFmtId="0" fontId="34" fillId="0" borderId="0" xfId="26" applyFont="1" applyAlignment="1">
      <alignment horizontal="centerContinuous"/>
    </xf>
    <xf numFmtId="0" fontId="92" fillId="0" borderId="0" xfId="26" applyFont="1" applyAlignment="1">
      <alignment horizontal="centerContinuous"/>
    </xf>
    <xf numFmtId="172" fontId="34" fillId="0" borderId="3" xfId="13" applyNumberFormat="1" applyFont="1" applyFill="1" applyBorder="1" applyAlignment="1"/>
    <xf numFmtId="3" fontId="36" fillId="0" borderId="2" xfId="0" applyNumberFormat="1" applyFont="1" applyFill="1" applyBorder="1" applyAlignment="1"/>
    <xf numFmtId="3" fontId="36" fillId="0" borderId="0" xfId="0" applyNumberFormat="1" applyFont="1" applyFill="1" applyAlignment="1">
      <alignment horizontal="center"/>
    </xf>
    <xf numFmtId="172" fontId="36" fillId="0" borderId="0" xfId="0" applyNumberFormat="1" applyFont="1" applyFill="1" applyAlignment="1">
      <alignment horizontal="right"/>
    </xf>
    <xf numFmtId="10" fontId="36" fillId="0" borderId="0" xfId="0" applyNumberFormat="1" applyFont="1" applyFill="1" applyAlignment="1"/>
    <xf numFmtId="0" fontId="48" fillId="0" borderId="0" xfId="0" applyNumberFormat="1" applyFont="1" applyFill="1" applyAlignment="1">
      <alignment horizontal="left"/>
    </xf>
    <xf numFmtId="0" fontId="48" fillId="0" borderId="0" xfId="0" applyNumberFormat="1" applyFont="1" applyFill="1" applyBorder="1" applyAlignment="1">
      <alignment horizontal="center"/>
    </xf>
    <xf numFmtId="0" fontId="48" fillId="0" borderId="0" xfId="0" applyNumberFormat="1" applyFont="1" applyFill="1" applyAlignment="1">
      <alignment horizontal="center"/>
    </xf>
    <xf numFmtId="0" fontId="42" fillId="0" borderId="0" xfId="0" applyFont="1" applyFill="1" applyBorder="1" applyAlignment="1">
      <alignment horizontal="center" wrapText="1"/>
    </xf>
    <xf numFmtId="0" fontId="36" fillId="0" borderId="0" xfId="0" applyFont="1" applyFill="1" applyBorder="1" applyAlignment="1">
      <alignment horizontal="center" wrapText="1"/>
    </xf>
    <xf numFmtId="0" fontId="36" fillId="0" borderId="7" xfId="0" applyFont="1" applyFill="1" applyBorder="1" applyAlignment="1">
      <alignment horizontal="center" wrapText="1"/>
    </xf>
    <xf numFmtId="0" fontId="36" fillId="0" borderId="0" xfId="0" applyFont="1" applyFill="1" applyBorder="1" applyAlignment="1">
      <alignment horizontal="left" wrapText="1"/>
    </xf>
    <xf numFmtId="0" fontId="36" fillId="0" borderId="7" xfId="0" applyFont="1" applyFill="1" applyBorder="1" applyAlignment="1">
      <alignment horizontal="left" wrapText="1"/>
    </xf>
    <xf numFmtId="0" fontId="36" fillId="0" borderId="0" xfId="0" applyFont="1" applyBorder="1" applyAlignment="1">
      <alignment horizontal="center"/>
    </xf>
    <xf numFmtId="0" fontId="36" fillId="0" borderId="0" xfId="0" applyNumberFormat="1" applyFont="1" applyFill="1" applyBorder="1" applyAlignment="1">
      <alignment horizontal="center"/>
    </xf>
    <xf numFmtId="0" fontId="36" fillId="0" borderId="7" xfId="0" applyNumberFormat="1" applyFont="1" applyFill="1" applyBorder="1" applyAlignment="1">
      <alignment horizontal="center"/>
    </xf>
    <xf numFmtId="0" fontId="32" fillId="0" borderId="0" xfId="37" applyFont="1"/>
    <xf numFmtId="0" fontId="32" fillId="0" borderId="0" xfId="37" applyFont="1" applyBorder="1" applyAlignment="1"/>
    <xf numFmtId="0" fontId="32" fillId="0" borderId="0" xfId="37" applyFont="1" applyBorder="1" applyAlignment="1">
      <alignment horizontal="center"/>
    </xf>
    <xf numFmtId="0" fontId="32" fillId="0" borderId="0" xfId="37" applyFont="1" applyFill="1" applyBorder="1" applyAlignment="1">
      <alignment horizontal="center" wrapText="1"/>
    </xf>
    <xf numFmtId="0" fontId="32" fillId="0" borderId="0" xfId="37" applyFont="1" applyBorder="1"/>
    <xf numFmtId="3" fontId="36" fillId="0" borderId="0" xfId="37" applyNumberFormat="1" applyFont="1" applyFill="1" applyBorder="1" applyAlignment="1"/>
    <xf numFmtId="0" fontId="32" fillId="0" borderId="0" xfId="37" applyNumberFormat="1" applyFont="1" applyBorder="1" applyAlignment="1">
      <alignment horizontal="center"/>
    </xf>
    <xf numFmtId="0" fontId="32" fillId="0" borderId="0" xfId="37" applyNumberFormat="1" applyFont="1" applyFill="1" applyBorder="1" applyAlignment="1">
      <alignment horizontal="left"/>
    </xf>
    <xf numFmtId="3" fontId="36" fillId="0" borderId="4" xfId="37" applyNumberFormat="1" applyFont="1" applyFill="1" applyBorder="1" applyAlignment="1"/>
    <xf numFmtId="0" fontId="107" fillId="0" borderId="0" xfId="37" applyNumberFormat="1" applyFont="1" applyFill="1" applyBorder="1" applyAlignment="1">
      <alignment horizontal="center"/>
    </xf>
    <xf numFmtId="164" fontId="32" fillId="0" borderId="0" xfId="48" applyNumberFormat="1" applyFont="1" applyFill="1" applyBorder="1" applyAlignment="1">
      <alignment horizontal="right"/>
    </xf>
    <xf numFmtId="0" fontId="45" fillId="0" borderId="0" xfId="0" applyFont="1" applyFill="1" applyBorder="1" applyAlignment="1"/>
    <xf numFmtId="0" fontId="32" fillId="0" borderId="0" xfId="45" applyAlignment="1">
      <alignment horizontal="center"/>
    </xf>
    <xf numFmtId="0" fontId="58" fillId="0" borderId="0" xfId="45" applyFont="1" applyAlignment="1">
      <alignment horizontal="center"/>
    </xf>
    <xf numFmtId="0" fontId="58" fillId="0" borderId="0" xfId="45" applyFont="1" applyFill="1"/>
    <xf numFmtId="164" fontId="58" fillId="0" borderId="0" xfId="45" applyNumberFormat="1" applyFont="1" applyFill="1"/>
    <xf numFmtId="0" fontId="59" fillId="0" borderId="0" xfId="45" applyFont="1"/>
    <xf numFmtId="0" fontId="32" fillId="0" borderId="0" xfId="45"/>
    <xf numFmtId="0" fontId="32" fillId="0" borderId="0" xfId="45" applyFont="1"/>
    <xf numFmtId="171" fontId="45" fillId="0" borderId="0" xfId="13" applyNumberFormat="1" applyFont="1" applyFill="1" applyBorder="1" applyAlignment="1">
      <alignment horizontal="right"/>
    </xf>
    <xf numFmtId="3" fontId="36" fillId="11" borderId="0" xfId="0" applyNumberFormat="1" applyFont="1" applyFill="1" applyBorder="1" applyAlignment="1">
      <alignment horizontal="center"/>
    </xf>
    <xf numFmtId="167" fontId="58" fillId="11" borderId="0" xfId="6" applyNumberFormat="1" applyFont="1" applyFill="1"/>
    <xf numFmtId="167" fontId="58" fillId="11" borderId="0" xfId="8" applyNumberFormat="1" applyFont="1" applyFill="1"/>
    <xf numFmtId="167" fontId="58" fillId="11" borderId="0" xfId="6" applyNumberFormat="1" applyFont="1" applyFill="1" applyAlignment="1">
      <alignment horizontal="left"/>
    </xf>
    <xf numFmtId="164" fontId="32" fillId="0" borderId="0" xfId="1" applyNumberFormat="1" applyFill="1"/>
    <xf numFmtId="0" fontId="32" fillId="0" borderId="0" xfId="26" applyFont="1" applyAlignment="1">
      <alignment horizontal="centerContinuous"/>
    </xf>
    <xf numFmtId="0" fontId="58" fillId="0" borderId="40" xfId="8" applyFont="1" applyBorder="1" applyAlignment="1">
      <alignment horizontal="center"/>
    </xf>
    <xf numFmtId="0" fontId="58" fillId="0" borderId="20" xfId="8" applyFont="1" applyBorder="1" applyAlignment="1">
      <alignment horizontal="center"/>
    </xf>
    <xf numFmtId="0" fontId="58" fillId="0" borderId="45" xfId="12" applyFont="1" applyBorder="1" applyAlignment="1">
      <alignment horizontal="center"/>
    </xf>
    <xf numFmtId="0" fontId="58" fillId="0" borderId="47" xfId="12" applyFont="1" applyBorder="1" applyAlignment="1">
      <alignment horizontal="center"/>
    </xf>
    <xf numFmtId="0" fontId="58" fillId="0" borderId="18" xfId="8" applyFont="1" applyBorder="1" applyAlignment="1">
      <alignment horizontal="center"/>
    </xf>
    <xf numFmtId="0" fontId="58" fillId="0" borderId="17" xfId="8" applyFont="1" applyBorder="1" applyAlignment="1">
      <alignment horizontal="center"/>
    </xf>
    <xf numFmtId="0" fontId="58" fillId="0" borderId="45" xfId="8" applyFont="1" applyBorder="1" applyAlignment="1">
      <alignment horizontal="center"/>
    </xf>
    <xf numFmtId="0" fontId="58" fillId="0" borderId="47" xfId="8" applyFont="1" applyBorder="1" applyAlignment="1">
      <alignment horizontal="center"/>
    </xf>
    <xf numFmtId="0" fontId="58" fillId="0" borderId="46" xfId="8" applyFont="1" applyBorder="1" applyAlignment="1">
      <alignment horizontal="center"/>
    </xf>
    <xf numFmtId="164" fontId="58" fillId="0" borderId="18" xfId="8" applyNumberFormat="1" applyFont="1" applyBorder="1"/>
    <xf numFmtId="164" fontId="58" fillId="0" borderId="0" xfId="8" applyNumberFormat="1" applyFont="1" applyBorder="1"/>
    <xf numFmtId="0" fontId="32" fillId="0" borderId="0" xfId="0" applyNumberFormat="1" applyFont="1" applyFill="1" applyBorder="1" applyAlignment="1"/>
    <xf numFmtId="0" fontId="32" fillId="0" borderId="23" xfId="26" applyFont="1" applyBorder="1" applyAlignment="1">
      <alignment horizontal="center" wrapText="1"/>
    </xf>
    <xf numFmtId="0" fontId="36" fillId="0" borderId="0" xfId="0" applyFont="1" applyBorder="1" applyAlignment="1">
      <alignment horizontal="center"/>
    </xf>
    <xf numFmtId="37" fontId="48" fillId="0" borderId="0" xfId="0" applyNumberFormat="1" applyFont="1" applyFill="1" applyBorder="1" applyAlignment="1">
      <alignment horizontal="left"/>
    </xf>
    <xf numFmtId="164" fontId="53" fillId="0" borderId="9" xfId="1" applyNumberFormat="1" applyFont="1" applyBorder="1"/>
    <xf numFmtId="43" fontId="32" fillId="0" borderId="0" xfId="26" applyNumberFormat="1" applyFont="1"/>
    <xf numFmtId="0" fontId="33" fillId="0" borderId="0" xfId="26" applyFont="1" applyAlignment="1">
      <alignment horizontal="center" vertical="center"/>
    </xf>
    <xf numFmtId="0" fontId="48" fillId="0" borderId="0" xfId="0" applyFont="1"/>
    <xf numFmtId="0" fontId="48" fillId="0" borderId="0" xfId="0" applyFont="1" applyFill="1" applyAlignment="1">
      <alignment horizontal="center"/>
    </xf>
    <xf numFmtId="37" fontId="109" fillId="0" borderId="0" xfId="45" applyNumberFormat="1" applyFont="1"/>
    <xf numFmtId="37" fontId="32" fillId="0" borderId="0" xfId="45" applyNumberFormat="1" applyFont="1" applyFill="1" applyBorder="1"/>
    <xf numFmtId="37" fontId="35" fillId="0" borderId="0" xfId="45" applyNumberFormat="1" applyFont="1"/>
    <xf numFmtId="0" fontId="32" fillId="0" borderId="0" xfId="57"/>
    <xf numFmtId="0" fontId="32" fillId="0" borderId="0" xfId="57" applyFont="1"/>
    <xf numFmtId="37" fontId="36" fillId="0" borderId="0" xfId="0" applyNumberFormat="1" applyFont="1" applyFill="1" applyAlignment="1">
      <alignment horizontal="center"/>
    </xf>
    <xf numFmtId="37" fontId="36" fillId="0" borderId="0" xfId="0" applyNumberFormat="1" applyFont="1" applyFill="1" applyAlignment="1">
      <alignment horizontal="left"/>
    </xf>
    <xf numFmtId="10" fontId="36" fillId="0" borderId="0" xfId="13" applyNumberFormat="1" applyFont="1" applyFill="1" applyAlignment="1">
      <alignment horizontal="right"/>
    </xf>
    <xf numFmtId="10" fontId="36" fillId="0" borderId="0" xfId="0" applyNumberFormat="1" applyFont="1" applyAlignment="1">
      <alignment horizontal="right"/>
    </xf>
    <xf numFmtId="37" fontId="129" fillId="0" borderId="0" xfId="45" applyNumberFormat="1" applyFont="1"/>
    <xf numFmtId="37" fontId="36" fillId="0" borderId="0" xfId="45" applyNumberFormat="1" applyFont="1"/>
    <xf numFmtId="37" fontId="36" fillId="0" borderId="0" xfId="45" applyNumberFormat="1" applyFont="1" applyFill="1" applyBorder="1" applyAlignment="1"/>
    <xf numFmtId="37" fontId="36" fillId="0" borderId="0" xfId="45" applyNumberFormat="1" applyFont="1" applyFill="1"/>
    <xf numFmtId="37" fontId="131" fillId="0" borderId="0" xfId="45" applyNumberFormat="1" applyFont="1"/>
    <xf numFmtId="37" fontId="130" fillId="0" borderId="0" xfId="45" applyNumberFormat="1" applyFont="1"/>
    <xf numFmtId="0" fontId="36" fillId="0" borderId="0" xfId="0" applyFont="1" applyFill="1" applyBorder="1" applyAlignment="1">
      <alignment horizontal="center" wrapText="1"/>
    </xf>
    <xf numFmtId="0" fontId="36" fillId="0" borderId="7" xfId="0" applyFont="1" applyFill="1" applyBorder="1" applyAlignment="1">
      <alignment horizontal="center" wrapText="1"/>
    </xf>
    <xf numFmtId="0" fontId="136" fillId="0" borderId="0" xfId="57" applyFont="1" applyAlignment="1">
      <alignment horizontal="center"/>
    </xf>
    <xf numFmtId="174" fontId="135" fillId="0" borderId="20" xfId="1" quotePrefix="1" applyNumberFormat="1" applyFont="1" applyBorder="1" applyAlignment="1" applyProtection="1">
      <alignment horizontal="center"/>
    </xf>
    <xf numFmtId="0" fontId="116" fillId="0" borderId="0" xfId="57" applyFont="1" applyAlignment="1">
      <alignment horizontal="center"/>
    </xf>
    <xf numFmtId="0" fontId="116" fillId="0" borderId="0" xfId="57" applyFont="1"/>
    <xf numFmtId="0" fontId="116" fillId="0" borderId="0" xfId="57" applyFont="1" applyAlignment="1">
      <alignment horizontal="left" vertical="justify"/>
    </xf>
    <xf numFmtId="174" fontId="135" fillId="0" borderId="0" xfId="1" quotePrefix="1" applyNumberFormat="1" applyFont="1" applyBorder="1" applyAlignment="1" applyProtection="1">
      <alignment horizontal="center"/>
    </xf>
    <xf numFmtId="0" fontId="137" fillId="0" borderId="0" xfId="57" applyFont="1" applyAlignment="1">
      <alignment horizontal="center"/>
    </xf>
    <xf numFmtId="0" fontId="137" fillId="0" borderId="0" xfId="57" applyFont="1"/>
    <xf numFmtId="0" fontId="137" fillId="0" borderId="0" xfId="57" applyFont="1" applyAlignment="1">
      <alignment horizontal="left" vertical="justify"/>
    </xf>
    <xf numFmtId="0" fontId="32" fillId="0" borderId="0" xfId="57" applyAlignment="1">
      <alignment vertical="center"/>
    </xf>
    <xf numFmtId="167" fontId="0" fillId="0" borderId="0" xfId="0" applyNumberFormat="1"/>
    <xf numFmtId="0" fontId="32" fillId="0" borderId="0" xfId="0" applyFont="1" applyAlignment="1">
      <alignment wrapText="1"/>
    </xf>
    <xf numFmtId="0" fontId="0" fillId="0" borderId="0" xfId="0"/>
    <xf numFmtId="0" fontId="36" fillId="0" borderId="0" xfId="0" applyFont="1" applyFill="1" applyBorder="1" applyAlignment="1">
      <alignment horizontal="center" wrapText="1"/>
    </xf>
    <xf numFmtId="0" fontId="36" fillId="0" borderId="0" xfId="0" applyNumberFormat="1" applyFont="1" applyFill="1" applyBorder="1" applyAlignment="1">
      <alignment horizontal="center"/>
    </xf>
    <xf numFmtId="0" fontId="55" fillId="0" borderId="0" xfId="0" applyFont="1" applyFill="1" applyAlignment="1">
      <alignment horizontal="centerContinuous"/>
    </xf>
    <xf numFmtId="5" fontId="32" fillId="0" borderId="0" xfId="1" applyNumberFormat="1" applyFont="1" applyFill="1"/>
    <xf numFmtId="0" fontId="55" fillId="0" borderId="0" xfId="0" applyFont="1" applyFill="1" applyAlignment="1">
      <alignment horizontal="left" indent="1"/>
    </xf>
    <xf numFmtId="181" fontId="32" fillId="0" borderId="0" xfId="0" applyNumberFormat="1" applyFont="1" applyFill="1"/>
    <xf numFmtId="0" fontId="36" fillId="0" borderId="0" xfId="0" applyNumberFormat="1" applyFont="1" applyFill="1" applyBorder="1" applyAlignment="1">
      <alignment horizontal="left" indent="1"/>
    </xf>
    <xf numFmtId="3" fontId="36" fillId="0" borderId="8" xfId="0" applyNumberFormat="1" applyFont="1" applyFill="1" applyBorder="1"/>
    <xf numFmtId="10" fontId="36" fillId="0" borderId="0" xfId="13" applyNumberFormat="1" applyFont="1" applyFill="1" applyAlignment="1"/>
    <xf numFmtId="168" fontId="36" fillId="0" borderId="0" xfId="0" applyNumberFormat="1" applyFont="1" applyFill="1" applyAlignment="1"/>
    <xf numFmtId="0" fontId="36" fillId="0" borderId="0" xfId="0" applyNumberFormat="1" applyFont="1" applyFill="1"/>
    <xf numFmtId="37" fontId="36" fillId="0" borderId="0" xfId="45" applyNumberFormat="1" applyFont="1" applyFill="1" applyBorder="1"/>
    <xf numFmtId="3" fontId="36" fillId="0" borderId="0" xfId="0" applyNumberFormat="1" applyFont="1" applyBorder="1" applyAlignment="1"/>
    <xf numFmtId="3" fontId="36" fillId="0" borderId="0" xfId="0" applyNumberFormat="1" applyFont="1" applyAlignment="1"/>
    <xf numFmtId="3" fontId="36" fillId="0" borderId="0" xfId="0" quotePrefix="1" applyNumberFormat="1" applyFont="1" applyAlignment="1">
      <alignment horizontal="right"/>
    </xf>
    <xf numFmtId="3" fontId="36" fillId="0" borderId="4" xfId="0" applyNumberFormat="1" applyFont="1" applyFill="1" applyBorder="1" applyAlignment="1"/>
    <xf numFmtId="3" fontId="36" fillId="0" borderId="4" xfId="0" applyNumberFormat="1" applyFont="1" applyBorder="1" applyAlignment="1">
      <alignment horizontal="right"/>
    </xf>
    <xf numFmtId="10" fontId="36" fillId="0" borderId="4" xfId="13" applyNumberFormat="1" applyFont="1" applyFill="1" applyBorder="1" applyAlignment="1"/>
    <xf numFmtId="37" fontId="33" fillId="0" borderId="0" xfId="45" applyNumberFormat="1" applyFont="1" applyBorder="1" applyAlignment="1"/>
    <xf numFmtId="184" fontId="33" fillId="0" borderId="0" xfId="45" applyNumberFormat="1" applyFont="1" applyAlignment="1">
      <alignment horizontal="centerContinuous"/>
    </xf>
    <xf numFmtId="184" fontId="111" fillId="0" borderId="0" xfId="45" applyNumberFormat="1" applyFont="1" applyAlignment="1">
      <alignment horizontal="centerContinuous"/>
    </xf>
    <xf numFmtId="37" fontId="32" fillId="0" borderId="0" xfId="45" applyNumberFormat="1" applyFont="1" applyAlignment="1">
      <alignment horizontal="centerContinuous"/>
    </xf>
    <xf numFmtId="37" fontId="109" fillId="0" borderId="0" xfId="45" applyNumberFormat="1" applyFont="1" applyAlignment="1">
      <alignment horizontal="centerContinuous"/>
    </xf>
    <xf numFmtId="37" fontId="32" fillId="0" borderId="0" xfId="45" applyNumberFormat="1" applyFont="1" applyFill="1" applyBorder="1" applyAlignment="1">
      <alignment horizontal="centerContinuous"/>
    </xf>
    <xf numFmtId="37" fontId="109" fillId="0" borderId="0" xfId="45" applyNumberFormat="1" applyFont="1" applyFill="1" applyBorder="1" applyAlignment="1">
      <alignment horizontal="centerContinuous"/>
    </xf>
    <xf numFmtId="37" fontId="32" fillId="0" borderId="0" xfId="45" applyNumberFormat="1" applyFont="1" applyFill="1" applyBorder="1" applyAlignment="1">
      <alignment horizontal="centerContinuous" vertical="center"/>
    </xf>
    <xf numFmtId="10" fontId="32" fillId="0" borderId="0" xfId="13" applyNumberFormat="1" applyFont="1" applyFill="1" applyBorder="1" applyAlignment="1">
      <alignment horizontal="centerContinuous" vertical="center"/>
    </xf>
    <xf numFmtId="0" fontId="42" fillId="0" borderId="0" xfId="0" applyFont="1" applyFill="1" applyBorder="1" applyAlignment="1">
      <alignment horizontal="center" wrapText="1"/>
    </xf>
    <xf numFmtId="164" fontId="36" fillId="0" borderId="9" xfId="0" applyNumberFormat="1" applyFont="1" applyFill="1" applyBorder="1" applyAlignment="1">
      <alignment horizontal="center" wrapText="1"/>
    </xf>
    <xf numFmtId="0" fontId="36" fillId="0" borderId="9" xfId="0" applyFont="1" applyFill="1" applyBorder="1" applyAlignment="1">
      <alignment horizontal="center" wrapText="1"/>
    </xf>
    <xf numFmtId="0" fontId="36" fillId="0" borderId="0" xfId="0" applyFont="1" applyBorder="1" applyAlignment="1">
      <alignment wrapText="1"/>
    </xf>
    <xf numFmtId="0" fontId="36" fillId="0" borderId="7" xfId="0" applyFont="1" applyBorder="1" applyAlignment="1">
      <alignment wrapText="1"/>
    </xf>
    <xf numFmtId="0" fontId="36" fillId="0" borderId="0" xfId="0" applyNumberFormat="1" applyFont="1" applyFill="1" applyBorder="1" applyAlignment="1">
      <alignment horizontal="center"/>
    </xf>
    <xf numFmtId="0" fontId="36" fillId="0" borderId="7" xfId="0" applyNumberFormat="1" applyFont="1" applyFill="1" applyBorder="1" applyAlignment="1">
      <alignment horizontal="center"/>
    </xf>
    <xf numFmtId="0" fontId="36" fillId="0" borderId="0" xfId="0" applyFont="1" applyFill="1" applyBorder="1" applyAlignment="1">
      <alignment horizontal="center" wrapText="1"/>
    </xf>
    <xf numFmtId="0" fontId="36" fillId="0" borderId="7" xfId="0" applyFont="1" applyFill="1" applyBorder="1" applyAlignment="1">
      <alignment horizontal="center" wrapText="1"/>
    </xf>
    <xf numFmtId="0" fontId="34" fillId="0" borderId="0" xfId="0" applyFont="1" applyFill="1" applyBorder="1" applyAlignment="1"/>
    <xf numFmtId="0" fontId="144" fillId="3" borderId="0" xfId="0" applyFont="1" applyFill="1" applyBorder="1"/>
    <xf numFmtId="0" fontId="145" fillId="3" borderId="0" xfId="0" applyFont="1" applyFill="1" applyBorder="1" applyAlignment="1">
      <alignment horizontal="center" wrapText="1"/>
    </xf>
    <xf numFmtId="0" fontId="34" fillId="0" borderId="0" xfId="0" applyNumberFormat="1" applyFont="1" applyFill="1" applyBorder="1" applyAlignment="1">
      <alignment horizontal="center"/>
    </xf>
    <xf numFmtId="0" fontId="145" fillId="3" borderId="0" xfId="0" applyNumberFormat="1" applyFont="1" applyFill="1" applyBorder="1" applyAlignment="1">
      <alignment horizontal="center"/>
    </xf>
    <xf numFmtId="3" fontId="36" fillId="0" borderId="2" xfId="0" applyNumberFormat="1" applyFont="1" applyBorder="1" applyAlignment="1"/>
    <xf numFmtId="3" fontId="36" fillId="0" borderId="2" xfId="0" applyNumberFormat="1" applyFont="1" applyBorder="1" applyAlignment="1">
      <alignment horizontal="center"/>
    </xf>
    <xf numFmtId="0" fontId="36" fillId="0" borderId="0" xfId="0" applyNumberFormat="1" applyFont="1" applyAlignment="1"/>
    <xf numFmtId="3" fontId="36" fillId="0" borderId="3" xfId="0" applyNumberFormat="1" applyFont="1" applyFill="1" applyBorder="1" applyAlignment="1">
      <alignment horizontal="center"/>
    </xf>
    <xf numFmtId="3" fontId="36" fillId="0" borderId="3" xfId="0" applyNumberFormat="1" applyFont="1" applyFill="1" applyBorder="1" applyAlignment="1"/>
    <xf numFmtId="0" fontId="34" fillId="3" borderId="0" xfId="0" applyNumberFormat="1" applyFont="1" applyFill="1" applyBorder="1" applyAlignment="1">
      <alignment horizontal="center"/>
    </xf>
    <xf numFmtId="0" fontId="36" fillId="0" borderId="4" xfId="0" applyNumberFormat="1" applyFont="1" applyFill="1" applyBorder="1" applyAlignment="1"/>
    <xf numFmtId="172" fontId="36" fillId="0" borderId="0" xfId="13" applyNumberFormat="1" applyFont="1" applyFill="1" applyAlignment="1"/>
    <xf numFmtId="3" fontId="36" fillId="0" borderId="2" xfId="0" applyNumberFormat="1" applyFont="1" applyFill="1" applyBorder="1" applyAlignment="1">
      <alignment horizontal="center"/>
    </xf>
    <xf numFmtId="168" fontId="36" fillId="0" borderId="0" xfId="0" applyNumberFormat="1" applyFont="1" applyAlignment="1">
      <alignment horizontal="center"/>
    </xf>
    <xf numFmtId="172" fontId="36" fillId="0" borderId="0" xfId="13" applyNumberFormat="1" applyFont="1" applyFill="1" applyBorder="1" applyAlignment="1"/>
    <xf numFmtId="3" fontId="39" fillId="0" borderId="0" xfId="0" applyNumberFormat="1" applyFont="1" applyAlignment="1">
      <alignment horizontal="right"/>
    </xf>
    <xf numFmtId="3" fontId="39" fillId="0" borderId="4" xfId="0" applyNumberFormat="1" applyFont="1" applyBorder="1" applyAlignment="1">
      <alignment horizontal="right"/>
    </xf>
    <xf numFmtId="0" fontId="34" fillId="0" borderId="2" xfId="0" applyNumberFormat="1" applyFont="1" applyBorder="1" applyAlignment="1">
      <alignment horizontal="center"/>
    </xf>
    <xf numFmtId="3" fontId="88" fillId="0" borderId="2" xfId="0" applyNumberFormat="1" applyFont="1" applyBorder="1" applyAlignment="1">
      <alignment horizontal="right"/>
    </xf>
    <xf numFmtId="3" fontId="36" fillId="0" borderId="0" xfId="0" applyNumberFormat="1" applyFont="1" applyFill="1" applyAlignment="1">
      <alignment horizontal="right"/>
    </xf>
    <xf numFmtId="0" fontId="34" fillId="0" borderId="2" xfId="0" applyFont="1" applyBorder="1" applyAlignment="1">
      <alignment horizontal="left"/>
    </xf>
    <xf numFmtId="0" fontId="34" fillId="0" borderId="2" xfId="0" applyFont="1" applyBorder="1" applyAlignment="1">
      <alignment horizontal="center"/>
    </xf>
    <xf numFmtId="0" fontId="34" fillId="0" borderId="2" xfId="0" applyFont="1" applyBorder="1"/>
    <xf numFmtId="0" fontId="34" fillId="0" borderId="0" xfId="0" applyFont="1" applyBorder="1" applyAlignment="1">
      <alignment horizontal="left"/>
    </xf>
    <xf numFmtId="0" fontId="34" fillId="0" borderId="0" xfId="0" applyFont="1" applyBorder="1"/>
    <xf numFmtId="0" fontId="34" fillId="5" borderId="0" xfId="0" applyFont="1" applyFill="1"/>
    <xf numFmtId="0" fontId="34" fillId="3" borderId="0" xfId="0" applyNumberFormat="1" applyFont="1" applyFill="1" applyAlignment="1">
      <alignment horizontal="center"/>
    </xf>
    <xf numFmtId="3" fontId="39" fillId="0" borderId="4" xfId="0" applyNumberFormat="1" applyFont="1" applyFill="1" applyBorder="1" applyAlignment="1">
      <alignment horizontal="right"/>
    </xf>
    <xf numFmtId="172" fontId="36" fillId="0" borderId="4" xfId="0" applyNumberFormat="1" applyFont="1" applyFill="1" applyBorder="1" applyAlignment="1">
      <alignment horizontal="right"/>
    </xf>
    <xf numFmtId="0" fontId="34" fillId="0" borderId="3" xfId="0" applyNumberFormat="1" applyFont="1" applyBorder="1" applyAlignment="1">
      <alignment horizontal="center"/>
    </xf>
    <xf numFmtId="0" fontId="34" fillId="0" borderId="3" xfId="0" applyFont="1" applyBorder="1" applyAlignment="1">
      <alignment horizontal="right"/>
    </xf>
    <xf numFmtId="3" fontId="36" fillId="0" borderId="0" xfId="0" applyNumberFormat="1" applyFont="1" applyAlignment="1">
      <alignment horizontal="left"/>
    </xf>
    <xf numFmtId="0" fontId="36" fillId="0" borderId="4" xfId="0" applyNumberFormat="1" applyFont="1" applyBorder="1" applyAlignment="1">
      <alignment horizontal="left"/>
    </xf>
    <xf numFmtId="0" fontId="36" fillId="0" borderId="4" xfId="0" applyNumberFormat="1" applyFont="1" applyBorder="1" applyAlignment="1"/>
    <xf numFmtId="166" fontId="36" fillId="0" borderId="0" xfId="0" applyNumberFormat="1" applyFont="1" applyAlignment="1"/>
    <xf numFmtId="169" fontId="36" fillId="0" borderId="0" xfId="0" applyNumberFormat="1" applyFont="1" applyAlignment="1">
      <alignment horizontal="center"/>
    </xf>
    <xf numFmtId="170" fontId="36" fillId="0" borderId="0" xfId="0" applyNumberFormat="1" applyFont="1" applyAlignment="1"/>
    <xf numFmtId="168" fontId="36" fillId="0" borderId="0" xfId="0" applyNumberFormat="1" applyFont="1" applyFill="1"/>
    <xf numFmtId="168" fontId="36" fillId="0" borderId="0" xfId="0" applyNumberFormat="1" applyFont="1" applyAlignment="1">
      <alignment horizontal="left"/>
    </xf>
    <xf numFmtId="10" fontId="36" fillId="0" borderId="0" xfId="0" applyNumberFormat="1" applyFont="1" applyFill="1" applyAlignment="1">
      <alignment horizontal="right"/>
    </xf>
    <xf numFmtId="0" fontId="36" fillId="0" borderId="0" xfId="0" applyNumberFormat="1" applyFont="1" applyBorder="1" applyAlignment="1"/>
    <xf numFmtId="169" fontId="36" fillId="0" borderId="0" xfId="0" applyNumberFormat="1" applyFont="1" applyBorder="1" applyAlignment="1">
      <alignment horizontal="center"/>
    </xf>
    <xf numFmtId="10" fontId="36" fillId="0" borderId="0" xfId="13" applyNumberFormat="1" applyFont="1" applyFill="1" applyBorder="1" applyAlignment="1"/>
    <xf numFmtId="3" fontId="39" fillId="0" borderId="0" xfId="0" applyNumberFormat="1" applyFont="1" applyBorder="1" applyAlignment="1">
      <alignment horizontal="right"/>
    </xf>
    <xf numFmtId="168" fontId="36" fillId="0" borderId="0" xfId="0" applyNumberFormat="1" applyFont="1" applyFill="1" applyAlignment="1">
      <alignment horizontal="left"/>
    </xf>
    <xf numFmtId="169" fontId="36" fillId="0" borderId="0" xfId="0" applyNumberFormat="1" applyFont="1" applyAlignment="1"/>
    <xf numFmtId="168" fontId="36" fillId="0" borderId="0" xfId="0" applyNumberFormat="1" applyFont="1" applyBorder="1" applyAlignment="1">
      <alignment horizontal="left"/>
    </xf>
    <xf numFmtId="0" fontId="45" fillId="0" borderId="5" xfId="0" applyFont="1" applyFill="1" applyBorder="1" applyAlignment="1"/>
    <xf numFmtId="3" fontId="45" fillId="0" borderId="5" xfId="0" applyNumberFormat="1" applyFont="1" applyBorder="1" applyAlignment="1">
      <alignment horizontal="center"/>
    </xf>
    <xf numFmtId="3" fontId="45" fillId="0" borderId="0" xfId="0" applyNumberFormat="1" applyFont="1" applyBorder="1" applyAlignment="1">
      <alignment horizontal="center"/>
    </xf>
    <xf numFmtId="0" fontId="45" fillId="0" borderId="4" xfId="0" applyFont="1" applyFill="1" applyBorder="1" applyAlignment="1"/>
    <xf numFmtId="3" fontId="45" fillId="0" borderId="0" xfId="0" applyNumberFormat="1" applyFont="1" applyFill="1" applyBorder="1" applyAlignment="1">
      <alignment horizontal="center"/>
    </xf>
    <xf numFmtId="10" fontId="36" fillId="0" borderId="0" xfId="13" applyNumberFormat="1" applyFont="1" applyFill="1" applyBorder="1"/>
    <xf numFmtId="3" fontId="45" fillId="0" borderId="4" xfId="0" applyNumberFormat="1" applyFont="1" applyBorder="1" applyAlignment="1">
      <alignment horizontal="center"/>
    </xf>
    <xf numFmtId="0" fontId="146" fillId="0" borderId="0" xfId="0" applyFont="1" applyFill="1" applyAlignment="1"/>
    <xf numFmtId="37" fontId="36" fillId="0" borderId="0" xfId="0" applyNumberFormat="1" applyFont="1" applyFill="1" applyBorder="1" applyAlignment="1">
      <alignment horizontal="left"/>
    </xf>
    <xf numFmtId="10" fontId="48" fillId="0" borderId="0" xfId="13" applyNumberFormat="1" applyFont="1" applyFill="1" applyBorder="1" applyAlignment="1">
      <alignment horizontal="left"/>
    </xf>
    <xf numFmtId="0" fontId="48" fillId="0" borderId="0" xfId="0" quotePrefix="1" applyNumberFormat="1" applyFont="1" applyFill="1" applyAlignment="1">
      <alignment horizontal="left"/>
    </xf>
    <xf numFmtId="0" fontId="78" fillId="0" borderId="0" xfId="0" applyNumberFormat="1" applyFont="1" applyFill="1" applyAlignment="1">
      <alignment horizontal="center"/>
    </xf>
    <xf numFmtId="0" fontId="78" fillId="0" borderId="0" xfId="0" applyFont="1" applyFill="1" applyAlignment="1">
      <alignment horizontal="left"/>
    </xf>
    <xf numFmtId="37" fontId="36" fillId="0" borderId="0" xfId="45" applyNumberFormat="1" applyFont="1" applyFill="1" applyAlignment="1">
      <alignment vertical="center"/>
    </xf>
    <xf numFmtId="37" fontId="131" fillId="0" borderId="0" xfId="45" applyNumberFormat="1" applyFont="1" applyFill="1" applyAlignment="1">
      <alignment vertical="center"/>
    </xf>
    <xf numFmtId="0" fontId="78" fillId="0" borderId="1" xfId="0" applyFont="1" applyFill="1" applyBorder="1" applyAlignment="1">
      <alignment horizontal="left"/>
    </xf>
    <xf numFmtId="0" fontId="48" fillId="0" borderId="1" xfId="0" applyFont="1" applyFill="1" applyBorder="1" applyAlignment="1"/>
    <xf numFmtId="0" fontId="48" fillId="0" borderId="1" xfId="0" applyFont="1" applyBorder="1"/>
    <xf numFmtId="0" fontId="48" fillId="0" borderId="1" xfId="0" applyFont="1" applyFill="1" applyBorder="1" applyAlignment="1">
      <alignment horizontal="center"/>
    </xf>
    <xf numFmtId="0" fontId="48" fillId="0" borderId="1" xfId="0" applyFont="1" applyFill="1" applyBorder="1"/>
    <xf numFmtId="164" fontId="32" fillId="0" borderId="0" xfId="1" applyNumberFormat="1" applyFill="1" applyAlignment="1"/>
    <xf numFmtId="10" fontId="0" fillId="0" borderId="4" xfId="13" applyNumberFormat="1" applyFont="1" applyFill="1" applyBorder="1"/>
    <xf numFmtId="164" fontId="32" fillId="0" borderId="0" xfId="1" applyNumberFormat="1" applyFill="1" applyBorder="1" applyAlignment="1">
      <alignment wrapText="1"/>
    </xf>
    <xf numFmtId="0" fontId="143" fillId="36" borderId="0" xfId="1" applyNumberFormat="1" applyFont="1" applyFill="1" applyAlignment="1">
      <alignment horizontal="center"/>
    </xf>
    <xf numFmtId="0" fontId="32" fillId="0" borderId="0" xfId="0" applyFont="1" applyFill="1" applyAlignment="1">
      <alignment horizontal="left" wrapText="1"/>
    </xf>
    <xf numFmtId="164" fontId="148" fillId="36" borderId="0" xfId="1" applyNumberFormat="1" applyFont="1" applyFill="1" applyBorder="1" applyAlignment="1"/>
    <xf numFmtId="164" fontId="0" fillId="0" borderId="1" xfId="1" applyNumberFormat="1" applyFont="1" applyFill="1" applyBorder="1" applyAlignment="1"/>
    <xf numFmtId="164" fontId="36" fillId="0" borderId="0" xfId="1" applyNumberFormat="1" applyFont="1" applyFill="1" applyBorder="1" applyAlignment="1">
      <alignment horizontal="center"/>
    </xf>
    <xf numFmtId="3" fontId="36" fillId="0" borderId="24" xfId="0" applyNumberFormat="1" applyFont="1" applyFill="1" applyBorder="1" applyAlignment="1">
      <alignment horizontal="center"/>
    </xf>
    <xf numFmtId="37" fontId="34" fillId="0" borderId="0" xfId="45" applyNumberFormat="1" applyFont="1"/>
    <xf numFmtId="37" fontId="36" fillId="0" borderId="39" xfId="45" applyNumberFormat="1" applyFont="1" applyFill="1" applyBorder="1"/>
    <xf numFmtId="37" fontId="36" fillId="0" borderId="39" xfId="45" applyNumberFormat="1" applyFont="1" applyBorder="1"/>
    <xf numFmtId="0" fontId="36" fillId="0" borderId="39" xfId="0" applyFont="1" applyBorder="1"/>
    <xf numFmtId="37" fontId="36" fillId="0" borderId="39" xfId="45" applyNumberFormat="1" applyFont="1" applyFill="1" applyBorder="1" applyAlignment="1"/>
    <xf numFmtId="37" fontId="34" fillId="0" borderId="39" xfId="45" applyNumberFormat="1" applyFont="1" applyFill="1" applyBorder="1"/>
    <xf numFmtId="37" fontId="34" fillId="0" borderId="39" xfId="45" applyNumberFormat="1" applyFont="1" applyBorder="1" applyAlignment="1">
      <alignment horizontal="left" indent="1"/>
    </xf>
    <xf numFmtId="0" fontId="36" fillId="0" borderId="0" xfId="0" quotePrefix="1" applyNumberFormat="1" applyFont="1" applyFill="1" applyBorder="1" applyAlignment="1">
      <alignment wrapText="1"/>
    </xf>
    <xf numFmtId="0" fontId="36" fillId="0" borderId="0" xfId="0" quotePrefix="1" applyNumberFormat="1" applyFont="1" applyAlignment="1">
      <alignment wrapText="1"/>
    </xf>
    <xf numFmtId="0" fontId="34" fillId="0" borderId="1" xfId="0" applyNumberFormat="1" applyFont="1" applyFill="1" applyBorder="1" applyAlignment="1"/>
    <xf numFmtId="0" fontId="36" fillId="0" borderId="1" xfId="0" applyFont="1" applyBorder="1" applyAlignment="1"/>
    <xf numFmtId="3" fontId="36" fillId="0" borderId="1" xfId="0" applyNumberFormat="1" applyFont="1" applyFill="1" applyBorder="1" applyAlignment="1"/>
    <xf numFmtId="3" fontId="36" fillId="0" borderId="1" xfId="0" applyNumberFormat="1" applyFont="1" applyBorder="1" applyAlignment="1"/>
    <xf numFmtId="3" fontId="34" fillId="0" borderId="1" xfId="0" applyNumberFormat="1" applyFont="1" applyFill="1" applyBorder="1" applyAlignment="1"/>
    <xf numFmtId="0" fontId="36" fillId="0" borderId="39" xfId="0" applyNumberFormat="1" applyFont="1" applyFill="1" applyBorder="1" applyAlignment="1">
      <alignment horizontal="left"/>
    </xf>
    <xf numFmtId="0" fontId="36" fillId="0" borderId="39" xfId="0" applyFont="1" applyFill="1" applyBorder="1" applyAlignment="1"/>
    <xf numFmtId="0" fontId="36" fillId="0" borderId="39" xfId="0" applyFont="1" applyFill="1" applyBorder="1" applyAlignment="1">
      <alignment horizontal="center"/>
    </xf>
    <xf numFmtId="3" fontId="36" fillId="0" borderId="39" xfId="0" applyNumberFormat="1" applyFont="1" applyFill="1" applyBorder="1" applyAlignment="1"/>
    <xf numFmtId="3" fontId="36" fillId="0" borderId="0" xfId="0" applyNumberFormat="1" applyFont="1" applyBorder="1" applyAlignment="1">
      <alignment horizontal="left"/>
    </xf>
    <xf numFmtId="10" fontId="36" fillId="0" borderId="0" xfId="0" applyNumberFormat="1" applyFont="1" applyFill="1" applyBorder="1" applyAlignment="1">
      <alignment horizontal="center"/>
    </xf>
    <xf numFmtId="10" fontId="36" fillId="0" borderId="0" xfId="0" applyNumberFormat="1" applyFont="1" applyFill="1" applyBorder="1" applyAlignment="1"/>
    <xf numFmtId="3" fontId="36" fillId="0" borderId="4" xfId="0" applyNumberFormat="1" applyFont="1" applyBorder="1" applyAlignment="1">
      <alignment horizontal="left"/>
    </xf>
    <xf numFmtId="10" fontId="36" fillId="0" borderId="4" xfId="0" applyNumberFormat="1" applyFont="1" applyFill="1" applyBorder="1" applyAlignment="1">
      <alignment horizontal="center"/>
    </xf>
    <xf numFmtId="0" fontId="34" fillId="0" borderId="0" xfId="0" applyNumberFormat="1" applyFont="1" applyBorder="1" applyAlignment="1">
      <alignment horizontal="left" indent="1"/>
    </xf>
    <xf numFmtId="184" fontId="34" fillId="0" borderId="0" xfId="45" applyNumberFormat="1" applyFont="1" applyAlignment="1">
      <alignment horizontal="centerContinuous"/>
    </xf>
    <xf numFmtId="0" fontId="32" fillId="0" borderId="0" xfId="57" applyFont="1" applyAlignment="1">
      <alignment horizontal="center"/>
    </xf>
    <xf numFmtId="174" fontId="155" fillId="0" borderId="0" xfId="1" quotePrefix="1" applyNumberFormat="1" applyFont="1" applyBorder="1" applyAlignment="1" applyProtection="1">
      <alignment horizontal="center"/>
    </xf>
    <xf numFmtId="0" fontId="82" fillId="0" borderId="0" xfId="57" applyFont="1" applyAlignment="1">
      <alignment horizontal="center"/>
    </xf>
    <xf numFmtId="0" fontId="32" fillId="0" borderId="0" xfId="57" applyFont="1" applyAlignment="1">
      <alignment horizontal="left" vertical="justify"/>
    </xf>
    <xf numFmtId="0" fontId="33" fillId="0" borderId="0" xfId="57" applyFont="1" applyAlignment="1">
      <alignment horizontal="left" vertical="justify"/>
    </xf>
    <xf numFmtId="0" fontId="33" fillId="0" borderId="0" xfId="57" applyFont="1"/>
    <xf numFmtId="0" fontId="33" fillId="0" borderId="0" xfId="57" applyFont="1" applyAlignment="1">
      <alignment horizontal="center"/>
    </xf>
    <xf numFmtId="0" fontId="83" fillId="0" borderId="0" xfId="57" applyFont="1" applyAlignment="1">
      <alignment horizontal="left"/>
    </xf>
    <xf numFmtId="0" fontId="33" fillId="0" borderId="0" xfId="57" applyFont="1" applyBorder="1" applyAlignment="1">
      <alignment horizontal="left"/>
    </xf>
    <xf numFmtId="0" fontId="33" fillId="0" borderId="0" xfId="57" applyFont="1" applyBorder="1" applyAlignment="1">
      <alignment horizontal="center"/>
    </xf>
    <xf numFmtId="0" fontId="33" fillId="0" borderId="0" xfId="57" applyFont="1" applyBorder="1" applyAlignment="1">
      <alignment horizontal="left" vertical="justify"/>
    </xf>
    <xf numFmtId="0" fontId="33" fillId="0" borderId="4" xfId="57" applyFont="1" applyBorder="1" applyAlignment="1">
      <alignment wrapText="1"/>
    </xf>
    <xf numFmtId="0" fontId="33" fillId="0" borderId="4" xfId="57" applyFont="1" applyBorder="1" applyAlignment="1">
      <alignment horizontal="center" wrapText="1"/>
    </xf>
    <xf numFmtId="0" fontId="33" fillId="0" borderId="4" xfId="57" applyFont="1" applyFill="1" applyBorder="1" applyAlignment="1">
      <alignment horizontal="center"/>
    </xf>
    <xf numFmtId="174" fontId="32" fillId="0" borderId="0" xfId="1" applyNumberFormat="1" applyFont="1" applyFill="1" applyAlignment="1">
      <alignment horizontal="right" vertical="center"/>
    </xf>
    <xf numFmtId="0" fontId="32" fillId="0" borderId="0" xfId="57" applyFont="1" applyAlignment="1">
      <alignment vertical="center"/>
    </xf>
    <xf numFmtId="0" fontId="32" fillId="0" borderId="0" xfId="57" applyFont="1" applyFill="1" applyBorder="1" applyAlignment="1">
      <alignment vertical="center"/>
    </xf>
    <xf numFmtId="174" fontId="32" fillId="0" borderId="0" xfId="57" applyNumberFormat="1" applyFont="1" applyFill="1" applyBorder="1" applyAlignment="1">
      <alignment vertical="center"/>
    </xf>
    <xf numFmtId="168" fontId="32" fillId="0" borderId="0" xfId="13" applyNumberFormat="1" applyFont="1"/>
    <xf numFmtId="186" fontId="32" fillId="0" borderId="0" xfId="1" applyNumberFormat="1" applyFont="1" applyFill="1" applyAlignment="1">
      <alignment horizontal="right" vertical="center"/>
    </xf>
    <xf numFmtId="0" fontId="33" fillId="0" borderId="4" xfId="57" applyFont="1" applyFill="1" applyBorder="1" applyAlignment="1">
      <alignment horizontal="center" wrapText="1"/>
    </xf>
    <xf numFmtId="0" fontId="33" fillId="0" borderId="4" xfId="57" applyFont="1" applyBorder="1" applyAlignment="1">
      <alignment horizontal="centerContinuous"/>
    </xf>
    <xf numFmtId="37" fontId="36" fillId="0" borderId="0" xfId="0" applyNumberFormat="1" applyFont="1" applyFill="1"/>
    <xf numFmtId="37" fontId="36" fillId="0" borderId="2" xfId="0" applyNumberFormat="1" applyFont="1" applyFill="1" applyBorder="1" applyAlignment="1"/>
    <xf numFmtId="0" fontId="145" fillId="3" borderId="0" xfId="0" applyFont="1" applyFill="1" applyBorder="1" applyAlignment="1">
      <alignment horizontal="left"/>
    </xf>
    <xf numFmtId="37" fontId="36" fillId="0" borderId="0" xfId="0" applyNumberFormat="1" applyFont="1" applyFill="1" applyAlignment="1"/>
    <xf numFmtId="37" fontId="34" fillId="0" borderId="0" xfId="0" applyNumberFormat="1" applyFont="1" applyFill="1" applyAlignment="1"/>
    <xf numFmtId="37" fontId="36" fillId="0" borderId="0" xfId="0" applyNumberFormat="1" applyFont="1" applyFill="1" applyBorder="1" applyAlignment="1"/>
    <xf numFmtId="37" fontId="34" fillId="0" borderId="3" xfId="0" applyNumberFormat="1" applyFont="1" applyFill="1" applyBorder="1"/>
    <xf numFmtId="37" fontId="36" fillId="0" borderId="4" xfId="0" applyNumberFormat="1" applyFont="1" applyFill="1" applyBorder="1" applyAlignment="1"/>
    <xf numFmtId="37" fontId="36" fillId="0" borderId="0" xfId="0" applyNumberFormat="1" applyFont="1" applyFill="1" applyBorder="1" applyAlignment="1">
      <alignment horizontal="right"/>
    </xf>
    <xf numFmtId="37" fontId="36" fillId="0" borderId="0" xfId="0" applyNumberFormat="1" applyFont="1"/>
    <xf numFmtId="37" fontId="34" fillId="0" borderId="0" xfId="0" applyNumberFormat="1" applyFont="1" applyFill="1" applyAlignment="1">
      <alignment horizontal="right"/>
    </xf>
    <xf numFmtId="37" fontId="34" fillId="0" borderId="0" xfId="0" applyNumberFormat="1" applyFont="1" applyFill="1" applyBorder="1" applyAlignment="1"/>
    <xf numFmtId="37" fontId="36" fillId="0" borderId="0" xfId="0" applyNumberFormat="1" applyFont="1" applyFill="1" applyAlignment="1">
      <alignment horizontal="right"/>
    </xf>
    <xf numFmtId="37" fontId="36" fillId="0" borderId="2" xfId="0" applyNumberFormat="1" applyFont="1" applyFill="1" applyBorder="1" applyAlignment="1">
      <alignment horizontal="right"/>
    </xf>
    <xf numFmtId="37" fontId="34" fillId="0" borderId="2" xfId="0" applyNumberFormat="1" applyFont="1" applyFill="1" applyBorder="1"/>
    <xf numFmtId="37" fontId="34" fillId="0" borderId="2" xfId="0" applyNumberFormat="1" applyFont="1" applyFill="1" applyBorder="1" applyAlignment="1">
      <alignment horizontal="right"/>
    </xf>
    <xf numFmtId="37" fontId="34" fillId="0" borderId="0" xfId="0" applyNumberFormat="1" applyFont="1" applyFill="1" applyBorder="1" applyAlignment="1">
      <alignment horizontal="right"/>
    </xf>
    <xf numFmtId="37" fontId="36" fillId="0" borderId="0" xfId="0" applyNumberFormat="1" applyFont="1" applyAlignment="1">
      <alignment horizontal="right"/>
    </xf>
    <xf numFmtId="37" fontId="34" fillId="0" borderId="3" xfId="0" applyNumberFormat="1" applyFont="1" applyBorder="1"/>
    <xf numFmtId="37" fontId="34" fillId="0" borderId="2" xfId="0" applyNumberFormat="1" applyFont="1" applyFill="1" applyBorder="1" applyAlignment="1"/>
    <xf numFmtId="37" fontId="34" fillId="0" borderId="0" xfId="13" applyNumberFormat="1" applyFont="1" applyFill="1" applyAlignment="1"/>
    <xf numFmtId="37" fontId="39" fillId="0" borderId="0" xfId="0" applyNumberFormat="1" applyFont="1" applyFill="1" applyAlignment="1">
      <alignment horizontal="right"/>
    </xf>
    <xf numFmtId="37" fontId="34" fillId="0" borderId="3" xfId="0" applyNumberFormat="1" applyFont="1" applyFill="1" applyBorder="1" applyAlignment="1"/>
    <xf numFmtId="37" fontId="34" fillId="0" borderId="0" xfId="13" applyNumberFormat="1" applyFont="1" applyAlignment="1"/>
    <xf numFmtId="37" fontId="36" fillId="3" borderId="0" xfId="0" applyNumberFormat="1" applyFont="1" applyFill="1" applyBorder="1" applyAlignment="1">
      <alignment horizontal="center" wrapText="1"/>
    </xf>
    <xf numFmtId="37" fontId="39" fillId="0" borderId="0" xfId="0" applyNumberFormat="1" applyFont="1" applyAlignment="1">
      <alignment horizontal="right"/>
    </xf>
    <xf numFmtId="37" fontId="34" fillId="0" borderId="3" xfId="0" applyNumberFormat="1" applyFont="1" applyBorder="1" applyAlignment="1">
      <alignment horizontal="right"/>
    </xf>
    <xf numFmtId="37" fontId="0" fillId="0" borderId="0" xfId="0" applyNumberFormat="1"/>
    <xf numFmtId="37" fontId="34" fillId="0" borderId="3" xfId="0" applyNumberFormat="1" applyFont="1" applyBorder="1" applyAlignment="1"/>
    <xf numFmtId="37" fontId="40" fillId="0" borderId="0" xfId="0" applyNumberFormat="1" applyFont="1" applyFill="1" applyAlignment="1">
      <alignment horizontal="right"/>
    </xf>
    <xf numFmtId="37" fontId="34" fillId="0" borderId="0" xfId="1" applyNumberFormat="1" applyFont="1" applyFill="1" applyAlignment="1"/>
    <xf numFmtId="37" fontId="36" fillId="0" borderId="0" xfId="0" applyNumberFormat="1" applyFont="1" applyBorder="1" applyAlignment="1">
      <alignment horizontal="right"/>
    </xf>
    <xf numFmtId="37" fontId="34" fillId="0" borderId="3" xfId="1" applyNumberFormat="1" applyFont="1" applyFill="1" applyBorder="1" applyAlignment="1">
      <alignment horizontal="right"/>
    </xf>
    <xf numFmtId="37" fontId="36" fillId="0" borderId="2" xfId="0" applyNumberFormat="1" applyFont="1" applyBorder="1"/>
    <xf numFmtId="37" fontId="45" fillId="0" borderId="0" xfId="0" applyNumberFormat="1" applyFont="1" applyBorder="1"/>
    <xf numFmtId="37" fontId="45" fillId="0" borderId="0" xfId="0" applyNumberFormat="1" applyFont="1" applyFill="1" applyBorder="1"/>
    <xf numFmtId="37" fontId="36" fillId="0" borderId="0" xfId="0" applyNumberFormat="1" applyFont="1" applyFill="1" applyBorder="1"/>
    <xf numFmtId="37" fontId="36" fillId="0" borderId="4" xfId="0" applyNumberFormat="1" applyFont="1" applyFill="1" applyBorder="1"/>
    <xf numFmtId="37" fontId="34" fillId="0" borderId="0" xfId="0" applyNumberFormat="1" applyFont="1" applyFill="1" applyBorder="1"/>
    <xf numFmtId="37" fontId="34" fillId="0" borderId="0" xfId="5" applyNumberFormat="1" applyFont="1" applyBorder="1" applyAlignment="1">
      <alignment horizontal="right"/>
    </xf>
    <xf numFmtId="0" fontId="33" fillId="0" borderId="13" xfId="26" applyFont="1" applyBorder="1" applyAlignment="1">
      <alignment horizontal="center"/>
    </xf>
    <xf numFmtId="0" fontId="32" fillId="0" borderId="32" xfId="26" applyFont="1" applyBorder="1" applyAlignment="1">
      <alignment horizontal="center" wrapText="1"/>
    </xf>
    <xf numFmtId="0" fontId="32" fillId="0" borderId="42" xfId="26" applyFont="1" applyBorder="1" applyAlignment="1">
      <alignment horizontal="center" wrapText="1"/>
    </xf>
    <xf numFmtId="0" fontId="32" fillId="0" borderId="41" xfId="26" applyFont="1" applyBorder="1" applyAlignment="1">
      <alignment horizontal="center"/>
    </xf>
    <xf numFmtId="0" fontId="32" fillId="0" borderId="43" xfId="26" applyFont="1" applyBorder="1" applyAlignment="1">
      <alignment horizontal="center"/>
    </xf>
    <xf numFmtId="0" fontId="32" fillId="0" borderId="42" xfId="26" applyFont="1" applyBorder="1" applyAlignment="1">
      <alignment horizontal="center"/>
    </xf>
    <xf numFmtId="0" fontId="32" fillId="0" borderId="33" xfId="26" applyFont="1" applyFill="1" applyBorder="1" applyAlignment="1">
      <alignment vertical="top" wrapText="1"/>
    </xf>
    <xf numFmtId="0" fontId="32" fillId="0" borderId="0" xfId="26" applyFont="1" applyBorder="1"/>
    <xf numFmtId="0" fontId="32" fillId="0" borderId="5" xfId="26" applyFont="1" applyBorder="1" applyAlignment="1">
      <alignment vertical="top"/>
    </xf>
    <xf numFmtId="0" fontId="32" fillId="0" borderId="44" xfId="26" applyFont="1" applyBorder="1"/>
    <xf numFmtId="0" fontId="32" fillId="0" borderId="20" xfId="26" applyFont="1" applyBorder="1"/>
    <xf numFmtId="0" fontId="32" fillId="0" borderId="64" xfId="26" applyFont="1" applyBorder="1"/>
    <xf numFmtId="0" fontId="32" fillId="0" borderId="0" xfId="26" applyFont="1" applyFill="1" applyBorder="1"/>
    <xf numFmtId="0" fontId="45" fillId="0" borderId="0" xfId="0" applyFont="1" applyFill="1" applyAlignment="1">
      <alignment horizontal="centerContinuous"/>
    </xf>
    <xf numFmtId="0" fontId="157" fillId="0" borderId="0" xfId="0" applyFont="1" applyFill="1" applyBorder="1"/>
    <xf numFmtId="0" fontId="91" fillId="0" borderId="0" xfId="0" applyFont="1" applyFill="1" applyBorder="1"/>
    <xf numFmtId="164" fontId="33" fillId="0" borderId="0" xfId="1" applyNumberFormat="1" applyFont="1" applyBorder="1"/>
    <xf numFmtId="0" fontId="32" fillId="0" borderId="0" xfId="0" applyFont="1" applyAlignment="1">
      <alignment horizontal="centerContinuous"/>
    </xf>
    <xf numFmtId="0" fontId="33" fillId="0" borderId="4" xfId="57" applyFont="1" applyBorder="1" applyAlignment="1">
      <alignment horizontal="left" wrapText="1"/>
    </xf>
    <xf numFmtId="0" fontId="32" fillId="0" borderId="0" xfId="57" applyFont="1" applyAlignment="1">
      <alignment horizontal="centerContinuous"/>
    </xf>
    <xf numFmtId="174" fontId="155" fillId="0" borderId="0" xfId="1" quotePrefix="1" applyNumberFormat="1" applyFont="1" applyBorder="1" applyAlignment="1" applyProtection="1">
      <alignment horizontal="centerContinuous"/>
    </xf>
    <xf numFmtId="0" fontId="82" fillId="0" borderId="0" xfId="57" applyFont="1" applyAlignment="1">
      <alignment horizontal="centerContinuous"/>
    </xf>
    <xf numFmtId="0" fontId="32" fillId="0" borderId="4" xfId="57" applyFont="1" applyBorder="1" applyAlignment="1">
      <alignment horizontal="centerContinuous"/>
    </xf>
    <xf numFmtId="37" fontId="34" fillId="0" borderId="39" xfId="1" applyNumberFormat="1" applyFont="1" applyFill="1" applyBorder="1" applyAlignment="1">
      <alignment horizontal="right"/>
    </xf>
    <xf numFmtId="37" fontId="36" fillId="3" borderId="0" xfId="0" applyNumberFormat="1" applyFont="1" applyFill="1" applyBorder="1"/>
    <xf numFmtId="37" fontId="33" fillId="0" borderId="41" xfId="45" applyNumberFormat="1" applyFont="1" applyFill="1" applyBorder="1" applyAlignment="1">
      <alignment horizontal="center" wrapText="1"/>
    </xf>
    <xf numFmtId="37" fontId="32" fillId="0" borderId="29" xfId="45" applyNumberFormat="1" applyFont="1" applyBorder="1" applyAlignment="1">
      <alignment horizontal="center" vertical="center"/>
    </xf>
    <xf numFmtId="37" fontId="32" fillId="0" borderId="44" xfId="45" applyNumberFormat="1" applyFont="1" applyBorder="1" applyAlignment="1">
      <alignment horizontal="center" vertical="center"/>
    </xf>
    <xf numFmtId="37" fontId="32" fillId="0" borderId="48" xfId="45" applyNumberFormat="1" applyFont="1" applyBorder="1" applyAlignment="1">
      <alignment horizontal="center" vertical="center"/>
    </xf>
    <xf numFmtId="0" fontId="145" fillId="3" borderId="0" xfId="0" applyFont="1" applyFill="1" applyAlignment="1">
      <alignment horizontal="left"/>
    </xf>
    <xf numFmtId="37" fontId="33" fillId="0" borderId="62" xfId="45" applyNumberFormat="1" applyFont="1" applyFill="1" applyBorder="1" applyAlignment="1">
      <alignment horizontal="center" wrapText="1"/>
    </xf>
    <xf numFmtId="37" fontId="32" fillId="0" borderId="67" xfId="45" applyNumberFormat="1" applyFont="1" applyBorder="1" applyAlignment="1">
      <alignment horizontal="center" vertical="center"/>
    </xf>
    <xf numFmtId="37" fontId="32" fillId="0" borderId="17" xfId="45" applyNumberFormat="1" applyFont="1" applyBorder="1" applyAlignment="1">
      <alignment horizontal="center" vertical="center"/>
    </xf>
    <xf numFmtId="37" fontId="32" fillId="0" borderId="17" xfId="45" applyNumberFormat="1" applyFont="1" applyBorder="1" applyAlignment="1">
      <alignment horizontal="center" vertical="center" wrapText="1"/>
    </xf>
    <xf numFmtId="37" fontId="160" fillId="0" borderId="0" xfId="45" applyNumberFormat="1" applyFont="1" applyFill="1"/>
    <xf numFmtId="0" fontId="45" fillId="0" borderId="5" xfId="0" applyNumberFormat="1" applyFont="1" applyFill="1" applyBorder="1" applyAlignment="1">
      <alignment horizontal="left"/>
    </xf>
    <xf numFmtId="0" fontId="45" fillId="0" borderId="5" xfId="0" applyNumberFormat="1" applyFont="1" applyFill="1" applyBorder="1" applyAlignment="1">
      <alignment horizontal="center"/>
    </xf>
    <xf numFmtId="37" fontId="101" fillId="11" borderId="64" xfId="45" applyNumberFormat="1" applyFont="1" applyFill="1" applyBorder="1"/>
    <xf numFmtId="10" fontId="142" fillId="0" borderId="0" xfId="13" applyNumberFormat="1" applyFont="1" applyFill="1"/>
    <xf numFmtId="164" fontId="32" fillId="11" borderId="0" xfId="1" applyNumberFormat="1" applyFont="1" applyFill="1"/>
    <xf numFmtId="171" fontId="36" fillId="11" borderId="0" xfId="13" applyNumberFormat="1" applyFont="1" applyFill="1" applyAlignment="1">
      <alignment horizontal="right"/>
    </xf>
    <xf numFmtId="37" fontId="36" fillId="0" borderId="0" xfId="1" applyNumberFormat="1" applyFont="1" applyAlignment="1"/>
    <xf numFmtId="37" fontId="36" fillId="0" borderId="0" xfId="2" applyNumberFormat="1" applyFont="1" applyFill="1" applyAlignment="1"/>
    <xf numFmtId="37" fontId="36" fillId="0" borderId="0" xfId="1" applyNumberFormat="1" applyFont="1" applyFill="1" applyAlignment="1"/>
    <xf numFmtId="172" fontId="36" fillId="0" borderId="0" xfId="13" applyNumberFormat="1" applyFont="1" applyAlignment="1"/>
    <xf numFmtId="190" fontId="32" fillId="0" borderId="0" xfId="0" applyNumberFormat="1" applyFont="1" applyFill="1"/>
    <xf numFmtId="37" fontId="101" fillId="11" borderId="64" xfId="1" applyNumberFormat="1" applyFont="1" applyFill="1" applyBorder="1" applyAlignment="1">
      <alignment vertical="center"/>
    </xf>
    <xf numFmtId="0" fontId="32" fillId="0" borderId="0" xfId="0" applyFont="1" applyFill="1" applyAlignment="1">
      <alignment horizontal="centerContinuous"/>
    </xf>
    <xf numFmtId="0" fontId="64" fillId="0" borderId="4" xfId="0" applyFont="1" applyFill="1" applyBorder="1"/>
    <xf numFmtId="37" fontId="32" fillId="0" borderId="23" xfId="45" applyNumberFormat="1" applyFont="1" applyBorder="1" applyAlignment="1">
      <alignment horizontal="center" wrapText="1"/>
    </xf>
    <xf numFmtId="37" fontId="32" fillId="0" borderId="6" xfId="45" applyNumberFormat="1" applyFont="1" applyBorder="1" applyAlignment="1">
      <alignment horizontal="centerContinuous" vertical="center"/>
    </xf>
    <xf numFmtId="37" fontId="33" fillId="0" borderId="5" xfId="45" applyNumberFormat="1" applyFont="1" applyBorder="1" applyAlignment="1">
      <alignment horizontal="centerContinuous"/>
    </xf>
    <xf numFmtId="37" fontId="32" fillId="0" borderId="5" xfId="45" applyNumberFormat="1" applyFont="1" applyBorder="1" applyAlignment="1">
      <alignment horizontal="centerContinuous"/>
    </xf>
    <xf numFmtId="37" fontId="109" fillId="0" borderId="5" xfId="45" applyNumberFormat="1" applyFont="1" applyBorder="1" applyAlignment="1">
      <alignment horizontal="centerContinuous"/>
    </xf>
    <xf numFmtId="37" fontId="32" fillId="0" borderId="5" xfId="45" applyNumberFormat="1" applyFont="1" applyFill="1" applyBorder="1" applyAlignment="1">
      <alignment horizontal="centerContinuous"/>
    </xf>
    <xf numFmtId="37" fontId="32" fillId="0" borderId="32" xfId="45" applyNumberFormat="1" applyFont="1" applyFill="1" applyBorder="1" applyAlignment="1">
      <alignment horizontal="centerContinuous"/>
    </xf>
    <xf numFmtId="0" fontId="32" fillId="11" borderId="0" xfId="57" applyFont="1" applyFill="1" applyAlignment="1">
      <alignment horizontal="left" vertical="center"/>
    </xf>
    <xf numFmtId="0" fontId="32" fillId="11" borderId="0" xfId="57" applyFont="1" applyFill="1" applyAlignment="1">
      <alignment vertical="center" wrapText="1"/>
    </xf>
    <xf numFmtId="0" fontId="32" fillId="11" borderId="0" xfId="57" applyFont="1" applyFill="1" applyAlignment="1">
      <alignment horizontal="center" vertical="center" wrapText="1"/>
    </xf>
    <xf numFmtId="0" fontId="32" fillId="11" borderId="0" xfId="57" applyFont="1" applyFill="1" applyAlignment="1">
      <alignment horizontal="center" vertical="center"/>
    </xf>
    <xf numFmtId="0" fontId="32" fillId="11" borderId="0" xfId="57" applyFont="1" applyFill="1" applyAlignment="1">
      <alignment vertical="center"/>
    </xf>
    <xf numFmtId="0" fontId="32" fillId="11" borderId="0" xfId="57" applyFont="1" applyFill="1"/>
    <xf numFmtId="0" fontId="32" fillId="0" borderId="0" xfId="57" applyFont="1" applyFill="1" applyBorder="1" applyAlignment="1">
      <alignment horizontal="left" vertical="center"/>
    </xf>
    <xf numFmtId="0" fontId="32" fillId="0" borderId="0" xfId="57" applyFont="1" applyFill="1" applyBorder="1" applyAlignment="1">
      <alignment horizontal="center" vertical="center"/>
    </xf>
    <xf numFmtId="174" fontId="32" fillId="0" borderId="0" xfId="1" applyNumberFormat="1" applyFont="1" applyFill="1" applyBorder="1" applyAlignment="1">
      <alignment vertical="center"/>
    </xf>
    <xf numFmtId="10" fontId="101" fillId="0" borderId="12" xfId="26" applyNumberFormat="1" applyFont="1" applyBorder="1" applyAlignment="1">
      <alignment horizontal="right" vertical="top"/>
    </xf>
    <xf numFmtId="0" fontId="101" fillId="0" borderId="11" xfId="26" applyFont="1" applyBorder="1" applyAlignment="1">
      <alignment vertical="top"/>
    </xf>
    <xf numFmtId="0" fontId="32" fillId="0" borderId="29" xfId="26" applyFont="1" applyFill="1" applyBorder="1" applyAlignment="1">
      <alignment horizontal="right" vertical="top"/>
    </xf>
    <xf numFmtId="0" fontId="32" fillId="0" borderId="30" xfId="26" applyFont="1" applyFill="1" applyBorder="1" applyAlignment="1">
      <alignment horizontal="right" vertical="top"/>
    </xf>
    <xf numFmtId="10" fontId="101" fillId="0" borderId="12" xfId="26" applyNumberFormat="1" applyFont="1" applyFill="1" applyBorder="1" applyAlignment="1">
      <alignment horizontal="right" vertical="top"/>
    </xf>
    <xf numFmtId="0" fontId="101" fillId="0" borderId="11" xfId="26" applyFont="1" applyFill="1" applyBorder="1" applyAlignment="1">
      <alignment vertical="top"/>
    </xf>
    <xf numFmtId="0" fontId="32" fillId="0" borderId="44" xfId="26" applyFont="1" applyFill="1" applyBorder="1" applyAlignment="1">
      <alignment horizontal="right" vertical="top"/>
    </xf>
    <xf numFmtId="0" fontId="32" fillId="0" borderId="20" xfId="26" applyFont="1" applyFill="1" applyBorder="1" applyAlignment="1">
      <alignment horizontal="right" vertical="top"/>
    </xf>
    <xf numFmtId="0" fontId="32" fillId="0" borderId="64" xfId="26" applyFont="1" applyFill="1" applyBorder="1" applyAlignment="1">
      <alignment vertical="top" wrapText="1"/>
    </xf>
    <xf numFmtId="10" fontId="101" fillId="0" borderId="44" xfId="26" applyNumberFormat="1" applyFont="1" applyFill="1" applyBorder="1" applyAlignment="1">
      <alignment horizontal="right" vertical="top"/>
    </xf>
    <xf numFmtId="0" fontId="32" fillId="0" borderId="48" xfId="26" applyFont="1" applyFill="1" applyBorder="1" applyAlignment="1">
      <alignment horizontal="right" vertical="top"/>
    </xf>
    <xf numFmtId="0" fontId="32" fillId="0" borderId="65" xfId="26" applyFont="1" applyFill="1" applyBorder="1" applyAlignment="1">
      <alignment horizontal="right" vertical="top"/>
    </xf>
    <xf numFmtId="0" fontId="32" fillId="0" borderId="66" xfId="26" applyFont="1" applyFill="1" applyBorder="1" applyAlignment="1">
      <alignment vertical="top" wrapText="1"/>
    </xf>
    <xf numFmtId="0" fontId="58" fillId="0" borderId="0" xfId="8" applyFont="1" applyAlignment="1">
      <alignment wrapText="1"/>
    </xf>
    <xf numFmtId="0" fontId="60" fillId="0" borderId="0" xfId="8" applyFont="1" applyAlignment="1">
      <alignment horizontal="center"/>
    </xf>
    <xf numFmtId="0" fontId="60" fillId="0" borderId="0" xfId="8" applyFont="1" applyAlignment="1"/>
    <xf numFmtId="0" fontId="33" fillId="0" borderId="0" xfId="8" applyFont="1" applyAlignment="1">
      <alignment horizontal="left"/>
    </xf>
    <xf numFmtId="164" fontId="58" fillId="11" borderId="0" xfId="1" applyNumberFormat="1" applyFont="1" applyFill="1" applyBorder="1" applyAlignment="1">
      <alignment horizontal="center"/>
    </xf>
    <xf numFmtId="164" fontId="58" fillId="11" borderId="20" xfId="1" applyNumberFormat="1" applyFont="1" applyFill="1" applyBorder="1" applyAlignment="1">
      <alignment horizontal="center"/>
    </xf>
    <xf numFmtId="164" fontId="58" fillId="0" borderId="39" xfId="8" applyNumberFormat="1" applyFont="1" applyBorder="1"/>
    <xf numFmtId="44" fontId="32" fillId="11" borderId="0" xfId="5" applyFont="1" applyFill="1"/>
    <xf numFmtId="164" fontId="58" fillId="0" borderId="18" xfId="8" applyNumberFormat="1" applyFont="1" applyFill="1" applyBorder="1"/>
    <xf numFmtId="164" fontId="58" fillId="0" borderId="0" xfId="8" applyNumberFormat="1" applyFont="1" applyFill="1" applyBorder="1"/>
    <xf numFmtId="37" fontId="32" fillId="0" borderId="67" xfId="45" applyNumberFormat="1" applyFont="1" applyFill="1" applyBorder="1" applyAlignment="1">
      <alignment horizontal="center" vertical="center"/>
    </xf>
    <xf numFmtId="37" fontId="32" fillId="0" borderId="17" xfId="45" applyNumberFormat="1" applyFont="1" applyFill="1" applyBorder="1" applyAlignment="1">
      <alignment horizontal="center" vertical="center"/>
    </xf>
    <xf numFmtId="0" fontId="40" fillId="0" borderId="0" xfId="37" applyFont="1" applyFill="1" applyBorder="1" applyAlignment="1">
      <alignment horizontal="left"/>
    </xf>
    <xf numFmtId="0" fontId="36" fillId="0" borderId="0" xfId="37" applyFont="1"/>
    <xf numFmtId="0" fontId="36" fillId="0" borderId="0" xfId="37" applyNumberFormat="1" applyFont="1" applyFill="1" applyBorder="1" applyAlignment="1"/>
    <xf numFmtId="0" fontId="71" fillId="0" borderId="0" xfId="37" applyFont="1" applyBorder="1" applyAlignment="1">
      <alignment horizontal="left"/>
    </xf>
    <xf numFmtId="0" fontId="36" fillId="0" borderId="0" xfId="37" applyFont="1" applyBorder="1" applyAlignment="1"/>
    <xf numFmtId="0" fontId="36" fillId="0" borderId="0" xfId="37" applyFont="1" applyBorder="1" applyAlignment="1">
      <alignment horizontal="center"/>
    </xf>
    <xf numFmtId="0" fontId="36" fillId="0" borderId="7" xfId="37" applyFont="1" applyBorder="1" applyAlignment="1">
      <alignment horizontal="right"/>
    </xf>
    <xf numFmtId="0" fontId="40" fillId="0" borderId="8" xfId="37" applyFont="1" applyFill="1" applyBorder="1" applyAlignment="1"/>
    <xf numFmtId="0" fontId="36" fillId="0" borderId="0" xfId="37" applyFont="1" applyFill="1" applyBorder="1" applyAlignment="1">
      <alignment horizontal="center" wrapText="1"/>
    </xf>
    <xf numFmtId="0" fontId="36" fillId="0" borderId="7" xfId="37" applyFont="1" applyFill="1" applyBorder="1" applyAlignment="1">
      <alignment horizontal="center" wrapText="1"/>
    </xf>
    <xf numFmtId="0" fontId="36" fillId="0" borderId="0" xfId="37" applyFont="1" applyBorder="1"/>
    <xf numFmtId="3" fontId="36" fillId="0" borderId="8" xfId="37" applyNumberFormat="1" applyFont="1" applyFill="1" applyBorder="1" applyAlignment="1">
      <alignment horizontal="right"/>
    </xf>
    <xf numFmtId="0" fontId="36" fillId="0" borderId="0" xfId="37" applyFont="1" applyBorder="1" applyAlignment="1">
      <alignment horizontal="left"/>
    </xf>
    <xf numFmtId="0" fontId="36" fillId="0" borderId="8" xfId="37" applyFont="1" applyFill="1" applyBorder="1" applyAlignment="1">
      <alignment horizontal="right"/>
    </xf>
    <xf numFmtId="0" fontId="36" fillId="0" borderId="0" xfId="37" applyNumberFormat="1" applyFont="1" applyBorder="1" applyAlignment="1">
      <alignment horizontal="center"/>
    </xf>
    <xf numFmtId="0" fontId="36" fillId="0" borderId="0" xfId="37" applyNumberFormat="1" applyFont="1" applyFill="1" applyBorder="1" applyAlignment="1">
      <alignment horizontal="left"/>
    </xf>
    <xf numFmtId="0" fontId="36" fillId="0" borderId="8" xfId="37" applyFont="1" applyFill="1" applyBorder="1" applyAlignment="1"/>
    <xf numFmtId="0" fontId="36" fillId="0" borderId="7" xfId="37" applyFont="1" applyBorder="1" applyAlignment="1"/>
    <xf numFmtId="0" fontId="36" fillId="0" borderId="4" xfId="37" applyNumberFormat="1" applyFont="1" applyFill="1" applyBorder="1" applyAlignment="1">
      <alignment horizontal="left"/>
    </xf>
    <xf numFmtId="164" fontId="36" fillId="0" borderId="8" xfId="37" applyNumberFormat="1" applyFont="1" applyFill="1" applyBorder="1" applyAlignment="1"/>
    <xf numFmtId="0" fontId="34" fillId="0" borderId="0" xfId="37" applyNumberFormat="1" applyFont="1" applyFill="1" applyBorder="1" applyAlignment="1">
      <alignment horizontal="left"/>
    </xf>
    <xf numFmtId="3" fontId="39" fillId="0" borderId="0" xfId="37" applyNumberFormat="1" applyFont="1" applyFill="1" applyBorder="1" applyAlignment="1">
      <alignment horizontal="center"/>
    </xf>
    <xf numFmtId="164" fontId="36" fillId="0" borderId="8" xfId="37" applyNumberFormat="1" applyFont="1" applyFill="1" applyBorder="1" applyAlignment="1">
      <alignment horizontal="right"/>
    </xf>
    <xf numFmtId="0" fontId="39" fillId="0" borderId="0" xfId="37" applyNumberFormat="1" applyFont="1" applyFill="1" applyBorder="1" applyAlignment="1">
      <alignment horizontal="center"/>
    </xf>
    <xf numFmtId="0" fontId="36" fillId="0" borderId="7" xfId="37" applyNumberFormat="1" applyFont="1" applyFill="1" applyBorder="1" applyAlignment="1">
      <alignment horizontal="left"/>
    </xf>
    <xf numFmtId="0" fontId="36" fillId="0" borderId="0" xfId="37" applyNumberFormat="1" applyFont="1" applyFill="1" applyBorder="1" applyAlignment="1">
      <alignment horizontal="center"/>
    </xf>
    <xf numFmtId="0" fontId="39" fillId="0" borderId="0" xfId="37" applyFont="1" applyBorder="1" applyAlignment="1">
      <alignment horizontal="center"/>
    </xf>
    <xf numFmtId="3" fontId="39" fillId="0" borderId="0" xfId="37" applyNumberFormat="1" applyFont="1" applyBorder="1" applyAlignment="1">
      <alignment horizontal="center"/>
    </xf>
    <xf numFmtId="0" fontId="36" fillId="0" borderId="0" xfId="37" applyFont="1" applyFill="1" applyBorder="1" applyAlignment="1">
      <alignment horizontal="left"/>
    </xf>
    <xf numFmtId="0" fontId="36" fillId="0" borderId="0" xfId="37" applyFont="1" applyFill="1" applyBorder="1" applyAlignment="1"/>
    <xf numFmtId="0" fontId="71" fillId="0" borderId="0" xfId="37" applyFont="1" applyFill="1" applyBorder="1" applyAlignment="1">
      <alignment horizontal="left"/>
    </xf>
    <xf numFmtId="0" fontId="36" fillId="0" borderId="0" xfId="37" applyFont="1" applyFill="1" applyBorder="1" applyAlignment="1">
      <alignment horizontal="center"/>
    </xf>
    <xf numFmtId="0" fontId="36" fillId="0" borderId="0" xfId="37" applyFont="1" applyFill="1" applyBorder="1" applyAlignment="1">
      <alignment horizontal="right"/>
    </xf>
    <xf numFmtId="1" fontId="39" fillId="0" borderId="0" xfId="37" applyNumberFormat="1" applyFont="1" applyFill="1" applyBorder="1" applyAlignment="1">
      <alignment horizontal="center"/>
    </xf>
    <xf numFmtId="164" fontId="36" fillId="0" borderId="0" xfId="48" applyNumberFormat="1" applyFont="1" applyFill="1" applyBorder="1" applyAlignment="1">
      <alignment horizontal="right"/>
    </xf>
    <xf numFmtId="164" fontId="36" fillId="0" borderId="8" xfId="48" applyNumberFormat="1" applyFont="1" applyFill="1" applyBorder="1" applyAlignment="1">
      <alignment horizontal="right"/>
    </xf>
    <xf numFmtId="0" fontId="71" fillId="0" borderId="0" xfId="37" applyNumberFormat="1" applyFont="1" applyFill="1" applyBorder="1" applyAlignment="1">
      <alignment horizontal="left"/>
    </xf>
    <xf numFmtId="0" fontId="36" fillId="0" borderId="24" xfId="37" applyNumberFormat="1" applyFont="1" applyFill="1" applyBorder="1" applyAlignment="1">
      <alignment horizontal="center"/>
    </xf>
    <xf numFmtId="0" fontId="36" fillId="0" borderId="1" xfId="37" applyNumberFormat="1" applyFont="1" applyBorder="1" applyAlignment="1">
      <alignment horizontal="center"/>
    </xf>
    <xf numFmtId="0" fontId="36" fillId="0" borderId="1" xfId="37" applyNumberFormat="1" applyFont="1" applyFill="1" applyBorder="1" applyAlignment="1">
      <alignment horizontal="left"/>
    </xf>
    <xf numFmtId="0" fontId="36" fillId="0" borderId="1" xfId="37" applyFont="1" applyBorder="1" applyAlignment="1"/>
    <xf numFmtId="0" fontId="39" fillId="0" borderId="1" xfId="37" applyNumberFormat="1" applyFont="1" applyFill="1" applyBorder="1" applyAlignment="1">
      <alignment horizontal="center"/>
    </xf>
    <xf numFmtId="0" fontId="36" fillId="0" borderId="9" xfId="37" applyNumberFormat="1" applyFont="1" applyFill="1" applyBorder="1" applyAlignment="1">
      <alignment horizontal="left"/>
    </xf>
    <xf numFmtId="164" fontId="36" fillId="0" borderId="24" xfId="48" applyNumberFormat="1" applyFont="1" applyFill="1" applyBorder="1" applyAlignment="1">
      <alignment horizontal="right"/>
    </xf>
    <xf numFmtId="0" fontId="36" fillId="0" borderId="1" xfId="37" applyFont="1" applyBorder="1" applyAlignment="1">
      <alignment horizontal="center"/>
    </xf>
    <xf numFmtId="0" fontId="36" fillId="0" borderId="1" xfId="37" applyFont="1" applyFill="1" applyBorder="1" applyAlignment="1">
      <alignment horizontal="center" wrapText="1"/>
    </xf>
    <xf numFmtId="0" fontId="36" fillId="0" borderId="9" xfId="37" applyFont="1" applyFill="1" applyBorder="1" applyAlignment="1">
      <alignment horizontal="center" wrapText="1"/>
    </xf>
    <xf numFmtId="3" fontId="36" fillId="0" borderId="0" xfId="37" applyNumberFormat="1" applyFont="1" applyBorder="1" applyAlignment="1">
      <alignment horizontal="right"/>
    </xf>
    <xf numFmtId="0" fontId="36" fillId="0" borderId="8" xfId="37" applyNumberFormat="1" applyFont="1" applyFill="1" applyBorder="1" applyAlignment="1">
      <alignment horizontal="center"/>
    </xf>
    <xf numFmtId="164" fontId="36" fillId="0" borderId="0" xfId="37" applyNumberFormat="1" applyFont="1" applyBorder="1" applyAlignment="1">
      <alignment horizontal="center"/>
    </xf>
    <xf numFmtId="164" fontId="36" fillId="0" borderId="1" xfId="48" applyNumberFormat="1" applyFont="1" applyFill="1" applyBorder="1" applyAlignment="1">
      <alignment horizontal="right"/>
    </xf>
    <xf numFmtId="37" fontId="142" fillId="11" borderId="0" xfId="0" applyNumberFormat="1" applyFont="1" applyFill="1" applyAlignment="1">
      <alignment horizontal="right"/>
    </xf>
    <xf numFmtId="0" fontId="34" fillId="0" borderId="8" xfId="0" applyFont="1" applyFill="1" applyBorder="1" applyAlignment="1">
      <alignment horizontal="center"/>
    </xf>
    <xf numFmtId="0" fontId="34" fillId="0" borderId="0" xfId="0" applyFont="1" applyFill="1" applyBorder="1" applyAlignment="1">
      <alignment horizontal="center"/>
    </xf>
    <xf numFmtId="164" fontId="34" fillId="0" borderId="8" xfId="1" applyNumberFormat="1" applyFont="1" applyFill="1" applyBorder="1" applyAlignment="1">
      <alignment horizontal="center"/>
    </xf>
    <xf numFmtId="164" fontId="34" fillId="0" borderId="0" xfId="1" applyNumberFormat="1" applyFont="1" applyFill="1" applyBorder="1" applyAlignment="1">
      <alignment horizontal="center"/>
    </xf>
    <xf numFmtId="0" fontId="36" fillId="0" borderId="0" xfId="0" applyNumberFormat="1" applyFont="1" applyFill="1" applyBorder="1" applyAlignment="1">
      <alignment horizontal="center"/>
    </xf>
    <xf numFmtId="0" fontId="36" fillId="0" borderId="7" xfId="0" applyNumberFormat="1" applyFont="1" applyFill="1" applyBorder="1" applyAlignment="1">
      <alignment horizontal="center"/>
    </xf>
    <xf numFmtId="0" fontId="36" fillId="0" borderId="0" xfId="0" applyFont="1" applyBorder="1" applyAlignment="1">
      <alignment wrapText="1"/>
    </xf>
    <xf numFmtId="0" fontId="36" fillId="0" borderId="7" xfId="0" applyFont="1" applyBorder="1" applyAlignment="1">
      <alignment wrapText="1"/>
    </xf>
    <xf numFmtId="37" fontId="36" fillId="0" borderId="39" xfId="45" applyNumberFormat="1" applyFont="1" applyFill="1" applyBorder="1" applyAlignment="1">
      <alignment wrapText="1"/>
    </xf>
    <xf numFmtId="0" fontId="33" fillId="0" borderId="0" xfId="0" applyFont="1" applyFill="1" applyAlignment="1">
      <alignment horizontal="centerContinuous"/>
    </xf>
    <xf numFmtId="0" fontId="34" fillId="0" borderId="39" xfId="37" applyNumberFormat="1" applyFont="1" applyFill="1" applyBorder="1" applyAlignment="1">
      <alignment horizontal="left"/>
    </xf>
    <xf numFmtId="0" fontId="142" fillId="0" borderId="0" xfId="37" applyFont="1" applyBorder="1" applyAlignment="1">
      <alignment horizontal="center"/>
    </xf>
    <xf numFmtId="0" fontId="36" fillId="0" borderId="39" xfId="0" applyFont="1" applyBorder="1" applyAlignment="1">
      <alignment horizontal="center"/>
    </xf>
    <xf numFmtId="0" fontId="39" fillId="0" borderId="39" xfId="0" applyFont="1" applyFill="1" applyBorder="1" applyAlignment="1">
      <alignment horizontal="center"/>
    </xf>
    <xf numFmtId="10" fontId="101" fillId="11" borderId="29" xfId="26" applyNumberFormat="1" applyFont="1" applyFill="1" applyBorder="1" applyAlignment="1">
      <alignment horizontal="right" vertical="top"/>
    </xf>
    <xf numFmtId="10" fontId="101" fillId="11" borderId="44" xfId="26" applyNumberFormat="1" applyFont="1" applyFill="1" applyBorder="1" applyAlignment="1">
      <alignment horizontal="right" vertical="top"/>
    </xf>
    <xf numFmtId="10" fontId="101" fillId="11" borderId="48" xfId="26" applyNumberFormat="1" applyFont="1" applyFill="1" applyBorder="1" applyAlignment="1">
      <alignment horizontal="right" vertical="top"/>
    </xf>
    <xf numFmtId="168" fontId="101" fillId="0" borderId="0" xfId="13" applyNumberFormat="1" applyFont="1" applyFill="1"/>
    <xf numFmtId="168" fontId="102" fillId="0" borderId="0" xfId="13" applyNumberFormat="1" applyFont="1" applyFill="1"/>
    <xf numFmtId="164" fontId="101" fillId="11" borderId="0" xfId="1" applyNumberFormat="1" applyFont="1" applyFill="1" applyBorder="1"/>
    <xf numFmtId="0" fontId="33" fillId="0" borderId="0" xfId="57" applyFont="1" applyFill="1" applyAlignment="1">
      <alignment horizontal="left" vertical="justify"/>
    </xf>
    <xf numFmtId="0" fontId="32" fillId="0" borderId="0" xfId="57" applyFont="1" applyFill="1" applyAlignment="1">
      <alignment vertical="center"/>
    </xf>
    <xf numFmtId="0" fontId="32" fillId="0" borderId="0" xfId="57" applyFont="1" applyFill="1" applyAlignment="1">
      <alignment horizontal="centerContinuous"/>
    </xf>
    <xf numFmtId="0" fontId="32" fillId="0" borderId="0" xfId="57" applyFont="1" applyFill="1" applyAlignment="1">
      <alignment horizontal="center"/>
    </xf>
    <xf numFmtId="0" fontId="33" fillId="0" borderId="0" xfId="57" applyFont="1" applyFill="1" applyAlignment="1">
      <alignment horizontal="center"/>
    </xf>
    <xf numFmtId="0" fontId="33" fillId="0" borderId="0" xfId="57" applyFont="1" applyFill="1" applyBorder="1" applyAlignment="1">
      <alignment horizontal="center"/>
    </xf>
    <xf numFmtId="0" fontId="32" fillId="0" borderId="0" xfId="57" applyFont="1" applyFill="1" applyAlignment="1">
      <alignment horizontal="center" vertical="center"/>
    </xf>
    <xf numFmtId="0" fontId="32" fillId="0" borderId="0" xfId="57" applyFont="1" applyFill="1"/>
    <xf numFmtId="0" fontId="33" fillId="0" borderId="0" xfId="57" quotePrefix="1" applyFont="1" applyFill="1" applyAlignment="1">
      <alignment horizontal="center"/>
    </xf>
    <xf numFmtId="0" fontId="32" fillId="0" borderId="0" xfId="57" applyFont="1" applyFill="1" applyAlignment="1">
      <alignment horizontal="center" vertical="center" wrapText="1"/>
    </xf>
    <xf numFmtId="3" fontId="36" fillId="0" borderId="75" xfId="0" applyNumberFormat="1" applyFont="1" applyFill="1" applyBorder="1" applyAlignment="1">
      <alignment horizontal="center"/>
    </xf>
    <xf numFmtId="0" fontId="39" fillId="0" borderId="0" xfId="0" applyFont="1" applyFill="1" applyBorder="1" applyAlignment="1"/>
    <xf numFmtId="0" fontId="36" fillId="0" borderId="75" xfId="0" applyNumberFormat="1" applyFont="1" applyFill="1" applyBorder="1" applyAlignment="1">
      <alignment horizontal="right"/>
    </xf>
    <xf numFmtId="0" fontId="36" fillId="0" borderId="75" xfId="0" applyNumberFormat="1" applyFont="1" applyBorder="1" applyAlignment="1">
      <alignment horizontal="left"/>
    </xf>
    <xf numFmtId="0" fontId="39" fillId="0" borderId="75" xfId="0" applyFont="1" applyFill="1" applyBorder="1" applyAlignment="1"/>
    <xf numFmtId="0" fontId="39" fillId="0" borderId="75" xfId="0" applyNumberFormat="1" applyFont="1" applyBorder="1" applyAlignment="1">
      <alignment horizontal="center"/>
    </xf>
    <xf numFmtId="0" fontId="36" fillId="0" borderId="75" xfId="0" applyNumberFormat="1" applyFont="1" applyFill="1" applyBorder="1" applyAlignment="1">
      <alignment horizontal="left"/>
    </xf>
    <xf numFmtId="164" fontId="36" fillId="0" borderId="75" xfId="0" applyNumberFormat="1" applyFont="1" applyFill="1" applyBorder="1" applyAlignment="1">
      <alignment horizontal="center" wrapText="1"/>
    </xf>
    <xf numFmtId="168" fontId="36" fillId="0" borderId="0" xfId="13" applyNumberFormat="1" applyFont="1" applyFill="1" applyBorder="1" applyAlignment="1">
      <alignment horizontal="left"/>
    </xf>
    <xf numFmtId="0" fontId="36" fillId="0" borderId="75" xfId="0" applyFont="1" applyFill="1" applyBorder="1" applyAlignment="1"/>
    <xf numFmtId="164" fontId="36" fillId="0" borderId="75" xfId="1" applyNumberFormat="1" applyFont="1" applyFill="1" applyBorder="1" applyAlignment="1">
      <alignment horizontal="center" wrapText="1"/>
    </xf>
    <xf numFmtId="164" fontId="36" fillId="0" borderId="75" xfId="1" applyNumberFormat="1" applyFont="1" applyFill="1" applyBorder="1" applyAlignment="1">
      <alignment horizontal="center"/>
    </xf>
    <xf numFmtId="164" fontId="36" fillId="0" borderId="75" xfId="0" applyNumberFormat="1" applyFont="1" applyFill="1" applyBorder="1" applyAlignment="1">
      <alignment horizontal="center"/>
    </xf>
    <xf numFmtId="0" fontId="36" fillId="0" borderId="75" xfId="0" applyNumberFormat="1" applyFont="1" applyBorder="1" applyAlignment="1">
      <alignment horizontal="center"/>
    </xf>
    <xf numFmtId="0" fontId="36" fillId="0" borderId="75" xfId="0" applyNumberFormat="1" applyFont="1" applyFill="1" applyBorder="1" applyAlignment="1">
      <alignment horizontal="center"/>
    </xf>
    <xf numFmtId="164" fontId="36" fillId="0" borderId="75" xfId="48" applyNumberFormat="1" applyFont="1" applyFill="1" applyBorder="1" applyAlignment="1">
      <alignment horizontal="right"/>
    </xf>
    <xf numFmtId="0" fontId="36" fillId="0" borderId="75" xfId="37" applyFont="1" applyFill="1" applyBorder="1" applyAlignment="1">
      <alignment horizontal="center" wrapText="1"/>
    </xf>
    <xf numFmtId="0" fontId="36" fillId="11" borderId="0" xfId="0" applyFont="1" applyFill="1" applyBorder="1" applyAlignment="1"/>
    <xf numFmtId="0" fontId="36" fillId="0" borderId="7" xfId="0" applyFont="1" applyFill="1" applyBorder="1" applyAlignment="1"/>
    <xf numFmtId="0" fontId="39" fillId="0" borderId="75" xfId="0" applyNumberFormat="1" applyFont="1" applyFill="1" applyBorder="1" applyAlignment="1">
      <alignment horizontal="center"/>
    </xf>
    <xf numFmtId="0" fontId="36" fillId="0" borderId="70" xfId="0" applyFont="1" applyBorder="1"/>
    <xf numFmtId="0" fontId="156" fillId="0" borderId="0" xfId="0" applyNumberFormat="1" applyFont="1" applyFill="1" applyBorder="1" applyAlignment="1">
      <alignment horizontal="left"/>
    </xf>
    <xf numFmtId="0" fontId="36" fillId="0" borderId="75" xfId="0" applyFont="1" applyFill="1" applyBorder="1" applyAlignment="1">
      <alignment horizontal="center" wrapText="1"/>
    </xf>
    <xf numFmtId="164" fontId="36" fillId="0" borderId="75" xfId="1" applyNumberFormat="1" applyFont="1" applyFill="1" applyBorder="1" applyAlignment="1"/>
    <xf numFmtId="0" fontId="36" fillId="0" borderId="11" xfId="37" applyNumberFormat="1" applyFont="1" applyBorder="1" applyAlignment="1">
      <alignment horizontal="center"/>
    </xf>
    <xf numFmtId="0" fontId="36" fillId="0" borderId="75" xfId="37" applyNumberFormat="1" applyFont="1" applyBorder="1" applyAlignment="1">
      <alignment horizontal="center"/>
    </xf>
    <xf numFmtId="164" fontId="36" fillId="0" borderId="75" xfId="0" applyNumberFormat="1" applyFont="1" applyBorder="1"/>
    <xf numFmtId="0" fontId="36" fillId="0" borderId="11" xfId="37" applyFont="1" applyBorder="1" applyAlignment="1"/>
    <xf numFmtId="0" fontId="36" fillId="0" borderId="11" xfId="37" applyFont="1" applyBorder="1" applyAlignment="1">
      <alignment horizontal="center"/>
    </xf>
    <xf numFmtId="0" fontId="36" fillId="0" borderId="11" xfId="37" applyFont="1" applyFill="1" applyBorder="1" applyAlignment="1">
      <alignment horizontal="center" wrapText="1"/>
    </xf>
    <xf numFmtId="0" fontId="36" fillId="0" borderId="75" xfId="37" applyNumberFormat="1" applyFont="1" applyFill="1" applyBorder="1" applyAlignment="1">
      <alignment horizontal="left"/>
    </xf>
    <xf numFmtId="0" fontId="36" fillId="0" borderId="75" xfId="37" applyFont="1" applyBorder="1" applyAlignment="1"/>
    <xf numFmtId="0" fontId="39" fillId="0" borderId="75" xfId="37" applyNumberFormat="1" applyFont="1" applyFill="1" applyBorder="1" applyAlignment="1">
      <alignment horizontal="center"/>
    </xf>
    <xf numFmtId="0" fontId="36" fillId="0" borderId="75" xfId="0" applyFont="1" applyFill="1" applyBorder="1" applyAlignment="1">
      <alignment horizontal="center"/>
    </xf>
    <xf numFmtId="3" fontId="36" fillId="0" borderId="7" xfId="0" applyNumberFormat="1" applyFont="1" applyFill="1" applyBorder="1" applyAlignment="1"/>
    <xf numFmtId="0" fontId="36" fillId="0" borderId="75" xfId="37" applyFont="1" applyBorder="1" applyAlignment="1">
      <alignment horizontal="center"/>
    </xf>
    <xf numFmtId="0" fontId="36" fillId="0" borderId="11" xfId="37" applyNumberFormat="1" applyFont="1" applyFill="1" applyBorder="1" applyAlignment="1">
      <alignment horizontal="center"/>
    </xf>
    <xf numFmtId="0" fontId="36" fillId="0" borderId="75" xfId="0" applyFont="1" applyBorder="1"/>
    <xf numFmtId="0" fontId="156" fillId="0" borderId="0" xfId="37" applyFont="1" applyFill="1" applyBorder="1" applyAlignment="1">
      <alignment horizontal="left"/>
    </xf>
    <xf numFmtId="0" fontId="36" fillId="0" borderId="11" xfId="37" applyNumberFormat="1" applyFont="1" applyFill="1" applyBorder="1" applyAlignment="1">
      <alignment horizontal="left"/>
    </xf>
    <xf numFmtId="0" fontId="39" fillId="0" borderId="11" xfId="37" applyNumberFormat="1" applyFont="1" applyFill="1" applyBorder="1" applyAlignment="1">
      <alignment horizontal="center"/>
    </xf>
    <xf numFmtId="164" fontId="36" fillId="0" borderId="11" xfId="48" applyNumberFormat="1" applyFont="1" applyFill="1" applyBorder="1" applyAlignment="1">
      <alignment horizontal="right"/>
    </xf>
    <xf numFmtId="0" fontId="36" fillId="0" borderId="75" xfId="0" applyFont="1" applyFill="1" applyBorder="1"/>
    <xf numFmtId="0" fontId="156" fillId="0" borderId="0" xfId="0" applyFont="1" applyFill="1" applyBorder="1" applyAlignment="1">
      <alignment horizontal="left"/>
    </xf>
    <xf numFmtId="3" fontId="36" fillId="0" borderId="0" xfId="0" applyNumberFormat="1" applyFont="1" applyFill="1" applyBorder="1"/>
    <xf numFmtId="0" fontId="32" fillId="0" borderId="0" xfId="37" applyFont="1"/>
    <xf numFmtId="37" fontId="32" fillId="0" borderId="0" xfId="45" applyNumberFormat="1" applyFont="1"/>
    <xf numFmtId="164" fontId="36" fillId="0" borderId="9" xfId="1" applyNumberFormat="1" applyFont="1" applyFill="1" applyBorder="1" applyAlignment="1">
      <alignment horizontal="center" wrapText="1"/>
    </xf>
    <xf numFmtId="0" fontId="36" fillId="0" borderId="0" xfId="0" applyNumberFormat="1" applyFont="1" applyFill="1" applyBorder="1" applyAlignment="1">
      <alignment horizontal="center"/>
    </xf>
    <xf numFmtId="172" fontId="32" fillId="0" borderId="0" xfId="13" applyNumberFormat="1" applyAlignment="1"/>
    <xf numFmtId="0" fontId="157" fillId="0" borderId="0" xfId="0" applyFont="1" applyFill="1"/>
    <xf numFmtId="37" fontId="36" fillId="0" borderId="0" xfId="45" applyNumberFormat="1" applyFont="1" applyFill="1" applyBorder="1" applyAlignment="1">
      <alignment wrapText="1"/>
    </xf>
    <xf numFmtId="0" fontId="48" fillId="0" borderId="0" xfId="0" applyNumberFormat="1" applyFont="1" applyFill="1" applyBorder="1"/>
    <xf numFmtId="164" fontId="142" fillId="11" borderId="0" xfId="1" applyNumberFormat="1" applyFont="1" applyFill="1" applyBorder="1" applyAlignment="1"/>
    <xf numFmtId="0" fontId="56" fillId="0" borderId="23" xfId="0" applyFont="1" applyBorder="1" applyAlignment="1">
      <alignment horizontal="center"/>
    </xf>
    <xf numFmtId="164" fontId="56" fillId="0" borderId="5" xfId="1" applyNumberFormat="1" applyFont="1" applyBorder="1" applyAlignment="1">
      <alignment horizontal="center"/>
    </xf>
    <xf numFmtId="0" fontId="56" fillId="0" borderId="23" xfId="0" applyFont="1" applyFill="1" applyBorder="1" applyAlignment="1">
      <alignment horizontal="center"/>
    </xf>
    <xf numFmtId="0" fontId="56" fillId="0" borderId="6" xfId="0" applyFont="1" applyFill="1" applyBorder="1" applyAlignment="1">
      <alignment horizontal="center" wrapText="1"/>
    </xf>
    <xf numFmtId="0" fontId="56" fillId="0" borderId="32" xfId="0" applyFont="1" applyFill="1" applyBorder="1" applyAlignment="1">
      <alignment horizontal="center" wrapText="1"/>
    </xf>
    <xf numFmtId="0" fontId="53" fillId="0" borderId="23" xfId="0" applyFont="1" applyBorder="1"/>
    <xf numFmtId="0" fontId="53" fillId="0" borderId="0" xfId="0" applyFont="1" applyBorder="1" applyAlignment="1">
      <alignment horizontal="center" wrapText="1"/>
    </xf>
    <xf numFmtId="10" fontId="53" fillId="0" borderId="0" xfId="13" applyNumberFormat="1" applyFont="1" applyFill="1" applyBorder="1" applyAlignment="1">
      <alignment horizontal="left"/>
    </xf>
    <xf numFmtId="164" fontId="53" fillId="0" borderId="0" xfId="0" applyNumberFormat="1" applyFont="1" applyFill="1" applyBorder="1"/>
    <xf numFmtId="0" fontId="53" fillId="0" borderId="75" xfId="0" applyFont="1" applyFill="1" applyBorder="1"/>
    <xf numFmtId="0" fontId="43" fillId="0" borderId="0" xfId="0" applyNumberFormat="1" applyFont="1" applyFill="1"/>
    <xf numFmtId="0" fontId="32" fillId="0" borderId="0" xfId="0" applyNumberFormat="1" applyFont="1" applyFill="1"/>
    <xf numFmtId="3" fontId="36" fillId="0" borderId="39" xfId="37" applyNumberFormat="1" applyFont="1" applyFill="1" applyBorder="1" applyAlignment="1"/>
    <xf numFmtId="3" fontId="42" fillId="0" borderId="75" xfId="0" applyNumberFormat="1" applyFont="1" applyFill="1" applyBorder="1" applyAlignment="1">
      <alignment horizontal="center"/>
    </xf>
    <xf numFmtId="37" fontId="34" fillId="0" borderId="0" xfId="1" applyNumberFormat="1" applyFont="1" applyFill="1"/>
    <xf numFmtId="37" fontId="36" fillId="0" borderId="4" xfId="0" applyNumberFormat="1" applyFont="1" applyFill="1" applyBorder="1" applyAlignment="1">
      <alignment horizontal="right"/>
    </xf>
    <xf numFmtId="0" fontId="36" fillId="11" borderId="4" xfId="0" applyNumberFormat="1" applyFont="1" applyFill="1" applyBorder="1" applyAlignment="1">
      <alignment horizontal="left"/>
    </xf>
    <xf numFmtId="0" fontId="144" fillId="37" borderId="78" xfId="0" applyFont="1" applyFill="1" applyBorder="1" applyAlignment="1">
      <alignment horizontal="center" wrapText="1"/>
    </xf>
    <xf numFmtId="0" fontId="144" fillId="37" borderId="79" xfId="0" applyFont="1" applyFill="1" applyBorder="1" applyAlignment="1">
      <alignment horizontal="center" wrapText="1"/>
    </xf>
    <xf numFmtId="0" fontId="144" fillId="37" borderId="79" xfId="0" applyFont="1" applyFill="1" applyBorder="1" applyAlignment="1"/>
    <xf numFmtId="0" fontId="144" fillId="37" borderId="80" xfId="0" applyFont="1" applyFill="1" applyBorder="1" applyAlignment="1"/>
    <xf numFmtId="0" fontId="144" fillId="37" borderId="79" xfId="0" applyFont="1" applyFill="1" applyBorder="1" applyAlignment="1">
      <alignment wrapText="1"/>
    </xf>
    <xf numFmtId="0" fontId="144" fillId="37" borderId="80" xfId="0" applyFont="1" applyFill="1" applyBorder="1" applyAlignment="1">
      <alignment wrapText="1"/>
    </xf>
    <xf numFmtId="0" fontId="36" fillId="0" borderId="7" xfId="0" applyNumberFormat="1" applyFont="1" applyFill="1" applyBorder="1" applyAlignment="1"/>
    <xf numFmtId="0" fontId="144" fillId="37" borderId="78" xfId="37" applyFont="1" applyFill="1" applyBorder="1" applyAlignment="1">
      <alignment horizontal="center" wrapText="1"/>
    </xf>
    <xf numFmtId="0" fontId="144" fillId="37" borderId="79" xfId="37" applyFont="1" applyFill="1" applyBorder="1" applyAlignment="1">
      <alignment horizontal="center" wrapText="1"/>
    </xf>
    <xf numFmtId="0" fontId="144" fillId="37" borderId="79" xfId="37" applyFont="1" applyFill="1" applyBorder="1" applyAlignment="1"/>
    <xf numFmtId="0" fontId="144" fillId="37" borderId="80" xfId="37" applyFont="1" applyFill="1" applyBorder="1" applyAlignment="1"/>
    <xf numFmtId="0" fontId="148" fillId="37" borderId="79" xfId="0" applyFont="1" applyFill="1" applyBorder="1" applyAlignment="1"/>
    <xf numFmtId="0" fontId="148" fillId="37" borderId="80" xfId="0" applyFont="1" applyFill="1" applyBorder="1" applyAlignment="1"/>
    <xf numFmtId="0" fontId="42" fillId="0" borderId="39" xfId="0" applyFont="1" applyFill="1" applyBorder="1" applyAlignment="1"/>
    <xf numFmtId="0" fontId="42" fillId="0" borderId="69" xfId="0" applyFont="1" applyFill="1" applyBorder="1" applyAlignment="1"/>
    <xf numFmtId="0" fontId="33" fillId="7" borderId="0" xfId="0" applyFont="1" applyFill="1" applyAlignment="1">
      <alignment horizontal="left"/>
    </xf>
    <xf numFmtId="37" fontId="101" fillId="11" borderId="66" xfId="1" applyNumberFormat="1" applyFont="1" applyFill="1" applyBorder="1" applyAlignment="1">
      <alignment vertical="center"/>
    </xf>
    <xf numFmtId="0" fontId="144" fillId="37" borderId="79" xfId="0" applyFont="1" applyFill="1" applyBorder="1" applyAlignment="1"/>
    <xf numFmtId="0" fontId="144" fillId="37" borderId="80" xfId="0" applyFont="1" applyFill="1" applyBorder="1" applyAlignment="1"/>
    <xf numFmtId="0" fontId="32" fillId="11" borderId="19" xfId="11" applyFont="1" applyFill="1" applyBorder="1" applyAlignment="1">
      <alignment horizontal="left" vertical="top"/>
    </xf>
    <xf numFmtId="0" fontId="32" fillId="0" borderId="39" xfId="0" applyFont="1" applyFill="1" applyBorder="1"/>
    <xf numFmtId="0" fontId="163" fillId="11" borderId="18" xfId="8" applyFont="1" applyFill="1" applyBorder="1" applyAlignment="1">
      <alignment horizontal="center"/>
    </xf>
    <xf numFmtId="0" fontId="163" fillId="11" borderId="0" xfId="8" applyFont="1" applyFill="1" applyBorder="1" applyAlignment="1">
      <alignment horizontal="center"/>
    </xf>
    <xf numFmtId="0" fontId="163" fillId="11" borderId="17" xfId="8" applyFont="1" applyFill="1" applyBorder="1" applyAlignment="1">
      <alignment horizontal="center"/>
    </xf>
    <xf numFmtId="0" fontId="163" fillId="11" borderId="20" xfId="8" applyFont="1" applyFill="1" applyBorder="1" applyAlignment="1">
      <alignment horizontal="center"/>
    </xf>
    <xf numFmtId="0" fontId="163" fillId="0" borderId="0" xfId="8" applyFont="1" applyAlignment="1">
      <alignment horizontal="center"/>
    </xf>
    <xf numFmtId="49" fontId="102" fillId="0" borderId="65" xfId="57" applyNumberFormat="1" applyFont="1" applyFill="1" applyBorder="1" applyAlignment="1">
      <alignment vertical="center"/>
    </xf>
    <xf numFmtId="37" fontId="32" fillId="0" borderId="68" xfId="45" quotePrefix="1" applyNumberFormat="1" applyFont="1" applyFill="1" applyBorder="1" applyAlignment="1">
      <alignment horizontal="center" vertical="center"/>
    </xf>
    <xf numFmtId="37" fontId="32" fillId="0" borderId="68" xfId="45" quotePrefix="1" applyNumberFormat="1" applyFont="1" applyFill="1" applyBorder="1" applyAlignment="1">
      <alignment horizontal="center" vertical="center" wrapText="1"/>
    </xf>
    <xf numFmtId="37" fontId="32" fillId="0" borderId="17" xfId="45" quotePrefix="1" applyNumberFormat="1" applyFont="1" applyFill="1" applyBorder="1" applyAlignment="1">
      <alignment horizontal="center" vertical="center"/>
    </xf>
    <xf numFmtId="3" fontId="36" fillId="0" borderId="8" xfId="0" applyNumberFormat="1" applyFont="1" applyFill="1" applyBorder="1" applyAlignment="1">
      <alignment horizontal="center"/>
    </xf>
    <xf numFmtId="37" fontId="32" fillId="0" borderId="17" xfId="45" quotePrefix="1" applyNumberFormat="1" applyFont="1" applyFill="1" applyBorder="1" applyAlignment="1">
      <alignment horizontal="center" vertical="center" wrapText="1"/>
    </xf>
    <xf numFmtId="43" fontId="58" fillId="0" borderId="0" xfId="8" applyNumberFormat="1" applyFont="1" applyFill="1"/>
    <xf numFmtId="0" fontId="58" fillId="0" borderId="0" xfId="8" applyNumberFormat="1" applyFont="1" applyFill="1"/>
    <xf numFmtId="3" fontId="36" fillId="0" borderId="0" xfId="0" applyNumberFormat="1" applyFont="1" applyFill="1" applyBorder="1" applyAlignment="1">
      <alignment horizontal="center" wrapText="1"/>
    </xf>
    <xf numFmtId="0" fontId="39" fillId="0" borderId="75" xfId="0" applyFont="1" applyFill="1" applyBorder="1" applyAlignment="1">
      <alignment horizontal="center"/>
    </xf>
    <xf numFmtId="0" fontId="36" fillId="0" borderId="47" xfId="0" applyFont="1" applyFill="1" applyBorder="1"/>
    <xf numFmtId="0" fontId="34" fillId="0" borderId="47" xfId="0" applyFont="1" applyFill="1" applyBorder="1" applyAlignment="1">
      <alignment horizontal="left" indent="1"/>
    </xf>
    <xf numFmtId="0" fontId="36" fillId="11" borderId="0" xfId="0" applyFont="1" applyFill="1" applyBorder="1" applyAlignment="1">
      <alignment horizontal="left" indent="1"/>
    </xf>
    <xf numFmtId="0" fontId="36" fillId="0" borderId="7" xfId="0" applyFont="1" applyFill="1" applyBorder="1" applyAlignment="1">
      <alignment horizontal="left"/>
    </xf>
    <xf numFmtId="0" fontId="36" fillId="0" borderId="8" xfId="0" applyFont="1" applyFill="1" applyBorder="1" applyAlignment="1">
      <alignment horizontal="left"/>
    </xf>
    <xf numFmtId="0" fontId="36" fillId="0" borderId="7" xfId="0" applyFont="1" applyBorder="1" applyAlignment="1">
      <alignment horizontal="left"/>
    </xf>
    <xf numFmtId="0" fontId="39" fillId="0" borderId="47" xfId="0" applyFont="1" applyFill="1" applyBorder="1" applyAlignment="1">
      <alignment horizontal="center"/>
    </xf>
    <xf numFmtId="0" fontId="36" fillId="0" borderId="47" xfId="0" applyFont="1" applyFill="1" applyBorder="1" applyAlignment="1"/>
    <xf numFmtId="0" fontId="142" fillId="11" borderId="7" xfId="0" applyNumberFormat="1" applyFont="1" applyFill="1" applyBorder="1" applyAlignment="1"/>
    <xf numFmtId="0" fontId="142" fillId="11" borderId="7" xfId="0" applyFont="1" applyFill="1" applyBorder="1" applyAlignment="1"/>
    <xf numFmtId="10" fontId="36" fillId="0" borderId="0" xfId="13" applyNumberFormat="1" applyFont="1" applyFill="1" applyBorder="1" applyAlignment="1">
      <alignment horizontal="center"/>
    </xf>
    <xf numFmtId="164" fontId="60" fillId="0" borderId="36" xfId="8" applyNumberFormat="1" applyFont="1" applyFill="1" applyBorder="1"/>
    <xf numFmtId="0" fontId="32" fillId="0" borderId="0" xfId="37" applyFont="1"/>
    <xf numFmtId="0" fontId="32" fillId="0" borderId="0" xfId="37" applyFont="1" applyBorder="1" applyAlignment="1"/>
    <xf numFmtId="0" fontId="32" fillId="0" borderId="0" xfId="37" applyFont="1" applyBorder="1" applyAlignment="1">
      <alignment horizontal="center"/>
    </xf>
    <xf numFmtId="0" fontId="32" fillId="0" borderId="0" xfId="37" applyFont="1" applyFill="1" applyBorder="1" applyAlignment="1">
      <alignment horizontal="center" wrapText="1"/>
    </xf>
    <xf numFmtId="0" fontId="32" fillId="0" borderId="0" xfId="37" applyNumberFormat="1" applyFont="1" applyBorder="1" applyAlignment="1">
      <alignment horizontal="center"/>
    </xf>
    <xf numFmtId="0" fontId="32" fillId="0" borderId="0" xfId="37" applyNumberFormat="1" applyFont="1" applyFill="1" applyBorder="1" applyAlignment="1">
      <alignment horizontal="left"/>
    </xf>
    <xf numFmtId="0" fontId="107" fillId="0" borderId="0" xfId="37" applyNumberFormat="1" applyFont="1" applyFill="1" applyBorder="1" applyAlignment="1">
      <alignment horizontal="center"/>
    </xf>
    <xf numFmtId="0" fontId="32" fillId="0" borderId="0" xfId="37" applyNumberFormat="1" applyFont="1" applyFill="1" applyBorder="1" applyAlignment="1">
      <alignment horizontal="center"/>
    </xf>
    <xf numFmtId="37" fontId="34" fillId="0" borderId="39" xfId="45" applyNumberFormat="1" applyFont="1" applyFill="1" applyBorder="1"/>
    <xf numFmtId="49" fontId="102" fillId="0" borderId="20" xfId="57" applyNumberFormat="1" applyFont="1" applyFill="1" applyBorder="1" applyAlignment="1">
      <alignment vertical="center"/>
    </xf>
    <xf numFmtId="164" fontId="36" fillId="0" borderId="75" xfId="1" applyNumberFormat="1" applyFont="1" applyFill="1" applyBorder="1" applyAlignment="1"/>
    <xf numFmtId="0" fontId="101" fillId="0" borderId="0" xfId="0" applyFont="1" applyFill="1"/>
    <xf numFmtId="0" fontId="36" fillId="0" borderId="49" xfId="0" applyNumberFormat="1" applyFont="1" applyFill="1" applyBorder="1" applyAlignment="1">
      <alignment horizontal="left"/>
    </xf>
    <xf numFmtId="3" fontId="36" fillId="0" borderId="49" xfId="0" applyNumberFormat="1" applyFont="1" applyFill="1" applyBorder="1" applyAlignment="1"/>
    <xf numFmtId="0" fontId="36" fillId="0" borderId="4" xfId="0" applyFont="1" applyBorder="1"/>
    <xf numFmtId="37" fontId="142" fillId="11" borderId="0" xfId="1" applyNumberFormat="1" applyFont="1" applyFill="1" applyBorder="1" applyAlignment="1"/>
    <xf numFmtId="3" fontId="48" fillId="0" borderId="5" xfId="0" applyNumberFormat="1" applyFont="1" applyFill="1" applyBorder="1" applyAlignment="1"/>
    <xf numFmtId="3" fontId="48" fillId="0" borderId="5" xfId="0" applyNumberFormat="1" applyFont="1" applyBorder="1" applyAlignment="1"/>
    <xf numFmtId="0" fontId="48" fillId="0" borderId="5" xfId="0" applyNumberFormat="1" applyFont="1" applyFill="1" applyBorder="1" applyAlignment="1"/>
    <xf numFmtId="3" fontId="36" fillId="0" borderId="3" xfId="0" applyNumberFormat="1" applyFont="1" applyBorder="1" applyAlignment="1"/>
    <xf numFmtId="0" fontId="36" fillId="0" borderId="3" xfId="0" applyFont="1" applyFill="1" applyBorder="1" applyAlignment="1">
      <alignment horizontal="left"/>
    </xf>
    <xf numFmtId="0" fontId="36" fillId="0" borderId="39" xfId="0" applyNumberFormat="1" applyFont="1" applyBorder="1" applyAlignment="1"/>
    <xf numFmtId="0" fontId="36" fillId="0" borderId="49" xfId="0" applyNumberFormat="1" applyFont="1" applyFill="1" applyBorder="1" applyAlignment="1"/>
    <xf numFmtId="0" fontId="34" fillId="0" borderId="82" xfId="0" applyNumberFormat="1" applyFont="1" applyFill="1" applyBorder="1" applyAlignment="1"/>
    <xf numFmtId="0" fontId="142" fillId="11" borderId="7" xfId="0" applyNumberFormat="1" applyFont="1" applyFill="1" applyBorder="1" applyAlignment="1">
      <alignment horizontal="left"/>
    </xf>
    <xf numFmtId="3" fontId="142" fillId="11" borderId="7" xfId="0" applyNumberFormat="1" applyFont="1" applyFill="1" applyBorder="1" applyAlignment="1">
      <alignment horizontal="left"/>
    </xf>
    <xf numFmtId="0" fontId="36" fillId="0" borderId="47" xfId="0" applyFont="1" applyFill="1" applyBorder="1" applyAlignment="1">
      <alignment horizontal="left" indent="1"/>
    </xf>
    <xf numFmtId="0" fontId="58" fillId="0" borderId="0" xfId="2" applyNumberFormat="1" applyFont="1" applyFill="1"/>
    <xf numFmtId="164" fontId="60" fillId="0" borderId="38" xfId="8" applyNumberFormat="1" applyFont="1" applyFill="1" applyBorder="1"/>
    <xf numFmtId="0" fontId="144" fillId="37" borderId="79" xfId="0" applyFont="1" applyFill="1" applyBorder="1" applyAlignment="1"/>
    <xf numFmtId="165" fontId="32" fillId="0" borderId="0" xfId="22" applyFont="1"/>
    <xf numFmtId="165" fontId="32" fillId="0" borderId="0" xfId="22" applyFont="1" applyFill="1"/>
    <xf numFmtId="165" fontId="32" fillId="0" borderId="0" xfId="22" applyFont="1" applyAlignment="1">
      <alignment horizontal="center"/>
    </xf>
    <xf numFmtId="0" fontId="165" fillId="0" borderId="0" xfId="45" applyFont="1" applyAlignment="1"/>
    <xf numFmtId="44" fontId="32" fillId="0" borderId="0" xfId="472" applyFont="1" applyFill="1"/>
    <xf numFmtId="0" fontId="98" fillId="0" borderId="0" xfId="45" applyFont="1" applyFill="1"/>
    <xf numFmtId="0" fontId="32" fillId="0" borderId="0" xfId="45" applyFont="1" applyFill="1"/>
    <xf numFmtId="44" fontId="32" fillId="0" borderId="0" xfId="472" applyFont="1"/>
    <xf numFmtId="0" fontId="98" fillId="0" borderId="0" xfId="45" applyFont="1"/>
    <xf numFmtId="5" fontId="32" fillId="0" borderId="39" xfId="1" applyNumberFormat="1" applyFont="1" applyFill="1" applyBorder="1"/>
    <xf numFmtId="0" fontId="55" fillId="0" borderId="39" xfId="0" applyFont="1" applyFill="1" applyBorder="1"/>
    <xf numFmtId="0" fontId="36" fillId="0" borderId="82" xfId="0" applyFont="1" applyBorder="1"/>
    <xf numFmtId="37" fontId="36" fillId="0" borderId="0" xfId="37" applyNumberFormat="1" applyFont="1" applyBorder="1" applyAlignment="1">
      <alignment horizontal="center"/>
    </xf>
    <xf numFmtId="0" fontId="36" fillId="0" borderId="39" xfId="0" applyFont="1" applyFill="1" applyBorder="1"/>
    <xf numFmtId="37" fontId="36" fillId="0" borderId="39" xfId="37" applyNumberFormat="1" applyFont="1" applyBorder="1" applyAlignment="1">
      <alignment horizontal="center"/>
    </xf>
    <xf numFmtId="3" fontId="36" fillId="11" borderId="0" xfId="37" applyNumberFormat="1" applyFont="1" applyFill="1" applyBorder="1" applyAlignment="1">
      <alignment horizontal="center"/>
    </xf>
    <xf numFmtId="3" fontId="36" fillId="11" borderId="39" xfId="37" applyNumberFormat="1" applyFont="1" applyFill="1" applyBorder="1" applyAlignment="1">
      <alignment horizontal="center"/>
    </xf>
    <xf numFmtId="0" fontId="36" fillId="11" borderId="0" xfId="37" applyFont="1" applyFill="1" applyBorder="1" applyAlignment="1"/>
    <xf numFmtId="3" fontId="36" fillId="11" borderId="7" xfId="0" applyNumberFormat="1" applyFont="1" applyFill="1" applyBorder="1" applyAlignment="1"/>
    <xf numFmtId="0" fontId="32" fillId="11" borderId="0" xfId="37" applyFont="1" applyFill="1"/>
    <xf numFmtId="3" fontId="36" fillId="11" borderId="82" xfId="0" applyNumberFormat="1" applyFont="1" applyFill="1" applyBorder="1" applyAlignment="1"/>
    <xf numFmtId="37" fontId="34" fillId="0" borderId="36" xfId="48" applyNumberFormat="1" applyFont="1" applyFill="1" applyBorder="1" applyAlignment="1">
      <alignment horizontal="center"/>
    </xf>
    <xf numFmtId="37" fontId="34" fillId="11" borderId="0" xfId="0" applyNumberFormat="1" applyFont="1" applyFill="1" applyBorder="1" applyAlignment="1">
      <alignment horizontal="center"/>
    </xf>
    <xf numFmtId="164" fontId="142" fillId="11" borderId="0" xfId="0" applyNumberFormat="1" applyFont="1" applyFill="1" applyBorder="1" applyAlignment="1"/>
    <xf numFmtId="168" fontId="42" fillId="0" borderId="0" xfId="0" applyNumberFormat="1" applyFont="1" applyFill="1" applyBorder="1" applyAlignment="1">
      <alignment horizontal="left"/>
    </xf>
    <xf numFmtId="0" fontId="36" fillId="0" borderId="24" xfId="0" applyFont="1" applyFill="1" applyBorder="1"/>
    <xf numFmtId="37" fontId="32" fillId="0" borderId="26" xfId="45" applyNumberFormat="1" applyFont="1" applyBorder="1"/>
    <xf numFmtId="37" fontId="32" fillId="0" borderId="31" xfId="45" applyNumberFormat="1" applyFont="1" applyBorder="1"/>
    <xf numFmtId="37" fontId="32" fillId="0" borderId="22" xfId="45" applyNumberFormat="1" applyFont="1" applyBorder="1"/>
    <xf numFmtId="37" fontId="33" fillId="0" borderId="41" xfId="45" applyNumberFormat="1" applyFont="1" applyBorder="1"/>
    <xf numFmtId="37" fontId="33" fillId="0" borderId="43" xfId="45" applyNumberFormat="1" applyFont="1" applyBorder="1"/>
    <xf numFmtId="37" fontId="101" fillId="11" borderId="22" xfId="45" applyNumberFormat="1" applyFont="1" applyFill="1" applyBorder="1"/>
    <xf numFmtId="37" fontId="101" fillId="11" borderId="35" xfId="45" applyNumberFormat="1" applyFont="1" applyFill="1" applyBorder="1"/>
    <xf numFmtId="37" fontId="33" fillId="0" borderId="43" xfId="45" applyNumberFormat="1" applyFont="1" applyBorder="1" applyAlignment="1">
      <alignment horizontal="center"/>
    </xf>
    <xf numFmtId="37" fontId="33" fillId="0" borderId="43" xfId="45" applyNumberFormat="1" applyFont="1" applyBorder="1" applyAlignment="1">
      <alignment horizontal="center" wrapText="1"/>
    </xf>
    <xf numFmtId="37" fontId="33" fillId="0" borderId="42" xfId="45" applyNumberFormat="1" applyFont="1" applyBorder="1" applyAlignment="1">
      <alignment horizontal="center"/>
    </xf>
    <xf numFmtId="0" fontId="33" fillId="11" borderId="4" xfId="57" applyFont="1" applyFill="1" applyBorder="1" applyAlignment="1"/>
    <xf numFmtId="188" fontId="33" fillId="11" borderId="4" xfId="57" quotePrefix="1" applyNumberFormat="1" applyFont="1" applyFill="1" applyBorder="1" applyAlignment="1" applyProtection="1">
      <alignment horizontal="center" wrapText="1"/>
    </xf>
    <xf numFmtId="187" fontId="33" fillId="11" borderId="4" xfId="57" quotePrefix="1" applyNumberFormat="1" applyFont="1" applyFill="1" applyBorder="1" applyAlignment="1">
      <alignment horizontal="center" wrapText="1"/>
    </xf>
    <xf numFmtId="0" fontId="83" fillId="11" borderId="4" xfId="57" applyFont="1" applyFill="1" applyBorder="1" applyAlignment="1">
      <alignment horizontal="center"/>
    </xf>
    <xf numFmtId="165" fontId="32" fillId="0" borderId="0" xfId="22" applyFont="1" applyFill="1" applyAlignment="1">
      <alignment horizontal="center"/>
    </xf>
    <xf numFmtId="0" fontId="164" fillId="0" borderId="75" xfId="45" applyFont="1" applyFill="1" applyBorder="1" applyAlignment="1">
      <alignment horizontal="center"/>
    </xf>
    <xf numFmtId="0" fontId="164" fillId="0" borderId="75" xfId="45" applyFont="1" applyFill="1" applyBorder="1" applyAlignment="1"/>
    <xf numFmtId="165" fontId="32" fillId="0" borderId="75" xfId="22" applyFont="1" applyFill="1" applyBorder="1" applyAlignment="1">
      <alignment horizontal="center"/>
    </xf>
    <xf numFmtId="0" fontId="98" fillId="0" borderId="0" xfId="45" applyFont="1" applyFill="1" applyAlignment="1">
      <alignment horizontal="center"/>
    </xf>
    <xf numFmtId="0" fontId="98" fillId="0" borderId="0" xfId="45" applyFont="1" applyFill="1" applyAlignment="1"/>
    <xf numFmtId="0" fontId="32" fillId="0" borderId="0" xfId="45" applyFont="1" applyFill="1" applyAlignment="1"/>
    <xf numFmtId="0" fontId="165" fillId="0" borderId="0" xfId="45" applyFont="1" applyFill="1" applyAlignment="1"/>
    <xf numFmtId="0" fontId="32" fillId="0" borderId="39" xfId="45" applyFont="1" applyFill="1" applyBorder="1"/>
    <xf numFmtId="0" fontId="98" fillId="0" borderId="0" xfId="45" applyFont="1" applyFill="1" applyBorder="1"/>
    <xf numFmtId="165" fontId="32" fillId="0" borderId="0" xfId="22" applyFont="1" applyFill="1" applyBorder="1"/>
    <xf numFmtId="0" fontId="98" fillId="0" borderId="0" xfId="45" applyFont="1" applyFill="1" applyBorder="1" applyAlignment="1"/>
    <xf numFmtId="0" fontId="32" fillId="0" borderId="0" xfId="45" applyFont="1" applyFill="1" applyBorder="1"/>
    <xf numFmtId="0" fontId="32" fillId="0" borderId="0" xfId="45" applyFont="1" applyFill="1" applyBorder="1" applyAlignment="1"/>
    <xf numFmtId="2" fontId="53" fillId="11" borderId="8" xfId="0" applyNumberFormat="1" applyFont="1" applyFill="1" applyBorder="1" applyAlignment="1">
      <alignment horizontal="center"/>
    </xf>
    <xf numFmtId="0" fontId="53" fillId="11" borderId="8" xfId="0" applyFont="1" applyFill="1" applyBorder="1" applyAlignment="1">
      <alignment horizontal="center"/>
    </xf>
    <xf numFmtId="164" fontId="53" fillId="11" borderId="8" xfId="1" applyNumberFormat="1" applyFont="1" applyFill="1" applyBorder="1"/>
    <xf numFmtId="0" fontId="35" fillId="0" borderId="0" xfId="0" applyFont="1" applyFill="1" applyAlignment="1">
      <alignment horizontal="left"/>
    </xf>
    <xf numFmtId="0" fontId="36" fillId="0" borderId="0" xfId="0" applyNumberFormat="1" applyFont="1" applyBorder="1" applyAlignment="1">
      <alignment horizontal="centerContinuous"/>
    </xf>
    <xf numFmtId="0" fontId="36" fillId="0" borderId="0" xfId="0" applyFont="1" applyAlignment="1">
      <alignment horizontal="centerContinuous"/>
    </xf>
    <xf numFmtId="0" fontId="36" fillId="0" borderId="0" xfId="0" applyFont="1" applyBorder="1" applyAlignment="1">
      <alignment horizontal="centerContinuous"/>
    </xf>
    <xf numFmtId="0" fontId="40" fillId="0" borderId="0" xfId="0" applyFont="1" applyBorder="1" applyAlignment="1">
      <alignment horizontal="centerContinuous"/>
    </xf>
    <xf numFmtId="165" fontId="64" fillId="0" borderId="0" xfId="22" applyFont="1" applyFill="1" applyAlignment="1">
      <alignment horizontal="center"/>
    </xf>
    <xf numFmtId="165" fontId="32" fillId="0" borderId="75" xfId="22" applyFont="1" applyFill="1" applyBorder="1"/>
    <xf numFmtId="0" fontId="98" fillId="0" borderId="75" xfId="45" applyFont="1" applyFill="1" applyBorder="1"/>
    <xf numFmtId="0" fontId="32" fillId="0" borderId="75" xfId="45" applyFont="1" applyFill="1" applyBorder="1" applyAlignment="1"/>
    <xf numFmtId="165" fontId="32" fillId="0" borderId="11" xfId="22" applyFont="1" applyFill="1" applyBorder="1"/>
    <xf numFmtId="0" fontId="32" fillId="0" borderId="11" xfId="45" applyFont="1" applyFill="1" applyBorder="1"/>
    <xf numFmtId="0" fontId="32" fillId="0" borderId="11" xfId="45" applyFont="1" applyFill="1" applyBorder="1" applyAlignment="1"/>
    <xf numFmtId="0" fontId="98" fillId="0" borderId="11" xfId="45" applyFont="1" applyFill="1" applyBorder="1"/>
    <xf numFmtId="37" fontId="32" fillId="0" borderId="0" xfId="1" applyNumberFormat="1" applyFont="1" applyFill="1" applyAlignment="1"/>
    <xf numFmtId="0" fontId="36" fillId="0" borderId="39" xfId="0" applyNumberFormat="1" applyFont="1" applyFill="1" applyBorder="1" applyAlignment="1">
      <alignment horizontal="left" indent="2"/>
    </xf>
    <xf numFmtId="3" fontId="36" fillId="0" borderId="39" xfId="0" applyNumberFormat="1" applyFont="1" applyFill="1" applyBorder="1" applyAlignment="1">
      <alignment horizontal="center"/>
    </xf>
    <xf numFmtId="0" fontId="145" fillId="3" borderId="0" xfId="0" applyFont="1" applyFill="1"/>
    <xf numFmtId="0" fontId="47" fillId="0" borderId="0" xfId="0" applyFont="1" applyFill="1"/>
    <xf numFmtId="10" fontId="36" fillId="0" borderId="0" xfId="13" applyNumberFormat="1" applyFont="1" applyFill="1" applyAlignment="1">
      <alignment horizontal="center"/>
    </xf>
    <xf numFmtId="3" fontId="36" fillId="0" borderId="0" xfId="0" applyNumberFormat="1" applyFont="1" applyFill="1" applyAlignment="1">
      <alignment horizontal="left"/>
    </xf>
    <xf numFmtId="0" fontId="145" fillId="3" borderId="0" xfId="0" applyNumberFormat="1" applyFont="1" applyFill="1" applyAlignment="1">
      <alignment horizontal="left"/>
    </xf>
    <xf numFmtId="0" fontId="47" fillId="3" borderId="0" xfId="0" applyFont="1" applyFill="1" applyAlignment="1">
      <alignment horizontal="left"/>
    </xf>
    <xf numFmtId="10" fontId="36" fillId="0" borderId="0" xfId="0" applyNumberFormat="1" applyFont="1" applyFill="1"/>
    <xf numFmtId="170" fontId="36" fillId="0" borderId="0" xfId="0" applyNumberFormat="1" applyFont="1" applyFill="1" applyAlignment="1"/>
    <xf numFmtId="3" fontId="36" fillId="0" borderId="4" xfId="0" applyNumberFormat="1" applyFont="1" applyFill="1" applyBorder="1" applyAlignment="1">
      <alignment horizontal="center"/>
    </xf>
    <xf numFmtId="3" fontId="36" fillId="0" borderId="4" xfId="0" applyNumberFormat="1" applyFont="1" applyBorder="1"/>
    <xf numFmtId="169" fontId="36" fillId="0" borderId="4" xfId="0" applyNumberFormat="1" applyFont="1" applyBorder="1" applyAlignment="1">
      <alignment horizontal="center"/>
    </xf>
    <xf numFmtId="3" fontId="39" fillId="0" borderId="2" xfId="0" applyNumberFormat="1" applyFont="1" applyBorder="1" applyAlignment="1">
      <alignment horizontal="right"/>
    </xf>
    <xf numFmtId="3" fontId="41" fillId="0" borderId="0" xfId="0" applyNumberFormat="1" applyFont="1" applyBorder="1" applyAlignment="1">
      <alignment horizontal="right"/>
    </xf>
    <xf numFmtId="3" fontId="40" fillId="0" borderId="0" xfId="0" applyNumberFormat="1" applyFont="1" applyBorder="1" applyAlignment="1">
      <alignment horizontal="right"/>
    </xf>
    <xf numFmtId="165" fontId="64" fillId="0" borderId="0" xfId="22" applyFont="1" applyFill="1" applyAlignment="1">
      <alignment horizontal="centerContinuous"/>
    </xf>
    <xf numFmtId="0" fontId="92" fillId="0" borderId="75" xfId="0" applyFont="1" applyFill="1" applyBorder="1" applyAlignment="1">
      <alignment vertical="center"/>
    </xf>
    <xf numFmtId="37" fontId="36" fillId="0" borderId="0" xfId="45" applyNumberFormat="1" applyFont="1" applyFill="1" applyBorder="1" applyAlignment="1">
      <alignment horizontal="centerContinuous" vertical="center"/>
    </xf>
    <xf numFmtId="37" fontId="45" fillId="0" borderId="32" xfId="0" applyNumberFormat="1" applyFont="1" applyBorder="1"/>
    <xf numFmtId="37" fontId="45" fillId="0" borderId="32" xfId="0" applyNumberFormat="1" applyFont="1" applyFill="1" applyBorder="1"/>
    <xf numFmtId="37" fontId="45" fillId="0" borderId="32" xfId="5" applyNumberFormat="1" applyFont="1" applyFill="1" applyBorder="1" applyAlignment="1"/>
    <xf numFmtId="0" fontId="48" fillId="0" borderId="0" xfId="0" applyNumberFormat="1" applyFont="1" applyFill="1" applyAlignment="1">
      <alignment wrapText="1"/>
    </xf>
    <xf numFmtId="0" fontId="48" fillId="0" borderId="0" xfId="0" applyNumberFormat="1" applyFont="1" applyFill="1" applyAlignment="1"/>
    <xf numFmtId="0" fontId="142" fillId="0" borderId="7" xfId="0" applyNumberFormat="1" applyFont="1" applyFill="1" applyBorder="1" applyAlignment="1">
      <alignment horizontal="center"/>
    </xf>
    <xf numFmtId="37" fontId="34" fillId="0" borderId="38" xfId="0" applyNumberFormat="1" applyFont="1" applyBorder="1" applyAlignment="1">
      <alignment horizontal="center"/>
    </xf>
    <xf numFmtId="37" fontId="34" fillId="0" borderId="0" xfId="0" applyNumberFormat="1" applyFont="1" applyFill="1"/>
    <xf numFmtId="0" fontId="33" fillId="0" borderId="0" xfId="0" applyFont="1" applyBorder="1" applyAlignment="1">
      <alignment horizontal="center" vertical="center"/>
    </xf>
    <xf numFmtId="0" fontId="33" fillId="0" borderId="7" xfId="0" applyFont="1" applyBorder="1" applyAlignment="1">
      <alignment horizontal="center"/>
    </xf>
    <xf numFmtId="0" fontId="32" fillId="0" borderId="36" xfId="0" applyFont="1" applyBorder="1" applyAlignment="1">
      <alignment horizontal="center"/>
    </xf>
    <xf numFmtId="10" fontId="159" fillId="11" borderId="16" xfId="13" applyNumberFormat="1" applyFont="1" applyFill="1" applyBorder="1"/>
    <xf numFmtId="38" fontId="159" fillId="11" borderId="36" xfId="0" applyNumberFormat="1" applyFont="1" applyFill="1" applyBorder="1"/>
    <xf numFmtId="0" fontId="32" fillId="39" borderId="36" xfId="0" applyFont="1" applyFill="1" applyBorder="1"/>
    <xf numFmtId="0" fontId="167" fillId="0" borderId="0" xfId="0" applyFont="1" applyFill="1"/>
    <xf numFmtId="0" fontId="168" fillId="0" borderId="0" xfId="0" applyFont="1" applyBorder="1" applyAlignment="1">
      <alignment horizontal="left"/>
    </xf>
    <xf numFmtId="0" fontId="0" fillId="39" borderId="37" xfId="13" applyNumberFormat="1" applyFont="1" applyFill="1" applyBorder="1" applyAlignment="1">
      <alignment horizontal="center"/>
    </xf>
    <xf numFmtId="0" fontId="0" fillId="39" borderId="36" xfId="0" applyFill="1" applyBorder="1" applyAlignment="1">
      <alignment horizontal="left"/>
    </xf>
    <xf numFmtId="0" fontId="101" fillId="39" borderId="38" xfId="0" applyFont="1" applyFill="1" applyBorder="1"/>
    <xf numFmtId="0" fontId="32" fillId="39" borderId="36" xfId="0" applyFont="1" applyFill="1" applyBorder="1" applyAlignment="1">
      <alignment horizontal="center"/>
    </xf>
    <xf numFmtId="37" fontId="36" fillId="41" borderId="0" xfId="0" applyNumberFormat="1" applyFont="1" applyFill="1" applyAlignment="1"/>
    <xf numFmtId="10" fontId="36" fillId="41" borderId="0" xfId="13" applyNumberFormat="1" applyFont="1" applyFill="1" applyAlignment="1"/>
    <xf numFmtId="10" fontId="142" fillId="41" borderId="0" xfId="13" applyNumberFormat="1" applyFont="1" applyFill="1" applyAlignment="1"/>
    <xf numFmtId="10" fontId="36" fillId="41" borderId="0" xfId="13" applyNumberFormat="1" applyFont="1" applyFill="1" applyBorder="1" applyAlignment="1">
      <alignment horizontal="center"/>
    </xf>
    <xf numFmtId="164" fontId="58" fillId="41" borderId="18" xfId="2" applyNumberFormat="1" applyFont="1" applyFill="1" applyBorder="1"/>
    <xf numFmtId="164" fontId="58" fillId="41" borderId="21" xfId="2" applyNumberFormat="1" applyFont="1" applyFill="1" applyBorder="1"/>
    <xf numFmtId="38" fontId="53" fillId="41" borderId="8" xfId="0" applyNumberFormat="1" applyFont="1" applyFill="1" applyBorder="1" applyAlignment="1">
      <alignment horizontal="center"/>
    </xf>
    <xf numFmtId="38" fontId="159" fillId="39" borderId="36" xfId="0" applyNumberFormat="1" applyFont="1" applyFill="1" applyBorder="1"/>
    <xf numFmtId="10" fontId="159" fillId="39" borderId="36" xfId="13" applyNumberFormat="1" applyFont="1" applyFill="1" applyBorder="1"/>
    <xf numFmtId="37" fontId="0" fillId="39" borderId="22" xfId="0" applyNumberFormat="1" applyFill="1" applyBorder="1"/>
    <xf numFmtId="37" fontId="36" fillId="41" borderId="0" xfId="0" applyNumberFormat="1" applyFont="1" applyFill="1" applyBorder="1" applyAlignment="1">
      <alignment horizontal="center"/>
    </xf>
    <xf numFmtId="0" fontId="143" fillId="38" borderId="23" xfId="0" applyFont="1" applyFill="1" applyBorder="1" applyAlignment="1">
      <alignment horizontal="center" wrapText="1"/>
    </xf>
    <xf numFmtId="0" fontId="34" fillId="0" borderId="39" xfId="0" applyFont="1" applyBorder="1" applyAlignment="1">
      <alignment horizontal="left" indent="1"/>
    </xf>
    <xf numFmtId="37" fontId="36" fillId="41" borderId="0" xfId="48" applyNumberFormat="1" applyFont="1" applyFill="1" applyBorder="1" applyAlignment="1">
      <alignment horizontal="center"/>
    </xf>
    <xf numFmtId="3" fontId="36" fillId="11" borderId="99" xfId="0" applyNumberFormat="1" applyFont="1" applyFill="1" applyBorder="1" applyAlignment="1"/>
    <xf numFmtId="0" fontId="34" fillId="0" borderId="98" xfId="0" applyNumberFormat="1" applyFont="1" applyFill="1" applyBorder="1" applyAlignment="1"/>
    <xf numFmtId="0" fontId="36" fillId="0" borderId="98" xfId="0" applyFont="1" applyFill="1" applyBorder="1" applyAlignment="1">
      <alignment horizontal="center"/>
    </xf>
    <xf numFmtId="164" fontId="33" fillId="0" borderId="0" xfId="1" applyNumberFormat="1" applyFont="1" applyFill="1" applyBorder="1"/>
    <xf numFmtId="0" fontId="143" fillId="38" borderId="23" xfId="0" applyFont="1" applyFill="1" applyBorder="1" applyAlignment="1">
      <alignment horizontal="center"/>
    </xf>
    <xf numFmtId="0" fontId="34" fillId="0" borderId="98" xfId="0" applyFont="1" applyBorder="1" applyAlignment="1">
      <alignment horizontal="left" indent="1"/>
    </xf>
    <xf numFmtId="0" fontId="34" fillId="0" borderId="98" xfId="0" applyFont="1" applyBorder="1" applyAlignment="1"/>
    <xf numFmtId="37" fontId="34" fillId="0" borderId="70" xfId="0" applyNumberFormat="1" applyFont="1" applyFill="1" applyBorder="1" applyAlignment="1">
      <alignment horizontal="right"/>
    </xf>
    <xf numFmtId="0" fontId="36" fillId="0" borderId="98" xfId="0" applyFont="1" applyBorder="1"/>
    <xf numFmtId="0" fontId="163" fillId="0" borderId="0" xfId="8" applyFont="1" applyFill="1" applyAlignment="1">
      <alignment horizontal="center"/>
    </xf>
    <xf numFmtId="0" fontId="101" fillId="39" borderId="36" xfId="0" applyFont="1" applyFill="1" applyBorder="1" applyAlignment="1">
      <alignment horizontal="left"/>
    </xf>
    <xf numFmtId="3" fontId="142" fillId="0" borderId="7" xfId="0" applyNumberFormat="1" applyFont="1" applyFill="1" applyBorder="1" applyAlignment="1">
      <alignment horizontal="left"/>
    </xf>
    <xf numFmtId="0" fontId="142" fillId="0" borderId="0" xfId="0" applyNumberFormat="1" applyFont="1" applyFill="1" applyBorder="1" applyAlignment="1"/>
    <xf numFmtId="0" fontId="142" fillId="0" borderId="0" xfId="0" applyFont="1" applyAlignment="1"/>
    <xf numFmtId="0" fontId="142" fillId="11" borderId="49" xfId="0" applyNumberFormat="1" applyFont="1" applyFill="1" applyBorder="1" applyAlignment="1"/>
    <xf numFmtId="0" fontId="36" fillId="0" borderId="98" xfId="0" applyNumberFormat="1" applyFont="1" applyFill="1" applyBorder="1" applyAlignment="1">
      <alignment horizontal="left" indent="1"/>
    </xf>
    <xf numFmtId="0" fontId="36" fillId="0" borderId="82" xfId="0" applyNumberFormat="1" applyFont="1" applyFill="1" applyBorder="1" applyAlignment="1">
      <alignment horizontal="left" indent="1"/>
    </xf>
    <xf numFmtId="37" fontId="36" fillId="11" borderId="0" xfId="0" applyNumberFormat="1" applyFont="1" applyFill="1" applyBorder="1" applyAlignment="1">
      <alignment horizontal="center"/>
    </xf>
    <xf numFmtId="37" fontId="142" fillId="11" borderId="0" xfId="0" applyNumberFormat="1" applyFont="1" applyFill="1" applyBorder="1" applyAlignment="1"/>
    <xf numFmtId="37" fontId="34" fillId="0" borderId="100" xfId="0" applyNumberFormat="1" applyFont="1" applyFill="1" applyBorder="1" applyAlignment="1">
      <alignment horizontal="right"/>
    </xf>
    <xf numFmtId="37" fontId="36" fillId="0" borderId="0" xfId="0" applyNumberFormat="1" applyFont="1" applyFill="1" applyBorder="1" applyAlignment="1">
      <alignment horizontal="center"/>
    </xf>
    <xf numFmtId="37" fontId="142" fillId="11" borderId="101" xfId="0" applyNumberFormat="1" applyFont="1" applyFill="1" applyBorder="1" applyAlignment="1"/>
    <xf numFmtId="37" fontId="36" fillId="41" borderId="8" xfId="1" applyNumberFormat="1" applyFont="1" applyFill="1" applyBorder="1"/>
    <xf numFmtId="37" fontId="36" fillId="41" borderId="0" xfId="1" applyNumberFormat="1" applyFont="1" applyFill="1" applyBorder="1" applyAlignment="1"/>
    <xf numFmtId="37" fontId="156" fillId="11" borderId="36" xfId="1" applyNumberFormat="1" applyFont="1" applyFill="1" applyBorder="1" applyAlignment="1"/>
    <xf numFmtId="37" fontId="36" fillId="11" borderId="0" xfId="1" applyNumberFormat="1" applyFont="1" applyFill="1" applyBorder="1" applyAlignment="1"/>
    <xf numFmtId="37" fontId="36" fillId="11" borderId="0" xfId="0" applyNumberFormat="1" applyFont="1" applyFill="1" applyBorder="1" applyAlignment="1"/>
    <xf numFmtId="37" fontId="34" fillId="0" borderId="70" xfId="48" applyNumberFormat="1" applyFont="1" applyFill="1" applyBorder="1" applyAlignment="1">
      <alignment horizontal="right"/>
    </xf>
    <xf numFmtId="37" fontId="36" fillId="0" borderId="8" xfId="0" applyNumberFormat="1" applyFont="1" applyBorder="1"/>
    <xf numFmtId="37" fontId="142" fillId="11" borderId="0" xfId="0" applyNumberFormat="1" applyFont="1" applyFill="1" applyBorder="1" applyAlignment="1">
      <alignment horizontal="right"/>
    </xf>
    <xf numFmtId="37" fontId="36" fillId="0" borderId="77" xfId="0" applyNumberFormat="1" applyFont="1" applyBorder="1"/>
    <xf numFmtId="37" fontId="36" fillId="0" borderId="70" xfId="0" applyNumberFormat="1" applyFont="1" applyBorder="1"/>
    <xf numFmtId="37" fontId="34" fillId="0" borderId="76" xfId="0" applyNumberFormat="1" applyFont="1" applyFill="1" applyBorder="1" applyAlignment="1">
      <alignment horizontal="right"/>
    </xf>
    <xf numFmtId="37" fontId="36" fillId="0" borderId="8" xfId="0" applyNumberFormat="1" applyFont="1" applyFill="1" applyBorder="1" applyAlignment="1">
      <alignment horizontal="right"/>
    </xf>
    <xf numFmtId="37" fontId="142" fillId="41" borderId="0" xfId="0" applyNumberFormat="1" applyFont="1" applyFill="1" applyBorder="1" applyAlignment="1">
      <alignment horizontal="right"/>
    </xf>
    <xf numFmtId="37" fontId="36" fillId="11" borderId="0" xfId="0" applyNumberFormat="1" applyFont="1" applyFill="1" applyBorder="1" applyAlignment="1">
      <alignment horizontal="right"/>
    </xf>
    <xf numFmtId="37" fontId="34" fillId="0" borderId="39" xfId="0" applyNumberFormat="1" applyFont="1" applyFill="1" applyBorder="1"/>
    <xf numFmtId="37" fontId="36" fillId="41" borderId="4" xfId="0" applyNumberFormat="1" applyFont="1" applyFill="1" applyBorder="1" applyAlignment="1">
      <alignment horizontal="right"/>
    </xf>
    <xf numFmtId="37" fontId="34" fillId="0" borderId="0" xfId="0" applyNumberFormat="1" applyFont="1"/>
    <xf numFmtId="37" fontId="36" fillId="0" borderId="39" xfId="0" applyNumberFormat="1" applyFont="1" applyBorder="1"/>
    <xf numFmtId="37" fontId="34" fillId="0" borderId="0" xfId="0" applyNumberFormat="1" applyFont="1" applyBorder="1" applyAlignment="1">
      <alignment horizontal="center"/>
    </xf>
    <xf numFmtId="37" fontId="36" fillId="41" borderId="0" xfId="48" applyNumberFormat="1" applyFont="1" applyFill="1" applyBorder="1" applyAlignment="1">
      <alignment horizontal="right"/>
    </xf>
    <xf numFmtId="37" fontId="36" fillId="0" borderId="0" xfId="48" applyNumberFormat="1" applyFont="1" applyFill="1" applyBorder="1" applyAlignment="1">
      <alignment horizontal="right"/>
    </xf>
    <xf numFmtId="37" fontId="36" fillId="0" borderId="7" xfId="48" applyNumberFormat="1" applyFont="1" applyFill="1" applyBorder="1" applyAlignment="1">
      <alignment horizontal="right"/>
    </xf>
    <xf numFmtId="37" fontId="36" fillId="0" borderId="7" xfId="37" applyNumberFormat="1" applyFont="1" applyFill="1" applyBorder="1" applyAlignment="1">
      <alignment horizontal="left"/>
    </xf>
    <xf numFmtId="37" fontId="36" fillId="0" borderId="7" xfId="37" applyNumberFormat="1" applyFont="1" applyBorder="1" applyAlignment="1">
      <alignment horizontal="right"/>
    </xf>
    <xf numFmtId="37" fontId="36" fillId="0" borderId="7" xfId="37" applyNumberFormat="1" applyFont="1" applyBorder="1" applyAlignment="1">
      <alignment horizontal="left"/>
    </xf>
    <xf numFmtId="37" fontId="36" fillId="0" borderId="7" xfId="48" applyNumberFormat="1" applyFont="1" applyBorder="1" applyAlignment="1">
      <alignment horizontal="right"/>
    </xf>
    <xf numFmtId="37" fontId="36" fillId="0" borderId="7" xfId="37" applyNumberFormat="1" applyFont="1" applyFill="1" applyBorder="1" applyAlignment="1"/>
    <xf numFmtId="37" fontId="36" fillId="0" borderId="0" xfId="37" applyNumberFormat="1" applyFont="1" applyBorder="1" applyAlignment="1">
      <alignment horizontal="right"/>
    </xf>
    <xf numFmtId="37" fontId="142" fillId="11" borderId="7" xfId="48" applyNumberFormat="1" applyFont="1" applyFill="1" applyBorder="1" applyAlignment="1">
      <alignment horizontal="right"/>
    </xf>
    <xf numFmtId="37" fontId="34" fillId="0" borderId="47" xfId="1" applyNumberFormat="1" applyFont="1" applyFill="1" applyBorder="1" applyAlignment="1"/>
    <xf numFmtId="0" fontId="33" fillId="0" borderId="0" xfId="0" applyFont="1" applyBorder="1" applyAlignment="1">
      <alignment vertical="center"/>
    </xf>
    <xf numFmtId="0" fontId="169" fillId="0" borderId="38" xfId="37" applyFont="1" applyFill="1" applyBorder="1" applyAlignment="1" applyProtection="1">
      <alignment horizontal="right" vertical="center" wrapText="1"/>
    </xf>
    <xf numFmtId="0" fontId="169" fillId="0" borderId="38" xfId="37" applyFont="1" applyFill="1" applyBorder="1" applyAlignment="1" applyProtection="1">
      <alignment vertical="center" wrapText="1"/>
    </xf>
    <xf numFmtId="0" fontId="169" fillId="7" borderId="38" xfId="37" applyFont="1" applyFill="1" applyBorder="1" applyAlignment="1" applyProtection="1">
      <alignment horizontal="right" vertical="center" wrapText="1"/>
    </xf>
    <xf numFmtId="0" fontId="169" fillId="7" borderId="38" xfId="37" applyFont="1" applyFill="1" applyBorder="1" applyAlignment="1" applyProtection="1">
      <alignment vertical="center" wrapText="1"/>
    </xf>
    <xf numFmtId="0" fontId="145" fillId="37" borderId="79" xfId="0" applyFont="1" applyFill="1" applyBorder="1" applyAlignment="1">
      <alignment horizontal="center" wrapText="1"/>
    </xf>
    <xf numFmtId="43" fontId="53" fillId="0" borderId="8" xfId="1" applyNumberFormat="1" applyFont="1" applyFill="1" applyBorder="1"/>
    <xf numFmtId="0" fontId="56" fillId="0" borderId="6" xfId="0" applyFont="1" applyBorder="1" applyAlignment="1">
      <alignment horizontal="center" wrapText="1"/>
    </xf>
    <xf numFmtId="0" fontId="56" fillId="0" borderId="5" xfId="0" applyFont="1" applyBorder="1" applyAlignment="1">
      <alignment horizontal="center"/>
    </xf>
    <xf numFmtId="0" fontId="56" fillId="0" borderId="32" xfId="0" applyFont="1" applyBorder="1" applyAlignment="1">
      <alignment horizontal="center"/>
    </xf>
    <xf numFmtId="164" fontId="58" fillId="11" borderId="18" xfId="8" applyNumberFormat="1" applyFont="1" applyFill="1" applyBorder="1" applyAlignment="1">
      <alignment horizontal="center"/>
    </xf>
    <xf numFmtId="0" fontId="58" fillId="0" borderId="102" xfId="8" applyFont="1" applyBorder="1" applyAlignment="1">
      <alignment horizontal="center"/>
    </xf>
    <xf numFmtId="0" fontId="58" fillId="0" borderId="81" xfId="8" applyFont="1" applyBorder="1" applyAlignment="1">
      <alignment horizontal="center"/>
    </xf>
    <xf numFmtId="0" fontId="59" fillId="0" borderId="0" xfId="8" applyFont="1" applyBorder="1"/>
    <xf numFmtId="0" fontId="59" fillId="0" borderId="18" xfId="8" applyFont="1" applyBorder="1" applyAlignment="1">
      <alignment horizontal="left" indent="1"/>
    </xf>
    <xf numFmtId="0" fontId="59" fillId="0" borderId="104" xfId="8" applyFont="1" applyBorder="1"/>
    <xf numFmtId="164" fontId="59" fillId="0" borderId="105" xfId="8" applyNumberFormat="1" applyFont="1" applyBorder="1"/>
    <xf numFmtId="0" fontId="59" fillId="0" borderId="102" xfId="8" applyFont="1" applyBorder="1"/>
    <xf numFmtId="0" fontId="59" fillId="0" borderId="76" xfId="0" applyFont="1" applyBorder="1"/>
    <xf numFmtId="0" fontId="59" fillId="0" borderId="76" xfId="8" applyFont="1" applyBorder="1"/>
    <xf numFmtId="164" fontId="59" fillId="0" borderId="17" xfId="1" applyNumberFormat="1" applyFont="1" applyBorder="1"/>
    <xf numFmtId="0" fontId="59" fillId="0" borderId="4" xfId="8" applyFont="1" applyBorder="1"/>
    <xf numFmtId="0" fontId="59" fillId="0" borderId="102" xfId="0" applyFont="1" applyBorder="1"/>
    <xf numFmtId="0" fontId="59" fillId="0" borderId="81" xfId="8" applyFont="1" applyBorder="1"/>
    <xf numFmtId="164" fontId="59" fillId="0" borderId="19" xfId="1" applyNumberFormat="1" applyFont="1" applyBorder="1"/>
    <xf numFmtId="0" fontId="59" fillId="0" borderId="21" xfId="8" applyFont="1" applyBorder="1" applyAlignment="1">
      <alignment horizontal="left" indent="1"/>
    </xf>
    <xf numFmtId="0" fontId="59" fillId="0" borderId="0" xfId="8" applyFont="1" applyBorder="1" applyAlignment="1">
      <alignment horizontal="center"/>
    </xf>
    <xf numFmtId="0" fontId="59" fillId="0" borderId="4" xfId="8" applyFont="1" applyBorder="1" applyAlignment="1">
      <alignment horizontal="center"/>
    </xf>
    <xf numFmtId="0" fontId="59" fillId="0" borderId="103" xfId="0" applyFont="1" applyBorder="1"/>
    <xf numFmtId="0" fontId="170" fillId="11" borderId="81" xfId="0" applyFont="1" applyFill="1" applyBorder="1"/>
    <xf numFmtId="0" fontId="58" fillId="0" borderId="18" xfId="8" applyFont="1" applyFill="1" applyBorder="1" applyAlignment="1">
      <alignment horizontal="center"/>
    </xf>
    <xf numFmtId="0" fontId="58" fillId="0" borderId="17" xfId="8" applyFont="1" applyFill="1" applyBorder="1" applyAlignment="1">
      <alignment horizontal="center"/>
    </xf>
    <xf numFmtId="43" fontId="58" fillId="0" borderId="18" xfId="2" applyNumberFormat="1" applyFont="1" applyFill="1" applyBorder="1"/>
    <xf numFmtId="164" fontId="58" fillId="0" borderId="17" xfId="2" applyNumberFormat="1" applyFont="1" applyFill="1" applyBorder="1"/>
    <xf numFmtId="164" fontId="58" fillId="0" borderId="18" xfId="2" applyNumberFormat="1" applyFont="1" applyFill="1" applyBorder="1"/>
    <xf numFmtId="164" fontId="58" fillId="0" borderId="21" xfId="2" applyNumberFormat="1" applyFont="1" applyFill="1" applyBorder="1"/>
    <xf numFmtId="164" fontId="58" fillId="0" borderId="19" xfId="2" applyNumberFormat="1" applyFont="1" applyFill="1" applyBorder="1"/>
    <xf numFmtId="164" fontId="58" fillId="0" borderId="39" xfId="8" applyNumberFormat="1" applyFont="1" applyFill="1" applyBorder="1"/>
    <xf numFmtId="164" fontId="58" fillId="0" borderId="39" xfId="2" applyNumberFormat="1" applyFont="1" applyFill="1" applyBorder="1"/>
    <xf numFmtId="164" fontId="56" fillId="0" borderId="75" xfId="0" applyNumberFormat="1" applyFont="1" applyBorder="1"/>
    <xf numFmtId="164" fontId="53" fillId="0" borderId="24" xfId="0" applyNumberFormat="1" applyFont="1" applyBorder="1"/>
    <xf numFmtId="164" fontId="171" fillId="11" borderId="8" xfId="1" applyNumberFormat="1" applyFont="1" applyFill="1" applyBorder="1"/>
    <xf numFmtId="2" fontId="171" fillId="11" borderId="8" xfId="0" applyNumberFormat="1" applyFont="1" applyFill="1" applyBorder="1" applyAlignment="1">
      <alignment horizontal="center"/>
    </xf>
    <xf numFmtId="0" fontId="0" fillId="0" borderId="0" xfId="0" applyFill="1" applyAlignment="1">
      <alignment horizontal="left" wrapText="1"/>
    </xf>
    <xf numFmtId="0" fontId="36" fillId="0" borderId="0" xfId="0" applyNumberFormat="1" applyFont="1" applyBorder="1" applyAlignment="1">
      <alignment horizontal="right"/>
    </xf>
    <xf numFmtId="0" fontId="36" fillId="0" borderId="82" xfId="0" applyNumberFormat="1" applyFont="1" applyFill="1" applyBorder="1" applyAlignment="1"/>
    <xf numFmtId="37" fontId="36" fillId="0" borderId="76" xfId="0" applyNumberFormat="1" applyFont="1" applyFill="1" applyBorder="1" applyAlignment="1">
      <alignment horizontal="center"/>
    </xf>
    <xf numFmtId="0" fontId="96" fillId="0" borderId="0" xfId="0" applyFont="1" applyAlignment="1">
      <alignment horizontal="left"/>
    </xf>
    <xf numFmtId="0" fontId="171" fillId="0" borderId="14" xfId="0" applyFont="1" applyFill="1" applyBorder="1" applyAlignment="1">
      <alignment horizontal="center"/>
    </xf>
    <xf numFmtId="0" fontId="171" fillId="11" borderId="8" xfId="0" applyFont="1" applyFill="1" applyBorder="1" applyAlignment="1">
      <alignment horizontal="center"/>
    </xf>
    <xf numFmtId="0" fontId="53" fillId="0" borderId="23" xfId="0" applyFont="1" applyFill="1" applyBorder="1" applyAlignment="1">
      <alignment horizontal="center" wrapText="1"/>
    </xf>
    <xf numFmtId="167" fontId="53" fillId="0" borderId="14" xfId="0" applyNumberFormat="1" applyFont="1" applyBorder="1"/>
    <xf numFmtId="167" fontId="53" fillId="0" borderId="15" xfId="0" applyNumberFormat="1" applyFont="1" applyBorder="1"/>
    <xf numFmtId="0" fontId="0" fillId="0" borderId="0" xfId="0" applyFill="1" applyAlignment="1">
      <alignment horizontal="centerContinuous"/>
    </xf>
    <xf numFmtId="164" fontId="32" fillId="0" borderId="0" xfId="1" applyNumberFormat="1" applyFill="1" applyAlignment="1">
      <alignment horizontal="centerContinuous"/>
    </xf>
    <xf numFmtId="0" fontId="143" fillId="38" borderId="23" xfId="0" applyFont="1" applyFill="1" applyBorder="1" applyAlignment="1"/>
    <xf numFmtId="0" fontId="143" fillId="38" borderId="23" xfId="0" applyFont="1" applyFill="1" applyBorder="1" applyAlignment="1">
      <alignment horizontal="center" vertical="center"/>
    </xf>
    <xf numFmtId="0" fontId="143" fillId="38" borderId="6" xfId="0" applyFont="1" applyFill="1" applyBorder="1" applyAlignment="1"/>
    <xf numFmtId="0" fontId="0" fillId="0" borderId="106" xfId="0" applyBorder="1" applyAlignment="1">
      <alignment horizontal="center"/>
    </xf>
    <xf numFmtId="37" fontId="36" fillId="0" borderId="98" xfId="0" applyNumberFormat="1" applyFont="1" applyFill="1" applyBorder="1" applyAlignment="1"/>
    <xf numFmtId="3" fontId="142" fillId="0" borderId="99" xfId="0" applyNumberFormat="1" applyFont="1" applyFill="1" applyBorder="1" applyAlignment="1">
      <alignment horizontal="left" indent="1"/>
    </xf>
    <xf numFmtId="37" fontId="0" fillId="39" borderId="107" xfId="0" applyNumberFormat="1" applyFill="1" applyBorder="1"/>
    <xf numFmtId="0" fontId="101" fillId="11" borderId="107" xfId="57" applyFont="1" applyFill="1" applyBorder="1" applyAlignment="1">
      <alignment horizontal="left"/>
    </xf>
    <xf numFmtId="37" fontId="32" fillId="39" borderId="107" xfId="57" quotePrefix="1" applyNumberFormat="1" applyFont="1" applyFill="1" applyBorder="1" applyAlignment="1">
      <alignment horizontal="left"/>
    </xf>
    <xf numFmtId="0" fontId="101" fillId="39" borderId="107" xfId="0" applyFont="1" applyFill="1" applyBorder="1" applyAlignment="1">
      <alignment horizontal="left"/>
    </xf>
    <xf numFmtId="38" fontId="101" fillId="39" borderId="108" xfId="0" applyNumberFormat="1" applyFont="1" applyFill="1" applyBorder="1"/>
    <xf numFmtId="37" fontId="0" fillId="39" borderId="28" xfId="0" applyNumberFormat="1" applyFill="1" applyBorder="1"/>
    <xf numFmtId="0" fontId="101" fillId="11" borderId="28" xfId="57" applyFont="1" applyFill="1" applyBorder="1" applyAlignment="1">
      <alignment horizontal="left"/>
    </xf>
    <xf numFmtId="37" fontId="32" fillId="39" borderId="28" xfId="57" quotePrefix="1" applyNumberFormat="1" applyFont="1" applyFill="1" applyBorder="1" applyAlignment="1">
      <alignment horizontal="left"/>
    </xf>
    <xf numFmtId="0" fontId="101" fillId="39" borderId="28" xfId="0" applyFont="1" applyFill="1" applyBorder="1" applyAlignment="1">
      <alignment horizontal="left"/>
    </xf>
    <xf numFmtId="38" fontId="101" fillId="39" borderId="27" xfId="0" applyNumberFormat="1" applyFont="1" applyFill="1" applyBorder="1"/>
    <xf numFmtId="0" fontId="0" fillId="0" borderId="107" xfId="0" applyBorder="1"/>
    <xf numFmtId="0" fontId="32" fillId="0" borderId="107" xfId="57" applyFont="1" applyFill="1" applyBorder="1"/>
    <xf numFmtId="0" fontId="101" fillId="11" borderId="107" xfId="0" applyFont="1" applyFill="1" applyBorder="1" applyAlignment="1">
      <alignment horizontal="left"/>
    </xf>
    <xf numFmtId="38" fontId="32" fillId="39" borderId="107" xfId="0" quotePrefix="1" applyNumberFormat="1" applyFont="1" applyFill="1" applyBorder="1"/>
    <xf numFmtId="37" fontId="101" fillId="11" borderId="0" xfId="1" applyNumberFormat="1" applyFont="1" applyFill="1"/>
    <xf numFmtId="37" fontId="101" fillId="11" borderId="4" xfId="1" applyNumberFormat="1" applyFont="1" applyFill="1" applyBorder="1"/>
    <xf numFmtId="37" fontId="32" fillId="0" borderId="0" xfId="1" applyNumberFormat="1" applyFont="1" applyFill="1"/>
    <xf numFmtId="37" fontId="101" fillId="11" borderId="39" xfId="1" applyNumberFormat="1" applyFont="1" applyFill="1" applyBorder="1"/>
    <xf numFmtId="37" fontId="33" fillId="0" borderId="3" xfId="1" applyNumberFormat="1" applyFont="1" applyFill="1" applyBorder="1" applyAlignment="1"/>
    <xf numFmtId="37" fontId="101" fillId="41" borderId="4" xfId="1" applyNumberFormat="1" applyFont="1" applyFill="1" applyBorder="1"/>
    <xf numFmtId="37" fontId="34" fillId="0" borderId="2" xfId="0" applyNumberFormat="1" applyFont="1" applyBorder="1" applyAlignment="1">
      <alignment horizontal="right"/>
    </xf>
    <xf numFmtId="37" fontId="36" fillId="0" borderId="0" xfId="1" applyNumberFormat="1" applyFont="1"/>
    <xf numFmtId="37" fontId="34" fillId="0" borderId="7" xfId="48" applyNumberFormat="1" applyFont="1" applyFill="1" applyBorder="1" applyAlignment="1">
      <alignment horizontal="right"/>
    </xf>
    <xf numFmtId="37" fontId="34" fillId="0" borderId="99" xfId="48" applyNumberFormat="1" applyFont="1" applyBorder="1" applyAlignment="1">
      <alignment horizontal="right"/>
    </xf>
    <xf numFmtId="37" fontId="34" fillId="0" borderId="7" xfId="37" applyNumberFormat="1" applyFont="1" applyFill="1" applyBorder="1" applyAlignment="1"/>
    <xf numFmtId="37" fontId="101" fillId="11" borderId="20" xfId="1" applyNumberFormat="1" applyFont="1" applyFill="1" applyBorder="1"/>
    <xf numFmtId="37" fontId="101" fillId="11" borderId="0" xfId="1" applyNumberFormat="1" applyFont="1" applyFill="1" applyBorder="1"/>
    <xf numFmtId="189" fontId="101" fillId="11" borderId="0" xfId="1" applyNumberFormat="1" applyFont="1" applyFill="1" applyAlignment="1" applyProtection="1">
      <alignment vertical="center"/>
    </xf>
    <xf numFmtId="189" fontId="101" fillId="11" borderId="0" xfId="57" applyNumberFormat="1" applyFont="1" applyFill="1" applyBorder="1" applyAlignment="1" applyProtection="1">
      <alignment vertical="center"/>
    </xf>
    <xf numFmtId="189" fontId="101" fillId="11" borderId="0" xfId="57" applyNumberFormat="1" applyFont="1" applyFill="1" applyBorder="1" applyAlignment="1">
      <alignment vertical="center"/>
    </xf>
    <xf numFmtId="189" fontId="32" fillId="11" borderId="0" xfId="1" applyNumberFormat="1" applyFont="1" applyFill="1" applyAlignment="1">
      <alignment vertical="center"/>
    </xf>
    <xf numFmtId="191" fontId="32" fillId="11" borderId="0" xfId="1" applyNumberFormat="1" applyFont="1" applyFill="1" applyBorder="1" applyAlignment="1">
      <alignment vertical="center"/>
    </xf>
    <xf numFmtId="168" fontId="32" fillId="0" borderId="0" xfId="57" applyNumberFormat="1" applyFont="1"/>
    <xf numFmtId="37" fontId="42" fillId="41" borderId="0" xfId="1" applyNumberFormat="1" applyFont="1" applyFill="1" applyBorder="1" applyAlignment="1"/>
    <xf numFmtId="37" fontId="34" fillId="41" borderId="0" xfId="1" applyNumberFormat="1" applyFont="1" applyFill="1" applyBorder="1" applyAlignment="1"/>
    <xf numFmtId="0" fontId="58" fillId="0" borderId="0" xfId="45" applyFont="1" applyFill="1" applyAlignment="1">
      <alignment horizontal="left"/>
    </xf>
    <xf numFmtId="0" fontId="110" fillId="0" borderId="0" xfId="0" applyFont="1" applyFill="1" applyAlignment="1">
      <alignment horizontal="left" wrapText="1"/>
    </xf>
    <xf numFmtId="0" fontId="110" fillId="0" borderId="0" xfId="0" applyFont="1" applyFill="1" applyAlignment="1">
      <alignment horizontal="left" vertical="top"/>
    </xf>
    <xf numFmtId="0" fontId="110" fillId="0" borderId="0" xfId="0" applyFont="1" applyFill="1" applyAlignment="1">
      <alignment horizontal="left" vertical="top" wrapText="1"/>
    </xf>
    <xf numFmtId="0" fontId="32" fillId="0" borderId="13" xfId="0" applyFont="1" applyBorder="1"/>
    <xf numFmtId="0" fontId="101" fillId="0" borderId="122" xfId="0" applyFont="1" applyBorder="1" applyAlignment="1">
      <alignment horizontal="left"/>
    </xf>
    <xf numFmtId="0" fontId="101" fillId="0" borderId="84" xfId="0" applyFont="1" applyBorder="1" applyAlignment="1">
      <alignment horizontal="left"/>
    </xf>
    <xf numFmtId="0" fontId="92" fillId="0" borderId="0" xfId="0" applyFont="1" applyFill="1" applyBorder="1" applyAlignment="1">
      <alignment vertical="center"/>
    </xf>
    <xf numFmtId="172" fontId="36" fillId="0" borderId="0" xfId="0" applyNumberFormat="1" applyFont="1" applyFill="1" applyBorder="1" applyAlignment="1">
      <alignment horizontal="right"/>
    </xf>
    <xf numFmtId="37" fontId="34" fillId="0" borderId="0" xfId="1" applyNumberFormat="1" applyFont="1" applyFill="1" applyBorder="1" applyAlignment="1">
      <alignment horizontal="right"/>
    </xf>
    <xf numFmtId="0" fontId="48" fillId="0" borderId="0" xfId="0" applyFont="1" applyBorder="1"/>
    <xf numFmtId="37" fontId="142" fillId="11" borderId="0" xfId="0" applyNumberFormat="1" applyFont="1" applyFill="1" applyAlignment="1"/>
    <xf numFmtId="37" fontId="142" fillId="11" borderId="4" xfId="0" applyNumberFormat="1" applyFont="1" applyFill="1" applyBorder="1" applyAlignment="1"/>
    <xf numFmtId="37" fontId="156" fillId="11" borderId="2" xfId="0" applyNumberFormat="1" applyFont="1" applyFill="1" applyBorder="1" applyAlignment="1"/>
    <xf numFmtId="37" fontId="156" fillId="11" borderId="0" xfId="0" applyNumberFormat="1" applyFont="1" applyFill="1" applyAlignment="1"/>
    <xf numFmtId="37" fontId="156" fillId="11" borderId="0" xfId="0" applyNumberFormat="1" applyFont="1" applyFill="1" applyBorder="1" applyAlignment="1"/>
    <xf numFmtId="37" fontId="156" fillId="11" borderId="0" xfId="0" applyNumberFormat="1" applyFont="1" applyFill="1"/>
    <xf numFmtId="37" fontId="156" fillId="11" borderId="0" xfId="0" applyNumberFormat="1" applyFont="1" applyFill="1" applyAlignment="1">
      <alignment horizontal="right"/>
    </xf>
    <xf numFmtId="37" fontId="142" fillId="11" borderId="4" xfId="0" applyNumberFormat="1" applyFont="1" applyFill="1" applyBorder="1" applyAlignment="1">
      <alignment horizontal="right"/>
    </xf>
    <xf numFmtId="37" fontId="142" fillId="11" borderId="0" xfId="45" applyNumberFormat="1" applyFont="1" applyFill="1"/>
    <xf numFmtId="37" fontId="142" fillId="11" borderId="0" xfId="45" applyNumberFormat="1" applyFont="1" applyFill="1" applyBorder="1"/>
    <xf numFmtId="37" fontId="156" fillId="11" borderId="39" xfId="45" applyNumberFormat="1" applyFont="1" applyFill="1" applyBorder="1"/>
    <xf numFmtId="10" fontId="142" fillId="0" borderId="0" xfId="13" applyNumberFormat="1" applyFont="1" applyFill="1" applyAlignment="1"/>
    <xf numFmtId="37" fontId="142" fillId="11" borderId="4" xfId="0" applyNumberFormat="1" applyFont="1" applyFill="1" applyBorder="1"/>
    <xf numFmtId="37" fontId="156" fillId="11" borderId="0" xfId="1" applyNumberFormat="1" applyFont="1" applyFill="1" applyAlignment="1"/>
    <xf numFmtId="37" fontId="45" fillId="0" borderId="23" xfId="0" applyNumberFormat="1" applyFont="1" applyBorder="1"/>
    <xf numFmtId="37" fontId="142" fillId="11" borderId="0" xfId="1" applyNumberFormat="1" applyFont="1" applyFill="1" applyAlignment="1"/>
    <xf numFmtId="37" fontId="156" fillId="11" borderId="0" xfId="1" applyNumberFormat="1" applyFont="1" applyFill="1"/>
    <xf numFmtId="10" fontId="142" fillId="11" borderId="0" xfId="13" applyNumberFormat="1" applyFont="1" applyFill="1" applyAlignment="1"/>
    <xf numFmtId="0" fontId="148" fillId="0" borderId="0" xfId="0" applyFont="1" applyAlignment="1">
      <alignment horizontal="left"/>
    </xf>
    <xf numFmtId="0" fontId="64" fillId="0" borderId="0" xfId="57" applyFont="1" applyFill="1" applyAlignment="1">
      <alignment horizontal="centerContinuous"/>
    </xf>
    <xf numFmtId="0" fontId="55" fillId="0" borderId="0" xfId="57" applyFont="1" applyFill="1" applyAlignment="1">
      <alignment horizontal="centerContinuous"/>
    </xf>
    <xf numFmtId="0" fontId="55" fillId="0" borderId="0" xfId="57" applyFont="1" applyAlignment="1">
      <alignment horizontal="centerContinuous"/>
    </xf>
    <xf numFmtId="0" fontId="105" fillId="0" borderId="0" xfId="57" applyFont="1" applyBorder="1" applyAlignment="1">
      <alignment horizontal="centerContinuous"/>
    </xf>
    <xf numFmtId="0" fontId="33" fillId="0" borderId="0" xfId="57" applyFont="1" applyFill="1" applyAlignment="1">
      <alignment horizontal="centerContinuous"/>
    </xf>
    <xf numFmtId="0" fontId="55" fillId="0" borderId="0" xfId="57" applyFont="1" applyFill="1" applyAlignment="1">
      <alignment horizontal="left"/>
    </xf>
    <xf numFmtId="0" fontId="64" fillId="0" borderId="0" xfId="57" applyFont="1" applyFill="1"/>
    <xf numFmtId="0" fontId="36" fillId="0" borderId="0" xfId="57" applyFont="1" applyFill="1"/>
    <xf numFmtId="0" fontId="34" fillId="0" borderId="0" xfId="57" applyFont="1" applyFill="1" applyAlignment="1">
      <alignment horizontal="center"/>
    </xf>
    <xf numFmtId="0" fontId="106" fillId="0" borderId="0" xfId="57" applyFont="1" applyFill="1"/>
    <xf numFmtId="0" fontId="55" fillId="0" borderId="0" xfId="57" applyFont="1" applyFill="1"/>
    <xf numFmtId="0" fontId="64" fillId="0" borderId="0" xfId="57" applyFont="1" applyFill="1" applyAlignment="1">
      <alignment horizontal="center"/>
    </xf>
    <xf numFmtId="0" fontId="147" fillId="0" borderId="0" xfId="57" applyFont="1" applyFill="1" applyAlignment="1">
      <alignment horizontal="center"/>
    </xf>
    <xf numFmtId="0" fontId="32" fillId="0" borderId="0" xfId="57" applyFont="1" applyFill="1" applyAlignment="1">
      <alignment horizontal="left"/>
    </xf>
    <xf numFmtId="37" fontId="32" fillId="0" borderId="0" xfId="57" applyNumberFormat="1" applyFont="1" applyFill="1"/>
    <xf numFmtId="0" fontId="55" fillId="0" borderId="0" xfId="57" applyFont="1" applyFill="1" applyAlignment="1">
      <alignment horizontal="center"/>
    </xf>
    <xf numFmtId="37" fontId="55" fillId="0" borderId="0" xfId="57" applyNumberFormat="1" applyFont="1" applyFill="1"/>
    <xf numFmtId="0" fontId="55" fillId="0" borderId="0" xfId="57" applyFont="1"/>
    <xf numFmtId="37" fontId="55" fillId="0" borderId="0" xfId="57" applyNumberFormat="1" applyFont="1" applyFill="1" applyAlignment="1">
      <alignment horizontal="left"/>
    </xf>
    <xf numFmtId="0" fontId="51" fillId="0" borderId="0" xfId="57" applyFont="1" applyFill="1" applyAlignment="1">
      <alignment horizontal="center"/>
    </xf>
    <xf numFmtId="0" fontId="64" fillId="0" borderId="0" xfId="57" applyFont="1" applyFill="1" applyAlignment="1">
      <alignment horizontal="left"/>
    </xf>
    <xf numFmtId="0" fontId="32" fillId="0" borderId="0" xfId="57" applyFont="1" applyAlignment="1">
      <alignment horizontal="left"/>
    </xf>
    <xf numFmtId="0" fontId="32" fillId="0" borderId="0" xfId="57" applyFill="1" applyBorder="1"/>
    <xf numFmtId="0" fontId="32" fillId="0" borderId="0" xfId="57" applyFill="1"/>
    <xf numFmtId="0" fontId="32" fillId="0" borderId="0" xfId="57" applyFont="1" applyFill="1" applyBorder="1" applyAlignment="1">
      <alignment horizontal="left"/>
    </xf>
    <xf numFmtId="0" fontId="32" fillId="0" borderId="0" xfId="57" applyFont="1" applyFill="1" applyBorder="1"/>
    <xf numFmtId="37" fontId="32" fillId="0" borderId="0" xfId="57" applyNumberFormat="1" applyFont="1" applyFill="1" applyBorder="1"/>
    <xf numFmtId="0" fontId="32" fillId="0" borderId="0" xfId="57" applyFont="1" applyFill="1" applyBorder="1" applyAlignment="1">
      <alignment horizontal="center"/>
    </xf>
    <xf numFmtId="0" fontId="32" fillId="0" borderId="0" xfId="57" applyFont="1" applyFill="1" applyBorder="1" applyAlignment="1">
      <alignment wrapText="1"/>
    </xf>
    <xf numFmtId="37" fontId="32" fillId="0" borderId="0" xfId="57" applyNumberFormat="1" applyFont="1" applyFill="1" applyBorder="1" applyAlignment="1">
      <alignment wrapText="1"/>
    </xf>
    <xf numFmtId="0" fontId="32" fillId="0" borderId="18" xfId="57" applyFont="1" applyFill="1" applyBorder="1" applyAlignment="1">
      <alignment horizontal="left"/>
    </xf>
    <xf numFmtId="0" fontId="32" fillId="0" borderId="17" xfId="57" applyFont="1" applyFill="1" applyBorder="1" applyAlignment="1">
      <alignment horizontal="center"/>
    </xf>
    <xf numFmtId="0" fontId="107" fillId="0" borderId="0" xfId="57" applyFont="1" applyFill="1" applyBorder="1" applyAlignment="1">
      <alignment wrapText="1"/>
    </xf>
    <xf numFmtId="0" fontId="51" fillId="0" borderId="0" xfId="57" applyFont="1" applyFill="1" applyBorder="1" applyAlignment="1">
      <alignment horizontal="center"/>
    </xf>
    <xf numFmtId="0" fontId="35" fillId="0" borderId="0" xfId="57" applyFont="1" applyFill="1" applyBorder="1"/>
    <xf numFmtId="0" fontId="32" fillId="0" borderId="0" xfId="57" applyFont="1" applyFill="1" applyBorder="1" applyAlignment="1"/>
    <xf numFmtId="0" fontId="33" fillId="0" borderId="0" xfId="57" applyFont="1" applyFill="1" applyBorder="1"/>
    <xf numFmtId="38" fontId="32" fillId="0" borderId="0" xfId="57" applyNumberFormat="1" applyFont="1" applyFill="1" applyBorder="1"/>
    <xf numFmtId="38" fontId="32" fillId="0" borderId="0" xfId="57" applyNumberFormat="1" applyFont="1" applyFill="1" applyBorder="1" applyAlignment="1">
      <alignment horizontal="center"/>
    </xf>
    <xf numFmtId="0" fontId="32" fillId="0" borderId="0" xfId="57" applyFill="1" applyBorder="1" applyAlignment="1">
      <alignment horizontal="center"/>
    </xf>
    <xf numFmtId="0" fontId="32" fillId="0" borderId="0" xfId="57" applyFill="1" applyBorder="1" applyAlignment="1"/>
    <xf numFmtId="0" fontId="64" fillId="0" borderId="0" xfId="57" applyFont="1" applyFill="1" applyBorder="1"/>
    <xf numFmtId="41" fontId="33" fillId="0" borderId="0" xfId="57" applyNumberFormat="1" applyFont="1" applyFill="1" applyBorder="1" applyAlignment="1">
      <alignment horizontal="center"/>
    </xf>
    <xf numFmtId="0" fontId="64" fillId="0" borderId="0" xfId="57" applyFont="1" applyAlignment="1">
      <alignment horizontal="centerContinuous"/>
    </xf>
    <xf numFmtId="0" fontId="48" fillId="0" borderId="0" xfId="57" applyFont="1" applyAlignment="1">
      <alignment horizontal="centerContinuous"/>
    </xf>
    <xf numFmtId="0" fontId="64" fillId="0" borderId="0" xfId="57" applyFont="1" applyBorder="1" applyAlignment="1">
      <alignment horizontal="centerContinuous"/>
    </xf>
    <xf numFmtId="0" fontId="51" fillId="0" borderId="0" xfId="57" applyFont="1" applyBorder="1" applyAlignment="1">
      <alignment horizontal="centerContinuous"/>
    </xf>
    <xf numFmtId="0" fontId="105" fillId="0" borderId="0" xfId="57" applyFont="1" applyFill="1" applyAlignment="1">
      <alignment horizontal="centerContinuous"/>
    </xf>
    <xf numFmtId="0" fontId="36" fillId="0" borderId="0" xfId="57" applyFont="1" applyFill="1" applyAlignment="1">
      <alignment horizontal="center"/>
    </xf>
    <xf numFmtId="37" fontId="32" fillId="0" borderId="0" xfId="57" applyNumberFormat="1" applyFont="1" applyFill="1" applyAlignment="1"/>
    <xf numFmtId="37" fontId="32" fillId="0" borderId="0" xfId="57" applyNumberFormat="1" applyFont="1" applyAlignment="1"/>
    <xf numFmtId="37" fontId="33" fillId="0" borderId="107" xfId="1" applyNumberFormat="1" applyFont="1" applyFill="1" applyBorder="1" applyAlignment="1"/>
    <xf numFmtId="0" fontId="105" fillId="0" borderId="0" xfId="57" applyFont="1" applyFill="1" applyAlignment="1">
      <alignment horizontal="center"/>
    </xf>
    <xf numFmtId="0" fontId="159" fillId="0" borderId="0" xfId="57" applyFont="1" applyFill="1" applyAlignment="1">
      <alignment horizontal="center" wrapText="1"/>
    </xf>
    <xf numFmtId="0" fontId="101" fillId="0" borderId="0" xfId="57" applyFont="1" applyFill="1"/>
    <xf numFmtId="0" fontId="64" fillId="0" borderId="0" xfId="57" applyFont="1" applyFill="1" applyAlignment="1">
      <alignment horizontal="center" wrapText="1"/>
    </xf>
    <xf numFmtId="0" fontId="55" fillId="0" borderId="0" xfId="57" applyFont="1" applyAlignment="1">
      <alignment horizontal="left"/>
    </xf>
    <xf numFmtId="0" fontId="102" fillId="0" borderId="0" xfId="57" applyFont="1" applyFill="1"/>
    <xf numFmtId="0" fontId="32" fillId="0" borderId="17" xfId="57" applyFont="1" applyFill="1" applyBorder="1" applyAlignment="1"/>
    <xf numFmtId="0" fontId="55" fillId="0" borderId="0" xfId="57" applyFont="1" applyFill="1" applyBorder="1" applyAlignment="1">
      <alignment horizontal="left" wrapText="1"/>
    </xf>
    <xf numFmtId="0" fontId="64" fillId="0" borderId="0" xfId="57" applyFont="1" applyFill="1" applyBorder="1" applyAlignment="1">
      <alignment wrapText="1"/>
    </xf>
    <xf numFmtId="37" fontId="32" fillId="0" borderId="0" xfId="57" applyNumberFormat="1" applyFont="1" applyFill="1" applyBorder="1" applyAlignment="1">
      <alignment horizontal="center" wrapText="1"/>
    </xf>
    <xf numFmtId="0" fontId="32" fillId="0" borderId="0" xfId="57" applyFont="1" applyFill="1" applyBorder="1" applyAlignment="1">
      <alignment horizontal="center" wrapText="1"/>
    </xf>
    <xf numFmtId="0" fontId="55" fillId="0" borderId="0" xfId="57" applyFont="1" applyFill="1" applyBorder="1" applyAlignment="1">
      <alignment wrapText="1"/>
    </xf>
    <xf numFmtId="37" fontId="55" fillId="0" borderId="0" xfId="57" applyNumberFormat="1" applyFont="1" applyFill="1" applyBorder="1" applyAlignment="1">
      <alignment wrapText="1"/>
    </xf>
    <xf numFmtId="0" fontId="32" fillId="0" borderId="17" xfId="57" applyFont="1" applyFill="1" applyBorder="1" applyAlignment="1">
      <alignment horizontal="center" wrapText="1"/>
    </xf>
    <xf numFmtId="0" fontId="105" fillId="0" borderId="0" xfId="57" applyFont="1" applyFill="1" applyBorder="1" applyAlignment="1">
      <alignment horizontal="center" wrapText="1"/>
    </xf>
    <xf numFmtId="0" fontId="51" fillId="0" borderId="0" xfId="57" applyFont="1" applyFill="1" applyBorder="1" applyAlignment="1">
      <alignment horizontal="center" wrapText="1"/>
    </xf>
    <xf numFmtId="0" fontId="33" fillId="0" borderId="0" xfId="57" applyFont="1" applyFill="1" applyBorder="1" applyAlignment="1">
      <alignment horizontal="left"/>
    </xf>
    <xf numFmtId="0" fontId="33" fillId="0" borderId="0" xfId="57" applyFont="1" applyFill="1" applyBorder="1" applyAlignment="1">
      <alignment horizontal="center" wrapText="1"/>
    </xf>
    <xf numFmtId="0" fontId="43" fillId="0" borderId="0" xfId="57" applyFont="1" applyFill="1" applyBorder="1" applyAlignment="1"/>
    <xf numFmtId="0" fontId="35" fillId="0" borderId="0" xfId="57" applyFont="1" applyFill="1" applyBorder="1" applyAlignment="1">
      <alignment wrapText="1"/>
    </xf>
    <xf numFmtId="0" fontId="102" fillId="0" borderId="0" xfId="57" applyFont="1" applyFill="1" applyBorder="1" applyAlignment="1">
      <alignment wrapText="1"/>
    </xf>
    <xf numFmtId="0" fontId="50" fillId="0" borderId="0" xfId="57" applyFont="1" applyFill="1" applyBorder="1" applyAlignment="1">
      <alignment horizontal="left"/>
    </xf>
    <xf numFmtId="0" fontId="50" fillId="0" borderId="0" xfId="57" applyFont="1" applyFill="1" applyBorder="1" applyAlignment="1">
      <alignment horizontal="center" wrapText="1"/>
    </xf>
    <xf numFmtId="0" fontId="50" fillId="0" borderId="0" xfId="57" applyFont="1" applyFill="1" applyBorder="1" applyAlignment="1">
      <alignment horizontal="center"/>
    </xf>
    <xf numFmtId="0" fontId="102" fillId="0" borderId="0" xfId="57" applyFont="1" applyFill="1" applyBorder="1" applyAlignment="1">
      <alignment horizontal="left"/>
    </xf>
    <xf numFmtId="0" fontId="102" fillId="0" borderId="0" xfId="57" applyFont="1" applyFill="1" applyAlignment="1">
      <alignment wrapText="1"/>
    </xf>
    <xf numFmtId="0" fontId="33" fillId="0" borderId="0" xfId="57" applyFont="1" applyFill="1" applyAlignment="1">
      <alignment horizontal="center" wrapText="1"/>
    </xf>
    <xf numFmtId="0" fontId="33" fillId="0" borderId="0" xfId="57" applyFont="1" applyFill="1" applyBorder="1" applyAlignment="1">
      <alignment wrapText="1"/>
    </xf>
    <xf numFmtId="0" fontId="64" fillId="0" borderId="0" xfId="57" applyFont="1" applyFill="1" applyBorder="1" applyAlignment="1"/>
    <xf numFmtId="0" fontId="43" fillId="0" borderId="0" xfId="57" applyFont="1" applyFill="1" applyBorder="1" applyAlignment="1">
      <alignment horizontal="left" wrapText="1"/>
    </xf>
    <xf numFmtId="0" fontId="105" fillId="0" borderId="0" xfId="57" applyFont="1" applyFill="1" applyBorder="1" applyAlignment="1">
      <alignment horizontal="left"/>
    </xf>
    <xf numFmtId="0" fontId="55" fillId="0" borderId="0" xfId="57" applyFont="1" applyFill="1" applyBorder="1" applyAlignment="1">
      <alignment horizontal="left"/>
    </xf>
    <xf numFmtId="0" fontId="55" fillId="0" borderId="0" xfId="57" applyFont="1" applyFill="1" applyBorder="1"/>
    <xf numFmtId="0" fontId="100" fillId="0" borderId="0" xfId="57" applyFont="1" applyFill="1" applyBorder="1" applyAlignment="1">
      <alignment horizontal="left"/>
    </xf>
    <xf numFmtId="0" fontId="64" fillId="0" borderId="0" xfId="57" applyFont="1" applyFill="1" applyBorder="1" applyAlignment="1">
      <alignment horizontal="center"/>
    </xf>
    <xf numFmtId="0" fontId="55" fillId="0" borderId="0" xfId="57" applyFont="1" applyFill="1" applyBorder="1" applyAlignment="1"/>
    <xf numFmtId="0" fontId="48" fillId="0" borderId="0" xfId="57" applyFont="1" applyFill="1" applyBorder="1" applyAlignment="1"/>
    <xf numFmtId="0" fontId="64" fillId="0" borderId="0" xfId="57" applyFont="1" applyFill="1" applyBorder="1" applyAlignment="1">
      <alignment horizontal="left"/>
    </xf>
    <xf numFmtId="0" fontId="106" fillId="0" borderId="0" xfId="57" applyFont="1" applyFill="1" applyBorder="1" applyAlignment="1">
      <alignment horizontal="center"/>
    </xf>
    <xf numFmtId="0" fontId="55" fillId="0" borderId="0" xfId="57" applyFont="1" applyFill="1" applyBorder="1" applyAlignment="1">
      <alignment horizontal="center"/>
    </xf>
    <xf numFmtId="0" fontId="105" fillId="0" borderId="0" xfId="57" applyFont="1" applyFill="1" applyBorder="1" applyAlignment="1">
      <alignment horizontal="center"/>
    </xf>
    <xf numFmtId="0" fontId="32" fillId="0" borderId="0" xfId="57" applyFont="1" applyAlignment="1">
      <alignment vertical="top"/>
    </xf>
    <xf numFmtId="0" fontId="32" fillId="0" borderId="0" xfId="57" applyAlignment="1">
      <alignment vertical="top"/>
    </xf>
    <xf numFmtId="0" fontId="32" fillId="0" borderId="18" xfId="57" applyFont="1" applyFill="1" applyBorder="1" applyAlignment="1">
      <alignment vertical="top" wrapText="1"/>
    </xf>
    <xf numFmtId="0" fontId="32" fillId="0" borderId="0" xfId="57" applyFont="1" applyFill="1" applyBorder="1" applyAlignment="1">
      <alignment vertical="top" wrapText="1"/>
    </xf>
    <xf numFmtId="41" fontId="64" fillId="0" borderId="0" xfId="57" applyNumberFormat="1" applyFont="1" applyFill="1" applyBorder="1" applyAlignment="1">
      <alignment horizontal="center"/>
    </xf>
    <xf numFmtId="0" fontId="110" fillId="0" borderId="0" xfId="0" applyFont="1" applyFill="1" applyAlignment="1">
      <alignment horizontal="left" vertical="top"/>
    </xf>
    <xf numFmtId="0" fontId="110" fillId="0" borderId="0" xfId="0" applyFont="1" applyFill="1" applyAlignment="1">
      <alignment horizontal="left" vertical="top" wrapText="1"/>
    </xf>
    <xf numFmtId="0" fontId="110" fillId="0" borderId="0" xfId="0" applyFont="1" applyFill="1" applyAlignment="1">
      <alignment horizontal="left" wrapText="1"/>
    </xf>
    <xf numFmtId="0" fontId="45" fillId="0" borderId="0" xfId="57" applyFont="1" applyAlignment="1">
      <alignment horizontal="centerContinuous"/>
    </xf>
    <xf numFmtId="0" fontId="32" fillId="0" borderId="0" xfId="57" applyFont="1" applyAlignment="1"/>
    <xf numFmtId="0" fontId="166" fillId="0" borderId="0" xfId="57" applyFont="1" applyAlignment="1">
      <alignment horizontal="centerContinuous"/>
    </xf>
    <xf numFmtId="0" fontId="32" fillId="0" borderId="0" xfId="57" applyFont="1" applyAlignment="1">
      <alignment horizontal="right"/>
    </xf>
    <xf numFmtId="0" fontId="33" fillId="0" borderId="4" xfId="57" applyFont="1" applyBorder="1"/>
    <xf numFmtId="0" fontId="32" fillId="0" borderId="4" xfId="57" applyFont="1" applyBorder="1"/>
    <xf numFmtId="0" fontId="43" fillId="0" borderId="0" xfId="57" applyFont="1" applyFill="1" applyAlignment="1">
      <alignment horizontal="center"/>
    </xf>
    <xf numFmtId="0" fontId="33" fillId="0" borderId="4" xfId="57" applyFont="1" applyFill="1" applyBorder="1" applyAlignment="1">
      <alignment horizontal="right"/>
    </xf>
    <xf numFmtId="0" fontId="32" fillId="0" borderId="4" xfId="57" applyFont="1" applyBorder="1" applyAlignment="1">
      <alignment horizontal="center" wrapText="1"/>
    </xf>
    <xf numFmtId="0" fontId="32" fillId="11" borderId="0" xfId="57" applyFont="1" applyFill="1" applyAlignment="1">
      <alignment horizontal="left" indent="1"/>
    </xf>
    <xf numFmtId="37" fontId="32" fillId="11" borderId="0" xfId="57" applyNumberFormat="1" applyFont="1" applyFill="1" applyAlignment="1">
      <alignment horizontal="right" wrapText="1"/>
    </xf>
    <xf numFmtId="168" fontId="32" fillId="0" borderId="0" xfId="13" applyNumberFormat="1" applyFont="1" applyFill="1" applyAlignment="1">
      <alignment horizontal="center" wrapText="1"/>
    </xf>
    <xf numFmtId="0" fontId="96" fillId="0" borderId="0" xfId="57" applyFont="1" applyFill="1" applyAlignment="1">
      <alignment horizontal="left" wrapText="1"/>
    </xf>
    <xf numFmtId="37" fontId="32" fillId="11" borderId="0" xfId="57" applyNumberFormat="1" applyFont="1" applyFill="1" applyAlignment="1">
      <alignment horizontal="left" wrapText="1"/>
    </xf>
    <xf numFmtId="0" fontId="33" fillId="0" borderId="39" xfId="57" applyFont="1" applyBorder="1"/>
    <xf numFmtId="0" fontId="32" fillId="0" borderId="39" xfId="57" applyFont="1" applyBorder="1"/>
    <xf numFmtId="37" fontId="32" fillId="0" borderId="39" xfId="57" applyNumberFormat="1" applyFont="1" applyBorder="1" applyAlignment="1">
      <alignment horizontal="right" wrapText="1"/>
    </xf>
    <xf numFmtId="37" fontId="32" fillId="0" borderId="0" xfId="57" applyNumberFormat="1" applyFont="1" applyAlignment="1">
      <alignment horizontal="right" wrapText="1"/>
    </xf>
    <xf numFmtId="0" fontId="32" fillId="0" borderId="0" xfId="57" applyFont="1" applyAlignment="1">
      <alignment horizontal="right" wrapText="1"/>
    </xf>
    <xf numFmtId="0" fontId="32" fillId="0" borderId="0" xfId="57" applyFont="1" applyAlignment="1">
      <alignment horizontal="left" wrapText="1"/>
    </xf>
    <xf numFmtId="0" fontId="32" fillId="0" borderId="4" xfId="57" applyFont="1" applyBorder="1" applyAlignment="1">
      <alignment horizontal="right" wrapText="1"/>
    </xf>
    <xf numFmtId="0" fontId="32" fillId="0" borderId="4" xfId="57" applyNumberFormat="1" applyFont="1" applyFill="1" applyBorder="1" applyAlignment="1">
      <alignment horizontal="center" wrapText="1"/>
    </xf>
    <xf numFmtId="0" fontId="32" fillId="0" borderId="4" xfId="57" applyFont="1" applyBorder="1" applyAlignment="1">
      <alignment horizontal="left" wrapText="1"/>
    </xf>
    <xf numFmtId="37" fontId="101" fillId="11" borderId="0" xfId="57" applyNumberFormat="1" applyFont="1" applyFill="1" applyAlignment="1">
      <alignment horizontal="right" wrapText="1"/>
    </xf>
    <xf numFmtId="0" fontId="32" fillId="0" borderId="0" xfId="57" applyFont="1" applyAlignment="1">
      <alignment horizontal="left" vertical="center" wrapText="1"/>
    </xf>
    <xf numFmtId="0" fontId="96" fillId="0" borderId="0" xfId="57" applyFont="1" applyAlignment="1">
      <alignment horizontal="left" wrapText="1"/>
    </xf>
    <xf numFmtId="0" fontId="32" fillId="0" borderId="4" xfId="57" applyFont="1" applyBorder="1" applyAlignment="1">
      <alignment horizontal="right"/>
    </xf>
    <xf numFmtId="0" fontId="96" fillId="0" borderId="0" xfId="57" applyFont="1" applyAlignment="1">
      <alignment horizontal="left" vertical="center" wrapText="1"/>
    </xf>
    <xf numFmtId="37" fontId="32" fillId="11" borderId="0" xfId="57" applyNumberFormat="1" applyFont="1" applyFill="1" applyBorder="1" applyAlignment="1">
      <alignment horizontal="right"/>
    </xf>
    <xf numFmtId="0" fontId="32" fillId="0" borderId="0" xfId="57" applyFont="1" applyBorder="1"/>
    <xf numFmtId="37" fontId="32" fillId="0" borderId="39" xfId="57" applyNumberFormat="1" applyFont="1" applyFill="1" applyBorder="1" applyAlignment="1">
      <alignment horizontal="right" wrapText="1"/>
    </xf>
    <xf numFmtId="37" fontId="33" fillId="0" borderId="3" xfId="57" applyNumberFormat="1" applyFont="1" applyBorder="1" applyAlignment="1">
      <alignment horizontal="right" wrapText="1"/>
    </xf>
    <xf numFmtId="0" fontId="32" fillId="0" borderId="0" xfId="57" applyNumberFormat="1" applyFont="1" applyFill="1" applyBorder="1" applyAlignment="1">
      <alignment horizontal="left"/>
    </xf>
    <xf numFmtId="37" fontId="32" fillId="0" borderId="0" xfId="57" applyNumberFormat="1" applyFont="1" applyFill="1" applyAlignment="1">
      <alignment horizontal="right" wrapText="1"/>
    </xf>
    <xf numFmtId="0" fontId="32" fillId="0" borderId="0" xfId="57" applyNumberFormat="1" applyFont="1" applyAlignment="1">
      <alignment horizontal="left"/>
    </xf>
    <xf numFmtId="41" fontId="32" fillId="0" borderId="0" xfId="437" applyFont="1" applyFill="1"/>
    <xf numFmtId="0" fontId="92" fillId="0" borderId="0" xfId="57" applyFont="1" applyFill="1"/>
    <xf numFmtId="0" fontId="92" fillId="0" borderId="0" xfId="57" applyFont="1" applyAlignment="1">
      <alignment horizontal="left"/>
    </xf>
    <xf numFmtId="164" fontId="35" fillId="0" borderId="0" xfId="1" applyNumberFormat="1" applyFont="1" applyFill="1"/>
    <xf numFmtId="0" fontId="32" fillId="11" borderId="0" xfId="57" applyFont="1" applyFill="1" applyAlignment="1">
      <alignment horizontal="left" wrapText="1"/>
    </xf>
    <xf numFmtId="164" fontId="32" fillId="11" borderId="0" xfId="1" applyNumberFormat="1" applyFont="1" applyFill="1" applyAlignment="1">
      <alignment horizontal="left"/>
    </xf>
    <xf numFmtId="0" fontId="33" fillId="0" borderId="39" xfId="57" applyFont="1" applyFill="1" applyBorder="1"/>
    <xf numFmtId="164" fontId="32" fillId="0" borderId="0" xfId="57" applyNumberFormat="1" applyFont="1"/>
    <xf numFmtId="37" fontId="32" fillId="0" borderId="0" xfId="57" applyNumberFormat="1" applyFont="1" applyFill="1" applyAlignment="1">
      <alignment horizontal="right"/>
    </xf>
    <xf numFmtId="0" fontId="33" fillId="0" borderId="0" xfId="57" applyFont="1" applyFill="1"/>
    <xf numFmtId="37" fontId="32" fillId="0" borderId="109" xfId="57" applyNumberFormat="1" applyFont="1" applyFill="1" applyBorder="1" applyAlignment="1">
      <alignment horizontal="right" wrapText="1"/>
    </xf>
    <xf numFmtId="0" fontId="32" fillId="0" borderId="0" xfId="57" applyFont="1" applyFill="1" applyAlignment="1">
      <alignment horizontal="right"/>
    </xf>
    <xf numFmtId="41" fontId="32" fillId="0" borderId="0" xfId="57" applyNumberFormat="1" applyFont="1" applyFill="1" applyBorder="1" applyAlignment="1">
      <alignment horizontal="right"/>
    </xf>
    <xf numFmtId="37" fontId="32" fillId="11" borderId="0" xfId="57" applyNumberFormat="1" applyFont="1" applyFill="1"/>
    <xf numFmtId="37" fontId="101" fillId="41" borderId="109" xfId="57" applyNumberFormat="1" applyFont="1" applyFill="1" applyBorder="1" applyAlignment="1">
      <alignment horizontal="right" wrapText="1"/>
    </xf>
    <xf numFmtId="41" fontId="32" fillId="0" borderId="0" xfId="57" applyNumberFormat="1" applyFont="1" applyFill="1" applyAlignment="1">
      <alignment horizontal="right"/>
    </xf>
    <xf numFmtId="37" fontId="32" fillId="0" borderId="0" xfId="1" applyNumberFormat="1" applyFont="1" applyFill="1" applyBorder="1" applyAlignment="1">
      <alignment horizontal="right"/>
    </xf>
    <xf numFmtId="173" fontId="32" fillId="0" borderId="0" xfId="13" applyNumberFormat="1" applyFont="1" applyFill="1" applyBorder="1" applyAlignment="1">
      <alignment horizontal="right"/>
    </xf>
    <xf numFmtId="164" fontId="32" fillId="0" borderId="0" xfId="1" applyNumberFormat="1" applyFont="1" applyFill="1" applyAlignment="1">
      <alignment horizontal="right"/>
    </xf>
    <xf numFmtId="0" fontId="35" fillId="0" borderId="0" xfId="57" applyFont="1" applyFill="1"/>
    <xf numFmtId="0" fontId="33" fillId="0" borderId="6" xfId="57" applyFont="1" applyFill="1" applyBorder="1"/>
    <xf numFmtId="0" fontId="32" fillId="0" borderId="5" xfId="57" applyFont="1" applyFill="1" applyBorder="1"/>
    <xf numFmtId="0" fontId="32" fillId="0" borderId="5" xfId="57" applyFont="1" applyFill="1" applyBorder="1" applyAlignment="1">
      <alignment horizontal="right"/>
    </xf>
    <xf numFmtId="0" fontId="43" fillId="0" borderId="5" xfId="57" applyFont="1" applyFill="1" applyBorder="1"/>
    <xf numFmtId="0" fontId="32" fillId="0" borderId="32" xfId="57" applyFont="1" applyBorder="1"/>
    <xf numFmtId="0" fontId="62" fillId="0" borderId="8" xfId="57" applyFont="1" applyBorder="1"/>
    <xf numFmtId="0" fontId="32" fillId="0" borderId="0" xfId="57" applyFont="1" applyBorder="1" applyAlignment="1">
      <alignment horizontal="right"/>
    </xf>
    <xf numFmtId="0" fontId="32" fillId="0" borderId="7" xfId="57" applyFont="1" applyBorder="1"/>
    <xf numFmtId="0" fontId="32" fillId="0" borderId="8" xfId="57" applyFont="1" applyBorder="1"/>
    <xf numFmtId="0" fontId="32" fillId="0" borderId="0" xfId="57" applyFont="1" applyBorder="1" applyAlignment="1">
      <alignment horizontal="left"/>
    </xf>
    <xf numFmtId="0" fontId="32" fillId="0" borderId="8" xfId="57" applyFont="1" applyFill="1" applyBorder="1"/>
    <xf numFmtId="0" fontId="101" fillId="11" borderId="0" xfId="57" applyFont="1" applyFill="1" applyBorder="1" applyAlignment="1">
      <alignment horizontal="center"/>
    </xf>
    <xf numFmtId="0" fontId="32" fillId="11" borderId="0" xfId="57" applyFont="1" applyFill="1" applyBorder="1" applyAlignment="1">
      <alignment horizontal="center"/>
    </xf>
    <xf numFmtId="164" fontId="32" fillId="0" borderId="0" xfId="1" applyNumberFormat="1" applyFont="1"/>
    <xf numFmtId="0" fontId="32" fillId="0" borderId="0" xfId="57" quotePrefix="1" applyFont="1" applyBorder="1"/>
    <xf numFmtId="0" fontId="80" fillId="0" borderId="0" xfId="57" applyFont="1"/>
    <xf numFmtId="0" fontId="32" fillId="0" borderId="7" xfId="57" applyFont="1" applyFill="1" applyBorder="1"/>
    <xf numFmtId="0" fontId="32" fillId="0" borderId="8" xfId="57" applyFont="1" applyBorder="1" applyAlignment="1">
      <alignment vertical="top"/>
    </xf>
    <xf numFmtId="0" fontId="33" fillId="0" borderId="0" xfId="57" applyFont="1" applyFill="1" applyBorder="1" applyAlignment="1">
      <alignment horizontal="left" vertical="top"/>
    </xf>
    <xf numFmtId="0" fontId="32" fillId="0" borderId="0" xfId="57" applyFont="1" applyBorder="1" applyAlignment="1">
      <alignment vertical="top"/>
    </xf>
    <xf numFmtId="0" fontId="92" fillId="0" borderId="0" xfId="57" applyFont="1" applyBorder="1" applyAlignment="1">
      <alignment horizontal="left" vertical="top"/>
    </xf>
    <xf numFmtId="0" fontId="32" fillId="0" borderId="7" xfId="57" applyFont="1" applyFill="1" applyBorder="1" applyAlignment="1">
      <alignment vertical="top"/>
    </xf>
    <xf numFmtId="0" fontId="32" fillId="0" borderId="0" xfId="57" applyFont="1" applyFill="1" applyAlignment="1">
      <alignment vertical="top"/>
    </xf>
    <xf numFmtId="0" fontId="101" fillId="11" borderId="107" xfId="57" applyFont="1" applyFill="1" applyBorder="1" applyAlignment="1">
      <alignment horizontal="left" vertical="top"/>
    </xf>
    <xf numFmtId="0" fontId="101" fillId="11" borderId="107" xfId="57" applyFont="1" applyFill="1" applyBorder="1" applyAlignment="1">
      <alignment horizontal="center" vertical="top" wrapText="1"/>
    </xf>
    <xf numFmtId="164" fontId="101" fillId="11" borderId="107" xfId="1" applyNumberFormat="1" applyFont="1" applyFill="1" applyBorder="1" applyAlignment="1">
      <alignment horizontal="center" vertical="top"/>
    </xf>
    <xf numFmtId="0" fontId="101" fillId="11" borderId="107" xfId="57" applyFont="1" applyFill="1" applyBorder="1" applyAlignment="1">
      <alignment horizontal="center" vertical="top"/>
    </xf>
    <xf numFmtId="164" fontId="32" fillId="11" borderId="107" xfId="1" applyNumberFormat="1" applyFont="1" applyFill="1" applyBorder="1" applyAlignment="1">
      <alignment vertical="top"/>
    </xf>
    <xf numFmtId="0" fontId="101" fillId="11" borderId="107" xfId="57" applyFont="1" applyFill="1" applyBorder="1" applyAlignment="1">
      <alignment vertical="top" wrapText="1"/>
    </xf>
    <xf numFmtId="0" fontId="101" fillId="11" borderId="123" xfId="57" applyFont="1" applyFill="1" applyBorder="1" applyAlignment="1">
      <alignment horizontal="left" vertical="top" indent="2"/>
    </xf>
    <xf numFmtId="0" fontId="101" fillId="11" borderId="123" xfId="57" applyFont="1" applyFill="1" applyBorder="1" applyAlignment="1">
      <alignment horizontal="center" vertical="top" wrapText="1"/>
    </xf>
    <xf numFmtId="0" fontId="101" fillId="11" borderId="123" xfId="57" applyFont="1" applyFill="1" applyBorder="1" applyAlignment="1">
      <alignment horizontal="center" vertical="top"/>
    </xf>
    <xf numFmtId="164" fontId="101" fillId="11" borderId="123" xfId="1" applyNumberFormat="1" applyFont="1" applyFill="1" applyBorder="1" applyAlignment="1">
      <alignment vertical="top"/>
    </xf>
    <xf numFmtId="0" fontId="101" fillId="11" borderId="123" xfId="57" applyFont="1" applyFill="1" applyBorder="1" applyAlignment="1">
      <alignment vertical="top" wrapText="1"/>
    </xf>
    <xf numFmtId="0" fontId="101" fillId="11" borderId="20" xfId="57" applyFont="1" applyFill="1" applyBorder="1" applyAlignment="1">
      <alignment horizontal="left" vertical="top" indent="2"/>
    </xf>
    <xf numFmtId="0" fontId="101" fillId="11" borderId="20" xfId="57" applyFont="1" applyFill="1" applyBorder="1" applyAlignment="1">
      <alignment horizontal="center" vertical="top" wrapText="1"/>
    </xf>
    <xf numFmtId="0" fontId="101" fillId="11" borderId="20" xfId="1" applyNumberFormat="1" applyFont="1" applyFill="1" applyBorder="1" applyAlignment="1">
      <alignment horizontal="center" vertical="top"/>
    </xf>
    <xf numFmtId="0" fontId="101" fillId="11" borderId="20" xfId="57" applyFont="1" applyFill="1" applyBorder="1" applyAlignment="1">
      <alignment horizontal="center" vertical="top"/>
    </xf>
    <xf numFmtId="164" fontId="101" fillId="11" borderId="20" xfId="1" applyNumberFormat="1" applyFont="1" applyFill="1" applyBorder="1" applyAlignment="1">
      <alignment vertical="top"/>
    </xf>
    <xf numFmtId="0" fontId="101" fillId="11" borderId="20" xfId="57" applyFont="1" applyFill="1" applyBorder="1" applyAlignment="1">
      <alignment vertical="top" wrapText="1"/>
    </xf>
    <xf numFmtId="0" fontId="101" fillId="11" borderId="22" xfId="57" applyFont="1" applyFill="1" applyBorder="1" applyAlignment="1">
      <alignment horizontal="left" vertical="top" indent="2"/>
    </xf>
    <xf numFmtId="0" fontId="101" fillId="11" borderId="22" xfId="57" applyFont="1" applyFill="1" applyBorder="1" applyAlignment="1">
      <alignment horizontal="center" vertical="top" wrapText="1"/>
    </xf>
    <xf numFmtId="0" fontId="101" fillId="11" borderId="22" xfId="1" applyNumberFormat="1" applyFont="1" applyFill="1" applyBorder="1" applyAlignment="1">
      <alignment horizontal="center" vertical="top"/>
    </xf>
    <xf numFmtId="0" fontId="101" fillId="11" borderId="22" xfId="57" applyFont="1" applyFill="1" applyBorder="1" applyAlignment="1">
      <alignment horizontal="center" vertical="top"/>
    </xf>
    <xf numFmtId="164" fontId="101" fillId="11" borderId="22" xfId="1" applyNumberFormat="1" applyFont="1" applyFill="1" applyBorder="1" applyAlignment="1">
      <alignment vertical="top"/>
    </xf>
    <xf numFmtId="0" fontId="101" fillId="11" borderId="22" xfId="57" applyFont="1" applyFill="1" applyBorder="1" applyAlignment="1">
      <alignment vertical="top" wrapText="1"/>
    </xf>
    <xf numFmtId="0" fontId="101" fillId="11" borderId="124" xfId="57" applyFont="1" applyFill="1" applyBorder="1" applyAlignment="1">
      <alignment horizontal="left" vertical="top"/>
    </xf>
    <xf numFmtId="0" fontId="101" fillId="11" borderId="124" xfId="57" applyFont="1" applyFill="1" applyBorder="1" applyAlignment="1">
      <alignment horizontal="center" vertical="top" wrapText="1"/>
    </xf>
    <xf numFmtId="0" fontId="101" fillId="11" borderId="124" xfId="1" applyNumberFormat="1" applyFont="1" applyFill="1" applyBorder="1" applyAlignment="1">
      <alignment horizontal="center" vertical="top"/>
    </xf>
    <xf numFmtId="0" fontId="101" fillId="11" borderId="124" xfId="57" applyFont="1" applyFill="1" applyBorder="1" applyAlignment="1">
      <alignment horizontal="center" vertical="top"/>
    </xf>
    <xf numFmtId="164" fontId="101" fillId="11" borderId="124" xfId="1" applyNumberFormat="1" applyFont="1" applyFill="1" applyBorder="1" applyAlignment="1">
      <alignment vertical="top"/>
    </xf>
    <xf numFmtId="0" fontId="101" fillId="11" borderId="124" xfId="57" applyFont="1" applyFill="1" applyBorder="1" applyAlignment="1">
      <alignment vertical="top" wrapText="1"/>
    </xf>
    <xf numFmtId="0" fontId="101" fillId="11" borderId="22" xfId="57" applyFont="1" applyFill="1" applyBorder="1" applyAlignment="1">
      <alignment horizontal="left" indent="2"/>
    </xf>
    <xf numFmtId="0" fontId="101" fillId="11" borderId="22" xfId="57" applyFont="1" applyFill="1" applyBorder="1" applyAlignment="1">
      <alignment horizontal="center"/>
    </xf>
    <xf numFmtId="0" fontId="101" fillId="11" borderId="22" xfId="57" applyNumberFormat="1" applyFont="1" applyFill="1" applyBorder="1" applyAlignment="1">
      <alignment horizontal="center"/>
    </xf>
    <xf numFmtId="0" fontId="101" fillId="11" borderId="22" xfId="57" applyFont="1" applyFill="1" applyBorder="1"/>
    <xf numFmtId="3" fontId="101" fillId="11" borderId="22" xfId="57" applyNumberFormat="1" applyFont="1" applyFill="1" applyBorder="1" applyAlignment="1">
      <alignment horizontal="right"/>
    </xf>
    <xf numFmtId="0" fontId="32" fillId="0" borderId="24" xfId="57" applyFont="1" applyBorder="1"/>
    <xf numFmtId="0" fontId="32" fillId="0" borderId="75" xfId="57" applyFont="1" applyBorder="1"/>
    <xf numFmtId="0" fontId="32" fillId="0" borderId="75" xfId="57" applyFont="1" applyBorder="1" applyAlignment="1">
      <alignment horizontal="right"/>
    </xf>
    <xf numFmtId="0" fontId="32" fillId="0" borderId="9" xfId="57" applyFont="1" applyBorder="1"/>
    <xf numFmtId="0" fontId="172" fillId="0" borderId="0" xfId="26" applyFont="1"/>
    <xf numFmtId="43" fontId="172" fillId="0" borderId="0" xfId="26" applyNumberFormat="1" applyFont="1" applyAlignment="1">
      <alignment vertical="top"/>
    </xf>
    <xf numFmtId="0" fontId="172" fillId="0" borderId="0" xfId="26" applyFont="1" applyAlignment="1">
      <alignment vertical="top"/>
    </xf>
    <xf numFmtId="10" fontId="32" fillId="0" borderId="15" xfId="26" applyNumberFormat="1" applyFont="1" applyFill="1" applyBorder="1" applyAlignment="1">
      <alignment horizontal="right" vertical="top"/>
    </xf>
    <xf numFmtId="0" fontId="172" fillId="0" borderId="75" xfId="26" applyFont="1" applyBorder="1" applyAlignment="1">
      <alignment vertical="top"/>
    </xf>
    <xf numFmtId="10" fontId="32" fillId="0" borderId="9" xfId="26" applyNumberFormat="1" applyFont="1" applyBorder="1" applyAlignment="1">
      <alignment horizontal="right" vertical="top"/>
    </xf>
    <xf numFmtId="10" fontId="32" fillId="0" borderId="14" xfId="26" applyNumberFormat="1" applyFont="1" applyFill="1" applyBorder="1" applyAlignment="1">
      <alignment horizontal="right" vertical="top"/>
    </xf>
    <xf numFmtId="10" fontId="32" fillId="0" borderId="7" xfId="26" applyNumberFormat="1" applyFont="1" applyBorder="1" applyAlignment="1">
      <alignment horizontal="right" vertical="top"/>
    </xf>
    <xf numFmtId="10" fontId="32" fillId="0" borderId="14" xfId="26" applyNumberFormat="1" applyFont="1" applyBorder="1" applyAlignment="1">
      <alignment horizontal="right" vertical="top"/>
    </xf>
    <xf numFmtId="0" fontId="172" fillId="0" borderId="0" xfId="26" applyFont="1" applyFill="1"/>
    <xf numFmtId="0" fontId="172" fillId="0" borderId="0" xfId="26" applyFont="1" applyAlignment="1">
      <alignment horizontal="centerContinuous"/>
    </xf>
    <xf numFmtId="10" fontId="32" fillId="0" borderId="13" xfId="26" applyNumberFormat="1" applyFont="1" applyFill="1" applyBorder="1" applyAlignment="1">
      <alignment horizontal="right" vertical="top"/>
    </xf>
    <xf numFmtId="0" fontId="32" fillId="0" borderId="44" xfId="26" applyFont="1" applyBorder="1" applyAlignment="1">
      <alignment horizontal="center"/>
    </xf>
    <xf numFmtId="0" fontId="32" fillId="0" borderId="7" xfId="26" applyFont="1" applyBorder="1" applyAlignment="1">
      <alignment horizontal="center"/>
    </xf>
    <xf numFmtId="0" fontId="32" fillId="0" borderId="44" xfId="26" applyFont="1" applyFill="1" applyBorder="1" applyAlignment="1">
      <alignment horizontal="center"/>
    </xf>
    <xf numFmtId="0" fontId="32" fillId="0" borderId="7" xfId="26" applyFont="1" applyFill="1" applyBorder="1" applyAlignment="1">
      <alignment horizontal="center"/>
    </xf>
    <xf numFmtId="0" fontId="32" fillId="0" borderId="14" xfId="26" applyFont="1" applyFill="1" applyBorder="1" applyAlignment="1">
      <alignment horizontal="center"/>
    </xf>
    <xf numFmtId="2" fontId="32" fillId="0" borderId="7" xfId="26" applyNumberFormat="1" applyFont="1" applyFill="1" applyBorder="1" applyAlignment="1">
      <alignment horizontal="right" vertical="top"/>
    </xf>
    <xf numFmtId="0" fontId="172" fillId="0" borderId="0" xfId="26" applyFont="1" applyFill="1" applyAlignment="1">
      <alignment vertical="top"/>
    </xf>
    <xf numFmtId="10" fontId="32" fillId="0" borderId="7" xfId="26" applyNumberFormat="1" applyFont="1" applyFill="1" applyBorder="1" applyAlignment="1">
      <alignment horizontal="right" vertical="top"/>
    </xf>
    <xf numFmtId="0" fontId="12" fillId="0" borderId="0" xfId="5823"/>
    <xf numFmtId="0" fontId="139" fillId="0" borderId="0" xfId="5823" applyFont="1"/>
    <xf numFmtId="0" fontId="158" fillId="0" borderId="0" xfId="5823" applyFont="1"/>
    <xf numFmtId="0" fontId="99" fillId="0" borderId="0" xfId="57" applyFont="1" applyAlignment="1"/>
    <xf numFmtId="0" fontId="102" fillId="0" borderId="0" xfId="5823" applyFont="1"/>
    <xf numFmtId="0" fontId="33" fillId="0" borderId="0" xfId="57" applyFont="1" applyAlignment="1"/>
    <xf numFmtId="0" fontId="32" fillId="11" borderId="39" xfId="57" applyFont="1" applyFill="1" applyBorder="1" applyAlignment="1">
      <alignment horizontal="center"/>
    </xf>
    <xf numFmtId="0" fontId="32" fillId="0" borderId="39" xfId="57" applyFont="1" applyFill="1" applyBorder="1" applyAlignment="1">
      <alignment horizontal="left" indent="1"/>
    </xf>
    <xf numFmtId="43" fontId="32" fillId="0" borderId="124" xfId="1" applyFont="1" applyBorder="1" applyAlignment="1">
      <alignment horizontal="center"/>
    </xf>
    <xf numFmtId="0" fontId="32" fillId="0" borderId="124" xfId="57" applyFont="1" applyBorder="1" applyAlignment="1">
      <alignment horizontal="center"/>
    </xf>
    <xf numFmtId="0" fontId="33" fillId="0" borderId="0" xfId="57" applyFont="1" applyBorder="1" applyAlignment="1">
      <alignment horizontal="left" indent="1"/>
    </xf>
    <xf numFmtId="37" fontId="33" fillId="0" borderId="124" xfId="1" applyNumberFormat="1" applyFont="1" applyFill="1" applyBorder="1"/>
    <xf numFmtId="0" fontId="33" fillId="0" borderId="39" xfId="57" applyFont="1" applyBorder="1" applyAlignment="1">
      <alignment horizontal="left" indent="1"/>
    </xf>
    <xf numFmtId="0" fontId="101" fillId="11" borderId="0" xfId="57" applyFont="1" applyFill="1"/>
    <xf numFmtId="0" fontId="141" fillId="0" borderId="0" xfId="5823" applyFont="1"/>
    <xf numFmtId="0" fontId="33" fillId="0" borderId="3" xfId="57" applyFont="1" applyBorder="1" applyAlignment="1">
      <alignment horizontal="left" indent="1"/>
    </xf>
    <xf numFmtId="0" fontId="33" fillId="0" borderId="0" xfId="57" applyFont="1" applyBorder="1"/>
    <xf numFmtId="0" fontId="101" fillId="11" borderId="0" xfId="57" applyFont="1" applyFill="1" applyAlignment="1">
      <alignment horizontal="left" vertical="center" indent="1"/>
    </xf>
    <xf numFmtId="49" fontId="32" fillId="0" borderId="0" xfId="57" applyNumberFormat="1" applyAlignment="1">
      <alignment vertical="top" wrapText="1"/>
    </xf>
    <xf numFmtId="49" fontId="33" fillId="0" borderId="4" xfId="57" applyNumberFormat="1" applyFont="1" applyBorder="1" applyAlignment="1">
      <alignment horizontal="center" vertical="top" wrapText="1"/>
    </xf>
    <xf numFmtId="49" fontId="33" fillId="0" borderId="4" xfId="57" applyNumberFormat="1" applyFont="1" applyBorder="1" applyAlignment="1">
      <alignment vertical="top" wrapText="1"/>
    </xf>
    <xf numFmtId="49" fontId="32" fillId="0" borderId="0" xfId="57" applyNumberFormat="1" applyFont="1" applyAlignment="1">
      <alignment vertical="top" wrapText="1"/>
    </xf>
    <xf numFmtId="0" fontId="85" fillId="0" borderId="0" xfId="57" applyFont="1"/>
    <xf numFmtId="0" fontId="150" fillId="0" borderId="0" xfId="57" applyFont="1"/>
    <xf numFmtId="0" fontId="94" fillId="0" borderId="0" xfId="5823" applyFont="1"/>
    <xf numFmtId="42" fontId="158" fillId="0" borderId="110" xfId="5823" applyNumberFormat="1" applyFont="1" applyBorder="1"/>
    <xf numFmtId="0" fontId="158" fillId="0" borderId="0" xfId="5823" applyFont="1" applyAlignment="1">
      <alignment horizontal="right"/>
    </xf>
    <xf numFmtId="0" fontId="102" fillId="0" borderId="0" xfId="5823" applyFont="1" applyAlignment="1">
      <alignment horizontal="right"/>
    </xf>
    <xf numFmtId="42" fontId="102" fillId="0" borderId="39" xfId="5824" applyNumberFormat="1" applyFont="1" applyFill="1" applyBorder="1"/>
    <xf numFmtId="0" fontId="102" fillId="0" borderId="0" xfId="5824" applyFont="1" applyAlignment="1">
      <alignment horizontal="right"/>
    </xf>
    <xf numFmtId="0" fontId="101" fillId="11" borderId="125" xfId="57" applyFont="1" applyFill="1" applyBorder="1"/>
    <xf numFmtId="0" fontId="102" fillId="11" borderId="65" xfId="57" applyFont="1" applyFill="1" applyBorder="1"/>
    <xf numFmtId="0" fontId="102" fillId="11" borderId="48" xfId="57" applyFont="1" applyFill="1" applyBorder="1"/>
    <xf numFmtId="0" fontId="102" fillId="11" borderId="25" xfId="57" applyFont="1" applyFill="1" applyBorder="1"/>
    <xf numFmtId="0" fontId="33" fillId="0" borderId="0" xfId="57" applyFont="1" applyAlignment="1">
      <alignment horizontal="centerContinuous"/>
    </xf>
    <xf numFmtId="0" fontId="34" fillId="0" borderId="0" xfId="57" applyFont="1" applyAlignment="1">
      <alignment horizontal="centerContinuous"/>
    </xf>
    <xf numFmtId="0" fontId="32" fillId="11" borderId="0" xfId="57" applyFill="1"/>
    <xf numFmtId="37" fontId="33" fillId="0" borderId="3" xfId="57" applyNumberFormat="1" applyFont="1" applyBorder="1"/>
    <xf numFmtId="0" fontId="32" fillId="0" borderId="39" xfId="57" applyBorder="1"/>
    <xf numFmtId="37" fontId="101" fillId="11" borderId="0" xfId="57" applyNumberFormat="1" applyFont="1" applyFill="1"/>
    <xf numFmtId="0" fontId="32" fillId="11" borderId="0" xfId="57" applyFill="1" applyAlignment="1">
      <alignment horizontal="center"/>
    </xf>
    <xf numFmtId="0" fontId="32" fillId="0" borderId="0" xfId="57" applyAlignment="1">
      <alignment horizontal="centerContinuous"/>
    </xf>
    <xf numFmtId="172" fontId="32" fillId="0" borderId="39" xfId="13" applyNumberFormat="1" applyFont="1" applyFill="1" applyBorder="1" applyAlignment="1">
      <alignment horizontal="center" wrapText="1"/>
    </xf>
    <xf numFmtId="172" fontId="32" fillId="0" borderId="39" xfId="57" applyNumberFormat="1" applyFont="1" applyFill="1" applyBorder="1" applyAlignment="1">
      <alignment horizontal="center" wrapText="1"/>
    </xf>
    <xf numFmtId="0" fontId="0" fillId="0" borderId="127" xfId="0" applyBorder="1" applyAlignment="1">
      <alignment horizontal="center"/>
    </xf>
    <xf numFmtId="0" fontId="32" fillId="0" borderId="22" xfId="57" applyFont="1" applyFill="1" applyBorder="1"/>
    <xf numFmtId="0" fontId="101" fillId="11" borderId="126" xfId="57" applyFont="1" applyFill="1" applyBorder="1" applyAlignment="1">
      <alignment horizontal="left"/>
    </xf>
    <xf numFmtId="37" fontId="32" fillId="39" borderId="126" xfId="57" quotePrefix="1" applyNumberFormat="1" applyFont="1" applyFill="1" applyBorder="1" applyAlignment="1">
      <alignment horizontal="left"/>
    </xf>
    <xf numFmtId="41" fontId="0" fillId="0" borderId="126" xfId="0" applyNumberFormat="1" applyFill="1" applyBorder="1"/>
    <xf numFmtId="38" fontId="101" fillId="39" borderId="128" xfId="0" applyNumberFormat="1" applyFont="1" applyFill="1" applyBorder="1"/>
    <xf numFmtId="0" fontId="169" fillId="0" borderId="126" xfId="37" applyFont="1" applyFill="1" applyBorder="1" applyAlignment="1" applyProtection="1">
      <alignment horizontal="right" vertical="center" wrapText="1"/>
    </xf>
    <xf numFmtId="0" fontId="169" fillId="0" borderId="126" xfId="37" applyFont="1" applyFill="1" applyBorder="1" applyAlignment="1" applyProtection="1">
      <alignment vertical="center" wrapText="1"/>
    </xf>
    <xf numFmtId="37" fontId="101" fillId="39" borderId="22" xfId="0" applyNumberFormat="1" applyFont="1" applyFill="1" applyBorder="1"/>
    <xf numFmtId="37" fontId="142" fillId="11" borderId="49" xfId="48" applyNumberFormat="1" applyFont="1" applyFill="1" applyBorder="1" applyAlignment="1">
      <alignment horizontal="right"/>
    </xf>
    <xf numFmtId="1" fontId="36" fillId="11" borderId="0" xfId="37" applyNumberFormat="1" applyFont="1" applyFill="1" applyBorder="1" applyAlignment="1">
      <alignment horizontal="center"/>
    </xf>
    <xf numFmtId="1" fontId="36" fillId="11" borderId="4" xfId="37" applyNumberFormat="1" applyFont="1" applyFill="1" applyBorder="1" applyAlignment="1">
      <alignment horizontal="center"/>
    </xf>
    <xf numFmtId="10" fontId="36" fillId="41" borderId="0" xfId="13" applyNumberFormat="1" applyFont="1" applyFill="1" applyAlignment="1">
      <alignment horizontal="center"/>
    </xf>
    <xf numFmtId="171" fontId="36" fillId="0" borderId="0" xfId="13" applyNumberFormat="1" applyFont="1" applyFill="1" applyAlignment="1">
      <alignment horizontal="right"/>
    </xf>
    <xf numFmtId="164" fontId="58" fillId="41" borderId="4" xfId="1" applyNumberFormat="1" applyFont="1" applyFill="1" applyBorder="1" applyAlignment="1">
      <alignment horizontal="center"/>
    </xf>
    <xf numFmtId="10" fontId="36" fillId="0" borderId="0" xfId="13" applyNumberFormat="1" applyFont="1" applyFill="1" applyBorder="1"/>
    <xf numFmtId="164" fontId="53" fillId="0" borderId="8" xfId="0" applyNumberFormat="1" applyFont="1" applyFill="1" applyBorder="1"/>
    <xf numFmtId="164" fontId="58" fillId="41" borderId="0" xfId="1" applyNumberFormat="1" applyFont="1" applyFill="1" applyBorder="1" applyAlignment="1">
      <alignment horizontal="center"/>
    </xf>
    <xf numFmtId="164" fontId="59" fillId="0" borderId="0" xfId="45" applyNumberFormat="1" applyFont="1"/>
    <xf numFmtId="164" fontId="59" fillId="0" borderId="17" xfId="5922" applyNumberFormat="1" applyFont="1" applyFill="1" applyBorder="1" applyAlignment="1">
      <alignment horizontal="center"/>
    </xf>
    <xf numFmtId="164" fontId="59" fillId="0" borderId="18" xfId="45" applyNumberFormat="1" applyFont="1" applyFill="1" applyBorder="1" applyAlignment="1">
      <alignment horizontal="center"/>
    </xf>
    <xf numFmtId="37" fontId="101" fillId="11" borderId="22" xfId="8059" applyNumberFormat="1" applyFont="1" applyFill="1" applyBorder="1" applyAlignment="1">
      <alignment horizontal="right"/>
    </xf>
    <xf numFmtId="0" fontId="59" fillId="0" borderId="0" xfId="45" applyFont="1" applyAlignment="1">
      <alignment wrapText="1"/>
    </xf>
    <xf numFmtId="164" fontId="185" fillId="56" borderId="8" xfId="5870" applyNumberFormat="1" applyFont="1" applyFill="1" applyBorder="1"/>
    <xf numFmtId="0" fontId="59" fillId="0" borderId="0" xfId="471" applyNumberFormat="1" applyFont="1" applyFill="1" applyAlignment="1">
      <alignment horizontal="left"/>
    </xf>
    <xf numFmtId="0" fontId="59" fillId="0" borderId="0" xfId="45" applyFont="1" applyFill="1" applyAlignment="1">
      <alignment horizontal="center"/>
    </xf>
    <xf numFmtId="49" fontId="167" fillId="0" borderId="0" xfId="5916" applyNumberFormat="1" applyFont="1"/>
    <xf numFmtId="0" fontId="102" fillId="0" borderId="0" xfId="8059" applyFont="1"/>
    <xf numFmtId="10" fontId="36" fillId="0" borderId="0" xfId="13" applyNumberFormat="1" applyFont="1" applyFill="1" applyAlignment="1"/>
    <xf numFmtId="0" fontId="142" fillId="0" borderId="0" xfId="0" applyFont="1" applyFill="1" applyBorder="1" applyAlignment="1">
      <alignment horizontal="center"/>
    </xf>
    <xf numFmtId="0" fontId="33" fillId="11" borderId="0" xfId="57" applyFont="1" applyFill="1" applyAlignment="1">
      <alignment horizontal="left" vertical="center"/>
    </xf>
    <xf numFmtId="171" fontId="36" fillId="0" borderId="0" xfId="13" applyNumberFormat="1" applyFont="1" applyFill="1" applyAlignment="1">
      <alignment horizontal="right"/>
    </xf>
    <xf numFmtId="164" fontId="185" fillId="56" borderId="8" xfId="0" applyNumberFormat="1" applyFont="1" applyFill="1" applyBorder="1"/>
    <xf numFmtId="165" fontId="101" fillId="0" borderId="0" xfId="22" applyFont="1" applyFill="1" applyAlignment="1">
      <alignment horizontal="centerContinuous"/>
    </xf>
    <xf numFmtId="0" fontId="58" fillId="0" borderId="0" xfId="45" applyFont="1" applyFill="1" applyAlignment="1">
      <alignment horizontal="center"/>
    </xf>
    <xf numFmtId="49" fontId="140" fillId="0" borderId="0" xfId="5916" applyNumberFormat="1" applyFont="1"/>
    <xf numFmtId="164" fontId="58" fillId="0" borderId="20" xfId="1" applyNumberFormat="1" applyFont="1" applyFill="1" applyBorder="1" applyAlignment="1">
      <alignment horizontal="center"/>
    </xf>
    <xf numFmtId="171" fontId="45" fillId="0" borderId="0" xfId="13" applyNumberFormat="1" applyFont="1" applyFill="1" applyBorder="1" applyAlignment="1">
      <alignment horizontal="right"/>
    </xf>
    <xf numFmtId="10" fontId="36" fillId="41" borderId="134" xfId="13" applyNumberFormat="1" applyFont="1" applyFill="1" applyBorder="1" applyAlignment="1">
      <alignment horizontal="center"/>
    </xf>
    <xf numFmtId="165" fontId="34" fillId="0" borderId="0" xfId="22" applyFont="1" applyFill="1" applyAlignment="1">
      <alignment horizontal="centerContinuous"/>
    </xf>
    <xf numFmtId="172" fontId="36" fillId="0" borderId="0" xfId="13" applyNumberFormat="1" applyFont="1" applyFill="1" applyBorder="1" applyAlignment="1"/>
    <xf numFmtId="10" fontId="34" fillId="0" borderId="0" xfId="13" applyNumberFormat="1" applyFont="1" applyAlignment="1"/>
    <xf numFmtId="0" fontId="139" fillId="0" borderId="0" xfId="5916"/>
    <xf numFmtId="164" fontId="163" fillId="11" borderId="20" xfId="1" applyNumberFormat="1" applyFont="1" applyFill="1" applyBorder="1" applyAlignment="1">
      <alignment horizontal="center"/>
    </xf>
    <xf numFmtId="10" fontId="36" fillId="41" borderId="126" xfId="13" applyNumberFormat="1" applyFont="1" applyFill="1" applyBorder="1" applyAlignment="1">
      <alignment horizontal="center"/>
    </xf>
    <xf numFmtId="164" fontId="56" fillId="0" borderId="0" xfId="1" applyNumberFormat="1" applyFont="1" applyFill="1" applyBorder="1"/>
    <xf numFmtId="37" fontId="36" fillId="41" borderId="134" xfId="0" applyNumberFormat="1" applyFont="1" applyFill="1" applyBorder="1" applyAlignment="1"/>
    <xf numFmtId="164" fontId="53" fillId="0" borderId="0" xfId="1" applyNumberFormat="1" applyFont="1" applyFill="1" applyBorder="1"/>
    <xf numFmtId="10" fontId="36" fillId="0" borderId="0" xfId="13" applyNumberFormat="1" applyFont="1" applyFill="1" applyBorder="1" applyAlignment="1"/>
    <xf numFmtId="0" fontId="140" fillId="0" borderId="0" xfId="5916" applyFont="1" applyFill="1" applyAlignment="1"/>
    <xf numFmtId="43" fontId="58" fillId="41" borderId="18" xfId="2" applyNumberFormat="1" applyFont="1" applyFill="1" applyBorder="1"/>
    <xf numFmtId="172" fontId="36" fillId="0" borderId="0" xfId="13" applyNumberFormat="1" applyFont="1" applyFill="1" applyAlignment="1"/>
    <xf numFmtId="193" fontId="170" fillId="0" borderId="0" xfId="45" applyNumberFormat="1" applyFont="1" applyFill="1" applyBorder="1" applyAlignment="1">
      <alignment horizontal="center"/>
    </xf>
    <xf numFmtId="0" fontId="139" fillId="0" borderId="0" xfId="5916" applyFill="1"/>
    <xf numFmtId="0" fontId="11" fillId="0" borderId="0" xfId="8059"/>
    <xf numFmtId="172" fontId="34" fillId="0" borderId="0" xfId="13" applyNumberFormat="1" applyFont="1" applyFill="1" applyAlignment="1"/>
    <xf numFmtId="0" fontId="58" fillId="0" borderId="136" xfId="12" applyFont="1" applyBorder="1" applyAlignment="1">
      <alignment horizontal="center"/>
    </xf>
    <xf numFmtId="0" fontId="33" fillId="0" borderId="0" xfId="45" applyFont="1" applyAlignment="1"/>
    <xf numFmtId="164" fontId="185" fillId="56" borderId="0" xfId="1" applyNumberFormat="1" applyFont="1" applyFill="1" applyBorder="1"/>
    <xf numFmtId="192" fontId="11" fillId="0" borderId="0" xfId="8059" applyNumberFormat="1" applyAlignment="1">
      <alignment horizontal="left"/>
    </xf>
    <xf numFmtId="164" fontId="170" fillId="11" borderId="4" xfId="5922" applyNumberFormat="1" applyFont="1" applyFill="1" applyBorder="1" applyAlignment="1">
      <alignment horizontal="center"/>
    </xf>
    <xf numFmtId="164" fontId="170" fillId="11" borderId="0" xfId="5922" applyNumberFormat="1" applyFont="1" applyFill="1" applyBorder="1" applyAlignment="1">
      <alignment horizontal="center"/>
    </xf>
    <xf numFmtId="43" fontId="0" fillId="0" borderId="0" xfId="5854" applyFont="1"/>
    <xf numFmtId="0" fontId="102" fillId="0" borderId="0" xfId="8059" applyFont="1" applyAlignment="1">
      <alignment wrapText="1"/>
    </xf>
    <xf numFmtId="164" fontId="59" fillId="0" borderId="21" xfId="11143" applyNumberFormat="1" applyFont="1" applyFill="1" applyBorder="1"/>
    <xf numFmtId="164" fontId="58" fillId="0" borderId="22" xfId="1" applyNumberFormat="1" applyFont="1" applyFill="1" applyBorder="1" applyAlignment="1">
      <alignment horizontal="center"/>
    </xf>
    <xf numFmtId="172" fontId="34" fillId="0" borderId="0" xfId="13" applyNumberFormat="1" applyFont="1" applyAlignment="1"/>
    <xf numFmtId="164" fontId="59" fillId="0" borderId="18" xfId="11143" applyNumberFormat="1" applyFont="1" applyFill="1" applyBorder="1"/>
    <xf numFmtId="164" fontId="59" fillId="0" borderId="19" xfId="5922" applyNumberFormat="1" applyFont="1" applyFill="1" applyBorder="1" applyAlignment="1">
      <alignment horizontal="center"/>
    </xf>
    <xf numFmtId="0" fontId="170" fillId="0" borderId="17" xfId="45" applyFont="1" applyFill="1" applyBorder="1" applyAlignment="1">
      <alignment horizontal="center"/>
    </xf>
    <xf numFmtId="37" fontId="36" fillId="41" borderId="135" xfId="0" applyNumberFormat="1" applyFont="1" applyFill="1" applyBorder="1" applyAlignment="1"/>
    <xf numFmtId="0" fontId="139" fillId="0" borderId="0" xfId="5916" quotePrefix="1" applyFill="1" applyAlignment="1"/>
    <xf numFmtId="164" fontId="36" fillId="0" borderId="8" xfId="1" applyNumberFormat="1" applyFont="1" applyFill="1" applyBorder="1" applyAlignment="1">
      <alignment horizontal="right"/>
    </xf>
    <xf numFmtId="37" fontId="36" fillId="41" borderId="4" xfId="0" applyNumberFormat="1" applyFont="1" applyFill="1" applyBorder="1" applyAlignment="1"/>
    <xf numFmtId="10" fontId="36" fillId="41" borderId="4" xfId="13" applyNumberFormat="1" applyFont="1" applyFill="1" applyBorder="1" applyAlignment="1">
      <alignment horizontal="center"/>
    </xf>
    <xf numFmtId="37" fontId="36" fillId="41" borderId="3" xfId="0" applyNumberFormat="1" applyFont="1" applyFill="1" applyBorder="1" applyAlignment="1"/>
    <xf numFmtId="10" fontId="36" fillId="41" borderId="3" xfId="13" applyNumberFormat="1" applyFont="1" applyFill="1" applyBorder="1" applyAlignment="1">
      <alignment horizontal="center"/>
    </xf>
    <xf numFmtId="164" fontId="59" fillId="0" borderId="0" xfId="5922" applyNumberFormat="1" applyFont="1" applyFill="1" applyBorder="1" applyAlignment="1">
      <alignment horizontal="center"/>
    </xf>
    <xf numFmtId="0" fontId="169" fillId="0" borderId="126" xfId="37" applyFont="1" applyFill="1" applyBorder="1" applyAlignment="1" applyProtection="1">
      <alignment horizontal="right" vertical="center" wrapText="1"/>
    </xf>
    <xf numFmtId="0" fontId="169" fillId="0" borderId="126" xfId="37" applyFont="1" applyFill="1" applyBorder="1" applyAlignment="1" applyProtection="1">
      <alignment vertical="center" wrapText="1"/>
    </xf>
    <xf numFmtId="43" fontId="32" fillId="0" borderId="0" xfId="5854" applyFont="1" applyAlignment="1">
      <alignment horizontal="center"/>
    </xf>
    <xf numFmtId="164" fontId="185" fillId="56" borderId="0" xfId="0" applyNumberFormat="1" applyFont="1" applyFill="1" applyBorder="1"/>
    <xf numFmtId="0" fontId="156" fillId="0" borderId="75" xfId="0" applyFont="1" applyFill="1" applyBorder="1" applyAlignment="1">
      <alignment horizontal="center" vertical="center"/>
    </xf>
    <xf numFmtId="0" fontId="58" fillId="0" borderId="60" xfId="0" applyFont="1" applyBorder="1" applyAlignment="1">
      <alignment horizontal="center"/>
    </xf>
    <xf numFmtId="0" fontId="159" fillId="0" borderId="0" xfId="0" applyFont="1" applyFill="1" applyBorder="1" applyAlignment="1">
      <alignment horizontal="center" vertical="center" wrapText="1"/>
    </xf>
    <xf numFmtId="0" fontId="159" fillId="11" borderId="28" xfId="0" applyFont="1" applyFill="1" applyBorder="1" applyAlignment="1">
      <alignment horizontal="center" vertical="center" wrapText="1"/>
    </xf>
    <xf numFmtId="0" fontId="159" fillId="11" borderId="27" xfId="0" applyFont="1" applyFill="1" applyBorder="1" applyAlignment="1">
      <alignment horizontal="center" vertical="center" wrapText="1"/>
    </xf>
    <xf numFmtId="0" fontId="101" fillId="11" borderId="84" xfId="0" applyFont="1" applyFill="1" applyBorder="1" applyAlignment="1">
      <alignment horizontal="center" wrapText="1"/>
    </xf>
    <xf numFmtId="0" fontId="53" fillId="0" borderId="26" xfId="0" applyFont="1" applyBorder="1" applyAlignment="1">
      <alignment horizontal="center"/>
    </xf>
    <xf numFmtId="0" fontId="53" fillId="0" borderId="61" xfId="0" applyFont="1" applyBorder="1" applyAlignment="1">
      <alignment horizontal="center"/>
    </xf>
    <xf numFmtId="198" fontId="101" fillId="11" borderId="83" xfId="0" applyNumberFormat="1" applyFont="1" applyFill="1" applyBorder="1" applyAlignment="1">
      <alignment horizontal="center" vertical="center" wrapText="1"/>
    </xf>
    <xf numFmtId="198" fontId="101" fillId="11" borderId="25" xfId="0" applyNumberFormat="1" applyFont="1" applyFill="1" applyBorder="1" applyAlignment="1">
      <alignment horizontal="center" vertical="center" wrapText="1"/>
    </xf>
    <xf numFmtId="172" fontId="34" fillId="41" borderId="3" xfId="13" applyNumberFormat="1" applyFont="1" applyFill="1" applyBorder="1" applyAlignment="1"/>
    <xf numFmtId="10" fontId="34" fillId="41" borderId="134" xfId="13" applyNumberFormat="1" applyFont="1" applyFill="1" applyBorder="1" applyAlignment="1"/>
    <xf numFmtId="10" fontId="36" fillId="41" borderId="0" xfId="0" applyNumberFormat="1" applyFont="1" applyFill="1" applyAlignment="1"/>
    <xf numFmtId="37" fontId="36" fillId="11" borderId="8" xfId="0" applyNumberFormat="1" applyFont="1" applyFill="1" applyBorder="1"/>
    <xf numFmtId="0" fontId="142" fillId="11" borderId="0" xfId="0" applyNumberFormat="1" applyFont="1" applyFill="1" applyBorder="1" applyAlignment="1">
      <alignment horizontal="left" indent="1"/>
    </xf>
    <xf numFmtId="37" fontId="101" fillId="11" borderId="0" xfId="1" applyNumberFormat="1" applyFont="1" applyFill="1" applyAlignment="1">
      <alignment vertical="center"/>
    </xf>
    <xf numFmtId="37" fontId="101" fillId="11" borderId="0" xfId="1" applyNumberFormat="1" applyFont="1" applyFill="1" applyAlignment="1">
      <alignment vertical="center" wrapText="1"/>
    </xf>
    <xf numFmtId="37" fontId="32" fillId="11" borderId="0" xfId="1" applyNumberFormat="1" applyFont="1" applyFill="1" applyAlignment="1">
      <alignment vertical="center" wrapText="1"/>
    </xf>
    <xf numFmtId="37" fontId="0" fillId="11" borderId="0" xfId="1" applyNumberFormat="1" applyFont="1" applyFill="1" applyAlignment="1">
      <alignment vertical="center"/>
    </xf>
    <xf numFmtId="7" fontId="32" fillId="0" borderId="0" xfId="0" applyNumberFormat="1" applyFont="1" applyFill="1"/>
    <xf numFmtId="200" fontId="32" fillId="0" borderId="0" xfId="1" applyNumberFormat="1" applyFont="1" applyFill="1"/>
    <xf numFmtId="39" fontId="32" fillId="0" borderId="0" xfId="1" applyNumberFormat="1" applyFont="1" applyFill="1"/>
    <xf numFmtId="37" fontId="0" fillId="0" borderId="28" xfId="0" applyNumberFormat="1" applyBorder="1"/>
    <xf numFmtId="37" fontId="101" fillId="39" borderId="126" xfId="57" quotePrefix="1" applyNumberFormat="1" applyFont="1" applyFill="1" applyBorder="1" applyAlignment="1">
      <alignment horizontal="left"/>
    </xf>
    <xf numFmtId="37" fontId="32" fillId="39" borderId="107" xfId="0" applyNumberFormat="1" applyFont="1" applyFill="1" applyBorder="1"/>
    <xf numFmtId="201" fontId="32" fillId="0" borderId="0" xfId="1" applyNumberFormat="1" applyFont="1" applyFill="1"/>
    <xf numFmtId="0" fontId="0" fillId="0" borderId="0" xfId="0" applyAlignment="1">
      <alignment vertical="top"/>
    </xf>
    <xf numFmtId="0" fontId="33" fillId="0" borderId="4" xfId="57" applyFont="1" applyBorder="1" applyAlignment="1">
      <alignment horizontal="center"/>
    </xf>
    <xf numFmtId="0" fontId="32" fillId="0" borderId="0" xfId="26" applyFont="1" applyAlignment="1">
      <alignment wrapText="1"/>
    </xf>
    <xf numFmtId="0" fontId="32" fillId="0" borderId="0" xfId="26" applyFont="1" applyAlignment="1"/>
    <xf numFmtId="180" fontId="169" fillId="0" borderId="126" xfId="37" applyNumberFormat="1" applyFont="1" applyFill="1" applyBorder="1" applyAlignment="1" applyProtection="1">
      <alignment vertical="center" wrapText="1"/>
    </xf>
    <xf numFmtId="37" fontId="142" fillId="11" borderId="0" xfId="0" applyNumberFormat="1" applyFont="1" applyFill="1" applyBorder="1" applyAlignment="1">
      <alignment horizontal="center"/>
    </xf>
    <xf numFmtId="37" fontId="142" fillId="11" borderId="8" xfId="1" applyNumberFormat="1" applyFont="1" applyFill="1" applyBorder="1"/>
    <xf numFmtId="0" fontId="159" fillId="0" borderId="4" xfId="57" applyFont="1" applyBorder="1"/>
    <xf numFmtId="0" fontId="139" fillId="0" borderId="0" xfId="11203" applyFont="1"/>
    <xf numFmtId="0" fontId="10" fillId="0" borderId="0" xfId="11203"/>
    <xf numFmtId="0" fontId="33" fillId="0" borderId="143" xfId="57" applyFont="1" applyBorder="1"/>
    <xf numFmtId="37" fontId="33" fillId="0" borderId="143" xfId="1" applyNumberFormat="1" applyFont="1" applyBorder="1"/>
    <xf numFmtId="37" fontId="159" fillId="11" borderId="143" xfId="1" applyNumberFormat="1" applyFont="1" applyFill="1" applyBorder="1"/>
    <xf numFmtId="37" fontId="33" fillId="0" borderId="144" xfId="57" applyNumberFormat="1" applyFont="1" applyBorder="1"/>
    <xf numFmtId="164" fontId="33" fillId="0" borderId="144" xfId="1" applyNumberFormat="1" applyFont="1" applyFill="1" applyBorder="1" applyAlignment="1">
      <alignment vertical="center"/>
    </xf>
    <xf numFmtId="0" fontId="32" fillId="0" borderId="0" xfId="5870" applyFont="1"/>
    <xf numFmtId="0" fontId="33" fillId="0" borderId="0" xfId="5870" applyFont="1"/>
    <xf numFmtId="191" fontId="32" fillId="0" borderId="145" xfId="1" applyNumberFormat="1" applyFont="1" applyFill="1" applyBorder="1" applyAlignment="1">
      <alignment horizontal="right" vertical="center"/>
    </xf>
    <xf numFmtId="191" fontId="32" fillId="0" borderId="143" xfId="1" applyNumberFormat="1" applyFont="1" applyFill="1" applyBorder="1" applyAlignment="1">
      <alignment horizontal="right" vertical="center"/>
    </xf>
    <xf numFmtId="191" fontId="32" fillId="0" borderId="143" xfId="57" applyNumberFormat="1" applyFont="1" applyBorder="1"/>
    <xf numFmtId="191" fontId="32" fillId="0" borderId="143" xfId="1" applyNumberFormat="1" applyFont="1" applyFill="1" applyBorder="1" applyAlignment="1">
      <alignment vertical="center"/>
    </xf>
    <xf numFmtId="189" fontId="32" fillId="0" borderId="143" xfId="1" applyNumberFormat="1" applyFont="1" applyFill="1" applyBorder="1" applyAlignment="1">
      <alignment vertical="center"/>
    </xf>
    <xf numFmtId="189" fontId="32" fillId="0" borderId="143" xfId="1" applyNumberFormat="1" applyFont="1" applyFill="1" applyBorder="1" applyAlignment="1" applyProtection="1">
      <alignment vertical="center"/>
    </xf>
    <xf numFmtId="0" fontId="32" fillId="0" borderId="143" xfId="57" applyFont="1" applyFill="1" applyBorder="1" applyAlignment="1">
      <alignment horizontal="left" vertical="center" indent="1"/>
    </xf>
    <xf numFmtId="189" fontId="32" fillId="0" borderId="0" xfId="57" applyNumberFormat="1" applyAlignment="1">
      <alignment vertical="center"/>
    </xf>
    <xf numFmtId="0" fontId="101" fillId="11" borderId="0" xfId="57" applyFont="1" applyFill="1" applyAlignment="1">
      <alignment horizontal="center" vertical="center"/>
    </xf>
    <xf numFmtId="0" fontId="33" fillId="0" borderId="43" xfId="11550" applyFont="1" applyFill="1" applyBorder="1" applyAlignment="1"/>
    <xf numFmtId="0" fontId="33" fillId="0" borderId="43" xfId="11550" applyFont="1" applyFill="1" applyBorder="1" applyAlignment="1">
      <alignment horizontal="center" wrapText="1"/>
    </xf>
    <xf numFmtId="188" fontId="33" fillId="0" borderId="23" xfId="11550" applyNumberFormat="1" applyFont="1" applyFill="1" applyBorder="1" applyAlignment="1">
      <alignment horizontal="center" wrapText="1"/>
    </xf>
    <xf numFmtId="188" fontId="33" fillId="0" borderId="41" xfId="11550" applyNumberFormat="1" applyFont="1" applyFill="1" applyBorder="1" applyAlignment="1">
      <alignment horizontal="center" wrapText="1"/>
    </xf>
    <xf numFmtId="188" fontId="33" fillId="0" borderId="43" xfId="11550" applyNumberFormat="1" applyFont="1" applyFill="1" applyBorder="1" applyAlignment="1">
      <alignment horizontal="center" wrapText="1"/>
    </xf>
    <xf numFmtId="188" fontId="33" fillId="0" borderId="42" xfId="11550" applyNumberFormat="1" applyFont="1" applyFill="1" applyBorder="1" applyAlignment="1">
      <alignment horizontal="center" wrapText="1"/>
    </xf>
    <xf numFmtId="0" fontId="82" fillId="0" borderId="30" xfId="11530" quotePrefix="1" applyNumberFormat="1" applyFont="1" applyFill="1" applyBorder="1" applyAlignment="1" applyProtection="1">
      <alignment horizontal="left" vertical="center"/>
      <protection locked="0"/>
    </xf>
    <xf numFmtId="49" fontId="102" fillId="0" borderId="30" xfId="11550" applyNumberFormat="1" applyFont="1" applyFill="1" applyBorder="1" applyAlignment="1"/>
    <xf numFmtId="37" fontId="101" fillId="11" borderId="30" xfId="11551" quotePrefix="1" applyNumberFormat="1" applyFont="1" applyFill="1" applyBorder="1" applyAlignment="1" applyProtection="1">
      <alignment horizontal="right" vertical="center"/>
      <protection locked="0"/>
    </xf>
    <xf numFmtId="37" fontId="101" fillId="11" borderId="12" xfId="11551" quotePrefix="1" applyNumberFormat="1" applyFont="1" applyFill="1" applyBorder="1" applyAlignment="1" applyProtection="1">
      <alignment horizontal="right" vertical="center"/>
      <protection locked="0"/>
    </xf>
    <xf numFmtId="0" fontId="82" fillId="0" borderId="20" xfId="11530" applyNumberFormat="1" applyFont="1" applyFill="1" applyBorder="1" applyAlignment="1" applyProtection="1">
      <alignment horizontal="left" vertical="center"/>
      <protection locked="0"/>
    </xf>
    <xf numFmtId="49" fontId="102" fillId="0" borderId="20" xfId="11550" applyNumberFormat="1" applyFont="1" applyFill="1" applyBorder="1" applyAlignment="1"/>
    <xf numFmtId="37" fontId="101" fillId="11" borderId="17" xfId="11551" quotePrefix="1" applyNumberFormat="1" applyFont="1" applyFill="1" applyBorder="1" applyAlignment="1" applyProtection="1">
      <alignment horizontal="right" vertical="center"/>
      <protection locked="0"/>
    </xf>
    <xf numFmtId="37" fontId="101" fillId="11" borderId="7" xfId="11551" quotePrefix="1" applyNumberFormat="1" applyFont="1" applyFill="1" applyBorder="1" applyAlignment="1" applyProtection="1">
      <alignment horizontal="right" vertical="center"/>
      <protection locked="0"/>
    </xf>
    <xf numFmtId="37" fontId="101" fillId="11" borderId="64" xfId="11551" quotePrefix="1" applyNumberFormat="1" applyFont="1" applyFill="1" applyBorder="1" applyAlignment="1" applyProtection="1">
      <alignment horizontal="right" vertical="center"/>
      <protection locked="0"/>
    </xf>
    <xf numFmtId="0" fontId="102" fillId="0" borderId="20" xfId="11550" applyFont="1" applyFill="1" applyBorder="1" applyAlignment="1">
      <alignment horizontal="left"/>
    </xf>
    <xf numFmtId="37" fontId="101" fillId="11" borderId="64" xfId="11551" applyNumberFormat="1" applyFont="1" applyFill="1" applyBorder="1"/>
    <xf numFmtId="0" fontId="82" fillId="0" borderId="20" xfId="11530" quotePrefix="1" applyNumberFormat="1" applyFont="1" applyFill="1" applyBorder="1" applyAlignment="1" applyProtection="1">
      <alignment horizontal="left" vertical="center"/>
      <protection locked="0"/>
    </xf>
    <xf numFmtId="191" fontId="35" fillId="0" borderId="0" xfId="45" applyNumberFormat="1" applyFont="1"/>
    <xf numFmtId="0" fontId="102" fillId="0" borderId="20" xfId="11550" applyFont="1" applyFill="1" applyBorder="1" applyAlignment="1">
      <alignment horizontal="left" wrapText="1"/>
    </xf>
    <xf numFmtId="49" fontId="102" fillId="0" borderId="20" xfId="11550" applyNumberFormat="1" applyFont="1" applyFill="1" applyBorder="1" applyAlignment="1">
      <alignment vertical="center"/>
    </xf>
    <xf numFmtId="39" fontId="32" fillId="0" borderId="0" xfId="45" applyNumberFormat="1" applyFont="1"/>
    <xf numFmtId="37" fontId="101" fillId="11" borderId="20" xfId="11551" quotePrefix="1" applyNumberFormat="1" applyFont="1" applyFill="1" applyBorder="1" applyAlignment="1" applyProtection="1">
      <alignment horizontal="right" vertical="center"/>
      <protection locked="0"/>
    </xf>
    <xf numFmtId="0" fontId="82" fillId="0" borderId="65" xfId="11530" applyNumberFormat="1" applyFont="1" applyFill="1" applyBorder="1" applyAlignment="1" applyProtection="1">
      <alignment horizontal="left" vertical="center"/>
      <protection locked="0"/>
    </xf>
    <xf numFmtId="37" fontId="101" fillId="11" borderId="65" xfId="11551" quotePrefix="1" applyNumberFormat="1" applyFont="1" applyFill="1" applyBorder="1" applyAlignment="1" applyProtection="1">
      <alignment horizontal="right" vertical="center"/>
      <protection locked="0"/>
    </xf>
    <xf numFmtId="37" fontId="32" fillId="0" borderId="151" xfId="45" applyNumberFormat="1" applyFont="1" applyBorder="1"/>
    <xf numFmtId="37" fontId="101" fillId="11" borderId="151" xfId="45" applyNumberFormat="1" applyFont="1" applyFill="1" applyBorder="1"/>
    <xf numFmtId="37" fontId="101" fillId="11" borderId="152" xfId="45" applyNumberFormat="1" applyFont="1" applyFill="1" applyBorder="1"/>
    <xf numFmtId="37" fontId="101" fillId="11" borderId="13" xfId="11551" quotePrefix="1" applyNumberFormat="1" applyFont="1" applyFill="1" applyBorder="1" applyAlignment="1" applyProtection="1">
      <alignment horizontal="right" vertical="center"/>
      <protection locked="0"/>
    </xf>
    <xf numFmtId="37" fontId="101" fillId="11" borderId="14" xfId="11551" quotePrefix="1" applyNumberFormat="1" applyFont="1" applyFill="1" applyBorder="1" applyAlignment="1" applyProtection="1">
      <alignment horizontal="right" vertical="center"/>
      <protection locked="0"/>
    </xf>
    <xf numFmtId="37" fontId="101" fillId="11" borderId="15" xfId="11551" quotePrefix="1" applyNumberFormat="1" applyFont="1" applyFill="1" applyBorder="1" applyAlignment="1" applyProtection="1">
      <alignment horizontal="right" vertical="center"/>
      <protection locked="0"/>
    </xf>
    <xf numFmtId="37" fontId="36" fillId="41" borderId="49" xfId="48" applyNumberFormat="1" applyFont="1" applyFill="1" applyBorder="1" applyAlignment="1">
      <alignment horizontal="right"/>
    </xf>
    <xf numFmtId="0" fontId="33" fillId="7" borderId="142" xfId="5869" quotePrefix="1" applyFont="1" applyFill="1" applyAlignment="1" applyProtection="1">
      <alignment horizontal="left" vertical="center" indent="1"/>
      <protection locked="0"/>
    </xf>
    <xf numFmtId="0" fontId="33" fillId="7" borderId="142" xfId="5869" applyFont="1" applyFill="1" applyAlignment="1" applyProtection="1">
      <alignment horizontal="left" vertical="center" indent="1"/>
      <protection locked="0"/>
    </xf>
    <xf numFmtId="0" fontId="33" fillId="7" borderId="142" xfId="5828" quotePrefix="1" applyFont="1" applyFill="1" applyAlignment="1" applyProtection="1">
      <alignment horizontal="left" vertical="center" indent="1"/>
      <protection locked="0"/>
    </xf>
    <xf numFmtId="4" fontId="10" fillId="0" borderId="0" xfId="11203" applyNumberFormat="1" applyFont="1"/>
    <xf numFmtId="0" fontId="101" fillId="11" borderId="142" xfId="11162" applyFont="1" applyFill="1" applyProtection="1">
      <alignment horizontal="left" vertical="center" indent="1"/>
      <protection locked="0"/>
    </xf>
    <xf numFmtId="37" fontId="101" fillId="11" borderId="142" xfId="1" applyNumberFormat="1" applyFont="1" applyFill="1" applyBorder="1" applyAlignment="1" applyProtection="1">
      <alignment horizontal="right" vertical="center"/>
      <protection locked="0"/>
    </xf>
    <xf numFmtId="0" fontId="101" fillId="11" borderId="142" xfId="11162" quotePrefix="1" applyFont="1" applyFill="1" applyProtection="1">
      <alignment horizontal="left" vertical="center" indent="1"/>
      <protection locked="0"/>
    </xf>
    <xf numFmtId="0" fontId="139" fillId="0" borderId="0" xfId="11203" applyFont="1" applyFill="1"/>
    <xf numFmtId="0" fontId="33" fillId="0" borderId="137" xfId="11162" applyFont="1" applyFill="1" applyBorder="1" applyAlignment="1" applyProtection="1">
      <alignment horizontal="right" vertical="center" indent="1"/>
      <protection locked="0"/>
    </xf>
    <xf numFmtId="37" fontId="158" fillId="0" borderId="144" xfId="1" applyNumberFormat="1" applyFont="1" applyFill="1" applyBorder="1"/>
    <xf numFmtId="4" fontId="10" fillId="0" borderId="0" xfId="11203" applyNumberFormat="1"/>
    <xf numFmtId="0" fontId="10" fillId="0" borderId="0" xfId="11203" applyFont="1"/>
    <xf numFmtId="37" fontId="101" fillId="41" borderId="124" xfId="57" applyNumberFormat="1" applyFont="1" applyFill="1" applyBorder="1" applyAlignment="1"/>
    <xf numFmtId="0" fontId="102" fillId="0" borderId="0" xfId="11203" applyFont="1"/>
    <xf numFmtId="0" fontId="139" fillId="0" borderId="0" xfId="11203" applyFont="1"/>
    <xf numFmtId="0" fontId="10" fillId="0" borderId="0" xfId="11203"/>
    <xf numFmtId="0" fontId="158" fillId="0" borderId="0" xfId="11203" applyFont="1"/>
    <xf numFmtId="37" fontId="101" fillId="11" borderId="20" xfId="1" applyNumberFormat="1" applyFont="1" applyFill="1" applyBorder="1"/>
    <xf numFmtId="10" fontId="188" fillId="0" borderId="7" xfId="26" applyNumberFormat="1" applyFont="1" applyBorder="1" applyAlignment="1">
      <alignment horizontal="right" vertical="top"/>
    </xf>
    <xf numFmtId="0" fontId="9" fillId="0" borderId="0" xfId="16084"/>
    <xf numFmtId="0" fontId="147" fillId="0" borderId="0" xfId="5916" applyFont="1" applyFill="1"/>
    <xf numFmtId="199" fontId="0" fillId="0" borderId="0" xfId="16085" applyNumberFormat="1" applyFont="1"/>
    <xf numFmtId="173" fontId="0" fillId="41" borderId="0" xfId="16085" applyNumberFormat="1" applyFont="1" applyFill="1" applyAlignment="1">
      <alignment horizontal="center"/>
    </xf>
    <xf numFmtId="173" fontId="0" fillId="0" borderId="0" xfId="16085" applyNumberFormat="1" applyFont="1"/>
    <xf numFmtId="0" fontId="159" fillId="0" borderId="0" xfId="0" applyFont="1" applyBorder="1" applyAlignment="1">
      <alignment horizontal="center" wrapText="1"/>
    </xf>
    <xf numFmtId="0" fontId="101" fillId="11" borderId="0" xfId="57" applyFont="1" applyFill="1" applyBorder="1" applyAlignment="1">
      <alignment horizontal="left"/>
    </xf>
    <xf numFmtId="0" fontId="190" fillId="0" borderId="0" xfId="57" applyFont="1" applyFill="1" applyBorder="1" applyAlignment="1">
      <alignment horizontal="center" vertical="top"/>
    </xf>
    <xf numFmtId="0" fontId="190" fillId="0" borderId="153" xfId="57" applyFont="1" applyFill="1" applyBorder="1" applyAlignment="1">
      <alignment horizontal="center" vertical="top"/>
    </xf>
    <xf numFmtId="37" fontId="36" fillId="0" borderId="70" xfId="1" applyNumberFormat="1" applyFont="1" applyFill="1" applyBorder="1" applyAlignment="1"/>
    <xf numFmtId="37" fontId="156" fillId="11" borderId="0" xfId="1" applyNumberFormat="1" applyFont="1" applyFill="1" applyBorder="1" applyAlignment="1"/>
    <xf numFmtId="37" fontId="34" fillId="0" borderId="36" xfId="1" applyNumberFormat="1" applyFont="1" applyFill="1" applyBorder="1" applyAlignment="1"/>
    <xf numFmtId="37" fontId="36" fillId="0" borderId="76" xfId="1" applyNumberFormat="1" applyFont="1" applyFill="1" applyBorder="1" applyAlignment="1"/>
    <xf numFmtId="0" fontId="142" fillId="11" borderId="7" xfId="0" applyFont="1" applyFill="1" applyBorder="1" applyAlignment="1">
      <alignment horizontal="center"/>
    </xf>
    <xf numFmtId="0" fontId="36" fillId="0" borderId="82" xfId="0" applyNumberFormat="1" applyFont="1" applyFill="1" applyBorder="1" applyAlignment="1">
      <alignment horizontal="center"/>
    </xf>
    <xf numFmtId="10" fontId="36" fillId="0" borderId="0" xfId="13" quotePrefix="1" applyNumberFormat="1" applyFont="1" applyFill="1" applyBorder="1" applyAlignment="1">
      <alignment horizontal="center"/>
    </xf>
    <xf numFmtId="0" fontId="142" fillId="11" borderId="7" xfId="0" quotePrefix="1" applyNumberFormat="1" applyFont="1" applyFill="1" applyBorder="1" applyAlignment="1"/>
    <xf numFmtId="0" fontId="32" fillId="0" borderId="16" xfId="0" applyFont="1" applyBorder="1" applyAlignment="1">
      <alignment horizontal="center" vertical="top"/>
    </xf>
    <xf numFmtId="0" fontId="32" fillId="0" borderId="16" xfId="0" applyFont="1" applyFill="1" applyBorder="1" applyAlignment="1">
      <alignment vertical="top"/>
    </xf>
    <xf numFmtId="0" fontId="32" fillId="0" borderId="36" xfId="0" applyFont="1" applyFill="1" applyBorder="1" applyAlignment="1">
      <alignment vertical="top"/>
    </xf>
    <xf numFmtId="0" fontId="0" fillId="0" borderId="36" xfId="0" applyBorder="1" applyAlignment="1">
      <alignment vertical="top"/>
    </xf>
    <xf numFmtId="0" fontId="32" fillId="0" borderId="36" xfId="0" applyFont="1" applyBorder="1" applyAlignment="1">
      <alignment vertical="top"/>
    </xf>
    <xf numFmtId="0" fontId="36" fillId="0" borderId="0" xfId="57" applyFont="1" applyFill="1" applyAlignment="1"/>
    <xf numFmtId="0" fontId="32" fillId="0" borderId="0" xfId="57" applyFont="1" applyFill="1" applyAlignment="1"/>
    <xf numFmtId="37" fontId="32" fillId="0" borderId="4" xfId="57" applyNumberFormat="1" applyFont="1" applyFill="1" applyBorder="1" applyAlignment="1"/>
    <xf numFmtId="172" fontId="32" fillId="0" borderId="4" xfId="57" applyNumberFormat="1" applyFont="1" applyFill="1" applyBorder="1" applyAlignment="1"/>
    <xf numFmtId="37" fontId="33" fillId="0" borderId="0" xfId="57" applyNumberFormat="1" applyFont="1" applyFill="1" applyAlignment="1"/>
    <xf numFmtId="37" fontId="32" fillId="0" borderId="167" xfId="57" applyNumberFormat="1" applyFont="1" applyFill="1" applyBorder="1" applyAlignment="1"/>
    <xf numFmtId="0" fontId="55" fillId="0" borderId="0" xfId="57" applyFont="1" applyFill="1" applyAlignment="1"/>
    <xf numFmtId="0" fontId="50" fillId="0" borderId="0" xfId="57" applyFont="1" applyFill="1" applyAlignment="1"/>
    <xf numFmtId="37" fontId="32" fillId="0" borderId="153" xfId="57" applyNumberFormat="1" applyFont="1" applyFill="1" applyBorder="1" applyAlignment="1">
      <alignment wrapText="1"/>
    </xf>
    <xf numFmtId="175" fontId="33" fillId="11" borderId="156" xfId="10" applyNumberFormat="1" applyFont="1" applyFill="1" applyBorder="1" applyAlignment="1" applyProtection="1">
      <alignment horizontal="left"/>
      <protection locked="0"/>
    </xf>
    <xf numFmtId="175" fontId="32" fillId="11" borderId="167" xfId="10" applyNumberFormat="1" applyFont="1" applyFill="1" applyBorder="1" applyAlignment="1" applyProtection="1">
      <protection locked="0"/>
    </xf>
    <xf numFmtId="37" fontId="32" fillId="11" borderId="153" xfId="57" applyNumberFormat="1" applyFont="1" applyFill="1" applyBorder="1" applyAlignment="1">
      <alignment wrapText="1"/>
    </xf>
    <xf numFmtId="175" fontId="32" fillId="11" borderId="156" xfId="10" applyNumberFormat="1" applyFont="1" applyFill="1" applyBorder="1" applyAlignment="1" applyProtection="1">
      <alignment horizontal="center"/>
      <protection locked="0"/>
    </xf>
    <xf numFmtId="182" fontId="32" fillId="11" borderId="167" xfId="10" applyNumberFormat="1" applyFont="1" applyFill="1" applyBorder="1" applyAlignment="1" applyProtection="1">
      <alignment horizontal="center"/>
      <protection locked="0"/>
    </xf>
    <xf numFmtId="175" fontId="32" fillId="11" borderId="155" xfId="10" applyNumberFormat="1" applyFont="1" applyFill="1" applyBorder="1" applyAlignment="1" applyProtection="1">
      <alignment vertical="top"/>
      <protection locked="0"/>
    </xf>
    <xf numFmtId="0" fontId="32" fillId="11" borderId="153" xfId="57" applyFont="1" applyFill="1" applyBorder="1" applyAlignment="1">
      <alignment horizontal="left" vertical="top" wrapText="1"/>
    </xf>
    <xf numFmtId="37" fontId="101" fillId="11" borderId="153" xfId="57" applyNumberFormat="1" applyFont="1" applyFill="1" applyBorder="1" applyAlignment="1">
      <alignment wrapText="1"/>
    </xf>
    <xf numFmtId="0" fontId="32" fillId="0" borderId="167" xfId="57" applyFont="1" applyFill="1" applyBorder="1" applyAlignment="1"/>
    <xf numFmtId="0" fontId="102" fillId="0" borderId="153" xfId="57" applyFont="1" applyFill="1" applyBorder="1" applyAlignment="1">
      <alignment wrapText="1"/>
    </xf>
    <xf numFmtId="0" fontId="33" fillId="0" borderId="156" xfId="57" applyFont="1" applyFill="1" applyBorder="1" applyAlignment="1"/>
    <xf numFmtId="0" fontId="33" fillId="0" borderId="167" xfId="57" applyFont="1" applyFill="1" applyBorder="1" applyAlignment="1"/>
    <xf numFmtId="0" fontId="33" fillId="0" borderId="168" xfId="57" applyFont="1" applyFill="1" applyBorder="1" applyAlignment="1"/>
    <xf numFmtId="0" fontId="32" fillId="0" borderId="143" xfId="57" applyFont="1" applyFill="1" applyBorder="1" applyAlignment="1">
      <alignment wrapText="1"/>
    </xf>
    <xf numFmtId="37" fontId="32" fillId="0" borderId="143" xfId="57" applyNumberFormat="1" applyFont="1" applyFill="1" applyBorder="1" applyAlignment="1">
      <alignment wrapText="1"/>
    </xf>
    <xf numFmtId="37" fontId="32" fillId="0" borderId="143" xfId="57" applyNumberFormat="1" applyFont="1" applyFill="1" applyBorder="1" applyAlignment="1">
      <alignment horizontal="center" wrapText="1"/>
    </xf>
    <xf numFmtId="0" fontId="32" fillId="0" borderId="169" xfId="57" applyFont="1" applyFill="1" applyBorder="1" applyAlignment="1">
      <alignment horizontal="center" wrapText="1"/>
    </xf>
    <xf numFmtId="0" fontId="33" fillId="0" borderId="156" xfId="11" applyFont="1" applyFill="1" applyBorder="1" applyAlignment="1">
      <alignment horizontal="left"/>
    </xf>
    <xf numFmtId="0" fontId="33" fillId="0" borderId="167" xfId="11" applyFont="1" applyFill="1" applyBorder="1" applyAlignment="1">
      <alignment horizontal="left"/>
    </xf>
    <xf numFmtId="0" fontId="33" fillId="0" borderId="167" xfId="11" applyFont="1" applyFill="1" applyBorder="1" applyAlignment="1">
      <alignment horizontal="left" wrapText="1"/>
    </xf>
    <xf numFmtId="0" fontId="33" fillId="0" borderId="153" xfId="11" applyFont="1" applyFill="1" applyBorder="1" applyAlignment="1">
      <alignment wrapText="1"/>
    </xf>
    <xf numFmtId="37" fontId="102" fillId="0" borderId="153" xfId="57" applyNumberFormat="1" applyFont="1" applyFill="1" applyBorder="1" applyAlignment="1">
      <alignment wrapText="1"/>
    </xf>
    <xf numFmtId="0" fontId="33" fillId="0" borderId="153" xfId="57" applyFont="1" applyFill="1" applyBorder="1" applyAlignment="1">
      <alignment wrapText="1"/>
    </xf>
    <xf numFmtId="0" fontId="33" fillId="11" borderId="167" xfId="11" applyFont="1" applyFill="1" applyBorder="1" applyAlignment="1">
      <alignment horizontal="left"/>
    </xf>
    <xf numFmtId="0" fontId="33" fillId="11" borderId="167" xfId="11" applyFont="1" applyFill="1" applyBorder="1" applyAlignment="1">
      <alignment horizontal="left" wrapText="1"/>
    </xf>
    <xf numFmtId="0" fontId="33" fillId="11" borderId="153" xfId="11" applyFont="1" applyFill="1" applyBorder="1" applyAlignment="1">
      <alignment wrapText="1"/>
    </xf>
    <xf numFmtId="0" fontId="32" fillId="11" borderId="153" xfId="57" applyFont="1" applyFill="1" applyBorder="1" applyAlignment="1">
      <alignment wrapText="1"/>
    </xf>
    <xf numFmtId="37" fontId="101" fillId="11" borderId="153" xfId="57" applyNumberFormat="1" applyFont="1" applyFill="1" applyBorder="1" applyAlignment="1"/>
    <xf numFmtId="0" fontId="32" fillId="11" borderId="153" xfId="57" applyNumberFormat="1" applyFont="1" applyFill="1" applyBorder="1" applyAlignment="1">
      <alignment horizontal="left" vertical="top" wrapText="1"/>
    </xf>
    <xf numFmtId="0" fontId="32" fillId="0" borderId="156" xfId="57" applyFont="1" applyFill="1" applyBorder="1" applyAlignment="1">
      <alignment horizontal="center"/>
    </xf>
    <xf numFmtId="0" fontId="32" fillId="0" borderId="167" xfId="57" applyFont="1" applyFill="1" applyBorder="1" applyAlignment="1">
      <alignment horizontal="center"/>
    </xf>
    <xf numFmtId="0" fontId="32" fillId="0" borderId="155" xfId="57" applyFont="1" applyFill="1" applyBorder="1" applyAlignment="1">
      <alignment horizontal="center"/>
    </xf>
    <xf numFmtId="0" fontId="32" fillId="0" borderId="155" xfId="57" applyFont="1" applyFill="1" applyBorder="1"/>
    <xf numFmtId="37" fontId="32" fillId="0" borderId="153" xfId="57" applyNumberFormat="1" applyFont="1" applyFill="1" applyBorder="1" applyAlignment="1"/>
    <xf numFmtId="37" fontId="102" fillId="0" borderId="153" xfId="57" applyNumberFormat="1" applyFont="1" applyFill="1" applyBorder="1" applyAlignment="1"/>
    <xf numFmtId="0" fontId="33" fillId="0" borderId="168" xfId="57" applyFont="1" applyFill="1" applyBorder="1"/>
    <xf numFmtId="0" fontId="32" fillId="0" borderId="143" xfId="57" applyFont="1" applyFill="1" applyBorder="1"/>
    <xf numFmtId="0" fontId="32" fillId="0" borderId="143" xfId="57" applyFont="1" applyFill="1" applyBorder="1" applyAlignment="1"/>
    <xf numFmtId="0" fontId="32" fillId="0" borderId="143" xfId="57" applyFont="1" applyFill="1" applyBorder="1" applyAlignment="1">
      <alignment horizontal="center"/>
    </xf>
    <xf numFmtId="0" fontId="32" fillId="0" borderId="169" xfId="57" applyFont="1" applyFill="1" applyBorder="1" applyAlignment="1">
      <alignment horizontal="center"/>
    </xf>
    <xf numFmtId="0" fontId="102" fillId="0" borderId="0" xfId="57" applyFont="1" applyFill="1" applyBorder="1" applyAlignment="1"/>
    <xf numFmtId="0" fontId="64" fillId="0" borderId="156" xfId="11" applyFont="1" applyFill="1" applyBorder="1" applyAlignment="1">
      <alignment horizontal="left"/>
    </xf>
    <xf numFmtId="0" fontId="64" fillId="0" borderId="167" xfId="11" applyFont="1" applyFill="1" applyBorder="1" applyAlignment="1">
      <alignment horizontal="left"/>
    </xf>
    <xf numFmtId="0" fontId="64" fillId="0" borderId="167" xfId="11" applyFont="1" applyFill="1" applyBorder="1" applyAlignment="1">
      <alignment horizontal="left" wrapText="1"/>
    </xf>
    <xf numFmtId="0" fontId="64" fillId="0" borderId="155" xfId="11" applyFont="1" applyFill="1" applyBorder="1" applyAlignment="1">
      <alignment horizontal="left" wrapText="1"/>
    </xf>
    <xf numFmtId="0" fontId="74" fillId="0" borderId="153" xfId="11" applyFont="1" applyFill="1" applyBorder="1" applyAlignment="1">
      <alignment wrapText="1"/>
    </xf>
    <xf numFmtId="0" fontId="64" fillId="0" borderId="153" xfId="57" applyFont="1" applyFill="1" applyBorder="1" applyAlignment="1">
      <alignment wrapText="1"/>
    </xf>
    <xf numFmtId="38" fontId="32" fillId="0" borderId="0" xfId="57" applyNumberFormat="1" applyFont="1" applyFill="1" applyBorder="1" applyAlignment="1"/>
    <xf numFmtId="0" fontId="50" fillId="0" borderId="0" xfId="57" applyFont="1" applyFill="1" applyBorder="1" applyAlignment="1"/>
    <xf numFmtId="0" fontId="64" fillId="0" borderId="155" xfId="11" applyFont="1" applyFill="1" applyBorder="1" applyAlignment="1">
      <alignment horizontal="left"/>
    </xf>
    <xf numFmtId="38" fontId="32" fillId="0" borderId="153" xfId="57" applyNumberFormat="1" applyFont="1" applyFill="1" applyBorder="1" applyAlignment="1"/>
    <xf numFmtId="0" fontId="33" fillId="11" borderId="155" xfId="11" applyFont="1" applyFill="1" applyBorder="1" applyAlignment="1">
      <alignment horizontal="left" vertical="top"/>
    </xf>
    <xf numFmtId="0" fontId="32" fillId="11" borderId="153" xfId="57" applyFont="1" applyFill="1" applyBorder="1" applyAlignment="1">
      <alignment vertical="top" wrapText="1"/>
    </xf>
    <xf numFmtId="0" fontId="102" fillId="11" borderId="153" xfId="57" applyFont="1" applyFill="1" applyBorder="1" applyAlignment="1">
      <alignment vertical="top" wrapText="1"/>
    </xf>
    <xf numFmtId="0" fontId="32" fillId="11" borderId="155" xfId="11" applyFont="1" applyFill="1" applyBorder="1" applyAlignment="1">
      <alignment horizontal="left" vertical="top"/>
    </xf>
    <xf numFmtId="0" fontId="102" fillId="0" borderId="153" xfId="57" applyFont="1" applyFill="1" applyBorder="1" applyAlignment="1">
      <alignment vertical="top"/>
    </xf>
    <xf numFmtId="37" fontId="32" fillId="0" borderId="0" xfId="57" applyNumberFormat="1" applyFont="1" applyFill="1" applyBorder="1" applyAlignment="1"/>
    <xf numFmtId="0" fontId="32" fillId="0" borderId="17" xfId="57" applyFont="1" applyFill="1" applyBorder="1" applyAlignment="1">
      <alignment wrapText="1"/>
    </xf>
    <xf numFmtId="43" fontId="32" fillId="0" borderId="0" xfId="1" applyFill="1" applyBorder="1" applyAlignment="1"/>
    <xf numFmtId="0" fontId="32" fillId="0" borderId="0" xfId="57" applyAlignment="1"/>
    <xf numFmtId="0" fontId="55" fillId="0" borderId="0" xfId="57" applyFont="1" applyAlignment="1"/>
    <xf numFmtId="37" fontId="32" fillId="0" borderId="126" xfId="57" applyNumberFormat="1" applyFont="1" applyFill="1" applyBorder="1" applyAlignment="1"/>
    <xf numFmtId="0" fontId="133" fillId="0" borderId="0" xfId="52844" applyFont="1" applyFill="1"/>
    <xf numFmtId="0" fontId="133" fillId="0" borderId="0" xfId="52844" applyFont="1" applyFill="1" applyAlignment="1">
      <alignment horizontal="centerContinuous"/>
    </xf>
    <xf numFmtId="0" fontId="132" fillId="0" borderId="0" xfId="52844" applyFont="1" applyFill="1" applyAlignment="1">
      <alignment horizontal="centerContinuous"/>
    </xf>
    <xf numFmtId="0" fontId="132" fillId="0" borderId="0" xfId="52844" applyFont="1" applyAlignment="1">
      <alignment horizontal="centerContinuous"/>
    </xf>
    <xf numFmtId="0" fontId="132" fillId="0" borderId="0" xfId="52844" applyFont="1"/>
    <xf numFmtId="0" fontId="133" fillId="0" borderId="0" xfId="52844" quotePrefix="1" applyFont="1" applyFill="1"/>
    <xf numFmtId="0" fontId="133" fillId="0" borderId="0" xfId="52844" applyFont="1" applyAlignment="1">
      <alignment horizontal="centerContinuous"/>
    </xf>
    <xf numFmtId="0" fontId="133" fillId="0" borderId="0" xfId="52844" applyFont="1" applyFill="1" applyAlignment="1"/>
    <xf numFmtId="0" fontId="132" fillId="0" borderId="1" xfId="52844" applyFont="1" applyBorder="1"/>
    <xf numFmtId="43" fontId="132" fillId="0" borderId="1" xfId="52845" applyFont="1" applyBorder="1" applyAlignment="1"/>
    <xf numFmtId="43" fontId="132" fillId="0" borderId="0" xfId="52845" applyFont="1" applyFill="1" applyBorder="1" applyAlignment="1"/>
    <xf numFmtId="0" fontId="132" fillId="0" borderId="10" xfId="52844" applyFont="1" applyBorder="1"/>
    <xf numFmtId="0" fontId="132" fillId="0" borderId="0" xfId="52844" applyFont="1" applyBorder="1"/>
    <xf numFmtId="0" fontId="132" fillId="0" borderId="0" xfId="52844" applyFont="1" applyFill="1"/>
    <xf numFmtId="164" fontId="132" fillId="0" borderId="0" xfId="52845" applyNumberFormat="1" applyFont="1" applyFill="1" applyBorder="1" applyAlignment="1">
      <alignment horizontal="center"/>
    </xf>
    <xf numFmtId="0" fontId="132" fillId="0" borderId="8" xfId="52844" applyFont="1" applyBorder="1"/>
    <xf numFmtId="164" fontId="132" fillId="0" borderId="6" xfId="52845" applyNumberFormat="1" applyFont="1" applyFill="1" applyBorder="1" applyAlignment="1">
      <alignment horizontal="center"/>
    </xf>
    <xf numFmtId="164" fontId="132" fillId="11" borderId="6" xfId="52845" applyNumberFormat="1" applyFont="1" applyFill="1" applyBorder="1" applyAlignment="1">
      <alignment horizontal="center"/>
    </xf>
    <xf numFmtId="164" fontId="132" fillId="11" borderId="5" xfId="52845" applyNumberFormat="1" applyFont="1" applyFill="1" applyBorder="1" applyAlignment="1">
      <alignment horizontal="center"/>
    </xf>
    <xf numFmtId="164" fontId="132" fillId="0" borderId="23" xfId="52845" applyNumberFormat="1" applyFont="1" applyFill="1" applyBorder="1" applyAlignment="1">
      <alignment horizontal="center"/>
    </xf>
    <xf numFmtId="164" fontId="132" fillId="11" borderId="10" xfId="52845" applyNumberFormat="1" applyFont="1" applyFill="1" applyBorder="1" applyAlignment="1">
      <alignment horizontal="center"/>
    </xf>
    <xf numFmtId="164" fontId="132" fillId="11" borderId="11" xfId="52845" applyNumberFormat="1" applyFont="1" applyFill="1" applyBorder="1" applyAlignment="1">
      <alignment horizontal="center"/>
    </xf>
    <xf numFmtId="164" fontId="132" fillId="11" borderId="32" xfId="52845" applyNumberFormat="1" applyFont="1" applyFill="1" applyBorder="1" applyAlignment="1">
      <alignment horizontal="center"/>
    </xf>
    <xf numFmtId="0" fontId="132" fillId="0" borderId="10" xfId="52844" applyFont="1" applyBorder="1" applyAlignment="1">
      <alignment wrapText="1"/>
    </xf>
    <xf numFmtId="164" fontId="134" fillId="11" borderId="11" xfId="52845" applyNumberFormat="1" applyFont="1" applyFill="1" applyBorder="1" applyAlignment="1">
      <alignment horizontal="center" wrapText="1"/>
    </xf>
    <xf numFmtId="0" fontId="134" fillId="11" borderId="10" xfId="52844" applyFont="1" applyFill="1" applyBorder="1" applyAlignment="1">
      <alignment horizontal="center" wrapText="1"/>
    </xf>
    <xf numFmtId="0" fontId="134" fillId="11" borderId="11" xfId="52844" applyFont="1" applyFill="1" applyBorder="1" applyAlignment="1">
      <alignment horizontal="center" wrapText="1"/>
    </xf>
    <xf numFmtId="43" fontId="132" fillId="0" borderId="13" xfId="52845" applyFont="1" applyFill="1" applyBorder="1" applyAlignment="1">
      <alignment horizontal="center"/>
    </xf>
    <xf numFmtId="0" fontId="134" fillId="11" borderId="0" xfId="52844" applyFont="1" applyFill="1" applyBorder="1" applyAlignment="1">
      <alignment horizontal="center" wrapText="1"/>
    </xf>
    <xf numFmtId="164" fontId="132" fillId="0" borderId="14" xfId="52845" applyNumberFormat="1" applyFont="1" applyFill="1" applyBorder="1" applyAlignment="1">
      <alignment horizontal="center"/>
    </xf>
    <xf numFmtId="0" fontId="132" fillId="0" borderId="8" xfId="52844" applyFont="1" applyBorder="1" applyAlignment="1">
      <alignment wrapText="1"/>
    </xf>
    <xf numFmtId="164" fontId="134" fillId="11" borderId="0" xfId="52845" applyNumberFormat="1" applyFont="1" applyFill="1" applyBorder="1" applyAlignment="1">
      <alignment horizontal="center" wrapText="1"/>
    </xf>
    <xf numFmtId="0" fontId="134" fillId="11" borderId="8" xfId="52844" applyFont="1" applyFill="1" applyBorder="1" applyAlignment="1">
      <alignment horizontal="center" wrapText="1"/>
    </xf>
    <xf numFmtId="43" fontId="49" fillId="0" borderId="14" xfId="52845" applyFont="1" applyFill="1" applyBorder="1" applyAlignment="1">
      <alignment horizontal="center" wrapText="1"/>
    </xf>
    <xf numFmtId="0" fontId="132" fillId="0" borderId="24" xfId="52844" applyFont="1" applyBorder="1"/>
    <xf numFmtId="0" fontId="132" fillId="0" borderId="9" xfId="52844" applyFont="1" applyBorder="1"/>
    <xf numFmtId="164" fontId="134" fillId="11" borderId="1" xfId="52845" applyNumberFormat="1" applyFont="1" applyFill="1" applyBorder="1" applyAlignment="1">
      <alignment horizontal="center"/>
    </xf>
    <xf numFmtId="0" fontId="134" fillId="11" borderId="24" xfId="52844" applyFont="1" applyFill="1" applyBorder="1" applyAlignment="1">
      <alignment horizontal="center" wrapText="1"/>
    </xf>
    <xf numFmtId="0" fontId="134" fillId="11" borderId="1" xfId="52844" applyFont="1" applyFill="1" applyBorder="1" applyAlignment="1">
      <alignment horizontal="center" wrapText="1"/>
    </xf>
    <xf numFmtId="43" fontId="49" fillId="0" borderId="15" xfId="52845" applyFont="1" applyFill="1" applyBorder="1" applyAlignment="1">
      <alignment horizontal="center" wrapText="1"/>
    </xf>
    <xf numFmtId="164" fontId="132" fillId="0" borderId="15" xfId="52845" applyNumberFormat="1" applyFont="1" applyFill="1" applyBorder="1"/>
    <xf numFmtId="0" fontId="132" fillId="0" borderId="7" xfId="52844" applyFont="1" applyBorder="1"/>
    <xf numFmtId="164" fontId="134" fillId="11" borderId="0" xfId="52845" applyNumberFormat="1" applyFont="1" applyFill="1" applyBorder="1"/>
    <xf numFmtId="43" fontId="134" fillId="11" borderId="8" xfId="52845" applyFont="1" applyFill="1" applyBorder="1"/>
    <xf numFmtId="43" fontId="134" fillId="11" borderId="0" xfId="52845" applyFont="1" applyFill="1" applyBorder="1"/>
    <xf numFmtId="164" fontId="132" fillId="0" borderId="14" xfId="52845" applyNumberFormat="1" applyFont="1" applyFill="1" applyBorder="1"/>
    <xf numFmtId="164" fontId="134" fillId="11" borderId="8" xfId="52845" applyNumberFormat="1" applyFont="1" applyFill="1" applyBorder="1"/>
    <xf numFmtId="164" fontId="132" fillId="0" borderId="0" xfId="52845" applyNumberFormat="1" applyFont="1" applyFill="1" applyBorder="1"/>
    <xf numFmtId="164" fontId="134" fillId="11" borderId="14" xfId="52845" applyNumberFormat="1" applyFont="1" applyFill="1" applyBorder="1"/>
    <xf numFmtId="164" fontId="134" fillId="11" borderId="1" xfId="52845" applyNumberFormat="1" applyFont="1" applyFill="1" applyBorder="1"/>
    <xf numFmtId="43" fontId="134" fillId="11" borderId="24" xfId="52845" applyFont="1" applyFill="1" applyBorder="1"/>
    <xf numFmtId="43" fontId="134" fillId="11" borderId="1" xfId="52845" applyFont="1" applyFill="1" applyBorder="1"/>
    <xf numFmtId="164" fontId="134" fillId="11" borderId="24" xfId="52845" applyNumberFormat="1" applyFont="1" applyFill="1" applyBorder="1"/>
    <xf numFmtId="164" fontId="134" fillId="11" borderId="9" xfId="52845" applyNumberFormat="1" applyFont="1" applyFill="1" applyBorder="1"/>
    <xf numFmtId="0" fontId="132" fillId="0" borderId="6" xfId="52844" applyFont="1" applyFill="1" applyBorder="1"/>
    <xf numFmtId="0" fontId="132" fillId="0" borderId="5" xfId="52844" applyFont="1" applyFill="1" applyBorder="1"/>
    <xf numFmtId="0" fontId="132" fillId="0" borderId="32" xfId="52844" applyFont="1" applyFill="1" applyBorder="1"/>
    <xf numFmtId="164" fontId="132" fillId="0" borderId="1" xfId="52845" applyNumberFormat="1" applyFont="1" applyFill="1" applyBorder="1"/>
    <xf numFmtId="164" fontId="132" fillId="0" borderId="24" xfId="52845" applyNumberFormat="1" applyFont="1" applyFill="1" applyBorder="1"/>
    <xf numFmtId="164" fontId="132" fillId="0" borderId="0" xfId="52844" applyNumberFormat="1" applyFont="1"/>
    <xf numFmtId="0" fontId="132" fillId="0" borderId="24" xfId="52844" applyFont="1" applyFill="1" applyBorder="1"/>
    <xf numFmtId="0" fontId="132" fillId="0" borderId="1" xfId="52844" applyFont="1" applyFill="1" applyBorder="1"/>
    <xf numFmtId="0" fontId="132" fillId="0" borderId="9" xfId="52844" applyFont="1" applyFill="1" applyBorder="1"/>
    <xf numFmtId="164" fontId="132" fillId="0" borderId="32" xfId="52845" applyNumberFormat="1" applyFont="1" applyFill="1" applyBorder="1"/>
    <xf numFmtId="164" fontId="132" fillId="0" borderId="5" xfId="52845" applyNumberFormat="1" applyFont="1" applyFill="1" applyBorder="1"/>
    <xf numFmtId="164" fontId="132" fillId="0" borderId="6" xfId="52845" applyNumberFormat="1" applyFont="1" applyFill="1" applyBorder="1"/>
    <xf numFmtId="43" fontId="132" fillId="0" borderId="0" xfId="52845" applyFont="1" applyFill="1" applyBorder="1"/>
    <xf numFmtId="0" fontId="132" fillId="0" borderId="11" xfId="52844" applyFont="1" applyBorder="1"/>
    <xf numFmtId="164" fontId="132" fillId="11" borderId="6" xfId="52846" applyNumberFormat="1" applyFont="1" applyFill="1" applyBorder="1" applyAlignment="1">
      <alignment horizontal="center"/>
    </xf>
    <xf numFmtId="164" fontId="132" fillId="11" borderId="5" xfId="52846" applyNumberFormat="1" applyFont="1" applyFill="1" applyBorder="1" applyAlignment="1">
      <alignment horizontal="center"/>
    </xf>
    <xf numFmtId="164" fontId="132" fillId="0" borderId="23" xfId="52846" applyNumberFormat="1" applyFont="1" applyFill="1" applyBorder="1" applyAlignment="1">
      <alignment horizontal="center"/>
    </xf>
    <xf numFmtId="164" fontId="134" fillId="11" borderId="10" xfId="52846" applyNumberFormat="1" applyFont="1" applyFill="1" applyBorder="1" applyAlignment="1">
      <alignment horizontal="center" wrapText="1"/>
    </xf>
    <xf numFmtId="164" fontId="134" fillId="11" borderId="11" xfId="52846" applyNumberFormat="1" applyFont="1" applyFill="1" applyBorder="1" applyAlignment="1">
      <alignment horizontal="center" wrapText="1"/>
    </xf>
    <xf numFmtId="43" fontId="132" fillId="0" borderId="13" xfId="52846" applyFont="1" applyFill="1" applyBorder="1" applyAlignment="1">
      <alignment horizontal="center"/>
    </xf>
    <xf numFmtId="164" fontId="133" fillId="0" borderId="13" xfId="52845" applyNumberFormat="1" applyFont="1" applyFill="1" applyBorder="1" applyAlignment="1">
      <alignment horizontal="center" wrapText="1"/>
    </xf>
    <xf numFmtId="164" fontId="134" fillId="11" borderId="8" xfId="52846" applyNumberFormat="1" applyFont="1" applyFill="1" applyBorder="1" applyAlignment="1">
      <alignment horizontal="center" wrapText="1"/>
    </xf>
    <xf numFmtId="164" fontId="134" fillId="11" borderId="0" xfId="52846" applyNumberFormat="1" applyFont="1" applyFill="1" applyBorder="1" applyAlignment="1">
      <alignment horizontal="center" wrapText="1"/>
    </xf>
    <xf numFmtId="164" fontId="134" fillId="11" borderId="0" xfId="52846" applyNumberFormat="1" applyFont="1" applyFill="1" applyBorder="1" applyAlignment="1">
      <alignment horizontal="center"/>
    </xf>
    <xf numFmtId="164" fontId="132" fillId="0" borderId="14" xfId="52846" applyNumberFormat="1" applyFont="1" applyFill="1" applyBorder="1" applyAlignment="1">
      <alignment horizontal="center" wrapText="1"/>
    </xf>
    <xf numFmtId="0" fontId="49" fillId="0" borderId="13" xfId="52844" applyFont="1" applyFill="1" applyBorder="1" applyAlignment="1">
      <alignment horizontal="center" wrapText="1"/>
    </xf>
    <xf numFmtId="9" fontId="49" fillId="0" borderId="13" xfId="52844" applyNumberFormat="1" applyFont="1" applyFill="1" applyBorder="1" applyAlignment="1">
      <alignment horizontal="center" wrapText="1"/>
    </xf>
    <xf numFmtId="164" fontId="134" fillId="11" borderId="24" xfId="52846" applyNumberFormat="1" applyFont="1" applyFill="1" applyBorder="1" applyAlignment="1">
      <alignment horizontal="center"/>
    </xf>
    <xf numFmtId="164" fontId="134" fillId="11" borderId="1" xfId="52846" applyNumberFormat="1" applyFont="1" applyFill="1" applyBorder="1" applyAlignment="1">
      <alignment horizontal="center"/>
    </xf>
    <xf numFmtId="164" fontId="132" fillId="0" borderId="15" xfId="52846" applyNumberFormat="1" applyFont="1" applyFill="1" applyBorder="1" applyAlignment="1">
      <alignment horizontal="center"/>
    </xf>
    <xf numFmtId="0" fontId="49" fillId="0" borderId="15" xfId="52844" applyFont="1" applyFill="1" applyBorder="1" applyAlignment="1">
      <alignment horizontal="center" wrapText="1"/>
    </xf>
    <xf numFmtId="0" fontId="132" fillId="0" borderId="15" xfId="52844" applyFont="1" applyFill="1" applyBorder="1" applyAlignment="1">
      <alignment horizontal="center" wrapText="1"/>
    </xf>
    <xf numFmtId="164" fontId="134" fillId="11" borderId="8" xfId="52846" applyNumberFormat="1" applyFont="1" applyFill="1" applyBorder="1"/>
    <xf numFmtId="164" fontId="134" fillId="11" borderId="0" xfId="52846" applyNumberFormat="1" applyFont="1" applyFill="1" applyBorder="1"/>
    <xf numFmtId="164" fontId="132" fillId="0" borderId="14" xfId="52846" applyNumberFormat="1" applyFont="1" applyFill="1" applyBorder="1"/>
    <xf numFmtId="164" fontId="134" fillId="11" borderId="13" xfId="52844" applyNumberFormat="1" applyFont="1" applyFill="1" applyBorder="1" applyAlignment="1">
      <alignment horizontal="center" wrapText="1"/>
    </xf>
    <xf numFmtId="164" fontId="134" fillId="11" borderId="13" xfId="52844" applyNumberFormat="1" applyFont="1" applyFill="1" applyBorder="1"/>
    <xf numFmtId="164" fontId="132" fillId="0" borderId="13" xfId="52844" applyNumberFormat="1" applyFont="1" applyFill="1" applyBorder="1"/>
    <xf numFmtId="164" fontId="132" fillId="0" borderId="14" xfId="52844" applyNumberFormat="1" applyFont="1" applyFill="1" applyBorder="1"/>
    <xf numFmtId="164" fontId="134" fillId="11" borderId="14" xfId="52844" applyNumberFormat="1" applyFont="1" applyFill="1" applyBorder="1" applyAlignment="1">
      <alignment horizontal="center" wrapText="1"/>
    </xf>
    <xf numFmtId="164" fontId="134" fillId="11" borderId="14" xfId="52844" applyNumberFormat="1" applyFont="1" applyFill="1" applyBorder="1"/>
    <xf numFmtId="164" fontId="134" fillId="11" borderId="15" xfId="52844" applyNumberFormat="1" applyFont="1" applyFill="1" applyBorder="1" applyAlignment="1">
      <alignment horizontal="center" wrapText="1"/>
    </xf>
    <xf numFmtId="164" fontId="134" fillId="11" borderId="15" xfId="52844" applyNumberFormat="1" applyFont="1" applyFill="1" applyBorder="1"/>
    <xf numFmtId="164" fontId="132" fillId="0" borderId="15" xfId="52844" applyNumberFormat="1" applyFont="1" applyFill="1" applyBorder="1"/>
    <xf numFmtId="164" fontId="132" fillId="0" borderId="23" xfId="52846" applyNumberFormat="1" applyFont="1" applyFill="1" applyBorder="1"/>
    <xf numFmtId="164" fontId="132" fillId="0" borderId="23" xfId="52845" applyNumberFormat="1" applyFont="1" applyFill="1" applyBorder="1"/>
    <xf numFmtId="164" fontId="133" fillId="0" borderId="23" xfId="52845" applyNumberFormat="1" applyFont="1" applyFill="1" applyBorder="1"/>
    <xf numFmtId="43" fontId="132" fillId="0" borderId="0" xfId="52845" applyFont="1"/>
    <xf numFmtId="43" fontId="132" fillId="0" borderId="0" xfId="52844" applyNumberFormat="1" applyFont="1"/>
    <xf numFmtId="0" fontId="151" fillId="0" borderId="0" xfId="52844" applyFont="1" applyFill="1" applyAlignment="1">
      <alignment horizontal="centerContinuous"/>
    </xf>
    <xf numFmtId="0" fontId="139" fillId="0" borderId="0" xfId="52844" applyFont="1" applyAlignment="1">
      <alignment horizontal="centerContinuous"/>
    </xf>
    <xf numFmtId="164" fontId="152" fillId="0" borderId="0" xfId="52845" applyNumberFormat="1" applyFont="1" applyAlignment="1">
      <alignment horizontal="centerContinuous"/>
    </xf>
    <xf numFmtId="43" fontId="152" fillId="0" borderId="0" xfId="52845" applyFont="1" applyAlignment="1">
      <alignment horizontal="centerContinuous"/>
    </xf>
    <xf numFmtId="164" fontId="0" fillId="0" borderId="0" xfId="52845" applyNumberFormat="1" applyFont="1"/>
    <xf numFmtId="164" fontId="152" fillId="0" borderId="0" xfId="52845" applyNumberFormat="1" applyFont="1" applyFill="1" applyAlignment="1">
      <alignment horizontal="centerContinuous"/>
    </xf>
    <xf numFmtId="0" fontId="101" fillId="11" borderId="0" xfId="57" applyFont="1" applyFill="1" applyAlignment="1">
      <alignment horizontal="center"/>
    </xf>
    <xf numFmtId="164" fontId="132" fillId="0" borderId="0" xfId="52845" applyNumberFormat="1" applyFont="1"/>
    <xf numFmtId="0" fontId="132" fillId="0" borderId="12" xfId="52844" applyFont="1" applyBorder="1"/>
    <xf numFmtId="164" fontId="132" fillId="0" borderId="10" xfId="52845" applyNumberFormat="1" applyFont="1" applyFill="1" applyBorder="1" applyAlignment="1">
      <alignment horizontal="center"/>
    </xf>
    <xf numFmtId="164" fontId="132" fillId="0" borderId="13" xfId="52845" applyNumberFormat="1" applyFont="1" applyFill="1" applyBorder="1" applyAlignment="1">
      <alignment horizontal="center"/>
    </xf>
    <xf numFmtId="0" fontId="132" fillId="0" borderId="13" xfId="52844" applyFont="1" applyBorder="1" applyAlignment="1">
      <alignment wrapText="1"/>
    </xf>
    <xf numFmtId="164" fontId="134" fillId="11" borderId="10" xfId="52845" applyNumberFormat="1" applyFont="1" applyFill="1" applyBorder="1" applyAlignment="1">
      <alignment horizontal="center" wrapText="1"/>
    </xf>
    <xf numFmtId="0" fontId="132" fillId="0" borderId="14" xfId="52844" applyFont="1" applyBorder="1" applyAlignment="1">
      <alignment wrapText="1"/>
    </xf>
    <xf numFmtId="164" fontId="134" fillId="11" borderId="8" xfId="52845" applyNumberFormat="1" applyFont="1" applyFill="1" applyBorder="1" applyAlignment="1">
      <alignment horizontal="center" wrapText="1"/>
    </xf>
    <xf numFmtId="0" fontId="132" fillId="0" borderId="15" xfId="52844" applyFont="1" applyBorder="1"/>
    <xf numFmtId="0" fontId="132" fillId="0" borderId="15" xfId="52844" applyFont="1" applyBorder="1" applyAlignment="1">
      <alignment horizontal="center"/>
    </xf>
    <xf numFmtId="0" fontId="132" fillId="0" borderId="14" xfId="52844" applyFont="1" applyBorder="1"/>
    <xf numFmtId="0" fontId="134" fillId="11" borderId="8" xfId="52844" applyFont="1" applyFill="1" applyBorder="1" applyAlignment="1">
      <alignment horizontal="center"/>
    </xf>
    <xf numFmtId="0" fontId="134" fillId="11" borderId="14" xfId="52844" applyFont="1" applyFill="1" applyBorder="1" applyAlignment="1">
      <alignment horizontal="center"/>
    </xf>
    <xf numFmtId="0" fontId="7" fillId="0" borderId="0" xfId="52844"/>
    <xf numFmtId="0" fontId="132" fillId="0" borderId="6" xfId="52844" applyFont="1" applyBorder="1"/>
    <xf numFmtId="0" fontId="132" fillId="0" borderId="5" xfId="52844" applyFont="1" applyBorder="1"/>
    <xf numFmtId="0" fontId="132" fillId="0" borderId="32" xfId="52844" applyFont="1" applyBorder="1"/>
    <xf numFmtId="164" fontId="132" fillId="0" borderId="0" xfId="52845" applyNumberFormat="1" applyFont="1" applyFill="1"/>
    <xf numFmtId="43" fontId="0" fillId="0" borderId="0" xfId="52845" applyFont="1"/>
    <xf numFmtId="164" fontId="0" fillId="0" borderId="0" xfId="52845" quotePrefix="1" applyNumberFormat="1" applyFont="1"/>
    <xf numFmtId="0" fontId="134" fillId="0" borderId="8" xfId="52844" applyFont="1" applyFill="1" applyBorder="1" applyAlignment="1">
      <alignment horizontal="center"/>
    </xf>
    <xf numFmtId="0" fontId="134" fillId="0" borderId="14" xfId="52844" applyFont="1" applyFill="1" applyBorder="1" applyAlignment="1">
      <alignment horizontal="center"/>
    </xf>
    <xf numFmtId="164" fontId="134" fillId="11" borderId="7" xfId="52845" applyNumberFormat="1" applyFont="1" applyFill="1" applyBorder="1"/>
    <xf numFmtId="0" fontId="134" fillId="11" borderId="24" xfId="52844" applyFont="1" applyFill="1" applyBorder="1" applyAlignment="1">
      <alignment horizontal="center"/>
    </xf>
    <xf numFmtId="0" fontId="134" fillId="11" borderId="15" xfId="52844" applyFont="1" applyFill="1" applyBorder="1" applyAlignment="1">
      <alignment horizontal="center"/>
    </xf>
    <xf numFmtId="0" fontId="132" fillId="0" borderId="0" xfId="52844" applyFont="1" applyFill="1" applyBorder="1"/>
    <xf numFmtId="0" fontId="159" fillId="11" borderId="0" xfId="57" applyFont="1" applyFill="1" applyAlignment="1">
      <alignment horizontal="center"/>
    </xf>
    <xf numFmtId="0" fontId="34" fillId="0" borderId="0" xfId="57" applyFont="1" applyFill="1" applyAlignment="1">
      <alignment horizontal="centerContinuous"/>
    </xf>
    <xf numFmtId="0" fontId="36" fillId="0" borderId="0" xfId="57" applyFont="1" applyFill="1" applyAlignment="1">
      <alignment horizontal="centerContinuous"/>
    </xf>
    <xf numFmtId="0" fontId="148" fillId="36" borderId="0" xfId="57" applyFont="1" applyFill="1" applyAlignment="1">
      <alignment horizontal="center"/>
    </xf>
    <xf numFmtId="0" fontId="143" fillId="36" borderId="0" xfId="57" applyFont="1" applyFill="1"/>
    <xf numFmtId="0" fontId="143" fillId="36" borderId="0" xfId="57" applyFont="1" applyFill="1" applyAlignment="1">
      <alignment horizontal="center"/>
    </xf>
    <xf numFmtId="0" fontId="32" fillId="0" borderId="0" xfId="57" applyFill="1" applyAlignment="1">
      <alignment horizontal="center"/>
    </xf>
    <xf numFmtId="0" fontId="54" fillId="0" borderId="0" xfId="57" applyFont="1" applyFill="1" applyAlignment="1">
      <alignment horizontal="right"/>
    </xf>
    <xf numFmtId="0" fontId="33" fillId="0" borderId="0" xfId="57" applyFont="1" applyFill="1" applyAlignment="1"/>
    <xf numFmtId="0" fontId="101" fillId="0" borderId="0" xfId="57" applyFont="1" applyFill="1" applyAlignment="1">
      <alignment horizontal="center" vertical="top"/>
    </xf>
    <xf numFmtId="0" fontId="32" fillId="0" borderId="0" xfId="57" applyFill="1" applyAlignment="1">
      <alignment horizontal="left" vertical="center"/>
    </xf>
    <xf numFmtId="0" fontId="32" fillId="0" borderId="0" xfId="57" applyFill="1" applyAlignment="1">
      <alignment horizontal="center" vertical="center"/>
    </xf>
    <xf numFmtId="0" fontId="32" fillId="0" borderId="0" xfId="57" applyFill="1" applyAlignment="1">
      <alignment horizontal="center" vertical="top"/>
    </xf>
    <xf numFmtId="0" fontId="85" fillId="0" borderId="0" xfId="57" applyFont="1" applyFill="1" applyAlignment="1">
      <alignment horizontal="center" vertical="center"/>
    </xf>
    <xf numFmtId="0" fontId="32" fillId="0" borderId="0" xfId="57" applyFont="1" applyFill="1" applyAlignment="1">
      <alignment horizontal="left" vertical="center"/>
    </xf>
    <xf numFmtId="0" fontId="33" fillId="0" borderId="143" xfId="57" applyFont="1" applyFill="1" applyBorder="1" applyAlignment="1">
      <alignment horizontal="left" indent="1"/>
    </xf>
    <xf numFmtId="0" fontId="32" fillId="0" borderId="143" xfId="57" applyBorder="1"/>
    <xf numFmtId="37" fontId="33" fillId="0" borderId="143" xfId="1" applyNumberFormat="1" applyFont="1" applyFill="1" applyBorder="1" applyAlignment="1">
      <alignment wrapText="1"/>
    </xf>
    <xf numFmtId="0" fontId="96" fillId="0" borderId="0" xfId="57" applyFont="1"/>
    <xf numFmtId="0" fontId="32" fillId="0" borderId="0" xfId="57" applyFill="1" applyAlignment="1"/>
    <xf numFmtId="0" fontId="32" fillId="6" borderId="0" xfId="57" applyFill="1"/>
    <xf numFmtId="0" fontId="101" fillId="0" borderId="0" xfId="57" applyFont="1" applyFill="1" applyAlignment="1">
      <alignment horizontal="center" vertical="center"/>
    </xf>
    <xf numFmtId="0" fontId="32" fillId="0" borderId="0" xfId="57" applyFont="1" applyFill="1" applyAlignment="1">
      <alignment horizontal="left" vertical="center" wrapText="1"/>
    </xf>
    <xf numFmtId="0" fontId="32" fillId="0" borderId="0" xfId="57" applyFont="1" applyFill="1" applyAlignment="1">
      <alignment vertical="center" wrapText="1"/>
    </xf>
    <xf numFmtId="0" fontId="32" fillId="0" borderId="0" xfId="57" applyFill="1" applyAlignment="1">
      <alignment horizontal="center" vertical="center" wrapText="1"/>
    </xf>
    <xf numFmtId="0" fontId="33" fillId="0" borderId="143" xfId="57" applyFont="1" applyFill="1" applyBorder="1" applyAlignment="1">
      <alignment horizontal="left" vertical="center"/>
    </xf>
    <xf numFmtId="0" fontId="32" fillId="0" borderId="143" xfId="57" applyFont="1" applyFill="1" applyBorder="1" applyAlignment="1">
      <alignment horizontal="center" vertical="center"/>
    </xf>
    <xf numFmtId="37" fontId="33" fillId="0" borderId="143" xfId="57" applyNumberFormat="1" applyFont="1" applyFill="1" applyBorder="1" applyAlignment="1">
      <alignment vertical="center"/>
    </xf>
    <xf numFmtId="0" fontId="33" fillId="0" borderId="143" xfId="57" applyFont="1" applyFill="1" applyBorder="1" applyAlignment="1"/>
    <xf numFmtId="164" fontId="32" fillId="0" borderId="0" xfId="1" applyNumberFormat="1" applyFont="1" applyFill="1" applyBorder="1" applyAlignment="1"/>
    <xf numFmtId="0" fontId="32" fillId="0" borderId="1" xfId="57" applyFill="1" applyBorder="1" applyAlignment="1">
      <alignment horizontal="center"/>
    </xf>
    <xf numFmtId="0" fontId="32" fillId="0" borderId="1" xfId="57" applyFill="1" applyBorder="1" applyAlignment="1"/>
    <xf numFmtId="0" fontId="32" fillId="0" borderId="1" xfId="57" applyFont="1" applyFill="1" applyBorder="1"/>
    <xf numFmtId="164" fontId="32" fillId="0" borderId="1" xfId="1" applyNumberFormat="1" applyFont="1" applyFill="1" applyBorder="1" applyAlignment="1"/>
    <xf numFmtId="0" fontId="85" fillId="0" borderId="0" xfId="57" applyFont="1" applyFill="1" applyAlignment="1"/>
    <xf numFmtId="0" fontId="101" fillId="11" borderId="0" xfId="57" applyFont="1" applyFill="1" applyAlignment="1"/>
    <xf numFmtId="0" fontId="32" fillId="0" borderId="0" xfId="57" applyFont="1" applyFill="1" applyAlignment="1">
      <alignment horizontal="left" indent="1"/>
    </xf>
    <xf numFmtId="37" fontId="32" fillId="0" borderId="0" xfId="57" applyNumberFormat="1" applyFill="1"/>
    <xf numFmtId="0" fontId="33" fillId="0" borderId="0" xfId="57" applyFont="1" applyFill="1" applyAlignment="1">
      <alignment horizontal="left" indent="1"/>
    </xf>
    <xf numFmtId="37" fontId="33" fillId="0" borderId="0" xfId="57" applyNumberFormat="1" applyFont="1" applyFill="1"/>
    <xf numFmtId="164" fontId="32" fillId="0" borderId="0" xfId="57" applyNumberFormat="1" applyFill="1"/>
    <xf numFmtId="0" fontId="32" fillId="11" borderId="0" xfId="57" applyFont="1" applyFill="1" applyAlignment="1"/>
    <xf numFmtId="0" fontId="149" fillId="36" borderId="0" xfId="57" applyFont="1" applyFill="1" applyAlignment="1"/>
    <xf numFmtId="0" fontId="148" fillId="36" borderId="0" xfId="57" applyFont="1" applyFill="1"/>
    <xf numFmtId="0" fontId="33" fillId="0" borderId="0" xfId="57" applyFont="1" applyFill="1" applyAlignment="1">
      <alignment horizontal="center" vertical="top"/>
    </xf>
    <xf numFmtId="0" fontId="32" fillId="0" borderId="0" xfId="57" applyFont="1" applyFill="1" applyAlignment="1">
      <alignment vertical="top" wrapText="1"/>
    </xf>
    <xf numFmtId="0" fontId="43" fillId="0" borderId="0" xfId="57" applyFont="1" applyFill="1"/>
    <xf numFmtId="164" fontId="32" fillId="0" borderId="0" xfId="1" applyNumberFormat="1" applyFont="1" applyFill="1" applyAlignment="1"/>
    <xf numFmtId="0" fontId="49" fillId="0" borderId="0" xfId="57" applyFont="1" applyFill="1" applyAlignment="1">
      <alignment vertical="center" wrapText="1"/>
    </xf>
    <xf numFmtId="0" fontId="53" fillId="0" borderId="0" xfId="57" applyFont="1" applyFill="1" applyAlignment="1">
      <alignment vertical="center" wrapText="1"/>
    </xf>
    <xf numFmtId="0" fontId="32" fillId="0" borderId="1" xfId="57" applyFill="1" applyBorder="1"/>
    <xf numFmtId="0" fontId="63" fillId="0" borderId="0" xfId="57" applyFont="1" applyFill="1"/>
    <xf numFmtId="164" fontId="32" fillId="0" borderId="0" xfId="57" applyNumberFormat="1" applyFont="1" applyFill="1"/>
    <xf numFmtId="0" fontId="32" fillId="0" borderId="0" xfId="57" applyAlignment="1">
      <alignment horizontal="center"/>
    </xf>
    <xf numFmtId="0" fontId="32" fillId="0" borderId="0" xfId="57" applyFont="1" applyFill="1" applyAlignment="1">
      <alignment horizontal="center" vertical="top"/>
    </xf>
    <xf numFmtId="0" fontId="151" fillId="0" borderId="0" xfId="52847" applyFont="1" applyAlignment="1">
      <alignment horizontal="centerContinuous"/>
    </xf>
    <xf numFmtId="0" fontId="139" fillId="0" borderId="0" xfId="52847" applyFont="1" applyAlignment="1">
      <alignment horizontal="centerContinuous"/>
    </xf>
    <xf numFmtId="0" fontId="139" fillId="0" borderId="0" xfId="52847" applyFont="1"/>
    <xf numFmtId="0" fontId="7" fillId="0" borderId="0" xfId="52847"/>
    <xf numFmtId="0" fontId="141" fillId="0" borderId="0" xfId="52847" applyFont="1"/>
    <xf numFmtId="0" fontId="152" fillId="0" borderId="0" xfId="52847" applyFont="1"/>
    <xf numFmtId="0" fontId="140" fillId="0" borderId="0" xfId="52847" applyFont="1"/>
    <xf numFmtId="0" fontId="151" fillId="0" borderId="0" xfId="52847" applyFont="1"/>
    <xf numFmtId="0" fontId="153" fillId="0" borderId="0" xfId="52847" applyFont="1"/>
    <xf numFmtId="0" fontId="140" fillId="0" borderId="4" xfId="52847" applyFont="1" applyBorder="1"/>
    <xf numFmtId="0" fontId="140" fillId="0" borderId="4" xfId="52847" applyFont="1" applyBorder="1" applyAlignment="1">
      <alignment horizontal="center"/>
    </xf>
    <xf numFmtId="0" fontId="139" fillId="0" borderId="0" xfId="52847" applyFont="1" applyAlignment="1">
      <alignment horizontal="center"/>
    </xf>
    <xf numFmtId="0" fontId="161" fillId="0" borderId="4" xfId="52847" applyFont="1" applyBorder="1" applyAlignment="1">
      <alignment horizontal="center" wrapText="1"/>
    </xf>
    <xf numFmtId="0" fontId="139" fillId="0" borderId="0" xfId="52847" applyFont="1" applyFill="1"/>
    <xf numFmtId="37" fontId="147" fillId="11" borderId="0" xfId="52847" applyNumberFormat="1" applyFont="1" applyFill="1" applyAlignment="1">
      <alignment horizontal="right"/>
    </xf>
    <xf numFmtId="189" fontId="147" fillId="11" borderId="0" xfId="52847" applyNumberFormat="1" applyFont="1" applyFill="1" applyAlignment="1">
      <alignment horizontal="right"/>
    </xf>
    <xf numFmtId="0" fontId="147" fillId="0" borderId="0" xfId="52847" applyFont="1"/>
    <xf numFmtId="0" fontId="64" fillId="0" borderId="143" xfId="52847" applyFont="1" applyBorder="1"/>
    <xf numFmtId="37" fontId="140" fillId="0" borderId="143" xfId="1" applyNumberFormat="1" applyFont="1" applyFill="1" applyBorder="1"/>
    <xf numFmtId="0" fontId="139" fillId="0" borderId="0" xfId="52847" applyFont="1" applyBorder="1"/>
    <xf numFmtId="189" fontId="139" fillId="0" borderId="143" xfId="1" applyNumberFormat="1" applyFont="1" applyFill="1" applyBorder="1"/>
    <xf numFmtId="0" fontId="139" fillId="0" borderId="0" xfId="52847" applyFont="1" applyAlignment="1">
      <alignment horizontal="left" indent="1"/>
    </xf>
    <xf numFmtId="37" fontId="147" fillId="11" borderId="0" xfId="52848" applyNumberFormat="1" applyFont="1" applyFill="1"/>
    <xf numFmtId="37" fontId="147" fillId="11" borderId="4" xfId="52848" applyNumberFormat="1" applyFont="1" applyFill="1" applyBorder="1"/>
    <xf numFmtId="0" fontId="139" fillId="0" borderId="143" xfId="52847" applyFont="1" applyBorder="1"/>
    <xf numFmtId="37" fontId="139" fillId="0" borderId="0" xfId="52847" applyNumberFormat="1" applyFont="1"/>
    <xf numFmtId="164" fontId="139" fillId="0" borderId="0" xfId="52847" applyNumberFormat="1" applyFont="1"/>
    <xf numFmtId="0" fontId="140" fillId="0" borderId="143" xfId="52847" applyFont="1" applyBorder="1"/>
    <xf numFmtId="37" fontId="140" fillId="0" borderId="143" xfId="52847" applyNumberFormat="1" applyFont="1" applyBorder="1"/>
    <xf numFmtId="0" fontId="7" fillId="0" borderId="0" xfId="52847" applyFill="1"/>
    <xf numFmtId="0" fontId="93" fillId="0" borderId="0" xfId="52847" applyFont="1"/>
    <xf numFmtId="0" fontId="101" fillId="0" borderId="0" xfId="57" applyFont="1"/>
    <xf numFmtId="37" fontId="139" fillId="0" borderId="0" xfId="52847" applyNumberFormat="1" applyFont="1" applyFill="1"/>
    <xf numFmtId="37" fontId="147" fillId="11" borderId="0" xfId="52847" applyNumberFormat="1" applyFont="1" applyFill="1" applyBorder="1" applyAlignment="1">
      <alignment horizontal="center"/>
    </xf>
    <xf numFmtId="37" fontId="154" fillId="0" borderId="0" xfId="52847" applyNumberFormat="1" applyFont="1" applyFill="1"/>
    <xf numFmtId="37" fontId="139" fillId="0" borderId="0" xfId="52847" applyNumberFormat="1" applyFont="1" applyAlignment="1">
      <alignment horizontal="right"/>
    </xf>
    <xf numFmtId="37" fontId="142" fillId="0" borderId="0" xfId="0" applyNumberFormat="1" applyFont="1" applyFill="1" applyAlignment="1"/>
    <xf numFmtId="171" fontId="142" fillId="11" borderId="0" xfId="13" applyNumberFormat="1" applyFont="1" applyFill="1" applyAlignment="1">
      <alignment horizontal="right"/>
    </xf>
    <xf numFmtId="37" fontId="101" fillId="11" borderId="0" xfId="57" applyNumberFormat="1" applyFont="1" applyFill="1" applyAlignment="1"/>
    <xf numFmtId="0" fontId="132" fillId="0" borderId="0" xfId="52844" applyFont="1" applyAlignment="1">
      <alignment vertical="top"/>
    </xf>
    <xf numFmtId="0" fontId="64" fillId="0" borderId="1" xfId="57" applyFont="1" applyFill="1" applyBorder="1" applyAlignment="1">
      <alignment horizontal="center"/>
    </xf>
    <xf numFmtId="0" fontId="34" fillId="0" borderId="1" xfId="57" applyFont="1" applyFill="1" applyBorder="1" applyAlignment="1">
      <alignment horizontal="center"/>
    </xf>
    <xf numFmtId="0" fontId="34" fillId="0" borderId="1" xfId="57" applyFont="1" applyFill="1" applyBorder="1" applyAlignment="1">
      <alignment horizontal="center" wrapText="1"/>
    </xf>
    <xf numFmtId="0" fontId="6" fillId="0" borderId="0" xfId="52849"/>
    <xf numFmtId="0" fontId="36" fillId="11" borderId="0" xfId="0" applyFont="1" applyFill="1" applyBorder="1"/>
    <xf numFmtId="0" fontId="142" fillId="11" borderId="0" xfId="0" applyFont="1" applyFill="1" applyBorder="1" applyAlignment="1">
      <alignment horizontal="left" indent="1"/>
    </xf>
    <xf numFmtId="0" fontId="142" fillId="11" borderId="0" xfId="0" applyFont="1" applyFill="1" applyBorder="1" applyAlignment="1">
      <alignment horizontal="left"/>
    </xf>
    <xf numFmtId="37" fontId="101" fillId="41" borderId="0" xfId="1" applyNumberFormat="1" applyFont="1" applyFill="1" applyAlignment="1">
      <alignment vertical="center"/>
    </xf>
    <xf numFmtId="0" fontId="33" fillId="11" borderId="156" xfId="11" applyFont="1" applyFill="1" applyBorder="1" applyAlignment="1">
      <alignment horizontal="left"/>
    </xf>
    <xf numFmtId="0" fontId="169" fillId="0" borderId="153" xfId="37" applyFont="1" applyFill="1" applyBorder="1" applyAlignment="1" applyProtection="1">
      <alignment horizontal="right" vertical="center" wrapText="1"/>
    </xf>
    <xf numFmtId="0" fontId="169" fillId="0" borderId="153" xfId="37" applyFont="1" applyFill="1" applyBorder="1" applyAlignment="1" applyProtection="1">
      <alignment vertical="center" wrapText="1"/>
    </xf>
    <xf numFmtId="180" fontId="169" fillId="0" borderId="153" xfId="37" applyNumberFormat="1" applyFont="1" applyFill="1" applyBorder="1" applyAlignment="1" applyProtection="1">
      <alignment horizontal="right" vertical="center" wrapText="1"/>
    </xf>
    <xf numFmtId="0" fontId="230" fillId="0" borderId="0" xfId="0" applyFont="1" applyBorder="1" applyAlignment="1">
      <alignment vertical="center"/>
    </xf>
    <xf numFmtId="0" fontId="231" fillId="0" borderId="8" xfId="0" applyFont="1" applyBorder="1" applyAlignment="1">
      <alignment horizontal="center"/>
    </xf>
    <xf numFmtId="0" fontId="232" fillId="0" borderId="0" xfId="0" applyFont="1" applyBorder="1" applyAlignment="1">
      <alignment horizontal="center"/>
    </xf>
    <xf numFmtId="180" fontId="187" fillId="0" borderId="38" xfId="37" applyNumberFormat="1" applyFont="1" applyFill="1" applyBorder="1" applyAlignment="1" applyProtection="1">
      <alignment vertical="center" wrapText="1"/>
    </xf>
    <xf numFmtId="0" fontId="95" fillId="10" borderId="153" xfId="37" applyFont="1" applyFill="1" applyBorder="1" applyAlignment="1" applyProtection="1">
      <alignment vertical="center"/>
    </xf>
    <xf numFmtId="0" fontId="232" fillId="0" borderId="5" xfId="0" applyFont="1" applyBorder="1" applyAlignment="1">
      <alignment vertical="center"/>
    </xf>
    <xf numFmtId="164" fontId="32" fillId="39" borderId="107" xfId="1" quotePrefix="1" applyNumberFormat="1" applyFont="1" applyFill="1" applyBorder="1" applyAlignment="1">
      <alignment horizontal="left"/>
    </xf>
    <xf numFmtId="0" fontId="0" fillId="0" borderId="157" xfId="0" applyBorder="1" applyAlignment="1">
      <alignment horizontal="center"/>
    </xf>
    <xf numFmtId="0" fontId="0" fillId="0" borderId="153" xfId="0" applyBorder="1"/>
    <xf numFmtId="0" fontId="101" fillId="11" borderId="153" xfId="57" applyFont="1" applyFill="1" applyBorder="1" applyAlignment="1">
      <alignment horizontal="left"/>
    </xf>
    <xf numFmtId="37" fontId="32" fillId="39" borderId="153" xfId="57" quotePrefix="1" applyNumberFormat="1" applyFont="1" applyFill="1" applyBorder="1" applyAlignment="1">
      <alignment horizontal="left"/>
    </xf>
    <xf numFmtId="0" fontId="101" fillId="39" borderId="153" xfId="0" applyFont="1" applyFill="1" applyBorder="1" applyAlignment="1">
      <alignment horizontal="left"/>
    </xf>
    <xf numFmtId="38" fontId="101" fillId="39" borderId="154" xfId="0" applyNumberFormat="1" applyFont="1" applyFill="1" applyBorder="1"/>
    <xf numFmtId="41" fontId="0" fillId="0" borderId="153" xfId="0" applyNumberFormat="1" applyFill="1" applyBorder="1"/>
    <xf numFmtId="37" fontId="32" fillId="0" borderId="126" xfId="57" quotePrefix="1" applyNumberFormat="1" applyFont="1" applyFill="1" applyBorder="1" applyAlignment="1">
      <alignment horizontal="left"/>
    </xf>
    <xf numFmtId="0" fontId="101" fillId="0" borderId="126" xfId="0" applyFont="1" applyFill="1" applyBorder="1" applyAlignment="1">
      <alignment horizontal="left"/>
    </xf>
    <xf numFmtId="38" fontId="101" fillId="0" borderId="128" xfId="0" applyNumberFormat="1" applyFont="1" applyFill="1" applyBorder="1"/>
    <xf numFmtId="37" fontId="32" fillId="0" borderId="153" xfId="57" quotePrefix="1" applyNumberFormat="1" applyFont="1" applyFill="1" applyBorder="1" applyAlignment="1">
      <alignment horizontal="left"/>
    </xf>
    <xf numFmtId="0" fontId="101" fillId="0" borderId="153" xfId="0" applyFont="1" applyFill="1" applyBorder="1" applyAlignment="1">
      <alignment horizontal="left"/>
    </xf>
    <xf numFmtId="38" fontId="101" fillId="0" borderId="154" xfId="0" applyNumberFormat="1" applyFont="1" applyFill="1" applyBorder="1"/>
    <xf numFmtId="37" fontId="0" fillId="0" borderId="22" xfId="0" applyNumberFormat="1" applyFill="1" applyBorder="1"/>
    <xf numFmtId="37" fontId="0" fillId="0" borderId="126" xfId="0" applyNumberFormat="1" applyFill="1" applyBorder="1"/>
    <xf numFmtId="0" fontId="101" fillId="0" borderId="126" xfId="57" applyFont="1" applyFill="1" applyBorder="1" applyAlignment="1">
      <alignment horizontal="left"/>
    </xf>
    <xf numFmtId="37" fontId="0" fillId="0" borderId="153" xfId="0" applyNumberFormat="1" applyFill="1" applyBorder="1"/>
    <xf numFmtId="0" fontId="101" fillId="0" borderId="153" xfId="57" applyFont="1" applyFill="1" applyBorder="1" applyAlignment="1">
      <alignment horizontal="left"/>
    </xf>
    <xf numFmtId="0" fontId="0" fillId="0" borderId="22" xfId="0" applyFill="1" applyBorder="1"/>
    <xf numFmtId="37" fontId="101" fillId="0" borderId="153" xfId="57" quotePrefix="1" applyNumberFormat="1" applyFont="1" applyFill="1" applyBorder="1" applyAlignment="1">
      <alignment horizontal="left"/>
    </xf>
    <xf numFmtId="0" fontId="101" fillId="11" borderId="153" xfId="0" applyFont="1" applyFill="1" applyBorder="1" applyAlignment="1">
      <alignment horizontal="left"/>
    </xf>
    <xf numFmtId="0" fontId="32" fillId="0" borderId="153" xfId="0" applyFont="1" applyFill="1" applyBorder="1"/>
    <xf numFmtId="164" fontId="32" fillId="0" borderId="153" xfId="1" quotePrefix="1" applyNumberFormat="1" applyFont="1" applyFill="1" applyBorder="1" applyAlignment="1">
      <alignment horizontal="left"/>
    </xf>
    <xf numFmtId="38" fontId="32" fillId="39" borderId="153" xfId="0" quotePrefix="1" applyNumberFormat="1" applyFont="1" applyFill="1" applyBorder="1"/>
    <xf numFmtId="38" fontId="32" fillId="0" borderId="153" xfId="0" quotePrefix="1" applyNumberFormat="1" applyFont="1" applyFill="1" applyBorder="1"/>
    <xf numFmtId="37" fontId="32" fillId="0" borderId="153" xfId="0" applyNumberFormat="1" applyFont="1" applyFill="1" applyBorder="1"/>
    <xf numFmtId="0" fontId="32" fillId="0" borderId="153" xfId="0" applyFont="1" applyBorder="1" applyAlignment="1">
      <alignment horizontal="center"/>
    </xf>
    <xf numFmtId="38" fontId="159" fillId="39" borderId="153" xfId="0" applyNumberFormat="1" applyFont="1" applyFill="1" applyBorder="1"/>
    <xf numFmtId="37" fontId="159" fillId="11" borderId="153" xfId="0" applyNumberFormat="1" applyFont="1" applyFill="1" applyBorder="1"/>
    <xf numFmtId="0" fontId="0" fillId="39" borderId="153" xfId="13" applyNumberFormat="1" applyFont="1" applyFill="1" applyBorder="1" applyAlignment="1">
      <alignment horizontal="center"/>
    </xf>
    <xf numFmtId="0" fontId="101" fillId="39" borderId="153" xfId="0" applyFont="1" applyFill="1" applyBorder="1"/>
    <xf numFmtId="38" fontId="32" fillId="39" borderId="36" xfId="0" quotePrefix="1" applyNumberFormat="1" applyFont="1" applyFill="1" applyBorder="1" applyAlignment="1">
      <alignment horizontal="left"/>
    </xf>
    <xf numFmtId="0" fontId="92" fillId="0" borderId="0" xfId="0" applyFont="1" applyAlignment="1">
      <alignment horizontal="left"/>
    </xf>
    <xf numFmtId="164" fontId="45" fillId="0" borderId="0" xfId="1" applyNumberFormat="1" applyFont="1" applyAlignment="1">
      <alignment horizontal="centerContinuous"/>
    </xf>
    <xf numFmtId="164" fontId="92" fillId="0" borderId="0" xfId="1" applyNumberFormat="1" applyFont="1" applyFill="1" applyBorder="1" applyAlignment="1">
      <alignment vertical="center"/>
    </xf>
    <xf numFmtId="164" fontId="159" fillId="0" borderId="0" xfId="1" applyNumberFormat="1" applyFont="1" applyFill="1" applyBorder="1" applyAlignment="1">
      <alignment horizontal="center" vertical="center" wrapText="1"/>
    </xf>
    <xf numFmtId="164" fontId="0" fillId="0" borderId="0" xfId="1" applyNumberFormat="1" applyFont="1" applyFill="1"/>
    <xf numFmtId="164" fontId="36" fillId="0" borderId="0" xfId="1" applyNumberFormat="1" applyFont="1"/>
    <xf numFmtId="0" fontId="95" fillId="10" borderId="153" xfId="37" applyFont="1" applyFill="1" applyBorder="1" applyAlignment="1" applyProtection="1">
      <alignment horizontal="center" vertical="center"/>
    </xf>
    <xf numFmtId="3" fontId="36" fillId="11" borderId="186" xfId="37" applyNumberFormat="1" applyFont="1" applyFill="1" applyBorder="1" applyAlignment="1">
      <alignment horizontal="center"/>
    </xf>
    <xf numFmtId="4" fontId="36" fillId="0" borderId="0" xfId="37" applyNumberFormat="1" applyFont="1" applyBorder="1" applyAlignment="1"/>
    <xf numFmtId="0" fontId="36" fillId="0" borderId="0" xfId="37" applyFont="1" applyFill="1" applyBorder="1" applyAlignment="1">
      <alignment horizontal="right" wrapText="1"/>
    </xf>
    <xf numFmtId="0" fontId="36" fillId="0" borderId="0" xfId="37" applyFont="1" applyBorder="1" applyAlignment="1">
      <alignment horizontal="right"/>
    </xf>
    <xf numFmtId="4" fontId="36" fillId="0" borderId="0" xfId="37" applyNumberFormat="1" applyFont="1" applyFill="1" applyBorder="1" applyAlignment="1">
      <alignment horizontal="center" wrapText="1"/>
    </xf>
    <xf numFmtId="3" fontId="36" fillId="0" borderId="0" xfId="37" applyNumberFormat="1" applyFont="1" applyFill="1" applyBorder="1" applyAlignment="1">
      <alignment horizontal="right" wrapText="1"/>
    </xf>
    <xf numFmtId="0" fontId="102" fillId="11" borderId="188" xfId="57" applyFont="1" applyFill="1" applyBorder="1"/>
    <xf numFmtId="0" fontId="102" fillId="11" borderId="189" xfId="57" applyFont="1" applyFill="1" applyBorder="1"/>
    <xf numFmtId="42" fontId="101" fillId="11" borderId="189" xfId="57" applyNumberFormat="1" applyFont="1" applyFill="1" applyBorder="1" applyAlignment="1">
      <alignment horizontal="right"/>
    </xf>
    <xf numFmtId="0" fontId="101" fillId="11" borderId="191" xfId="57" applyFont="1" applyFill="1" applyBorder="1"/>
    <xf numFmtId="0" fontId="144" fillId="37" borderId="79" xfId="0" applyFont="1" applyFill="1" applyBorder="1" applyAlignment="1"/>
    <xf numFmtId="164" fontId="36" fillId="0" borderId="8" xfId="37" applyNumberFormat="1" applyFont="1" applyFill="1" applyBorder="1"/>
    <xf numFmtId="0" fontId="32" fillId="0" borderId="7" xfId="37" applyFont="1" applyBorder="1"/>
    <xf numFmtId="164" fontId="32" fillId="0" borderId="0" xfId="57" applyNumberFormat="1" applyFont="1" applyFill="1" applyAlignment="1">
      <alignment vertical="top"/>
    </xf>
    <xf numFmtId="0" fontId="132" fillId="0" borderId="0" xfId="52844" applyFont="1" applyFill="1" applyAlignment="1">
      <alignment vertical="top"/>
    </xf>
    <xf numFmtId="0" fontId="132" fillId="0" borderId="8" xfId="52844" applyFont="1" applyBorder="1" applyAlignment="1">
      <alignment vertical="top" wrapText="1"/>
    </xf>
    <xf numFmtId="0" fontId="132" fillId="0" borderId="14" xfId="52844" applyFont="1" applyBorder="1" applyAlignment="1">
      <alignment vertical="top" wrapText="1"/>
    </xf>
    <xf numFmtId="164" fontId="134" fillId="11" borderId="8" xfId="52846" applyNumberFormat="1" applyFont="1" applyFill="1" applyBorder="1" applyAlignment="1">
      <alignment horizontal="center" vertical="top" wrapText="1"/>
    </xf>
    <xf numFmtId="164" fontId="134" fillId="11" borderId="0" xfId="52846" applyNumberFormat="1" applyFont="1" applyFill="1" applyBorder="1" applyAlignment="1">
      <alignment horizontal="center" vertical="top" wrapText="1"/>
    </xf>
    <xf numFmtId="164" fontId="134" fillId="11" borderId="0" xfId="52846" applyNumberFormat="1" applyFont="1" applyFill="1" applyBorder="1" applyAlignment="1">
      <alignment horizontal="center" vertical="top"/>
    </xf>
    <xf numFmtId="164" fontId="132" fillId="0" borderId="14" xfId="52846" applyNumberFormat="1" applyFont="1" applyFill="1" applyBorder="1" applyAlignment="1">
      <alignment horizontal="center" vertical="top" wrapText="1"/>
    </xf>
    <xf numFmtId="0" fontId="49" fillId="0" borderId="13" xfId="52844" applyFont="1" applyFill="1" applyBorder="1" applyAlignment="1">
      <alignment horizontal="center" vertical="top" wrapText="1"/>
    </xf>
    <xf numFmtId="0" fontId="132" fillId="0" borderId="0" xfId="52844" applyFont="1" applyAlignment="1">
      <alignment vertical="center"/>
    </xf>
    <xf numFmtId="0" fontId="132" fillId="0" borderId="10" xfId="52844" applyFont="1" applyBorder="1" applyAlignment="1">
      <alignment vertical="center" wrapText="1"/>
    </xf>
    <xf numFmtId="0" fontId="132" fillId="0" borderId="13" xfId="52844" applyFont="1" applyBorder="1" applyAlignment="1">
      <alignment vertical="center" wrapText="1"/>
    </xf>
    <xf numFmtId="0" fontId="132" fillId="0" borderId="12" xfId="52844" applyFont="1" applyBorder="1" applyAlignment="1">
      <alignment vertical="center" wrapText="1"/>
    </xf>
    <xf numFmtId="164" fontId="134" fillId="11" borderId="10" xfId="52846" applyNumberFormat="1" applyFont="1" applyFill="1" applyBorder="1" applyAlignment="1">
      <alignment horizontal="center" vertical="center" wrapText="1"/>
    </xf>
    <xf numFmtId="164" fontId="134" fillId="11" borderId="11" xfId="52846" applyNumberFormat="1" applyFont="1" applyFill="1" applyBorder="1" applyAlignment="1">
      <alignment horizontal="center" vertical="center" wrapText="1"/>
    </xf>
    <xf numFmtId="43" fontId="132" fillId="0" borderId="13" xfId="52846" applyFont="1" applyFill="1" applyBorder="1" applyAlignment="1">
      <alignment horizontal="center" vertical="center"/>
    </xf>
    <xf numFmtId="0" fontId="132" fillId="0" borderId="0" xfId="52844" applyFont="1" applyFill="1" applyAlignment="1">
      <alignment vertical="center"/>
    </xf>
    <xf numFmtId="164" fontId="133" fillId="0" borderId="13" xfId="52845" applyNumberFormat="1" applyFont="1" applyFill="1" applyBorder="1" applyAlignment="1">
      <alignment horizontal="center" vertical="center" wrapText="1"/>
    </xf>
    <xf numFmtId="164" fontId="134" fillId="11" borderId="11" xfId="52846" applyNumberFormat="1" applyFont="1" applyFill="1" applyBorder="1" applyAlignment="1">
      <alignment horizontal="center" vertical="center"/>
    </xf>
    <xf numFmtId="164" fontId="134" fillId="11" borderId="24" xfId="52846" applyNumberFormat="1" applyFont="1" applyFill="1" applyBorder="1" applyAlignment="1">
      <alignment horizontal="center" vertical="center"/>
    </xf>
    <xf numFmtId="164" fontId="134" fillId="11" borderId="1" xfId="52846" applyNumberFormat="1" applyFont="1" applyFill="1" applyBorder="1" applyAlignment="1">
      <alignment horizontal="center" vertical="center"/>
    </xf>
    <xf numFmtId="0" fontId="132" fillId="0" borderId="24" xfId="52844" applyFont="1" applyBorder="1" applyAlignment="1">
      <alignment horizontal="center" vertical="center"/>
    </xf>
    <xf numFmtId="0" fontId="132" fillId="0" borderId="15" xfId="52844" applyFont="1" applyBorder="1" applyAlignment="1">
      <alignment horizontal="center" vertical="center"/>
    </xf>
    <xf numFmtId="0" fontId="132" fillId="0" borderId="7" xfId="52844" applyFont="1" applyBorder="1" applyAlignment="1">
      <alignment horizontal="center" vertical="center" wrapText="1"/>
    </xf>
    <xf numFmtId="0" fontId="132" fillId="0" borderId="13" xfId="52844" applyFont="1" applyBorder="1"/>
    <xf numFmtId="43" fontId="134" fillId="11" borderId="0" xfId="52845" applyNumberFormat="1" applyFont="1" applyFill="1" applyBorder="1"/>
    <xf numFmtId="175" fontId="32" fillId="11" borderId="156" xfId="10" applyNumberFormat="1" applyFont="1" applyFill="1" applyBorder="1" applyAlignment="1" applyProtection="1">
      <alignment horizontal="left"/>
      <protection locked="0"/>
    </xf>
    <xf numFmtId="37" fontId="207" fillId="11" borderId="0" xfId="57" applyNumberFormat="1" applyFont="1" applyFill="1" applyBorder="1" applyAlignment="1">
      <alignment vertical="top" wrapText="1"/>
    </xf>
    <xf numFmtId="37" fontId="101" fillId="11" borderId="153" xfId="57" applyNumberFormat="1" applyFont="1" applyFill="1" applyBorder="1" applyAlignment="1">
      <alignment vertical="top" wrapText="1"/>
    </xf>
    <xf numFmtId="37" fontId="101" fillId="11" borderId="153" xfId="57" applyNumberFormat="1" applyFont="1" applyFill="1" applyBorder="1" applyAlignment="1">
      <alignment vertical="top"/>
    </xf>
    <xf numFmtId="0" fontId="32" fillId="11" borderId="153" xfId="57" applyFont="1" applyFill="1" applyBorder="1" applyAlignment="1">
      <alignment horizontal="left" vertical="top"/>
    </xf>
    <xf numFmtId="0" fontId="32" fillId="0" borderId="36" xfId="0" applyFont="1" applyFill="1" applyBorder="1" applyAlignment="1">
      <alignment horizontal="center" vertical="top"/>
    </xf>
    <xf numFmtId="0" fontId="32" fillId="39" borderId="36" xfId="0" applyFont="1" applyFill="1" applyBorder="1" applyAlignment="1">
      <alignment vertical="top"/>
    </xf>
    <xf numFmtId="38" fontId="159" fillId="39" borderId="36" xfId="0" applyNumberFormat="1" applyFont="1" applyFill="1" applyBorder="1" applyAlignment="1">
      <alignment vertical="top"/>
    </xf>
    <xf numFmtId="38" fontId="159" fillId="11" borderId="36" xfId="0" applyNumberFormat="1" applyFont="1" applyFill="1" applyBorder="1" applyAlignment="1">
      <alignment vertical="top"/>
    </xf>
    <xf numFmtId="0" fontId="32" fillId="0" borderId="36" xfId="0" applyFont="1" applyBorder="1" applyAlignment="1">
      <alignment horizontal="center" vertical="top"/>
    </xf>
    <xf numFmtId="37" fontId="32" fillId="39" borderId="36" xfId="0" quotePrefix="1" applyNumberFormat="1" applyFont="1" applyFill="1" applyBorder="1" applyAlignment="1">
      <alignment horizontal="left" vertical="top"/>
    </xf>
    <xf numFmtId="0" fontId="32" fillId="39" borderId="36" xfId="0" applyFont="1" applyFill="1" applyBorder="1" applyAlignment="1">
      <alignment horizontal="center" vertical="top"/>
    </xf>
    <xf numFmtId="0" fontId="101" fillId="39" borderId="36" xfId="0" applyFont="1" applyFill="1" applyBorder="1" applyAlignment="1">
      <alignment horizontal="left" vertical="top"/>
    </xf>
    <xf numFmtId="0" fontId="101" fillId="39" borderId="38" xfId="0" applyFont="1" applyFill="1" applyBorder="1" applyAlignment="1">
      <alignment vertical="top" wrapText="1"/>
    </xf>
    <xf numFmtId="171" fontId="0" fillId="0" borderId="0" xfId="13" applyNumberFormat="1" applyFont="1"/>
    <xf numFmtId="171" fontId="0" fillId="0" borderId="0" xfId="0" applyNumberFormat="1"/>
    <xf numFmtId="0" fontId="32" fillId="0" borderId="36" xfId="0" applyFont="1" applyBorder="1" applyAlignment="1">
      <alignment vertical="top" wrapText="1"/>
    </xf>
    <xf numFmtId="0" fontId="233" fillId="0" borderId="0" xfId="0" applyFont="1"/>
    <xf numFmtId="0" fontId="233" fillId="0" borderId="0" xfId="0" applyFont="1" applyBorder="1"/>
    <xf numFmtId="0" fontId="236" fillId="0" borderId="0" xfId="0" applyFont="1" applyFill="1" applyBorder="1"/>
    <xf numFmtId="0" fontId="101" fillId="0" borderId="156" xfId="0" applyFont="1" applyFill="1" applyBorder="1" applyAlignment="1">
      <alignment horizontal="left" vertical="top" wrapText="1"/>
    </xf>
    <xf numFmtId="0" fontId="143" fillId="38" borderId="5" xfId="0" applyFont="1" applyFill="1" applyBorder="1" applyAlignment="1"/>
    <xf numFmtId="0" fontId="232" fillId="0" borderId="0" xfId="0" applyFont="1" applyBorder="1" applyAlignment="1">
      <alignment horizontal="right"/>
    </xf>
    <xf numFmtId="37" fontId="32" fillId="39" borderId="28" xfId="57" quotePrefix="1" applyNumberFormat="1" applyFont="1" applyFill="1" applyBorder="1" applyAlignment="1">
      <alignment horizontal="right"/>
    </xf>
    <xf numFmtId="37" fontId="32" fillId="39" borderId="107" xfId="57" quotePrefix="1" applyNumberFormat="1" applyFont="1" applyFill="1" applyBorder="1" applyAlignment="1">
      <alignment horizontal="right"/>
    </xf>
    <xf numFmtId="37" fontId="32" fillId="39" borderId="153" xfId="57" quotePrefix="1" applyNumberFormat="1" applyFont="1" applyFill="1" applyBorder="1" applyAlignment="1">
      <alignment horizontal="right"/>
    </xf>
    <xf numFmtId="37" fontId="32" fillId="0" borderId="126" xfId="57" quotePrefix="1" applyNumberFormat="1" applyFont="1" applyFill="1" applyBorder="1" applyAlignment="1">
      <alignment horizontal="right"/>
    </xf>
    <xf numFmtId="37" fontId="32" fillId="39" borderId="126" xfId="57" quotePrefix="1" applyNumberFormat="1" applyFont="1" applyFill="1" applyBorder="1" applyAlignment="1">
      <alignment horizontal="right"/>
    </xf>
    <xf numFmtId="37" fontId="32" fillId="0" borderId="153" xfId="57" quotePrefix="1" applyNumberFormat="1" applyFont="1" applyFill="1" applyBorder="1" applyAlignment="1">
      <alignment horizontal="right"/>
    </xf>
    <xf numFmtId="0" fontId="139" fillId="0" borderId="189" xfId="5916" applyBorder="1"/>
    <xf numFmtId="0" fontId="139" fillId="0" borderId="189" xfId="5916" applyBorder="1" applyAlignment="1">
      <alignment horizontal="center"/>
    </xf>
    <xf numFmtId="0" fontId="140" fillId="0" borderId="189" xfId="5916" applyFont="1" applyBorder="1" applyAlignment="1">
      <alignment horizontal="center"/>
    </xf>
    <xf numFmtId="0" fontId="140" fillId="0" borderId="189" xfId="5916" applyFont="1" applyFill="1" applyBorder="1" applyAlignment="1">
      <alignment horizontal="center"/>
    </xf>
    <xf numFmtId="43" fontId="64" fillId="0" borderId="189" xfId="5854" applyFont="1" applyBorder="1" applyAlignment="1">
      <alignment horizontal="center" wrapText="1"/>
    </xf>
    <xf numFmtId="0" fontId="140" fillId="0" borderId="189" xfId="5916" applyFont="1" applyBorder="1" applyAlignment="1">
      <alignment horizontal="center" wrapText="1"/>
    </xf>
    <xf numFmtId="0" fontId="140" fillId="0" borderId="189" xfId="5916" applyFont="1" applyFill="1" applyBorder="1" applyAlignment="1">
      <alignment horizontal="center" wrapText="1"/>
    </xf>
    <xf numFmtId="0" fontId="55" fillId="0" borderId="189" xfId="5916" quotePrefix="1" applyFont="1" applyBorder="1"/>
    <xf numFmtId="0" fontId="55" fillId="0" borderId="189" xfId="5916" applyFont="1" applyBorder="1"/>
    <xf numFmtId="0" fontId="139" fillId="0" borderId="189" xfId="5916" applyFill="1" applyBorder="1" applyAlignment="1">
      <alignment horizontal="center"/>
    </xf>
    <xf numFmtId="43" fontId="55" fillId="0" borderId="189" xfId="5854" applyFont="1" applyBorder="1"/>
    <xf numFmtId="0" fontId="139" fillId="0" borderId="189" xfId="5916" applyBorder="1" applyAlignment="1">
      <alignment wrapText="1"/>
    </xf>
    <xf numFmtId="164" fontId="147" fillId="0" borderId="189" xfId="11120" applyNumberFormat="1" applyFont="1" applyBorder="1"/>
    <xf numFmtId="164" fontId="147" fillId="0" borderId="189" xfId="5916" applyNumberFormat="1" applyFont="1" applyBorder="1"/>
    <xf numFmtId="164" fontId="147" fillId="0" borderId="189" xfId="16083" applyNumberFormat="1" applyFont="1" applyBorder="1"/>
    <xf numFmtId="164" fontId="139" fillId="0" borderId="189" xfId="5916" applyNumberFormat="1" applyFont="1" applyFill="1" applyBorder="1"/>
    <xf numFmtId="164" fontId="55" fillId="0" borderId="189" xfId="5854" applyNumberFormat="1" applyFont="1" applyBorder="1"/>
    <xf numFmtId="164" fontId="64" fillId="0" borderId="189" xfId="5854" applyNumberFormat="1" applyFont="1" applyBorder="1"/>
    <xf numFmtId="43" fontId="55" fillId="0" borderId="189" xfId="5854" applyNumberFormat="1" applyFont="1" applyBorder="1"/>
    <xf numFmtId="43" fontId="64" fillId="0" borderId="189" xfId="5854" applyNumberFormat="1" applyFont="1" applyBorder="1"/>
    <xf numFmtId="164" fontId="147" fillId="0" borderId="189" xfId="16083" applyNumberFormat="1" applyFont="1" applyFill="1" applyBorder="1"/>
    <xf numFmtId="0" fontId="189" fillId="0" borderId="189" xfId="16084" applyFont="1" applyBorder="1"/>
    <xf numFmtId="164" fontId="147" fillId="11" borderId="189" xfId="16083" applyNumberFormat="1" applyFont="1" applyFill="1" applyBorder="1"/>
    <xf numFmtId="0" fontId="9" fillId="0" borderId="189" xfId="16084" applyBorder="1"/>
    <xf numFmtId="0" fontId="9" fillId="0" borderId="189" xfId="16084" applyFill="1" applyBorder="1"/>
    <xf numFmtId="164" fontId="147" fillId="0" borderId="189" xfId="5854" applyNumberFormat="1" applyFont="1" applyBorder="1"/>
    <xf numFmtId="0" fontId="139" fillId="0" borderId="189" xfId="5916" applyFill="1" applyBorder="1" applyAlignment="1">
      <alignment horizontal="center" wrapText="1"/>
    </xf>
    <xf numFmtId="0" fontId="59" fillId="0" borderId="189" xfId="11130" applyFont="1" applyBorder="1" applyAlignment="1">
      <alignment horizontal="center"/>
    </xf>
    <xf numFmtId="0" fontId="59" fillId="0" borderId="189" xfId="45" applyFont="1" applyBorder="1" applyAlignment="1">
      <alignment horizontal="center"/>
    </xf>
    <xf numFmtId="0" fontId="170" fillId="0" borderId="189" xfId="45" applyFont="1" applyFill="1" applyBorder="1" applyAlignment="1">
      <alignment horizontal="center"/>
    </xf>
    <xf numFmtId="0" fontId="233" fillId="0" borderId="0" xfId="0" applyFont="1" applyFill="1"/>
    <xf numFmtId="0" fontId="237" fillId="0" borderId="0" xfId="0" applyFont="1" applyFill="1"/>
    <xf numFmtId="164" fontId="36" fillId="0" borderId="0" xfId="1" applyNumberFormat="1" applyFont="1" applyFill="1"/>
    <xf numFmtId="164" fontId="238" fillId="0" borderId="8" xfId="0" applyNumberFormat="1" applyFont="1" applyBorder="1"/>
    <xf numFmtId="164" fontId="238" fillId="0" borderId="0" xfId="0" applyNumberFormat="1" applyFont="1" applyBorder="1"/>
    <xf numFmtId="164" fontId="238" fillId="0" borderId="0" xfId="1" applyNumberFormat="1" applyFont="1" applyFill="1" applyBorder="1"/>
    <xf numFmtId="37" fontId="36" fillId="0" borderId="8" xfId="0" applyNumberFormat="1" applyFont="1" applyFill="1" applyBorder="1"/>
    <xf numFmtId="0" fontId="42" fillId="0" borderId="0" xfId="0" applyFont="1" applyFill="1" applyAlignment="1">
      <alignment horizontal="centerContinuous"/>
    </xf>
    <xf numFmtId="0" fontId="34" fillId="0" borderId="0" xfId="0" applyFont="1" applyFill="1" applyAlignment="1">
      <alignment horizontal="centerContinuous"/>
    </xf>
    <xf numFmtId="0" fontId="36" fillId="0" borderId="8" xfId="37" applyFont="1" applyFill="1" applyBorder="1"/>
    <xf numFmtId="0" fontId="36" fillId="0" borderId="8" xfId="37" applyFont="1" applyFill="1" applyBorder="1" applyAlignment="1">
      <alignment horizontal="center"/>
    </xf>
    <xf numFmtId="37" fontId="36" fillId="0" borderId="8" xfId="37" applyNumberFormat="1" applyFont="1" applyFill="1" applyBorder="1"/>
    <xf numFmtId="0" fontId="32" fillId="0" borderId="8" xfId="37" applyFont="1" applyFill="1" applyBorder="1"/>
    <xf numFmtId="0" fontId="36" fillId="0" borderId="8" xfId="0" applyFont="1" applyFill="1" applyBorder="1"/>
    <xf numFmtId="0" fontId="144" fillId="0" borderId="78" xfId="0" applyFont="1" applyFill="1" applyBorder="1" applyAlignment="1"/>
    <xf numFmtId="43" fontId="101" fillId="11" borderId="44" xfId="62576" applyFont="1" applyFill="1" applyBorder="1" applyAlignment="1">
      <alignment horizontal="right" vertical="top"/>
    </xf>
    <xf numFmtId="43" fontId="101" fillId="0" borderId="44" xfId="62576" applyFont="1" applyFill="1" applyBorder="1" applyAlignment="1">
      <alignment horizontal="right" vertical="top"/>
    </xf>
    <xf numFmtId="0" fontId="147" fillId="0" borderId="0" xfId="29" applyFont="1"/>
    <xf numFmtId="0" fontId="0" fillId="0" borderId="0" xfId="1" applyNumberFormat="1" applyFont="1" applyFill="1" applyAlignment="1">
      <alignment wrapText="1"/>
    </xf>
    <xf numFmtId="0" fontId="81" fillId="0" borderId="0" xfId="37" quotePrefix="1" applyFont="1" applyFill="1" applyBorder="1" applyAlignment="1">
      <alignment vertical="top" wrapText="1"/>
    </xf>
    <xf numFmtId="171" fontId="81" fillId="0" borderId="0" xfId="13" quotePrefix="1" applyNumberFormat="1" applyFont="1" applyFill="1" applyBorder="1" applyAlignment="1">
      <alignment horizontal="left" vertical="top" wrapText="1"/>
    </xf>
    <xf numFmtId="43" fontId="36" fillId="0" borderId="7" xfId="1" applyFont="1" applyFill="1" applyBorder="1" applyAlignment="1">
      <alignment horizontal="center" wrapText="1"/>
    </xf>
    <xf numFmtId="43" fontId="36" fillId="0" borderId="0" xfId="1" applyFont="1"/>
    <xf numFmtId="43" fontId="32" fillId="0" borderId="0" xfId="1" applyFont="1"/>
    <xf numFmtId="43" fontId="36" fillId="0" borderId="0" xfId="1" applyFont="1" applyFill="1" applyBorder="1" applyAlignment="1">
      <alignment horizontal="right" wrapText="1"/>
    </xf>
    <xf numFmtId="43" fontId="36" fillId="0" borderId="0" xfId="1" applyFont="1" applyFill="1" applyBorder="1" applyAlignment="1">
      <alignment horizontal="center"/>
    </xf>
    <xf numFmtId="0" fontId="189" fillId="0" borderId="189" xfId="16084" applyFont="1" applyFill="1" applyBorder="1"/>
    <xf numFmtId="0" fontId="55" fillId="0" borderId="189" xfId="5916" applyFont="1" applyFill="1" applyBorder="1"/>
    <xf numFmtId="164" fontId="139" fillId="0" borderId="189" xfId="5854" applyNumberFormat="1" applyFont="1" applyFill="1" applyBorder="1"/>
    <xf numFmtId="43" fontId="55" fillId="0" borderId="189" xfId="5854" applyNumberFormat="1" applyFont="1" applyFill="1" applyBorder="1"/>
    <xf numFmtId="164" fontId="55" fillId="0" borderId="189" xfId="5854" applyNumberFormat="1" applyFont="1" applyFill="1" applyBorder="1"/>
    <xf numFmtId="0" fontId="9" fillId="0" borderId="0" xfId="16084" applyFill="1"/>
    <xf numFmtId="164" fontId="140" fillId="0" borderId="189" xfId="5854" applyNumberFormat="1" applyFont="1" applyFill="1" applyBorder="1"/>
    <xf numFmtId="43" fontId="64" fillId="0" borderId="189" xfId="5854" applyNumberFormat="1" applyFont="1" applyFill="1" applyBorder="1"/>
    <xf numFmtId="0" fontId="101" fillId="0" borderId="0" xfId="0" applyFont="1"/>
    <xf numFmtId="3" fontId="101" fillId="11" borderId="193" xfId="57" applyNumberFormat="1" applyFont="1" applyFill="1" applyBorder="1" applyAlignment="1">
      <alignment horizontal="right"/>
    </xf>
    <xf numFmtId="0" fontId="101" fillId="11" borderId="193" xfId="57" applyFont="1" applyFill="1" applyBorder="1"/>
    <xf numFmtId="0" fontId="101" fillId="11" borderId="194" xfId="57" applyFont="1" applyFill="1" applyBorder="1" applyAlignment="1">
      <alignment horizontal="left" vertical="top" wrapText="1"/>
    </xf>
    <xf numFmtId="0" fontId="101" fillId="11" borderId="195" xfId="57" applyFont="1" applyFill="1" applyBorder="1" applyAlignment="1">
      <alignment horizontal="left" vertical="top" indent="2"/>
    </xf>
    <xf numFmtId="0" fontId="101" fillId="11" borderId="196" xfId="57" applyFont="1" applyFill="1" applyBorder="1" applyAlignment="1">
      <alignment horizontal="left" indent="2"/>
    </xf>
    <xf numFmtId="0" fontId="101" fillId="11" borderId="21" xfId="57" applyFont="1" applyFill="1" applyBorder="1" applyAlignment="1">
      <alignment horizontal="left" indent="2"/>
    </xf>
    <xf numFmtId="0" fontId="101" fillId="11" borderId="194" xfId="57" applyFont="1" applyFill="1" applyBorder="1" applyAlignment="1">
      <alignment horizontal="center" vertical="top" wrapText="1"/>
    </xf>
    <xf numFmtId="0" fontId="101" fillId="11" borderId="195" xfId="57" applyFont="1" applyFill="1" applyBorder="1" applyAlignment="1">
      <alignment horizontal="center"/>
    </xf>
    <xf numFmtId="0" fontId="101" fillId="11" borderId="196" xfId="57" applyFont="1" applyFill="1" applyBorder="1" applyAlignment="1">
      <alignment horizontal="center"/>
    </xf>
    <xf numFmtId="0" fontId="101" fillId="11" borderId="21" xfId="57" applyFont="1" applyFill="1" applyBorder="1" applyAlignment="1">
      <alignment horizontal="center"/>
    </xf>
    <xf numFmtId="164" fontId="101" fillId="11" borderId="194" xfId="1" applyNumberFormat="1" applyFont="1" applyFill="1" applyBorder="1" applyAlignment="1">
      <alignment horizontal="center" vertical="top"/>
    </xf>
    <xf numFmtId="0" fontId="101" fillId="11" borderId="195" xfId="57" applyNumberFormat="1" applyFont="1" applyFill="1" applyBorder="1" applyAlignment="1">
      <alignment horizontal="center"/>
    </xf>
    <xf numFmtId="0" fontId="101" fillId="11" borderId="196" xfId="57" applyNumberFormat="1" applyFont="1" applyFill="1" applyBorder="1" applyAlignment="1">
      <alignment horizontal="center"/>
    </xf>
    <xf numFmtId="0" fontId="101" fillId="11" borderId="21" xfId="57" applyNumberFormat="1" applyFont="1" applyFill="1" applyBorder="1" applyAlignment="1">
      <alignment horizontal="center"/>
    </xf>
    <xf numFmtId="0" fontId="101" fillId="11" borderId="194" xfId="57" applyFont="1" applyFill="1" applyBorder="1" applyAlignment="1">
      <alignment horizontal="center" vertical="top"/>
    </xf>
    <xf numFmtId="0" fontId="101" fillId="11" borderId="22" xfId="57" quotePrefix="1" applyFont="1" applyFill="1" applyBorder="1" applyAlignment="1">
      <alignment horizontal="center"/>
    </xf>
    <xf numFmtId="164" fontId="32" fillId="11" borderId="194" xfId="1" applyNumberFormat="1" applyFont="1" applyFill="1" applyBorder="1" applyAlignment="1">
      <alignment vertical="top"/>
    </xf>
    <xf numFmtId="0" fontId="101" fillId="11" borderId="22" xfId="57" applyFont="1" applyFill="1" applyBorder="1" applyAlignment="1">
      <alignment horizontal="right"/>
    </xf>
    <xf numFmtId="3" fontId="101" fillId="11" borderId="194" xfId="57" applyNumberFormat="1" applyFont="1" applyFill="1" applyBorder="1" applyAlignment="1">
      <alignment horizontal="right"/>
    </xf>
    <xf numFmtId="0" fontId="101" fillId="11" borderId="194" xfId="57" applyFont="1" applyFill="1" applyBorder="1" applyAlignment="1">
      <alignment vertical="top" wrapText="1"/>
    </xf>
    <xf numFmtId="0" fontId="101" fillId="11" borderId="194" xfId="57" applyFont="1" applyFill="1" applyBorder="1"/>
    <xf numFmtId="43" fontId="32" fillId="0" borderId="0" xfId="57" applyNumberFormat="1" applyFont="1"/>
    <xf numFmtId="43" fontId="32" fillId="0" borderId="0" xfId="1" applyFont="1" applyBorder="1"/>
    <xf numFmtId="43" fontId="33" fillId="0" borderId="0" xfId="57" applyNumberFormat="1" applyFont="1" applyBorder="1"/>
    <xf numFmtId="43" fontId="96" fillId="0" borderId="0" xfId="57" applyNumberFormat="1" applyFont="1" applyBorder="1"/>
    <xf numFmtId="0" fontId="240" fillId="0" borderId="0" xfId="37" applyFont="1"/>
    <xf numFmtId="0" fontId="142" fillId="0" borderId="0" xfId="57" applyFont="1"/>
    <xf numFmtId="0" fontId="36" fillId="0" borderId="0" xfId="0" quotePrefix="1" applyFont="1" applyBorder="1"/>
    <xf numFmtId="0" fontId="36" fillId="0" borderId="7" xfId="0" quotePrefix="1" applyNumberFormat="1" applyFont="1" applyFill="1" applyBorder="1" applyAlignment="1"/>
    <xf numFmtId="0" fontId="32" fillId="11" borderId="189" xfId="57" applyFont="1" applyFill="1" applyBorder="1" applyAlignment="1">
      <alignment horizontal="left" vertical="top" wrapText="1"/>
    </xf>
    <xf numFmtId="0" fontId="0" fillId="11" borderId="189" xfId="57" applyFont="1" applyFill="1" applyBorder="1" applyAlignment="1">
      <alignment horizontal="left" vertical="top" wrapText="1"/>
    </xf>
    <xf numFmtId="37" fontId="102" fillId="11" borderId="197" xfId="57" applyNumberFormat="1" applyFont="1" applyFill="1" applyBorder="1" applyAlignment="1">
      <alignment vertical="top"/>
    </xf>
    <xf numFmtId="0" fontId="102" fillId="11" borderId="189" xfId="57" applyFont="1" applyFill="1" applyBorder="1" applyAlignment="1">
      <alignment horizontal="left" vertical="top" wrapText="1"/>
    </xf>
    <xf numFmtId="0" fontId="32" fillId="11" borderId="189" xfId="57" applyNumberFormat="1" applyFont="1" applyFill="1" applyBorder="1" applyAlignment="1">
      <alignment horizontal="left" vertical="top" wrapText="1"/>
    </xf>
    <xf numFmtId="175" fontId="32" fillId="11" borderId="197" xfId="10" applyNumberFormat="1" applyFont="1" applyFill="1" applyBorder="1" applyAlignment="1" applyProtection="1">
      <alignment vertical="top"/>
      <protection locked="0"/>
    </xf>
    <xf numFmtId="0" fontId="0" fillId="0" borderId="0" xfId="57" applyFont="1"/>
    <xf numFmtId="175" fontId="32" fillId="11" borderId="191" xfId="10" applyNumberFormat="1" applyFont="1" applyFill="1" applyBorder="1" applyAlignment="1" applyProtection="1">
      <alignment horizontal="center" vertical="top"/>
      <protection locked="0"/>
    </xf>
    <xf numFmtId="182" fontId="32" fillId="11" borderId="192" xfId="10" applyNumberFormat="1" applyFont="1" applyFill="1" applyBorder="1" applyAlignment="1" applyProtection="1">
      <alignment horizontal="center" vertical="top"/>
      <protection locked="0"/>
    </xf>
    <xf numFmtId="37" fontId="102" fillId="11" borderId="192" xfId="57" applyNumberFormat="1" applyFont="1" applyFill="1" applyBorder="1" applyAlignment="1">
      <alignment vertical="top"/>
    </xf>
    <xf numFmtId="37" fontId="101" fillId="11" borderId="189" xfId="57" applyNumberFormat="1" applyFont="1" applyFill="1" applyBorder="1" applyAlignment="1">
      <alignment vertical="top" wrapText="1"/>
    </xf>
    <xf numFmtId="175" fontId="32" fillId="11" borderId="192" xfId="10" quotePrefix="1" applyNumberFormat="1" applyFont="1" applyFill="1" applyBorder="1" applyAlignment="1" applyProtection="1">
      <alignment horizontal="center" vertical="top"/>
      <protection locked="0"/>
    </xf>
    <xf numFmtId="175" fontId="32" fillId="11" borderId="192" xfId="10" applyNumberFormat="1" applyFont="1" applyFill="1" applyBorder="1" applyAlignment="1" applyProtection="1">
      <alignment vertical="top"/>
      <protection locked="0"/>
    </xf>
    <xf numFmtId="37" fontId="101" fillId="11" borderId="189" xfId="57" applyNumberFormat="1" applyFont="1" applyFill="1" applyBorder="1" applyAlignment="1">
      <alignment vertical="top"/>
    </xf>
    <xf numFmtId="0" fontId="32" fillId="0" borderId="156" xfId="57" applyFont="1" applyFill="1" applyBorder="1" applyAlignment="1">
      <alignment horizontal="center" vertical="top"/>
    </xf>
    <xf numFmtId="0" fontId="64" fillId="0" borderId="167" xfId="11" applyFont="1" applyFill="1" applyBorder="1" applyAlignment="1">
      <alignment horizontal="left" vertical="top"/>
    </xf>
    <xf numFmtId="0" fontId="64" fillId="0" borderId="155" xfId="11" applyFont="1" applyFill="1" applyBorder="1" applyAlignment="1">
      <alignment horizontal="left" vertical="top" wrapText="1"/>
    </xf>
    <xf numFmtId="0" fontId="33" fillId="0" borderId="153" xfId="57" applyFont="1" applyFill="1" applyBorder="1" applyAlignment="1">
      <alignment vertical="top"/>
    </xf>
    <xf numFmtId="0" fontId="33" fillId="0" borderId="155" xfId="57" applyFont="1" applyFill="1" applyBorder="1" applyAlignment="1">
      <alignment vertical="top"/>
    </xf>
    <xf numFmtId="0" fontId="32" fillId="0" borderId="167" xfId="57" applyFont="1" applyFill="1" applyBorder="1" applyAlignment="1">
      <alignment vertical="top"/>
    </xf>
    <xf numFmtId="0" fontId="32" fillId="0" borderId="155" xfId="57" applyFont="1" applyFill="1" applyBorder="1" applyAlignment="1">
      <alignment vertical="top"/>
    </xf>
    <xf numFmtId="37" fontId="32" fillId="0" borderId="153" xfId="57" applyNumberFormat="1" applyFont="1" applyFill="1" applyBorder="1" applyAlignment="1">
      <alignment vertical="top"/>
    </xf>
    <xf numFmtId="37" fontId="32" fillId="0" borderId="153" xfId="57" applyNumberFormat="1" applyFont="1" applyFill="1" applyBorder="1" applyAlignment="1">
      <alignment vertical="top" wrapText="1"/>
    </xf>
    <xf numFmtId="37" fontId="32" fillId="11" borderId="153" xfId="57" applyNumberFormat="1" applyFont="1" applyFill="1" applyBorder="1" applyAlignment="1">
      <alignment vertical="top"/>
    </xf>
    <xf numFmtId="0" fontId="32" fillId="0" borderId="153" xfId="57" applyFont="1" applyFill="1" applyBorder="1" applyAlignment="1">
      <alignment vertical="top" wrapText="1"/>
    </xf>
    <xf numFmtId="0" fontId="33" fillId="0" borderId="170" xfId="57" applyFont="1" applyFill="1" applyBorder="1" applyAlignment="1">
      <alignment vertical="top"/>
    </xf>
    <xf numFmtId="0" fontId="33" fillId="0" borderId="169" xfId="57" applyFont="1" applyFill="1" applyBorder="1" applyAlignment="1">
      <alignment vertical="top"/>
    </xf>
    <xf numFmtId="0" fontId="32" fillId="0" borderId="143" xfId="57" applyFont="1" applyFill="1" applyBorder="1" applyAlignment="1">
      <alignment vertical="top"/>
    </xf>
    <xf numFmtId="0" fontId="32" fillId="0" borderId="169" xfId="57" applyFont="1" applyFill="1" applyBorder="1" applyAlignment="1">
      <alignment vertical="top"/>
    </xf>
    <xf numFmtId="0" fontId="33" fillId="0" borderId="156" xfId="57" applyFont="1" applyFill="1" applyBorder="1" applyAlignment="1">
      <alignment vertical="top"/>
    </xf>
    <xf numFmtId="0" fontId="33" fillId="0" borderId="167" xfId="57" applyFont="1" applyFill="1" applyBorder="1" applyAlignment="1">
      <alignment vertical="top"/>
    </xf>
    <xf numFmtId="175" fontId="33" fillId="11" borderId="191" xfId="10" applyNumberFormat="1" applyFont="1" applyFill="1" applyBorder="1" applyAlignment="1" applyProtection="1">
      <alignment horizontal="left" vertical="top"/>
      <protection locked="0"/>
    </xf>
    <xf numFmtId="38" fontId="32" fillId="11" borderId="189" xfId="57" applyNumberFormat="1" applyFont="1" applyFill="1" applyBorder="1" applyAlignment="1">
      <alignment vertical="top"/>
    </xf>
    <xf numFmtId="175" fontId="32" fillId="11" borderId="191" xfId="10" applyNumberFormat="1" applyFont="1" applyFill="1" applyBorder="1" applyAlignment="1" applyProtection="1">
      <alignment horizontal="left" vertical="top"/>
      <protection locked="0"/>
    </xf>
    <xf numFmtId="0" fontId="33" fillId="11" borderId="156" xfId="11" applyFont="1" applyFill="1" applyBorder="1" applyAlignment="1">
      <alignment horizontal="left" vertical="top"/>
    </xf>
    <xf numFmtId="0" fontId="33" fillId="11" borderId="167" xfId="11" applyFont="1" applyFill="1" applyBorder="1" applyAlignment="1">
      <alignment horizontal="left" vertical="top"/>
    </xf>
    <xf numFmtId="0" fontId="32" fillId="11" borderId="156" xfId="11" applyFont="1" applyFill="1" applyBorder="1" applyAlignment="1">
      <alignment horizontal="center" vertical="top"/>
    </xf>
    <xf numFmtId="183" fontId="32" fillId="11" borderId="4" xfId="11" applyNumberFormat="1" applyFont="1" applyFill="1" applyBorder="1" applyAlignment="1">
      <alignment horizontal="center" vertical="top"/>
    </xf>
    <xf numFmtId="0" fontId="32" fillId="11" borderId="4" xfId="11" applyFont="1" applyFill="1" applyBorder="1" applyAlignment="1">
      <alignment horizontal="left" vertical="top"/>
    </xf>
    <xf numFmtId="183" fontId="32" fillId="11" borderId="167" xfId="11" applyNumberFormat="1" applyFont="1" applyFill="1" applyBorder="1" applyAlignment="1">
      <alignment horizontal="center" vertical="top"/>
    </xf>
    <xf numFmtId="0" fontId="32" fillId="11" borderId="167" xfId="11" applyFont="1" applyFill="1" applyBorder="1" applyAlignment="1">
      <alignment horizontal="left" vertical="top"/>
    </xf>
    <xf numFmtId="0" fontId="32" fillId="0" borderId="155" xfId="57" applyFont="1" applyFill="1" applyBorder="1" applyAlignment="1">
      <alignment horizontal="left" vertical="top"/>
    </xf>
    <xf numFmtId="37" fontId="101" fillId="11" borderId="153" xfId="1" applyNumberFormat="1" applyFont="1" applyFill="1" applyBorder="1" applyAlignment="1">
      <alignment horizontal="right" vertical="top"/>
    </xf>
    <xf numFmtId="0" fontId="33" fillId="0" borderId="21" xfId="57" applyFont="1" applyFill="1" applyBorder="1" applyAlignment="1">
      <alignment vertical="top"/>
    </xf>
    <xf numFmtId="0" fontId="33" fillId="0" borderId="4" xfId="57" applyFont="1" applyFill="1" applyBorder="1" applyAlignment="1">
      <alignment vertical="top"/>
    </xf>
    <xf numFmtId="0" fontId="32" fillId="0" borderId="4" xfId="57" applyFont="1" applyFill="1" applyBorder="1" applyAlignment="1">
      <alignment vertical="top"/>
    </xf>
    <xf numFmtId="0" fontId="32" fillId="0" borderId="19" xfId="57" applyFont="1" applyFill="1" applyBorder="1" applyAlignment="1">
      <alignment vertical="top"/>
    </xf>
    <xf numFmtId="37" fontId="32" fillId="0" borderId="153" xfId="1" applyNumberFormat="1" applyFont="1" applyFill="1" applyBorder="1" applyAlignment="1">
      <alignment horizontal="right" vertical="top"/>
    </xf>
    <xf numFmtId="0" fontId="64" fillId="0" borderId="167" xfId="57" applyFont="1" applyFill="1" applyBorder="1" applyAlignment="1">
      <alignment horizontal="left" vertical="top"/>
    </xf>
    <xf numFmtId="0" fontId="64" fillId="0" borderId="155" xfId="57" applyFont="1" applyFill="1" applyBorder="1" applyAlignment="1">
      <alignment horizontal="left" vertical="top"/>
    </xf>
    <xf numFmtId="0" fontId="64" fillId="0" borderId="153" xfId="57" applyFont="1" applyFill="1" applyBorder="1" applyAlignment="1">
      <alignment vertical="top"/>
    </xf>
    <xf numFmtId="37" fontId="32" fillId="11" borderId="189" xfId="57" applyNumberFormat="1" applyFont="1" applyFill="1" applyBorder="1" applyAlignment="1">
      <alignment vertical="top" wrapText="1"/>
    </xf>
    <xf numFmtId="0" fontId="32" fillId="11" borderId="189" xfId="57" applyFont="1" applyFill="1" applyBorder="1" applyAlignment="1">
      <alignment horizontal="left" vertical="top"/>
    </xf>
    <xf numFmtId="175" fontId="0" fillId="11" borderId="192" xfId="10" applyNumberFormat="1" applyFont="1" applyFill="1" applyBorder="1" applyAlignment="1" applyProtection="1">
      <alignment vertical="top"/>
      <protection locked="0"/>
    </xf>
    <xf numFmtId="37" fontId="206" fillId="11" borderId="189" xfId="57" applyNumberFormat="1" applyFont="1" applyFill="1" applyBorder="1" applyAlignment="1">
      <alignment vertical="top" wrapText="1"/>
    </xf>
    <xf numFmtId="37" fontId="207" fillId="11" borderId="189" xfId="57" applyNumberFormat="1" applyFont="1" applyFill="1" applyBorder="1" applyAlignment="1">
      <alignment vertical="top" wrapText="1"/>
    </xf>
    <xf numFmtId="175" fontId="32" fillId="0" borderId="167" xfId="10" applyNumberFormat="1" applyFont="1" applyFill="1" applyBorder="1" applyAlignment="1" applyProtection="1">
      <alignment horizontal="left" vertical="top"/>
      <protection locked="0"/>
    </xf>
    <xf numFmtId="175" fontId="32" fillId="0" borderId="155" xfId="10" applyNumberFormat="1" applyFont="1" applyFill="1" applyBorder="1" applyAlignment="1" applyProtection="1">
      <alignment horizontal="left" vertical="top"/>
      <protection locked="0"/>
    </xf>
    <xf numFmtId="0" fontId="102" fillId="0" borderId="153" xfId="57" applyFont="1" applyFill="1" applyBorder="1" applyAlignment="1">
      <alignment vertical="top" wrapText="1"/>
    </xf>
    <xf numFmtId="0" fontId="32" fillId="0" borderId="0" xfId="57" applyFont="1" applyFill="1" applyBorder="1" applyAlignment="1">
      <alignment vertical="top"/>
    </xf>
    <xf numFmtId="0" fontId="32" fillId="0" borderId="17" xfId="57" applyFont="1" applyFill="1" applyBorder="1" applyAlignment="1">
      <alignment vertical="top"/>
    </xf>
    <xf numFmtId="0" fontId="64" fillId="0" borderId="156" xfId="57" applyFont="1" applyFill="1" applyBorder="1" applyAlignment="1">
      <alignment horizontal="left" vertical="top"/>
    </xf>
    <xf numFmtId="175" fontId="33" fillId="11" borderId="192" xfId="10" applyNumberFormat="1" applyFont="1" applyFill="1" applyBorder="1" applyAlignment="1" applyProtection="1">
      <alignment horizontal="left" vertical="top"/>
      <protection locked="0"/>
    </xf>
    <xf numFmtId="182" fontId="32" fillId="11" borderId="192" xfId="10" applyNumberFormat="1" applyFont="1" applyFill="1" applyBorder="1" applyAlignment="1" applyProtection="1">
      <alignment horizontal="left" vertical="top"/>
      <protection locked="0"/>
    </xf>
    <xf numFmtId="0" fontId="32" fillId="0" borderId="156" xfId="57" applyFont="1" applyFill="1" applyBorder="1" applyAlignment="1">
      <alignment vertical="top"/>
    </xf>
    <xf numFmtId="0" fontId="33" fillId="0" borderId="22" xfId="57" applyFont="1" applyFill="1" applyBorder="1" applyAlignment="1">
      <alignment vertical="top"/>
    </xf>
    <xf numFmtId="0" fontId="33" fillId="0" borderId="19" xfId="57" applyFont="1" applyFill="1" applyBorder="1" applyAlignment="1">
      <alignment vertical="top"/>
    </xf>
    <xf numFmtId="0" fontId="33" fillId="0" borderId="20" xfId="57" applyFont="1" applyFill="1" applyBorder="1" applyAlignment="1">
      <alignment vertical="top"/>
    </xf>
    <xf numFmtId="0" fontId="33" fillId="0" borderId="17" xfId="57" applyFont="1" applyFill="1" applyBorder="1" applyAlignment="1">
      <alignment vertical="top"/>
    </xf>
    <xf numFmtId="37" fontId="32" fillId="0" borderId="0" xfId="57" applyNumberFormat="1"/>
    <xf numFmtId="0" fontId="169" fillId="0" borderId="189" xfId="37" applyFont="1" applyFill="1" applyBorder="1" applyAlignment="1" applyProtection="1">
      <alignment horizontal="right" vertical="center" wrapText="1"/>
    </xf>
    <xf numFmtId="180" fontId="187" fillId="0" borderId="189" xfId="37" applyNumberFormat="1" applyFont="1" applyFill="1" applyBorder="1" applyAlignment="1" applyProtection="1">
      <alignment vertical="center" wrapText="1"/>
    </xf>
    <xf numFmtId="0" fontId="169" fillId="0" borderId="189" xfId="37" applyFont="1" applyFill="1" applyBorder="1" applyAlignment="1" applyProtection="1">
      <alignment vertical="center" wrapText="1"/>
    </xf>
    <xf numFmtId="180" fontId="169" fillId="0" borderId="189" xfId="37" applyNumberFormat="1" applyFont="1" applyFill="1" applyBorder="1" applyAlignment="1" applyProtection="1">
      <alignment horizontal="right" vertical="center" wrapText="1"/>
    </xf>
    <xf numFmtId="164" fontId="132" fillId="0" borderId="6" xfId="52845" applyNumberFormat="1" applyFont="1" applyFill="1" applyBorder="1" applyAlignment="1">
      <alignment horizontal="center"/>
    </xf>
    <xf numFmtId="0" fontId="32" fillId="0" borderId="16" xfId="0" applyFont="1" applyFill="1" applyBorder="1" applyAlignment="1">
      <alignment horizontal="center" vertical="top"/>
    </xf>
    <xf numFmtId="0" fontId="241" fillId="0" borderId="0" xfId="52844" applyFont="1" applyFill="1" applyAlignment="1"/>
    <xf numFmtId="0" fontId="134" fillId="0" borderId="24" xfId="52844" applyFont="1" applyFill="1" applyBorder="1" applyAlignment="1">
      <alignment horizontal="center"/>
    </xf>
    <xf numFmtId="0" fontId="134" fillId="0" borderId="15" xfId="52844" applyFont="1" applyFill="1" applyBorder="1" applyAlignment="1">
      <alignment horizontal="center"/>
    </xf>
    <xf numFmtId="0" fontId="151" fillId="0" borderId="0" xfId="52844" applyFont="1" applyFill="1" applyAlignment="1"/>
    <xf numFmtId="164" fontId="36" fillId="0" borderId="0" xfId="1" applyNumberFormat="1" applyFont="1" applyFill="1" applyBorder="1" applyAlignment="1">
      <alignment horizontal="center" wrapText="1"/>
    </xf>
    <xf numFmtId="164" fontId="36" fillId="0" borderId="0" xfId="1" quotePrefix="1" applyNumberFormat="1" applyFont="1" applyFill="1" applyBorder="1" applyAlignment="1">
      <alignment vertical="top" wrapText="1"/>
    </xf>
    <xf numFmtId="164" fontId="36" fillId="0" borderId="0" xfId="1" applyNumberFormat="1" applyFont="1" applyFill="1" applyBorder="1" applyAlignment="1">
      <alignment wrapText="1"/>
    </xf>
    <xf numFmtId="37" fontId="0" fillId="0" borderId="0" xfId="0" applyNumberFormat="1" applyAlignment="1">
      <alignment vertical="center"/>
    </xf>
    <xf numFmtId="37" fontId="36" fillId="11" borderId="0" xfId="45" applyNumberFormat="1" applyFont="1" applyFill="1"/>
    <xf numFmtId="0" fontId="132" fillId="0" borderId="23" xfId="52844" applyFont="1" applyFill="1" applyBorder="1" applyAlignment="1">
      <alignment horizontal="center"/>
    </xf>
    <xf numFmtId="0" fontId="134" fillId="11" borderId="12" xfId="52844" applyFont="1" applyFill="1" applyBorder="1" applyAlignment="1">
      <alignment horizontal="center" wrapText="1"/>
    </xf>
    <xf numFmtId="0" fontId="134" fillId="11" borderId="7" xfId="52844" applyFont="1" applyFill="1" applyBorder="1" applyAlignment="1">
      <alignment horizontal="center" wrapText="1"/>
    </xf>
    <xf numFmtId="0" fontId="134" fillId="11" borderId="9" xfId="52844" applyFont="1" applyFill="1" applyBorder="1" applyAlignment="1">
      <alignment horizontal="center" wrapText="1"/>
    </xf>
    <xf numFmtId="43" fontId="134" fillId="11" borderId="7" xfId="52845" applyNumberFormat="1" applyFont="1" applyFill="1" applyBorder="1"/>
    <xf numFmtId="43" fontId="134" fillId="11" borderId="1" xfId="52845" applyNumberFormat="1" applyFont="1" applyFill="1" applyBorder="1"/>
    <xf numFmtId="43" fontId="134" fillId="11" borderId="9" xfId="52845" applyNumberFormat="1" applyFont="1" applyFill="1" applyBorder="1"/>
    <xf numFmtId="43" fontId="132" fillId="0" borderId="1" xfId="52845" applyNumberFormat="1" applyFont="1" applyFill="1" applyBorder="1"/>
    <xf numFmtId="43" fontId="134" fillId="11" borderId="11" xfId="52845" applyNumberFormat="1" applyFont="1" applyFill="1" applyBorder="1"/>
    <xf numFmtId="43" fontId="134" fillId="11" borderId="12" xfId="52845" applyNumberFormat="1" applyFont="1" applyFill="1" applyBorder="1"/>
    <xf numFmtId="43" fontId="132" fillId="0" borderId="12" xfId="52845" applyFont="1" applyFill="1" applyBorder="1" applyAlignment="1">
      <alignment horizontal="center"/>
    </xf>
    <xf numFmtId="43" fontId="49" fillId="0" borderId="7" xfId="52845" applyFont="1" applyFill="1" applyBorder="1" applyAlignment="1">
      <alignment horizontal="center" wrapText="1"/>
    </xf>
    <xf numFmtId="43" fontId="49" fillId="0" borderId="9" xfId="52845" applyFont="1" applyFill="1" applyBorder="1" applyAlignment="1">
      <alignment horizontal="center" wrapText="1"/>
    </xf>
    <xf numFmtId="164" fontId="132" fillId="0" borderId="7" xfId="52845" applyNumberFormat="1" applyFont="1" applyFill="1" applyBorder="1"/>
    <xf numFmtId="164" fontId="132" fillId="0" borderId="9" xfId="52845" applyNumberFormat="1" applyFont="1" applyFill="1" applyBorder="1"/>
    <xf numFmtId="164" fontId="134" fillId="11" borderId="13" xfId="52845" applyNumberFormat="1" applyFont="1" applyFill="1" applyBorder="1" applyAlignment="1">
      <alignment horizontal="center" wrapText="1"/>
    </xf>
    <xf numFmtId="164" fontId="134" fillId="11" borderId="14" xfId="52845" applyNumberFormat="1" applyFont="1" applyFill="1" applyBorder="1" applyAlignment="1">
      <alignment horizontal="center" wrapText="1"/>
    </xf>
    <xf numFmtId="164" fontId="134" fillId="11" borderId="15" xfId="52845" applyNumberFormat="1" applyFont="1" applyFill="1" applyBorder="1" applyAlignment="1">
      <alignment horizontal="center"/>
    </xf>
    <xf numFmtId="164" fontId="134" fillId="11" borderId="13" xfId="52845" applyNumberFormat="1" applyFont="1" applyFill="1" applyBorder="1"/>
    <xf numFmtId="164" fontId="134" fillId="11" borderId="15" xfId="52845" applyNumberFormat="1" applyFont="1" applyFill="1" applyBorder="1"/>
    <xf numFmtId="43" fontId="133" fillId="0" borderId="5" xfId="52845" applyNumberFormat="1" applyFont="1" applyFill="1" applyBorder="1"/>
    <xf numFmtId="164" fontId="133" fillId="0" borderId="6" xfId="52845" applyNumberFormat="1" applyFont="1" applyFill="1" applyBorder="1"/>
    <xf numFmtId="164" fontId="133" fillId="0" borderId="5" xfId="52845" applyNumberFormat="1" applyFont="1" applyFill="1" applyBorder="1"/>
    <xf numFmtId="164" fontId="133" fillId="0" borderId="23" xfId="52846" applyNumberFormat="1" applyFont="1" applyFill="1" applyBorder="1"/>
    <xf numFmtId="164" fontId="132" fillId="0" borderId="0" xfId="52844" applyNumberFormat="1" applyFont="1" applyFill="1"/>
    <xf numFmtId="0" fontId="34" fillId="0" borderId="75" xfId="0" applyFont="1" applyFill="1" applyBorder="1" applyAlignment="1">
      <alignment horizontal="center" vertical="center"/>
    </xf>
    <xf numFmtId="0" fontId="32" fillId="0" borderId="0" xfId="37" applyFont="1" applyFill="1"/>
    <xf numFmtId="0" fontId="81" fillId="0" borderId="0" xfId="37" applyFont="1" applyFill="1" applyBorder="1" applyAlignment="1"/>
    <xf numFmtId="0" fontId="36" fillId="0" borderId="0" xfId="37" applyFont="1" applyFill="1" applyAlignment="1">
      <alignment horizontal="center"/>
    </xf>
    <xf numFmtId="43" fontId="36" fillId="0" borderId="7" xfId="1" applyFont="1" applyFill="1" applyBorder="1" applyAlignment="1"/>
    <xf numFmtId="164" fontId="36" fillId="0" borderId="7" xfId="1" applyNumberFormat="1" applyFont="1" applyFill="1" applyBorder="1" applyAlignment="1"/>
    <xf numFmtId="164" fontId="36" fillId="0" borderId="0" xfId="1" applyNumberFormat="1" applyFont="1" applyFill="1" applyBorder="1" applyAlignment="1"/>
    <xf numFmtId="0" fontId="36" fillId="0" borderId="7" xfId="37" applyFont="1" applyFill="1" applyBorder="1" applyAlignment="1"/>
    <xf numFmtId="43" fontId="36" fillId="0" borderId="7" xfId="37" applyNumberFormat="1" applyFont="1" applyFill="1" applyBorder="1" applyAlignment="1">
      <alignment horizontal="center" wrapText="1"/>
    </xf>
    <xf numFmtId="0" fontId="32" fillId="0" borderId="0" xfId="37" applyFont="1" applyFill="1" applyBorder="1"/>
    <xf numFmtId="43" fontId="32" fillId="0" borderId="0" xfId="1" applyFont="1" applyFill="1" applyBorder="1"/>
    <xf numFmtId="0" fontId="33" fillId="0" borderId="0" xfId="37" applyFont="1" applyFill="1" applyBorder="1"/>
    <xf numFmtId="43" fontId="32" fillId="0" borderId="0" xfId="37" applyNumberFormat="1" applyFont="1" applyFill="1" applyBorder="1"/>
    <xf numFmtId="43" fontId="33" fillId="0" borderId="0" xfId="37" applyNumberFormat="1" applyFont="1" applyFill="1" applyBorder="1"/>
    <xf numFmtId="164" fontId="33" fillId="0" borderId="0" xfId="37" applyNumberFormat="1" applyFont="1" applyFill="1" applyBorder="1"/>
    <xf numFmtId="164" fontId="92" fillId="0" borderId="0" xfId="37" applyNumberFormat="1" applyFont="1" applyFill="1" applyBorder="1"/>
    <xf numFmtId="43" fontId="239" fillId="0" borderId="0" xfId="1" applyFont="1" applyFill="1" applyBorder="1"/>
    <xf numFmtId="0" fontId="11" fillId="0" borderId="0" xfId="5917" applyFill="1" applyBorder="1" applyAlignment="1">
      <alignment horizontal="center" wrapText="1"/>
    </xf>
    <xf numFmtId="164" fontId="32" fillId="0" borderId="0" xfId="1" applyNumberFormat="1" applyFont="1" applyFill="1" applyBorder="1"/>
    <xf numFmtId="43" fontId="92" fillId="0" borderId="0" xfId="37" applyNumberFormat="1" applyFont="1" applyFill="1" applyBorder="1"/>
    <xf numFmtId="37" fontId="101" fillId="11" borderId="4" xfId="57" applyNumberFormat="1" applyFont="1" applyFill="1" applyBorder="1" applyAlignment="1"/>
    <xf numFmtId="0" fontId="142" fillId="0" borderId="0" xfId="57" applyFont="1" applyAlignment="1">
      <alignment horizontal="right"/>
    </xf>
    <xf numFmtId="43" fontId="132" fillId="0" borderId="24" xfId="52845" applyNumberFormat="1" applyFont="1" applyFill="1" applyBorder="1"/>
    <xf numFmtId="43" fontId="132" fillId="0" borderId="5" xfId="52845" applyNumberFormat="1" applyFont="1" applyFill="1" applyBorder="1"/>
    <xf numFmtId="164" fontId="139" fillId="0" borderId="189" xfId="5854" applyNumberFormat="1" applyFont="1" applyBorder="1"/>
    <xf numFmtId="164" fontId="140" fillId="0" borderId="189" xfId="5854" applyNumberFormat="1" applyFont="1" applyBorder="1"/>
    <xf numFmtId="10" fontId="32" fillId="0" borderId="0" xfId="26" applyNumberFormat="1" applyFont="1"/>
    <xf numFmtId="37" fontId="101" fillId="85" borderId="36" xfId="0" applyNumberFormat="1" applyFont="1" applyFill="1" applyBorder="1" applyAlignment="1">
      <alignment horizontal="right" vertical="top"/>
    </xf>
    <xf numFmtId="10" fontId="101" fillId="85" borderId="36" xfId="13" applyNumberFormat="1" applyFont="1" applyFill="1" applyBorder="1" applyAlignment="1">
      <alignment vertical="top"/>
    </xf>
    <xf numFmtId="0" fontId="0" fillId="11" borderId="0" xfId="0" applyFill="1"/>
    <xf numFmtId="0" fontId="32" fillId="0" borderId="18" xfId="57" applyFont="1" applyFill="1" applyBorder="1" applyAlignment="1">
      <alignment horizontal="left" wrapText="1"/>
    </xf>
    <xf numFmtId="0" fontId="32" fillId="0" borderId="0" xfId="57" applyFont="1" applyFill="1" applyBorder="1" applyAlignment="1">
      <alignment horizontal="left" wrapText="1"/>
    </xf>
    <xf numFmtId="0" fontId="32" fillId="0" borderId="17" xfId="57" applyFont="1" applyFill="1" applyBorder="1" applyAlignment="1">
      <alignment horizontal="left" wrapText="1"/>
    </xf>
    <xf numFmtId="37" fontId="101" fillId="85" borderId="36" xfId="0" applyNumberFormat="1" applyFont="1" applyFill="1" applyBorder="1" applyAlignment="1">
      <alignment vertical="top"/>
    </xf>
    <xf numFmtId="0" fontId="102" fillId="0" borderId="0" xfId="62577" applyFont="1"/>
    <xf numFmtId="37" fontId="33" fillId="0" borderId="0" xfId="57" applyNumberFormat="1" applyFont="1" applyAlignment="1"/>
    <xf numFmtId="37" fontId="99" fillId="0" borderId="0" xfId="57" applyNumberFormat="1" applyFont="1" applyAlignment="1"/>
    <xf numFmtId="0" fontId="139" fillId="0" borderId="0" xfId="62577" applyFont="1"/>
    <xf numFmtId="0" fontId="140" fillId="0" borderId="0" xfId="62577" applyFont="1" applyAlignment="1">
      <alignment horizontal="centerContinuous"/>
    </xf>
    <xf numFmtId="0" fontId="139" fillId="0" borderId="0" xfId="62577" applyFont="1" applyAlignment="1">
      <alignment horizontal="centerContinuous"/>
    </xf>
    <xf numFmtId="0" fontId="2" fillId="0" borderId="0" xfId="62577"/>
    <xf numFmtId="37" fontId="2" fillId="0" borderId="0" xfId="62577" applyNumberFormat="1"/>
    <xf numFmtId="44" fontId="32" fillId="0" borderId="0" xfId="57" applyNumberFormat="1" applyFont="1"/>
    <xf numFmtId="0" fontId="33" fillId="7" borderId="6" xfId="62572" quotePrefix="1" applyFont="1" applyFill="1" applyBorder="1" applyAlignment="1" applyProtection="1">
      <alignment horizontal="center" wrapText="1"/>
      <protection locked="0"/>
    </xf>
    <xf numFmtId="0" fontId="33" fillId="7" borderId="23" xfId="62572" quotePrefix="1" applyFont="1" applyFill="1" applyBorder="1" applyAlignment="1" applyProtection="1">
      <alignment horizontal="center" wrapText="1"/>
      <protection locked="0"/>
    </xf>
    <xf numFmtId="0" fontId="33" fillId="7" borderId="23" xfId="62572" applyFont="1" applyFill="1" applyBorder="1" applyAlignment="1" applyProtection="1">
      <alignment horizontal="center" wrapText="1"/>
      <protection locked="0"/>
    </xf>
    <xf numFmtId="0" fontId="33" fillId="0" borderId="23" xfId="62572" applyFont="1" applyFill="1" applyBorder="1" applyAlignment="1" applyProtection="1">
      <alignment horizontal="center" wrapText="1"/>
      <protection locked="0"/>
    </xf>
    <xf numFmtId="0" fontId="83" fillId="0" borderId="23" xfId="62578" applyFont="1" applyFill="1" applyBorder="1" applyAlignment="1">
      <alignment horizontal="center" wrapText="1"/>
    </xf>
    <xf numFmtId="0" fontId="83" fillId="5" borderId="23" xfId="62578" applyFont="1" applyFill="1" applyBorder="1" applyAlignment="1">
      <alignment horizontal="center" wrapText="1"/>
    </xf>
    <xf numFmtId="0" fontId="33" fillId="7" borderId="23" xfId="62574" quotePrefix="1" applyFont="1" applyFill="1" applyBorder="1" applyAlignment="1" applyProtection="1">
      <alignment horizontal="center" wrapText="1"/>
      <protection locked="0"/>
    </xf>
    <xf numFmtId="0" fontId="102" fillId="11" borderId="22" xfId="57" applyFont="1" applyFill="1" applyBorder="1"/>
    <xf numFmtId="0" fontId="101" fillId="11" borderId="35" xfId="57" applyFont="1" applyFill="1" applyBorder="1"/>
    <xf numFmtId="42" fontId="101" fillId="11" borderId="22" xfId="57" applyNumberFormat="1" applyFont="1" applyFill="1" applyBorder="1" applyAlignment="1">
      <alignment horizontal="right"/>
    </xf>
    <xf numFmtId="42" fontId="102" fillId="0" borderId="35" xfId="62578" applyNumberFormat="1" applyFont="1" applyFill="1" applyBorder="1"/>
    <xf numFmtId="42" fontId="98" fillId="0" borderId="19" xfId="57" applyNumberFormat="1" applyFont="1" applyFill="1" applyBorder="1" applyAlignment="1">
      <alignment horizontal="right"/>
    </xf>
    <xf numFmtId="42" fontId="98" fillId="0" borderId="22" xfId="57" applyNumberFormat="1" applyFont="1" applyFill="1" applyBorder="1" applyAlignment="1">
      <alignment horizontal="right"/>
    </xf>
    <xf numFmtId="42" fontId="98" fillId="0" borderId="35" xfId="57" applyNumberFormat="1" applyFont="1" applyFill="1" applyBorder="1" applyAlignment="1">
      <alignment horizontal="right"/>
    </xf>
    <xf numFmtId="42" fontId="2" fillId="0" borderId="0" xfId="62577" applyNumberFormat="1"/>
    <xf numFmtId="39" fontId="2" fillId="0" borderId="0" xfId="62577" applyNumberFormat="1"/>
    <xf numFmtId="0" fontId="101" fillId="11" borderId="190" xfId="57" applyFont="1" applyFill="1" applyBorder="1"/>
    <xf numFmtId="0" fontId="102" fillId="7" borderId="0" xfId="62577" applyFont="1" applyFill="1"/>
    <xf numFmtId="0" fontId="32" fillId="7" borderId="48" xfId="62579" applyFont="1" applyFill="1" applyBorder="1" applyProtection="1">
      <alignment horizontal="left" vertical="center" indent="1"/>
      <protection locked="0"/>
    </xf>
    <xf numFmtId="0" fontId="32" fillId="7" borderId="1" xfId="62579" applyFont="1" applyFill="1" applyBorder="1" applyProtection="1">
      <alignment horizontal="left" vertical="center" indent="1"/>
      <protection locked="0"/>
    </xf>
    <xf numFmtId="42" fontId="102" fillId="7" borderId="41" xfId="62577" applyNumberFormat="1" applyFont="1" applyFill="1" applyBorder="1"/>
    <xf numFmtId="42" fontId="102" fillId="7" borderId="43" xfId="62577" applyNumberFormat="1" applyFont="1" applyFill="1" applyBorder="1"/>
    <xf numFmtId="42" fontId="102" fillId="7" borderId="42" xfId="62577" applyNumberFormat="1" applyFont="1" applyFill="1" applyBorder="1"/>
    <xf numFmtId="0" fontId="2" fillId="0" borderId="0" xfId="62577" applyFont="1"/>
    <xf numFmtId="42" fontId="0" fillId="0" borderId="0" xfId="62577" applyNumberFormat="1" applyFont="1"/>
    <xf numFmtId="0" fontId="33" fillId="11" borderId="0" xfId="57" applyFont="1" applyFill="1" applyAlignment="1">
      <alignment horizontal="left" vertical="center" wrapText="1"/>
    </xf>
    <xf numFmtId="0" fontId="32" fillId="11" borderId="0" xfId="57" applyFont="1" applyFill="1" applyAlignment="1">
      <alignment horizontal="left" vertical="center" wrapText="1"/>
    </xf>
    <xf numFmtId="0" fontId="33" fillId="11" borderId="0" xfId="57" quotePrefix="1" applyFont="1" applyFill="1" applyAlignment="1">
      <alignment horizontal="left" vertical="center" wrapText="1"/>
    </xf>
    <xf numFmtId="0" fontId="32" fillId="11" borderId="0" xfId="57" applyFont="1" applyFill="1" applyAlignment="1">
      <alignment horizontal="left" vertical="top" wrapText="1"/>
    </xf>
    <xf numFmtId="0" fontId="32" fillId="11" borderId="0" xfId="57" applyFont="1" applyFill="1" applyAlignment="1">
      <alignment vertical="top"/>
    </xf>
    <xf numFmtId="0" fontId="32" fillId="11" borderId="0" xfId="57" applyFont="1" applyFill="1" applyAlignment="1">
      <alignment horizontal="center" vertical="top" wrapText="1"/>
    </xf>
    <xf numFmtId="0" fontId="32" fillId="0" borderId="0" xfId="57" applyFont="1" applyFill="1" applyAlignment="1">
      <alignment horizontal="center" vertical="top" wrapText="1"/>
    </xf>
    <xf numFmtId="0" fontId="32" fillId="11" borderId="0" xfId="57" applyFont="1" applyFill="1" applyAlignment="1">
      <alignment horizontal="center" vertical="top"/>
    </xf>
    <xf numFmtId="189" fontId="101" fillId="11" borderId="0" xfId="1" applyNumberFormat="1" applyFont="1" applyFill="1" applyAlignment="1" applyProtection="1">
      <alignment vertical="top"/>
    </xf>
    <xf numFmtId="189" fontId="32" fillId="11" borderId="0" xfId="1" applyNumberFormat="1" applyFont="1" applyFill="1" applyAlignment="1">
      <alignment vertical="top"/>
    </xf>
    <xf numFmtId="0" fontId="101" fillId="11" borderId="0" xfId="57" applyFont="1" applyFill="1" applyAlignment="1">
      <alignment horizontal="center" vertical="top"/>
    </xf>
    <xf numFmtId="191" fontId="32" fillId="11" borderId="0" xfId="1" applyNumberFormat="1" applyFont="1" applyFill="1" applyBorder="1" applyAlignment="1">
      <alignment vertical="top"/>
    </xf>
    <xf numFmtId="189" fontId="32" fillId="0" borderId="0" xfId="57" applyNumberFormat="1" applyAlignment="1">
      <alignment vertical="top"/>
    </xf>
    <xf numFmtId="0" fontId="33" fillId="11" borderId="0" xfId="57" applyFont="1" applyFill="1" applyAlignment="1">
      <alignment horizontal="left" vertical="top"/>
    </xf>
    <xf numFmtId="0" fontId="147" fillId="11" borderId="0" xfId="12519" applyFont="1" applyFill="1"/>
    <xf numFmtId="0" fontId="64" fillId="0" borderId="156" xfId="57" applyFont="1" applyFill="1" applyBorder="1" applyAlignment="1">
      <alignment horizontal="left"/>
    </xf>
    <xf numFmtId="0" fontId="64" fillId="0" borderId="192" xfId="57" applyFont="1" applyFill="1" applyBorder="1" applyAlignment="1">
      <alignment horizontal="left"/>
    </xf>
    <xf numFmtId="0" fontId="64" fillId="0" borderId="197" xfId="57" applyFont="1" applyFill="1" applyBorder="1" applyAlignment="1">
      <alignment horizontal="left"/>
    </xf>
    <xf numFmtId="0" fontId="64" fillId="0" borderId="153" xfId="57" applyFont="1" applyFill="1" applyBorder="1" applyAlignment="1"/>
    <xf numFmtId="175" fontId="33" fillId="11" borderId="192" xfId="10" applyNumberFormat="1" applyFont="1" applyFill="1" applyBorder="1" applyAlignment="1" applyProtection="1">
      <alignment horizontal="left"/>
      <protection locked="0"/>
    </xf>
    <xf numFmtId="175" fontId="32" fillId="11" borderId="192" xfId="10" applyNumberFormat="1" applyFont="1" applyFill="1" applyBorder="1" applyAlignment="1" applyProtection="1">
      <protection locked="0"/>
    </xf>
    <xf numFmtId="175" fontId="32" fillId="11" borderId="197" xfId="10" applyNumberFormat="1" applyFont="1" applyFill="1" applyBorder="1" applyAlignment="1" applyProtection="1">
      <protection locked="0"/>
    </xf>
    <xf numFmtId="0" fontId="32" fillId="11" borderId="153" xfId="57" applyFont="1" applyFill="1" applyBorder="1" applyAlignment="1">
      <alignment horizontal="left"/>
    </xf>
    <xf numFmtId="0" fontId="0" fillId="11" borderId="153" xfId="57" applyFont="1" applyFill="1" applyBorder="1" applyAlignment="1">
      <alignment horizontal="left" vertical="top" wrapText="1"/>
    </xf>
    <xf numFmtId="0" fontId="102" fillId="11" borderId="153" xfId="57" applyFont="1" applyFill="1" applyBorder="1" applyAlignment="1">
      <alignment horizontal="left" vertical="top" wrapText="1"/>
    </xf>
    <xf numFmtId="0" fontId="33" fillId="11" borderId="197" xfId="11" applyFont="1" applyFill="1" applyBorder="1" applyAlignment="1">
      <alignment horizontal="left" vertical="top"/>
    </xf>
    <xf numFmtId="0" fontId="102" fillId="0" borderId="0" xfId="57" applyFont="1" applyFill="1" applyAlignment="1">
      <alignment vertical="top"/>
    </xf>
    <xf numFmtId="0" fontId="32" fillId="11" borderId="197" xfId="11" applyFont="1" applyFill="1" applyBorder="1" applyAlignment="1">
      <alignment horizontal="left" vertical="top"/>
    </xf>
    <xf numFmtId="175" fontId="32" fillId="11" borderId="156" xfId="10" applyNumberFormat="1" applyFont="1" applyFill="1" applyBorder="1" applyAlignment="1" applyProtection="1">
      <alignment horizontal="center" vertical="top"/>
      <protection locked="0"/>
    </xf>
    <xf numFmtId="37" fontId="206" fillId="11" borderId="153" xfId="57" applyNumberFormat="1" applyFont="1" applyFill="1" applyBorder="1" applyAlignment="1">
      <alignment vertical="top" wrapText="1"/>
    </xf>
    <xf numFmtId="37" fontId="207" fillId="11" borderId="153" xfId="57" applyNumberFormat="1" applyFont="1" applyFill="1" applyBorder="1" applyAlignment="1">
      <alignment vertical="top" wrapText="1"/>
    </xf>
    <xf numFmtId="175" fontId="33" fillId="11" borderId="156" xfId="10" applyNumberFormat="1" applyFont="1" applyFill="1" applyBorder="1" applyAlignment="1" applyProtection="1">
      <alignment horizontal="left" vertical="top"/>
      <protection locked="0"/>
    </xf>
    <xf numFmtId="0" fontId="32" fillId="0" borderId="192" xfId="57" applyFont="1" applyFill="1" applyBorder="1" applyAlignment="1">
      <alignment vertical="top"/>
    </xf>
    <xf numFmtId="175" fontId="32" fillId="0" borderId="192" xfId="10" applyNumberFormat="1" applyFont="1" applyFill="1" applyBorder="1" applyAlignment="1" applyProtection="1">
      <alignment horizontal="left" vertical="top"/>
      <protection locked="0"/>
    </xf>
    <xf numFmtId="175" fontId="32" fillId="0" borderId="197" xfId="10" applyNumberFormat="1" applyFont="1" applyFill="1" applyBorder="1" applyAlignment="1" applyProtection="1">
      <alignment horizontal="left" vertical="top"/>
      <protection locked="0"/>
    </xf>
    <xf numFmtId="0" fontId="33" fillId="0" borderId="192" xfId="57" applyFont="1" applyFill="1" applyBorder="1" applyAlignment="1">
      <alignment vertical="top"/>
    </xf>
    <xf numFmtId="0" fontId="32" fillId="0" borderId="197" xfId="57" applyFont="1" applyFill="1" applyBorder="1" applyAlignment="1">
      <alignment vertical="top"/>
    </xf>
    <xf numFmtId="0" fontId="33" fillId="0" borderId="193" xfId="57" applyFont="1" applyFill="1" applyBorder="1" applyAlignment="1">
      <alignment vertical="top"/>
    </xf>
    <xf numFmtId="0" fontId="55" fillId="0" borderId="0" xfId="57" applyFont="1" applyFill="1" applyBorder="1" applyAlignment="1">
      <alignment horizontal="left" vertical="top" wrapText="1"/>
    </xf>
    <xf numFmtId="0" fontId="64" fillId="0" borderId="0" xfId="57" applyFont="1" applyFill="1" applyBorder="1" applyAlignment="1">
      <alignment vertical="top" wrapText="1"/>
    </xf>
    <xf numFmtId="37" fontId="32" fillId="0" borderId="0" xfId="57" applyNumberFormat="1" applyFont="1" applyFill="1" applyBorder="1" applyAlignment="1">
      <alignment vertical="top" wrapText="1"/>
    </xf>
    <xf numFmtId="37" fontId="32" fillId="0" borderId="0" xfId="57" applyNumberFormat="1" applyFont="1" applyFill="1" applyBorder="1" applyAlignment="1">
      <alignment horizontal="center" vertical="top" wrapText="1"/>
    </xf>
    <xf numFmtId="0" fontId="32" fillId="0" borderId="0" xfId="57" applyFont="1" applyFill="1" applyBorder="1" applyAlignment="1">
      <alignment horizontal="center" vertical="top" wrapText="1"/>
    </xf>
    <xf numFmtId="0" fontId="55" fillId="0" borderId="0" xfId="57" applyFont="1" applyFill="1" applyBorder="1" applyAlignment="1">
      <alignment vertical="top" wrapText="1"/>
    </xf>
    <xf numFmtId="0" fontId="33" fillId="0" borderId="195" xfId="57" applyFont="1" applyFill="1" applyBorder="1" applyAlignment="1">
      <alignment vertical="top"/>
    </xf>
    <xf numFmtId="0" fontId="32" fillId="0" borderId="143" xfId="57" applyFont="1" applyFill="1" applyBorder="1" applyAlignment="1">
      <alignment vertical="top" wrapText="1"/>
    </xf>
    <xf numFmtId="37" fontId="32" fillId="0" borderId="143" xfId="57" applyNumberFormat="1" applyFont="1" applyFill="1" applyBorder="1" applyAlignment="1">
      <alignment vertical="top" wrapText="1"/>
    </xf>
    <xf numFmtId="37" fontId="32" fillId="0" borderId="143" xfId="57" applyNumberFormat="1" applyFont="1" applyFill="1" applyBorder="1" applyAlignment="1">
      <alignment horizontal="center" vertical="top" wrapText="1"/>
    </xf>
    <xf numFmtId="0" fontId="32" fillId="0" borderId="198" xfId="57" applyFont="1" applyFill="1" applyBorder="1" applyAlignment="1">
      <alignment horizontal="center" vertical="top" wrapText="1"/>
    </xf>
    <xf numFmtId="0" fontId="32" fillId="0" borderId="196" xfId="57" applyFont="1" applyFill="1" applyBorder="1" applyAlignment="1">
      <alignment horizontal="left" vertical="top"/>
    </xf>
    <xf numFmtId="0" fontId="32" fillId="0" borderId="0" xfId="57" applyFont="1" applyFill="1" applyBorder="1" applyAlignment="1">
      <alignment horizontal="left" vertical="top" wrapText="1"/>
    </xf>
    <xf numFmtId="0" fontId="32" fillId="0" borderId="17" xfId="57" applyFont="1" applyFill="1" applyBorder="1" applyAlignment="1">
      <alignment horizontal="left" vertical="top" wrapText="1"/>
    </xf>
    <xf numFmtId="37" fontId="55" fillId="0" borderId="0" xfId="57" applyNumberFormat="1" applyFont="1" applyFill="1" applyBorder="1" applyAlignment="1">
      <alignment vertical="top" wrapText="1"/>
    </xf>
    <xf numFmtId="0" fontId="32" fillId="0" borderId="17" xfId="57" applyFont="1" applyFill="1" applyBorder="1" applyAlignment="1">
      <alignment horizontal="center" vertical="top" wrapText="1"/>
    </xf>
    <xf numFmtId="0" fontId="105" fillId="0" borderId="0" xfId="57" applyFont="1" applyFill="1" applyBorder="1" applyAlignment="1">
      <alignment horizontal="center" vertical="top" wrapText="1"/>
    </xf>
    <xf numFmtId="0" fontId="51" fillId="0" borderId="0" xfId="57" applyFont="1" applyFill="1" applyBorder="1" applyAlignment="1">
      <alignment horizontal="center" vertical="top" wrapText="1"/>
    </xf>
    <xf numFmtId="0" fontId="33" fillId="0" borderId="0" xfId="57" applyFont="1" applyFill="1" applyBorder="1" applyAlignment="1">
      <alignment horizontal="center" vertical="top" wrapText="1"/>
    </xf>
    <xf numFmtId="0" fontId="43" fillId="0" borderId="0" xfId="57" applyFont="1" applyFill="1" applyBorder="1" applyAlignment="1">
      <alignment vertical="top"/>
    </xf>
    <xf numFmtId="0" fontId="35" fillId="0" borderId="0" xfId="57" applyFont="1" applyFill="1" applyBorder="1" applyAlignment="1">
      <alignment vertical="top" wrapText="1"/>
    </xf>
    <xf numFmtId="0" fontId="102" fillId="0" borderId="0" xfId="57" applyFont="1" applyFill="1" applyBorder="1" applyAlignment="1">
      <alignment vertical="top" wrapText="1"/>
    </xf>
    <xf numFmtId="0" fontId="50" fillId="0" borderId="0" xfId="57" applyFont="1" applyFill="1" applyBorder="1" applyAlignment="1">
      <alignment horizontal="left" vertical="top"/>
    </xf>
    <xf numFmtId="0" fontId="50" fillId="0" borderId="0" xfId="57" applyFont="1" applyFill="1" applyBorder="1" applyAlignment="1">
      <alignment horizontal="center" vertical="top" wrapText="1"/>
    </xf>
    <xf numFmtId="0" fontId="64" fillId="0" borderId="0" xfId="57" applyFont="1" applyFill="1" applyAlignment="1">
      <alignment horizontal="left" vertical="top"/>
    </xf>
    <xf numFmtId="0" fontId="50" fillId="0" borderId="0" xfId="57" applyFont="1" applyFill="1" applyBorder="1" applyAlignment="1">
      <alignment horizontal="center" vertical="top"/>
    </xf>
    <xf numFmtId="0" fontId="102" fillId="0" borderId="0" xfId="57" applyFont="1" applyFill="1" applyBorder="1" applyAlignment="1">
      <alignment horizontal="left" vertical="top"/>
    </xf>
    <xf numFmtId="0" fontId="159" fillId="0" borderId="0" xfId="57" applyFont="1" applyFill="1" applyAlignment="1">
      <alignment horizontal="center" vertical="top" wrapText="1"/>
    </xf>
    <xf numFmtId="0" fontId="101" fillId="0" borderId="0" xfId="57" applyFont="1" applyFill="1" applyAlignment="1">
      <alignment vertical="top"/>
    </xf>
    <xf numFmtId="0" fontId="102" fillId="0" borderId="0" xfId="57" applyFont="1" applyFill="1" applyAlignment="1">
      <alignment vertical="top" wrapText="1"/>
    </xf>
    <xf numFmtId="0" fontId="33" fillId="0" borderId="0" xfId="57" applyFont="1" applyFill="1" applyAlignment="1">
      <alignment horizontal="center" vertical="top" wrapText="1"/>
    </xf>
    <xf numFmtId="0" fontId="33" fillId="0" borderId="0" xfId="57" applyFont="1" applyFill="1" applyBorder="1" applyAlignment="1">
      <alignment vertical="top" wrapText="1"/>
    </xf>
    <xf numFmtId="0" fontId="33" fillId="0" borderId="156" xfId="11" applyFont="1" applyFill="1" applyBorder="1" applyAlignment="1">
      <alignment horizontal="left" vertical="top"/>
    </xf>
    <xf numFmtId="0" fontId="33" fillId="0" borderId="192" xfId="11" applyFont="1" applyFill="1" applyBorder="1" applyAlignment="1">
      <alignment horizontal="left" vertical="top"/>
    </xf>
    <xf numFmtId="0" fontId="33" fillId="0" borderId="192" xfId="11" applyFont="1" applyFill="1" applyBorder="1" applyAlignment="1">
      <alignment horizontal="left" vertical="top" wrapText="1"/>
    </xf>
    <xf numFmtId="0" fontId="33" fillId="0" borderId="153" xfId="11" applyFont="1" applyFill="1" applyBorder="1" applyAlignment="1">
      <alignment vertical="top" wrapText="1"/>
    </xf>
    <xf numFmtId="37" fontId="102" fillId="0" borderId="153" xfId="57" applyNumberFormat="1" applyFont="1" applyFill="1" applyBorder="1" applyAlignment="1">
      <alignment vertical="top" wrapText="1"/>
    </xf>
    <xf numFmtId="0" fontId="33" fillId="0" borderId="153" xfId="57" applyFont="1" applyFill="1" applyBorder="1" applyAlignment="1">
      <alignment vertical="top" wrapText="1"/>
    </xf>
    <xf numFmtId="0" fontId="33" fillId="11" borderId="192" xfId="11" applyFont="1" applyFill="1" applyBorder="1" applyAlignment="1">
      <alignment horizontal="left" vertical="top"/>
    </xf>
    <xf numFmtId="0" fontId="33" fillId="11" borderId="192" xfId="11" applyFont="1" applyFill="1" applyBorder="1" applyAlignment="1">
      <alignment horizontal="left" vertical="top" wrapText="1"/>
    </xf>
    <xf numFmtId="0" fontId="33" fillId="11" borderId="153" xfId="11" applyFont="1" applyFill="1" applyBorder="1" applyAlignment="1">
      <alignment vertical="top" wrapText="1"/>
    </xf>
    <xf numFmtId="37" fontId="32" fillId="11" borderId="153" xfId="57" applyNumberFormat="1" applyFont="1" applyFill="1" applyBorder="1" applyAlignment="1">
      <alignment vertical="top" wrapText="1"/>
    </xf>
    <xf numFmtId="175" fontId="32" fillId="11" borderId="156" xfId="10" applyNumberFormat="1" applyFont="1" applyFill="1" applyBorder="1" applyAlignment="1" applyProtection="1">
      <alignment horizontal="left" vertical="top"/>
      <protection locked="0"/>
    </xf>
    <xf numFmtId="0" fontId="32" fillId="0" borderId="192" xfId="57" applyFont="1" applyFill="1" applyBorder="1" applyAlignment="1">
      <alignment horizontal="center" vertical="top"/>
    </xf>
    <xf numFmtId="0" fontId="32" fillId="0" borderId="197" xfId="57" applyFont="1" applyFill="1" applyBorder="1" applyAlignment="1">
      <alignment horizontal="center" vertical="top"/>
    </xf>
    <xf numFmtId="37" fontId="102" fillId="0" borderId="153" xfId="57" applyNumberFormat="1" applyFont="1" applyFill="1" applyBorder="1" applyAlignment="1">
      <alignment vertical="top"/>
    </xf>
    <xf numFmtId="0" fontId="64" fillId="0" borderId="0" xfId="57" applyFont="1" applyFill="1" applyBorder="1" applyAlignment="1">
      <alignment vertical="top"/>
    </xf>
    <xf numFmtId="0" fontId="32" fillId="0" borderId="0" xfId="57" applyFont="1" applyFill="1" applyBorder="1" applyAlignment="1">
      <alignment horizontal="left" vertical="top"/>
    </xf>
    <xf numFmtId="0" fontId="32" fillId="0" borderId="143" xfId="57" applyFont="1" applyFill="1" applyBorder="1" applyAlignment="1">
      <alignment horizontal="center" vertical="top"/>
    </xf>
    <xf numFmtId="0" fontId="32" fillId="0" borderId="198" xfId="57" applyFont="1" applyFill="1" applyBorder="1" applyAlignment="1">
      <alignment horizontal="center" vertical="top"/>
    </xf>
    <xf numFmtId="0" fontId="32" fillId="0" borderId="0" xfId="57" applyFont="1" applyFill="1" applyBorder="1" applyAlignment="1">
      <alignment horizontal="center" vertical="top"/>
    </xf>
    <xf numFmtId="0" fontId="32" fillId="0" borderId="17" xfId="57" applyFont="1" applyFill="1" applyBorder="1" applyAlignment="1">
      <alignment horizontal="center" vertical="top"/>
    </xf>
    <xf numFmtId="0" fontId="102" fillId="0" borderId="0" xfId="57" applyFont="1" applyFill="1" applyBorder="1" applyAlignment="1">
      <alignment vertical="top"/>
    </xf>
    <xf numFmtId="0" fontId="43" fillId="0" borderId="0" xfId="57" applyFont="1" applyFill="1" applyBorder="1" applyAlignment="1">
      <alignment horizontal="left" vertical="top" wrapText="1"/>
    </xf>
    <xf numFmtId="0" fontId="105" fillId="0" borderId="0" xfId="57" applyFont="1" applyFill="1" applyBorder="1" applyAlignment="1">
      <alignment horizontal="left" vertical="top"/>
    </xf>
    <xf numFmtId="0" fontId="64" fillId="0" borderId="0" xfId="57" applyFont="1" applyFill="1" applyAlignment="1">
      <alignment horizontal="center" vertical="top"/>
    </xf>
    <xf numFmtId="0" fontId="64" fillId="0" borderId="156" xfId="11" applyFont="1" applyFill="1" applyBorder="1" applyAlignment="1">
      <alignment horizontal="left" vertical="top"/>
    </xf>
    <xf numFmtId="0" fontId="64" fillId="0" borderId="192" xfId="11" applyFont="1" applyFill="1" applyBorder="1" applyAlignment="1">
      <alignment horizontal="left" vertical="top"/>
    </xf>
    <xf numFmtId="0" fontId="64" fillId="0" borderId="192" xfId="11" applyFont="1" applyFill="1" applyBorder="1" applyAlignment="1">
      <alignment horizontal="left" vertical="top" wrapText="1"/>
    </xf>
    <xf numFmtId="0" fontId="64" fillId="0" borderId="197" xfId="11" applyFont="1" applyFill="1" applyBorder="1" applyAlignment="1">
      <alignment horizontal="left" vertical="top" wrapText="1"/>
    </xf>
    <xf numFmtId="0" fontId="74" fillId="0" borderId="153" xfId="11" applyFont="1" applyFill="1" applyBorder="1" applyAlignment="1">
      <alignment vertical="top" wrapText="1"/>
    </xf>
    <xf numFmtId="0" fontId="64" fillId="0" borderId="153" xfId="57" applyFont="1" applyFill="1" applyBorder="1" applyAlignment="1">
      <alignment vertical="top" wrapText="1"/>
    </xf>
    <xf numFmtId="0" fontId="33" fillId="0" borderId="197" xfId="57" applyFont="1" applyFill="1" applyBorder="1" applyAlignment="1">
      <alignment vertical="top"/>
    </xf>
    <xf numFmtId="0" fontId="33" fillId="0" borderId="194" xfId="57" applyFont="1" applyFill="1" applyBorder="1" applyAlignment="1">
      <alignment vertical="top"/>
    </xf>
    <xf numFmtId="0" fontId="33" fillId="0" borderId="198" xfId="57" applyFont="1" applyFill="1" applyBorder="1" applyAlignment="1">
      <alignment vertical="top"/>
    </xf>
    <xf numFmtId="0" fontId="32" fillId="0" borderId="198" xfId="57" applyFont="1" applyFill="1" applyBorder="1" applyAlignment="1">
      <alignment vertical="top"/>
    </xf>
    <xf numFmtId="0" fontId="55" fillId="0" borderId="0" xfId="57" applyFont="1" applyFill="1" applyBorder="1" applyAlignment="1">
      <alignment horizontal="left" vertical="top"/>
    </xf>
    <xf numFmtId="38" fontId="32" fillId="0" borderId="0" xfId="57" applyNumberFormat="1" applyFont="1" applyFill="1" applyBorder="1" applyAlignment="1">
      <alignment vertical="top"/>
    </xf>
    <xf numFmtId="38" fontId="32" fillId="0" borderId="0" xfId="57" applyNumberFormat="1" applyFont="1" applyFill="1" applyBorder="1" applyAlignment="1">
      <alignment horizontal="center" vertical="top"/>
    </xf>
    <xf numFmtId="0" fontId="32" fillId="0" borderId="196" xfId="57" applyFont="1" applyFill="1" applyBorder="1" applyAlignment="1">
      <alignment horizontal="left" vertical="top" wrapText="1"/>
    </xf>
    <xf numFmtId="0" fontId="55" fillId="0" borderId="0" xfId="57" applyFont="1" applyFill="1" applyBorder="1" applyAlignment="1">
      <alignment vertical="top"/>
    </xf>
    <xf numFmtId="0" fontId="64" fillId="0" borderId="0" xfId="57" applyFont="1" applyFill="1" applyBorder="1" applyAlignment="1">
      <alignment horizontal="left" vertical="top"/>
    </xf>
    <xf numFmtId="0" fontId="106" fillId="0" borderId="0" xfId="57" applyFont="1" applyFill="1" applyBorder="1" applyAlignment="1">
      <alignment horizontal="center" vertical="top"/>
    </xf>
    <xf numFmtId="0" fontId="55" fillId="0" borderId="0" xfId="57" applyFont="1" applyFill="1" applyBorder="1" applyAlignment="1">
      <alignment horizontal="center" vertical="top"/>
    </xf>
    <xf numFmtId="0" fontId="105" fillId="0" borderId="0" xfId="57" applyFont="1" applyFill="1" applyBorder="1" applyAlignment="1">
      <alignment horizontal="center" vertical="top"/>
    </xf>
    <xf numFmtId="0" fontId="51" fillId="0" borderId="0" xfId="57" applyFont="1" applyFill="1" applyBorder="1" applyAlignment="1">
      <alignment horizontal="center" vertical="top"/>
    </xf>
    <xf numFmtId="0" fontId="50" fillId="0" borderId="0" xfId="57" applyFont="1" applyFill="1" applyBorder="1" applyAlignment="1">
      <alignment vertical="top"/>
    </xf>
    <xf numFmtId="0" fontId="55" fillId="0" borderId="0" xfId="57" applyFont="1" applyFill="1" applyAlignment="1">
      <alignment vertical="top"/>
    </xf>
    <xf numFmtId="0" fontId="64" fillId="0" borderId="197" xfId="11" applyFont="1" applyFill="1" applyBorder="1" applyAlignment="1">
      <alignment horizontal="left" vertical="top"/>
    </xf>
    <xf numFmtId="38" fontId="32" fillId="0" borderId="153" xfId="57" applyNumberFormat="1" applyFont="1" applyFill="1" applyBorder="1" applyAlignment="1">
      <alignment vertical="top"/>
    </xf>
    <xf numFmtId="0" fontId="1" fillId="0" borderId="0" xfId="62582" applyAlignment="1">
      <alignment vertical="top"/>
    </xf>
    <xf numFmtId="38" fontId="32" fillId="11" borderId="153" xfId="57" applyNumberFormat="1" applyFont="1" applyFill="1" applyBorder="1" applyAlignment="1">
      <alignment vertical="top"/>
    </xf>
    <xf numFmtId="183" fontId="32" fillId="11" borderId="192" xfId="11" applyNumberFormat="1" applyFont="1" applyFill="1" applyBorder="1" applyAlignment="1">
      <alignment horizontal="center" vertical="top"/>
    </xf>
    <xf numFmtId="0" fontId="32" fillId="11" borderId="192" xfId="11" applyFont="1" applyFill="1" applyBorder="1" applyAlignment="1">
      <alignment horizontal="left" vertical="top"/>
    </xf>
    <xf numFmtId="0" fontId="32" fillId="0" borderId="197" xfId="57" applyFont="1" applyFill="1" applyBorder="1" applyAlignment="1">
      <alignment horizontal="left" vertical="top"/>
    </xf>
    <xf numFmtId="0" fontId="33" fillId="0" borderId="0" xfId="57" applyFont="1" applyFill="1" applyBorder="1" applyAlignment="1">
      <alignment vertical="top"/>
    </xf>
    <xf numFmtId="37" fontId="32" fillId="0" borderId="0" xfId="57" applyNumberFormat="1" applyFont="1" applyFill="1" applyBorder="1" applyAlignment="1">
      <alignment vertical="top"/>
    </xf>
    <xf numFmtId="0" fontId="32" fillId="0" borderId="196" xfId="57" applyFont="1" applyFill="1" applyBorder="1" applyAlignment="1">
      <alignment vertical="top" wrapText="1"/>
    </xf>
    <xf numFmtId="0" fontId="32" fillId="0" borderId="17" xfId="57" applyFont="1" applyFill="1" applyBorder="1" applyAlignment="1">
      <alignment vertical="top" wrapText="1"/>
    </xf>
    <xf numFmtId="0" fontId="107" fillId="0" borderId="0" xfId="57" applyFont="1" applyFill="1" applyBorder="1" applyAlignment="1">
      <alignment vertical="top" wrapText="1"/>
    </xf>
    <xf numFmtId="0" fontId="32" fillId="0" borderId="0" xfId="57" applyFill="1" applyBorder="1" applyAlignment="1">
      <alignment vertical="top"/>
    </xf>
    <xf numFmtId="0" fontId="0" fillId="0" borderId="22" xfId="0" applyBorder="1" applyAlignment="1">
      <alignment horizontal="left"/>
    </xf>
    <xf numFmtId="0" fontId="147" fillId="0" borderId="0" xfId="52847" applyFont="1" applyFill="1"/>
    <xf numFmtId="43" fontId="132" fillId="0" borderId="0" xfId="52845" applyFont="1" applyBorder="1" applyAlignment="1"/>
    <xf numFmtId="164" fontId="132" fillId="0" borderId="7" xfId="52845" applyNumberFormat="1" applyFont="1" applyFill="1" applyBorder="1" applyAlignment="1">
      <alignment horizontal="center"/>
    </xf>
    <xf numFmtId="0" fontId="132" fillId="0" borderId="14" xfId="52844" applyFont="1" applyFill="1" applyBorder="1"/>
    <xf numFmtId="43" fontId="134" fillId="11" borderId="10" xfId="52845" applyFont="1" applyFill="1" applyBorder="1"/>
    <xf numFmtId="43" fontId="134" fillId="11" borderId="11" xfId="52845" applyFont="1" applyFill="1" applyBorder="1"/>
    <xf numFmtId="43" fontId="134" fillId="11" borderId="12" xfId="52845" applyFont="1" applyFill="1" applyBorder="1"/>
    <xf numFmtId="43" fontId="134" fillId="11" borderId="7" xfId="52845" applyFont="1" applyFill="1" applyBorder="1"/>
    <xf numFmtId="43" fontId="134" fillId="11" borderId="9" xfId="52845" applyFont="1" applyFill="1" applyBorder="1"/>
    <xf numFmtId="186" fontId="132" fillId="0" borderId="14" xfId="52845" applyNumberFormat="1" applyFont="1" applyFill="1" applyBorder="1"/>
    <xf numFmtId="186" fontId="132" fillId="0" borderId="15" xfId="52845" applyNumberFormat="1" applyFont="1" applyFill="1" applyBorder="1"/>
    <xf numFmtId="43" fontId="132" fillId="0" borderId="23" xfId="52845" applyNumberFormat="1" applyFont="1" applyFill="1" applyBorder="1"/>
    <xf numFmtId="0" fontId="134" fillId="11" borderId="10" xfId="698" applyFont="1" applyFill="1" applyBorder="1" applyAlignment="1">
      <alignment horizontal="center" wrapText="1"/>
    </xf>
    <xf numFmtId="0" fontId="134" fillId="11" borderId="11" xfId="698" applyFont="1" applyFill="1" applyBorder="1" applyAlignment="1">
      <alignment horizontal="center" wrapText="1"/>
    </xf>
    <xf numFmtId="0" fontId="134" fillId="11" borderId="8" xfId="698" applyFont="1" applyFill="1" applyBorder="1" applyAlignment="1">
      <alignment horizontal="center" wrapText="1"/>
    </xf>
    <xf numFmtId="0" fontId="134" fillId="11" borderId="0" xfId="698" applyFont="1" applyFill="1" applyBorder="1" applyAlignment="1">
      <alignment horizontal="center" wrapText="1"/>
    </xf>
    <xf numFmtId="164" fontId="134" fillId="11" borderId="10" xfId="52845" applyNumberFormat="1" applyFont="1" applyFill="1" applyBorder="1"/>
    <xf numFmtId="164" fontId="134" fillId="11" borderId="11" xfId="52845" applyNumberFormat="1" applyFont="1" applyFill="1" applyBorder="1"/>
    <xf numFmtId="164" fontId="134" fillId="11" borderId="12" xfId="52845" applyNumberFormat="1" applyFont="1" applyFill="1" applyBorder="1"/>
    <xf numFmtId="164" fontId="134" fillId="11" borderId="10" xfId="52846" applyNumberFormat="1" applyFont="1" applyFill="1" applyBorder="1"/>
    <xf numFmtId="164" fontId="134" fillId="11" borderId="11" xfId="52846" applyNumberFormat="1" applyFont="1" applyFill="1" applyBorder="1"/>
    <xf numFmtId="164" fontId="134" fillId="11" borderId="12" xfId="52846" applyNumberFormat="1" applyFont="1" applyFill="1" applyBorder="1"/>
    <xf numFmtId="164" fontId="134" fillId="11" borderId="7" xfId="52846" applyNumberFormat="1" applyFont="1" applyFill="1" applyBorder="1"/>
    <xf numFmtId="164" fontId="134" fillId="11" borderId="24" xfId="52846" applyNumberFormat="1" applyFont="1" applyFill="1" applyBorder="1"/>
    <xf numFmtId="164" fontId="134" fillId="11" borderId="1" xfId="52846" applyNumberFormat="1" applyFont="1" applyFill="1" applyBorder="1"/>
    <xf numFmtId="164" fontId="134" fillId="11" borderId="9" xfId="52846" applyNumberFormat="1" applyFont="1" applyFill="1" applyBorder="1"/>
    <xf numFmtId="164" fontId="134" fillId="11" borderId="9" xfId="52846" applyNumberFormat="1" applyFont="1" applyFill="1" applyBorder="1" applyAlignment="1">
      <alignment horizontal="center" vertical="center"/>
    </xf>
    <xf numFmtId="37" fontId="101" fillId="11" borderId="194" xfId="8059" applyNumberFormat="1" applyFont="1" applyFill="1" applyBorder="1" applyAlignment="1">
      <alignment horizontal="right"/>
    </xf>
    <xf numFmtId="37" fontId="101" fillId="11" borderId="193" xfId="8059" applyNumberFormat="1" applyFont="1" applyFill="1" applyBorder="1" applyAlignment="1">
      <alignment horizontal="right"/>
    </xf>
    <xf numFmtId="0" fontId="33" fillId="0" borderId="0" xfId="8059" applyFont="1" applyFill="1"/>
    <xf numFmtId="0" fontId="245" fillId="0" borderId="0" xfId="8059" applyFont="1"/>
    <xf numFmtId="0" fontId="11" fillId="0" borderId="0" xfId="8059" applyFill="1"/>
    <xf numFmtId="0" fontId="51" fillId="0" borderId="0" xfId="37" applyFont="1" applyFill="1" applyBorder="1" applyAlignment="1"/>
    <xf numFmtId="0" fontId="244" fillId="0" borderId="0" xfId="0" applyFont="1" applyFill="1"/>
    <xf numFmtId="0" fontId="156" fillId="11" borderId="4" xfId="0" applyFont="1" applyFill="1" applyBorder="1"/>
    <xf numFmtId="0" fontId="156" fillId="11" borderId="4" xfId="0" applyFont="1" applyFill="1" applyBorder="1" applyAlignment="1">
      <alignment horizontal="left"/>
    </xf>
    <xf numFmtId="0" fontId="36" fillId="11" borderId="4" xfId="0" applyFont="1" applyFill="1" applyBorder="1"/>
    <xf numFmtId="37" fontId="142" fillId="11" borderId="4" xfId="1" applyNumberFormat="1" applyFont="1" applyFill="1" applyBorder="1" applyAlignment="1"/>
    <xf numFmtId="0" fontId="36" fillId="11" borderId="49" xfId="0" applyFont="1" applyFill="1" applyBorder="1" applyAlignment="1"/>
    <xf numFmtId="38" fontId="36" fillId="0" borderId="0" xfId="0" applyNumberFormat="1" applyFont="1" applyFill="1" applyAlignment="1">
      <alignment horizontal="center"/>
    </xf>
    <xf numFmtId="38" fontId="36" fillId="0" borderId="4" xfId="0" applyNumberFormat="1" applyFont="1" applyBorder="1" applyAlignment="1"/>
    <xf numFmtId="38" fontId="32" fillId="0" borderId="0" xfId="57" applyNumberFormat="1" applyFont="1"/>
    <xf numFmtId="38" fontId="32" fillId="0" borderId="0" xfId="0" applyNumberFormat="1" applyFont="1" applyFill="1"/>
    <xf numFmtId="164" fontId="101" fillId="0" borderId="107" xfId="1" applyNumberFormat="1" applyFont="1" applyFill="1" applyBorder="1" applyAlignment="1">
      <alignment vertical="top"/>
    </xf>
    <xf numFmtId="164" fontId="101" fillId="0" borderId="124" xfId="1" applyNumberFormat="1" applyFont="1" applyFill="1" applyBorder="1" applyAlignment="1">
      <alignment vertical="top"/>
    </xf>
    <xf numFmtId="0" fontId="101" fillId="0" borderId="124" xfId="57" applyFont="1" applyFill="1" applyBorder="1"/>
    <xf numFmtId="0" fontId="34" fillId="0" borderId="0" xfId="0" applyFont="1" applyAlignment="1">
      <alignment horizontal="centerContinuous"/>
    </xf>
    <xf numFmtId="0" fontId="34" fillId="0" borderId="0" xfId="8" applyFont="1" applyFill="1" applyAlignment="1">
      <alignment horizontal="centerContinuous"/>
    </xf>
    <xf numFmtId="0" fontId="34" fillId="0" borderId="0" xfId="8" applyFont="1" applyAlignment="1">
      <alignment horizontal="centerContinuous"/>
    </xf>
    <xf numFmtId="0" fontId="36" fillId="0" borderId="0" xfId="57" applyFont="1" applyAlignment="1">
      <alignment horizontal="centerContinuous"/>
    </xf>
    <xf numFmtId="0" fontId="34" fillId="0" borderId="0" xfId="57" applyFont="1" applyAlignment="1">
      <alignment horizontal="centerContinuous" vertical="justify"/>
    </xf>
    <xf numFmtId="0" fontId="110" fillId="0" borderId="0" xfId="0" applyFont="1" applyFill="1" applyAlignment="1">
      <alignment horizontal="left" wrapText="1"/>
    </xf>
    <xf numFmtId="0" fontId="34" fillId="40" borderId="13" xfId="0" applyNumberFormat="1" applyFont="1" applyFill="1" applyBorder="1" applyAlignment="1">
      <alignment horizontal="center" vertical="center"/>
    </xf>
    <xf numFmtId="0" fontId="0" fillId="40" borderId="15" xfId="0" applyFill="1" applyBorder="1" applyAlignment="1">
      <alignment horizontal="center"/>
    </xf>
    <xf numFmtId="0" fontId="34" fillId="40" borderId="10" xfId="0" applyFont="1" applyFill="1" applyBorder="1" applyAlignment="1">
      <alignment vertical="center"/>
    </xf>
    <xf numFmtId="0" fontId="0" fillId="40" borderId="11" xfId="0" applyFill="1" applyBorder="1" applyAlignment="1"/>
    <xf numFmtId="0" fontId="0" fillId="40" borderId="12" xfId="0" applyFill="1" applyBorder="1" applyAlignment="1"/>
    <xf numFmtId="0" fontId="0" fillId="40" borderId="24" xfId="0" applyFill="1" applyBorder="1" applyAlignment="1"/>
    <xf numFmtId="0" fontId="0" fillId="40" borderId="75" xfId="0" applyFill="1" applyBorder="1" applyAlignment="1"/>
    <xf numFmtId="0" fontId="0" fillId="40" borderId="9" xfId="0" applyFill="1" applyBorder="1" applyAlignment="1"/>
    <xf numFmtId="0" fontId="48" fillId="0" borderId="0" xfId="0" quotePrefix="1" applyFont="1" applyFill="1" applyBorder="1" applyAlignment="1">
      <alignment horizontal="left" vertical="top" wrapText="1"/>
    </xf>
    <xf numFmtId="0" fontId="110" fillId="0" borderId="0" xfId="0" applyFont="1" applyFill="1" applyAlignment="1">
      <alignment horizontal="left" vertical="top"/>
    </xf>
    <xf numFmtId="0" fontId="110" fillId="0" borderId="0" xfId="0" applyFont="1" applyFill="1" applyAlignment="1">
      <alignment horizontal="left" vertical="top" wrapText="1"/>
    </xf>
    <xf numFmtId="0" fontId="32" fillId="0" borderId="21" xfId="57" applyFont="1" applyFill="1" applyBorder="1" applyAlignment="1">
      <alignment horizontal="left" wrapText="1"/>
    </xf>
    <xf numFmtId="0" fontId="32" fillId="0" borderId="4" xfId="57" applyFont="1" applyFill="1" applyBorder="1" applyAlignment="1">
      <alignment horizontal="left" wrapText="1"/>
    </xf>
    <xf numFmtId="0" fontId="32" fillId="0" borderId="19" xfId="57" applyFont="1" applyFill="1" applyBorder="1" applyAlignment="1">
      <alignment horizontal="left" wrapText="1"/>
    </xf>
    <xf numFmtId="0" fontId="32" fillId="0" borderId="18" xfId="57" applyFont="1" applyFill="1" applyBorder="1" applyAlignment="1">
      <alignment horizontal="left" wrapText="1"/>
    </xf>
    <xf numFmtId="0" fontId="32" fillId="0" borderId="0" xfId="57" applyFont="1" applyFill="1" applyBorder="1" applyAlignment="1">
      <alignment horizontal="left" wrapText="1"/>
    </xf>
    <xf numFmtId="0" fontId="32" fillId="0" borderId="17" xfId="57" applyFont="1" applyFill="1" applyBorder="1" applyAlignment="1">
      <alignment horizontal="left" wrapText="1"/>
    </xf>
    <xf numFmtId="0" fontId="32" fillId="0" borderId="156" xfId="57" applyFont="1" applyFill="1" applyBorder="1" applyAlignment="1">
      <alignment horizontal="left" vertical="top"/>
    </xf>
    <xf numFmtId="0" fontId="32" fillId="0" borderId="167" xfId="57" applyFont="1" applyFill="1" applyBorder="1" applyAlignment="1">
      <alignment horizontal="left" vertical="top"/>
    </xf>
    <xf numFmtId="0" fontId="0" fillId="0" borderId="21" xfId="57" applyFont="1" applyFill="1" applyBorder="1" applyAlignment="1">
      <alignment horizontal="left" vertical="top" wrapText="1"/>
    </xf>
    <xf numFmtId="0" fontId="32" fillId="0" borderId="4" xfId="57" applyFont="1" applyFill="1" applyBorder="1" applyAlignment="1">
      <alignment horizontal="left" vertical="top" wrapText="1"/>
    </xf>
    <xf numFmtId="0" fontId="32" fillId="0" borderId="19" xfId="57" applyFont="1" applyFill="1" applyBorder="1" applyAlignment="1">
      <alignment horizontal="left" vertical="top" wrapText="1"/>
    </xf>
    <xf numFmtId="0" fontId="32" fillId="0" borderId="21" xfId="57" applyFont="1" applyFill="1" applyBorder="1" applyAlignment="1">
      <alignment horizontal="left" vertical="top" wrapText="1"/>
    </xf>
    <xf numFmtId="0" fontId="32" fillId="0" borderId="196" xfId="57" applyFont="1" applyFill="1" applyBorder="1" applyAlignment="1">
      <alignment horizontal="left" vertical="top" wrapText="1"/>
    </xf>
    <xf numFmtId="0" fontId="32" fillId="0" borderId="0" xfId="57" applyFont="1" applyFill="1" applyBorder="1" applyAlignment="1">
      <alignment horizontal="left" vertical="top" wrapText="1"/>
    </xf>
    <xf numFmtId="0" fontId="32" fillId="0" borderId="17" xfId="57" applyFont="1" applyFill="1" applyBorder="1" applyAlignment="1">
      <alignment horizontal="left" vertical="top" wrapText="1"/>
    </xf>
    <xf numFmtId="0" fontId="32" fillId="0" borderId="192" xfId="57" applyFont="1" applyFill="1" applyBorder="1" applyAlignment="1">
      <alignment horizontal="left" vertical="top"/>
    </xf>
    <xf numFmtId="0" fontId="32" fillId="0" borderId="0" xfId="57" applyFont="1" applyBorder="1" applyAlignment="1">
      <alignment horizontal="center"/>
    </xf>
    <xf numFmtId="0" fontId="91" fillId="0" borderId="0" xfId="57" applyFont="1" applyFill="1" applyAlignment="1">
      <alignment horizontal="center"/>
    </xf>
    <xf numFmtId="0" fontId="144" fillId="37" borderId="78" xfId="37" applyFont="1" applyFill="1" applyBorder="1" applyAlignment="1"/>
    <xf numFmtId="0" fontId="144" fillId="37" borderId="79" xfId="37" applyFont="1" applyFill="1" applyBorder="1" applyAlignment="1"/>
    <xf numFmtId="0" fontId="144" fillId="37" borderId="80" xfId="37" applyFont="1" applyFill="1" applyBorder="1" applyAlignment="1"/>
    <xf numFmtId="0" fontId="144" fillId="37" borderId="78" xfId="0" applyFont="1" applyFill="1" applyBorder="1" applyAlignment="1">
      <alignment horizontal="left"/>
    </xf>
    <xf numFmtId="0" fontId="144" fillId="37" borderId="79" xfId="0" applyFont="1" applyFill="1" applyBorder="1" applyAlignment="1">
      <alignment horizontal="left"/>
    </xf>
    <xf numFmtId="0" fontId="144" fillId="37" borderId="80" xfId="0" applyFont="1" applyFill="1" applyBorder="1" applyAlignment="1">
      <alignment horizontal="left"/>
    </xf>
    <xf numFmtId="0" fontId="36" fillId="0" borderId="1" xfId="0" applyFont="1" applyFill="1" applyBorder="1" applyAlignment="1">
      <alignment horizontal="left" wrapText="1"/>
    </xf>
    <xf numFmtId="0" fontId="36" fillId="0" borderId="9" xfId="0" applyFont="1" applyFill="1" applyBorder="1" applyAlignment="1">
      <alignment horizontal="left" wrapText="1"/>
    </xf>
    <xf numFmtId="0" fontId="144" fillId="37" borderId="79" xfId="0" applyFont="1" applyFill="1" applyBorder="1" applyAlignment="1">
      <alignment wrapText="1"/>
    </xf>
    <xf numFmtId="0" fontId="144" fillId="37" borderId="80" xfId="0" applyFont="1" applyFill="1" applyBorder="1" applyAlignment="1">
      <alignment wrapText="1"/>
    </xf>
    <xf numFmtId="0" fontId="32" fillId="0" borderId="0" xfId="37" applyFont="1" applyFill="1" applyBorder="1" applyAlignment="1">
      <alignment horizontal="center"/>
    </xf>
    <xf numFmtId="0" fontId="144" fillId="37" borderId="78" xfId="0" applyFont="1" applyFill="1" applyBorder="1" applyAlignment="1"/>
    <xf numFmtId="0" fontId="144" fillId="37" borderId="79" xfId="0" applyFont="1" applyFill="1" applyBorder="1" applyAlignment="1"/>
    <xf numFmtId="0" fontId="144" fillId="37" borderId="80" xfId="0" applyFont="1" applyFill="1" applyBorder="1" applyAlignment="1"/>
    <xf numFmtId="0" fontId="56" fillId="11" borderId="6" xfId="0" applyFont="1" applyFill="1" applyBorder="1" applyAlignment="1">
      <alignment horizontal="center" wrapText="1"/>
    </xf>
    <xf numFmtId="0" fontId="56" fillId="11" borderId="5" xfId="0" applyFont="1" applyFill="1" applyBorder="1" applyAlignment="1">
      <alignment horizontal="center"/>
    </xf>
    <xf numFmtId="0" fontId="56" fillId="11" borderId="5" xfId="0" applyFont="1" applyFill="1" applyBorder="1" applyAlignment="1">
      <alignment horizontal="center" wrapText="1"/>
    </xf>
    <xf numFmtId="0" fontId="56" fillId="11" borderId="32" xfId="0" applyFont="1" applyFill="1" applyBorder="1" applyAlignment="1">
      <alignment horizontal="center" wrapText="1"/>
    </xf>
    <xf numFmtId="0" fontId="56" fillId="11" borderId="6" xfId="0" applyFont="1" applyFill="1" applyBorder="1" applyAlignment="1">
      <alignment horizontal="center"/>
    </xf>
    <xf numFmtId="0" fontId="32" fillId="0" borderId="0" xfId="26" applyFont="1" applyAlignment="1">
      <alignment wrapText="1"/>
    </xf>
    <xf numFmtId="0" fontId="33" fillId="0" borderId="10" xfId="26" applyFont="1" applyBorder="1" applyAlignment="1">
      <alignment horizontal="center"/>
    </xf>
    <xf numFmtId="0" fontId="33" fillId="0" borderId="63" xfId="26" applyFont="1" applyBorder="1" applyAlignment="1">
      <alignment horizontal="center"/>
    </xf>
    <xf numFmtId="0" fontId="33" fillId="0" borderId="0" xfId="26" applyFont="1"/>
    <xf numFmtId="0" fontId="32" fillId="0" borderId="0" xfId="26" applyFont="1" applyAlignment="1"/>
    <xf numFmtId="0" fontId="33" fillId="0" borderId="6" xfId="26" applyFont="1" applyBorder="1" applyAlignment="1">
      <alignment horizontal="center"/>
    </xf>
    <xf numFmtId="0" fontId="33" fillId="0" borderId="32" xfId="26" applyFont="1" applyBorder="1" applyAlignment="1">
      <alignment horizontal="center"/>
    </xf>
    <xf numFmtId="164" fontId="132" fillId="0" borderId="6" xfId="52845" applyNumberFormat="1" applyFont="1" applyFill="1" applyBorder="1" applyAlignment="1">
      <alignment horizontal="center"/>
    </xf>
    <xf numFmtId="164" fontId="132" fillId="0" borderId="5" xfId="52845" applyNumberFormat="1" applyFont="1" applyFill="1" applyBorder="1" applyAlignment="1">
      <alignment horizontal="center"/>
    </xf>
    <xf numFmtId="164" fontId="132" fillId="0" borderId="32" xfId="52845" applyNumberFormat="1" applyFont="1" applyFill="1" applyBorder="1" applyAlignment="1">
      <alignment horizontal="center"/>
    </xf>
    <xf numFmtId="164" fontId="133" fillId="0" borderId="13" xfId="52845" applyNumberFormat="1" applyFont="1" applyFill="1" applyBorder="1" applyAlignment="1">
      <alignment horizontal="center" wrapText="1"/>
    </xf>
    <xf numFmtId="164" fontId="133" fillId="0" borderId="15" xfId="52845" applyNumberFormat="1" applyFont="1" applyFill="1" applyBorder="1" applyAlignment="1">
      <alignment horizontal="center" wrapText="1"/>
    </xf>
    <xf numFmtId="0" fontId="133" fillId="0" borderId="0" xfId="52844" applyFont="1" applyFill="1" applyAlignment="1">
      <alignment horizontal="center"/>
    </xf>
    <xf numFmtId="0" fontId="151" fillId="0" borderId="0" xfId="52844" applyFont="1" applyFill="1" applyAlignment="1">
      <alignment horizontal="center"/>
    </xf>
    <xf numFmtId="164" fontId="132" fillId="0" borderId="24" xfId="52845" applyNumberFormat="1" applyFont="1" applyFill="1" applyBorder="1" applyAlignment="1">
      <alignment horizontal="center" wrapText="1"/>
    </xf>
    <xf numFmtId="164" fontId="132" fillId="0" borderId="1" xfId="52845" applyNumberFormat="1" applyFont="1" applyFill="1" applyBorder="1" applyAlignment="1">
      <alignment horizontal="center" wrapText="1"/>
    </xf>
    <xf numFmtId="0" fontId="0" fillId="0" borderId="1" xfId="0" applyBorder="1" applyAlignment="1">
      <alignment wrapText="1"/>
    </xf>
    <xf numFmtId="164" fontId="132" fillId="0" borderId="6" xfId="52845" applyNumberFormat="1" applyFont="1" applyBorder="1" applyAlignment="1">
      <alignment horizontal="center"/>
    </xf>
    <xf numFmtId="164" fontId="132" fillId="0" borderId="5" xfId="52845" applyNumberFormat="1" applyFont="1" applyBorder="1" applyAlignment="1">
      <alignment horizontal="center"/>
    </xf>
    <xf numFmtId="164" fontId="132" fillId="0" borderId="32" xfId="52845" applyNumberFormat="1" applyFont="1" applyBorder="1" applyAlignment="1">
      <alignment horizontal="center"/>
    </xf>
    <xf numFmtId="164" fontId="49" fillId="0" borderId="6" xfId="52845" applyNumberFormat="1" applyFont="1" applyFill="1" applyBorder="1" applyAlignment="1">
      <alignment horizontal="center" wrapText="1"/>
    </xf>
    <xf numFmtId="0" fontId="32" fillId="0" borderId="5" xfId="0" applyFont="1" applyBorder="1" applyAlignment="1">
      <alignment wrapText="1"/>
    </xf>
    <xf numFmtId="0" fontId="32" fillId="0" borderId="32" xfId="0" applyFont="1" applyBorder="1" applyAlignment="1">
      <alignment wrapText="1"/>
    </xf>
    <xf numFmtId="164" fontId="132" fillId="0" borderId="6" xfId="52845" applyNumberFormat="1" applyFont="1" applyFill="1" applyBorder="1" applyAlignment="1">
      <alignment horizontal="center" wrapText="1"/>
    </xf>
    <xf numFmtId="164" fontId="132" fillId="0" borderId="5" xfId="52845" applyNumberFormat="1" applyFont="1" applyFill="1" applyBorder="1" applyAlignment="1">
      <alignment horizontal="center" wrapText="1"/>
    </xf>
    <xf numFmtId="0" fontId="0" fillId="0" borderId="5" xfId="0" applyBorder="1" applyAlignment="1">
      <alignment wrapText="1"/>
    </xf>
    <xf numFmtId="0" fontId="0" fillId="0" borderId="32" xfId="0" applyBorder="1" applyAlignment="1">
      <alignment wrapText="1"/>
    </xf>
    <xf numFmtId="0" fontId="34" fillId="0" borderId="0" xfId="57" applyFont="1" applyAlignment="1">
      <alignment horizontal="center"/>
    </xf>
    <xf numFmtId="0" fontId="64" fillId="0" borderId="0" xfId="57" applyFont="1" applyAlignment="1">
      <alignment horizontal="center"/>
    </xf>
    <xf numFmtId="0" fontId="99" fillId="0" borderId="0" xfId="57" applyFont="1" applyAlignment="1">
      <alignment horizontal="center"/>
    </xf>
    <xf numFmtId="0" fontId="32" fillId="0" borderId="0" xfId="57" applyFont="1" applyAlignment="1">
      <alignment wrapText="1"/>
    </xf>
    <xf numFmtId="0" fontId="33" fillId="0" borderId="4" xfId="57" applyFont="1" applyBorder="1" applyAlignment="1">
      <alignment horizontal="center"/>
    </xf>
    <xf numFmtId="0" fontId="73" fillId="39" borderId="6" xfId="0" applyFont="1" applyFill="1" applyBorder="1" applyAlignment="1">
      <alignment horizontal="center" vertical="top" wrapText="1"/>
    </xf>
    <xf numFmtId="0" fontId="73" fillId="39" borderId="5" xfId="0" applyFont="1" applyFill="1" applyBorder="1" applyAlignment="1">
      <alignment horizontal="center" vertical="top" wrapText="1"/>
    </xf>
    <xf numFmtId="0" fontId="73" fillId="39" borderId="32" xfId="0" applyFont="1" applyFill="1" applyBorder="1" applyAlignment="1">
      <alignment horizontal="center" vertical="top" wrapText="1"/>
    </xf>
    <xf numFmtId="0" fontId="101" fillId="39" borderId="189" xfId="0" applyFont="1" applyFill="1" applyBorder="1" applyAlignment="1">
      <alignment horizontal="left" vertical="top" wrapText="1"/>
    </xf>
    <xf numFmtId="0" fontId="101" fillId="39" borderId="191" xfId="0" applyFont="1" applyFill="1" applyBorder="1" applyAlignment="1">
      <alignment horizontal="left" vertical="top" wrapText="1"/>
    </xf>
    <xf numFmtId="0" fontId="101" fillId="39" borderId="192" xfId="0" applyFont="1" applyFill="1" applyBorder="1" applyAlignment="1">
      <alignment horizontal="left" vertical="top" wrapText="1"/>
    </xf>
    <xf numFmtId="0" fontId="101" fillId="39" borderId="197" xfId="0" applyFont="1" applyFill="1" applyBorder="1" applyAlignment="1">
      <alignment horizontal="left" vertical="top" wrapText="1"/>
    </xf>
    <xf numFmtId="37" fontId="32" fillId="39" borderId="194" xfId="57" quotePrefix="1" applyNumberFormat="1" applyFont="1" applyFill="1" applyBorder="1" applyAlignment="1">
      <alignment horizontal="right" vertical="center"/>
    </xf>
    <xf numFmtId="37" fontId="32" fillId="39" borderId="22" xfId="57" quotePrefix="1" applyNumberFormat="1" applyFont="1" applyFill="1" applyBorder="1" applyAlignment="1">
      <alignment horizontal="right" vertical="center"/>
    </xf>
    <xf numFmtId="0" fontId="143" fillId="38" borderId="5" xfId="0" applyFont="1" applyFill="1" applyBorder="1" applyAlignment="1">
      <alignment horizontal="left"/>
    </xf>
    <xf numFmtId="0" fontId="143" fillId="38" borderId="32" xfId="0" applyFont="1" applyFill="1" applyBorder="1" applyAlignment="1">
      <alignment horizontal="left"/>
    </xf>
  </cellXfs>
  <cellStyles count="62583">
    <cellStyle name=" 1" xfId="58"/>
    <cellStyle name=" 1 2" xfId="59"/>
    <cellStyle name=" 1 2 2" xfId="60"/>
    <cellStyle name=" 1 3" xfId="61"/>
    <cellStyle name="20% - Accent1 10" xfId="62"/>
    <cellStyle name="20% - Accent1 11" xfId="63"/>
    <cellStyle name="20% - Accent1 12" xfId="64"/>
    <cellStyle name="20% - Accent1 13" xfId="65"/>
    <cellStyle name="20% - Accent1 2" xfId="66"/>
    <cellStyle name="20% - Accent1 2 10" xfId="16086"/>
    <cellStyle name="20% - Accent1 2 10 2" xfId="16087"/>
    <cellStyle name="20% - Accent1 2 10 2 2" xfId="16088"/>
    <cellStyle name="20% - Accent1 2 10 3" xfId="16089"/>
    <cellStyle name="20% - Accent1 2 10 3 2" xfId="16090"/>
    <cellStyle name="20% - Accent1 2 10 4" xfId="16091"/>
    <cellStyle name="20% - Accent1 2 10 5" xfId="16092"/>
    <cellStyle name="20% - Accent1 2 10 6" xfId="16093"/>
    <cellStyle name="20% - Accent1 2 10 7" xfId="16094"/>
    <cellStyle name="20% - Accent1 2 11" xfId="16095"/>
    <cellStyle name="20% - Accent1 2 11 2" xfId="16096"/>
    <cellStyle name="20% - Accent1 2 11 2 2" xfId="16097"/>
    <cellStyle name="20% - Accent1 2 11 3" xfId="16098"/>
    <cellStyle name="20% - Accent1 2 11 3 2" xfId="16099"/>
    <cellStyle name="20% - Accent1 2 11 4" xfId="16100"/>
    <cellStyle name="20% - Accent1 2 11 5" xfId="16101"/>
    <cellStyle name="20% - Accent1 2 11 6" xfId="16102"/>
    <cellStyle name="20% - Accent1 2 11 7" xfId="16103"/>
    <cellStyle name="20% - Accent1 2 12" xfId="16104"/>
    <cellStyle name="20% - Accent1 2 12 2" xfId="16105"/>
    <cellStyle name="20% - Accent1 2 12 2 2" xfId="16106"/>
    <cellStyle name="20% - Accent1 2 12 3" xfId="16107"/>
    <cellStyle name="20% - Accent1 2 12 3 2" xfId="16108"/>
    <cellStyle name="20% - Accent1 2 12 4" xfId="16109"/>
    <cellStyle name="20% - Accent1 2 12 5" xfId="16110"/>
    <cellStyle name="20% - Accent1 2 12 6" xfId="16111"/>
    <cellStyle name="20% - Accent1 2 12 7" xfId="16112"/>
    <cellStyle name="20% - Accent1 2 13" xfId="16113"/>
    <cellStyle name="20% - Accent1 2 13 2" xfId="16114"/>
    <cellStyle name="20% - Accent1 2 14" xfId="16115"/>
    <cellStyle name="20% - Accent1 2 15" xfId="16116"/>
    <cellStyle name="20% - Accent1 2 16" xfId="16117"/>
    <cellStyle name="20% - Accent1 2 17" xfId="16118"/>
    <cellStyle name="20% - Accent1 2 18" xfId="16119"/>
    <cellStyle name="20% - Accent1 2 2" xfId="67"/>
    <cellStyle name="20% - Accent1 2 2 10" xfId="16120"/>
    <cellStyle name="20% - Accent1 2 2 11" xfId="16121"/>
    <cellStyle name="20% - Accent1 2 2 12" xfId="16122"/>
    <cellStyle name="20% - Accent1 2 2 13" xfId="16123"/>
    <cellStyle name="20% - Accent1 2 2 2" xfId="16124"/>
    <cellStyle name="20% - Accent1 2 2 2 10" xfId="16125"/>
    <cellStyle name="20% - Accent1 2 2 2 11" xfId="16126"/>
    <cellStyle name="20% - Accent1 2 2 2 2" xfId="16127"/>
    <cellStyle name="20% - Accent1 2 2 2 2 10" xfId="16128"/>
    <cellStyle name="20% - Accent1 2 2 2 2 2" xfId="16129"/>
    <cellStyle name="20% - Accent1 2 2 2 2 2 2" xfId="16130"/>
    <cellStyle name="20% - Accent1 2 2 2 2 2 2 2" xfId="16131"/>
    <cellStyle name="20% - Accent1 2 2 2 2 2 3" xfId="16132"/>
    <cellStyle name="20% - Accent1 2 2 2 2 2 3 2" xfId="16133"/>
    <cellStyle name="20% - Accent1 2 2 2 2 2 4" xfId="16134"/>
    <cellStyle name="20% - Accent1 2 2 2 2 2 5" xfId="16135"/>
    <cellStyle name="20% - Accent1 2 2 2 2 2 6" xfId="16136"/>
    <cellStyle name="20% - Accent1 2 2 2 2 2 7" xfId="16137"/>
    <cellStyle name="20% - Accent1 2 2 2 2 3" xfId="16138"/>
    <cellStyle name="20% - Accent1 2 2 2 2 3 2" xfId="16139"/>
    <cellStyle name="20% - Accent1 2 2 2 2 3 2 2" xfId="16140"/>
    <cellStyle name="20% - Accent1 2 2 2 2 3 3" xfId="16141"/>
    <cellStyle name="20% - Accent1 2 2 2 2 3 3 2" xfId="16142"/>
    <cellStyle name="20% - Accent1 2 2 2 2 3 4" xfId="16143"/>
    <cellStyle name="20% - Accent1 2 2 2 2 3 5" xfId="16144"/>
    <cellStyle name="20% - Accent1 2 2 2 2 3 6" xfId="16145"/>
    <cellStyle name="20% - Accent1 2 2 2 2 3 7" xfId="16146"/>
    <cellStyle name="20% - Accent1 2 2 2 2 4" xfId="16147"/>
    <cellStyle name="20% - Accent1 2 2 2 2 4 2" xfId="16148"/>
    <cellStyle name="20% - Accent1 2 2 2 2 4 2 2" xfId="16149"/>
    <cellStyle name="20% - Accent1 2 2 2 2 4 3" xfId="16150"/>
    <cellStyle name="20% - Accent1 2 2 2 2 4 3 2" xfId="16151"/>
    <cellStyle name="20% - Accent1 2 2 2 2 4 4" xfId="16152"/>
    <cellStyle name="20% - Accent1 2 2 2 2 4 5" xfId="16153"/>
    <cellStyle name="20% - Accent1 2 2 2 2 4 6" xfId="16154"/>
    <cellStyle name="20% - Accent1 2 2 2 2 4 7" xfId="16155"/>
    <cellStyle name="20% - Accent1 2 2 2 2 5" xfId="16156"/>
    <cellStyle name="20% - Accent1 2 2 2 2 5 2" xfId="16157"/>
    <cellStyle name="20% - Accent1 2 2 2 2 6" xfId="16158"/>
    <cellStyle name="20% - Accent1 2 2 2 2 6 2" xfId="16159"/>
    <cellStyle name="20% - Accent1 2 2 2 2 7" xfId="16160"/>
    <cellStyle name="20% - Accent1 2 2 2 2 8" xfId="16161"/>
    <cellStyle name="20% - Accent1 2 2 2 2 9" xfId="16162"/>
    <cellStyle name="20% - Accent1 2 2 2 3" xfId="16163"/>
    <cellStyle name="20% - Accent1 2 2 2 3 2" xfId="16164"/>
    <cellStyle name="20% - Accent1 2 2 2 3 2 2" xfId="16165"/>
    <cellStyle name="20% - Accent1 2 2 2 3 3" xfId="16166"/>
    <cellStyle name="20% - Accent1 2 2 2 3 3 2" xfId="16167"/>
    <cellStyle name="20% - Accent1 2 2 2 3 4" xfId="16168"/>
    <cellStyle name="20% - Accent1 2 2 2 3 5" xfId="16169"/>
    <cellStyle name="20% - Accent1 2 2 2 3 6" xfId="16170"/>
    <cellStyle name="20% - Accent1 2 2 2 3 7" xfId="16171"/>
    <cellStyle name="20% - Accent1 2 2 2 4" xfId="16172"/>
    <cellStyle name="20% - Accent1 2 2 2 4 2" xfId="16173"/>
    <cellStyle name="20% - Accent1 2 2 2 4 2 2" xfId="16174"/>
    <cellStyle name="20% - Accent1 2 2 2 4 3" xfId="16175"/>
    <cellStyle name="20% - Accent1 2 2 2 4 3 2" xfId="16176"/>
    <cellStyle name="20% - Accent1 2 2 2 4 4" xfId="16177"/>
    <cellStyle name="20% - Accent1 2 2 2 4 5" xfId="16178"/>
    <cellStyle name="20% - Accent1 2 2 2 4 6" xfId="16179"/>
    <cellStyle name="20% - Accent1 2 2 2 4 7" xfId="16180"/>
    <cellStyle name="20% - Accent1 2 2 2 5" xfId="16181"/>
    <cellStyle name="20% - Accent1 2 2 2 5 2" xfId="16182"/>
    <cellStyle name="20% - Accent1 2 2 2 5 2 2" xfId="16183"/>
    <cellStyle name="20% - Accent1 2 2 2 5 3" xfId="16184"/>
    <cellStyle name="20% - Accent1 2 2 2 5 3 2" xfId="16185"/>
    <cellStyle name="20% - Accent1 2 2 2 5 4" xfId="16186"/>
    <cellStyle name="20% - Accent1 2 2 2 5 5" xfId="16187"/>
    <cellStyle name="20% - Accent1 2 2 2 5 6" xfId="16188"/>
    <cellStyle name="20% - Accent1 2 2 2 5 7" xfId="16189"/>
    <cellStyle name="20% - Accent1 2 2 2 6" xfId="16190"/>
    <cellStyle name="20% - Accent1 2 2 2 6 2" xfId="16191"/>
    <cellStyle name="20% - Accent1 2 2 2 7" xfId="16192"/>
    <cellStyle name="20% - Accent1 2 2 2 7 2" xfId="16193"/>
    <cellStyle name="20% - Accent1 2 2 2 8" xfId="16194"/>
    <cellStyle name="20% - Accent1 2 2 2 9" xfId="16195"/>
    <cellStyle name="20% - Accent1 2 2 3" xfId="16196"/>
    <cellStyle name="20% - Accent1 2 2 3 10" xfId="16197"/>
    <cellStyle name="20% - Accent1 2 2 3 11" xfId="16198"/>
    <cellStyle name="20% - Accent1 2 2 3 2" xfId="16199"/>
    <cellStyle name="20% - Accent1 2 2 3 2 10" xfId="16200"/>
    <cellStyle name="20% - Accent1 2 2 3 2 2" xfId="16201"/>
    <cellStyle name="20% - Accent1 2 2 3 2 2 2" xfId="16202"/>
    <cellStyle name="20% - Accent1 2 2 3 2 2 2 2" xfId="16203"/>
    <cellStyle name="20% - Accent1 2 2 3 2 2 3" xfId="16204"/>
    <cellStyle name="20% - Accent1 2 2 3 2 2 3 2" xfId="16205"/>
    <cellStyle name="20% - Accent1 2 2 3 2 2 4" xfId="16206"/>
    <cellStyle name="20% - Accent1 2 2 3 2 2 5" xfId="16207"/>
    <cellStyle name="20% - Accent1 2 2 3 2 2 6" xfId="16208"/>
    <cellStyle name="20% - Accent1 2 2 3 2 2 7" xfId="16209"/>
    <cellStyle name="20% - Accent1 2 2 3 2 3" xfId="16210"/>
    <cellStyle name="20% - Accent1 2 2 3 2 3 2" xfId="16211"/>
    <cellStyle name="20% - Accent1 2 2 3 2 3 2 2" xfId="16212"/>
    <cellStyle name="20% - Accent1 2 2 3 2 3 3" xfId="16213"/>
    <cellStyle name="20% - Accent1 2 2 3 2 3 3 2" xfId="16214"/>
    <cellStyle name="20% - Accent1 2 2 3 2 3 4" xfId="16215"/>
    <cellStyle name="20% - Accent1 2 2 3 2 3 5" xfId="16216"/>
    <cellStyle name="20% - Accent1 2 2 3 2 3 6" xfId="16217"/>
    <cellStyle name="20% - Accent1 2 2 3 2 3 7" xfId="16218"/>
    <cellStyle name="20% - Accent1 2 2 3 2 4" xfId="16219"/>
    <cellStyle name="20% - Accent1 2 2 3 2 4 2" xfId="16220"/>
    <cellStyle name="20% - Accent1 2 2 3 2 4 2 2" xfId="16221"/>
    <cellStyle name="20% - Accent1 2 2 3 2 4 3" xfId="16222"/>
    <cellStyle name="20% - Accent1 2 2 3 2 4 3 2" xfId="16223"/>
    <cellStyle name="20% - Accent1 2 2 3 2 4 4" xfId="16224"/>
    <cellStyle name="20% - Accent1 2 2 3 2 4 5" xfId="16225"/>
    <cellStyle name="20% - Accent1 2 2 3 2 4 6" xfId="16226"/>
    <cellStyle name="20% - Accent1 2 2 3 2 4 7" xfId="16227"/>
    <cellStyle name="20% - Accent1 2 2 3 2 5" xfId="16228"/>
    <cellStyle name="20% - Accent1 2 2 3 2 5 2" xfId="16229"/>
    <cellStyle name="20% - Accent1 2 2 3 2 6" xfId="16230"/>
    <cellStyle name="20% - Accent1 2 2 3 2 6 2" xfId="16231"/>
    <cellStyle name="20% - Accent1 2 2 3 2 7" xfId="16232"/>
    <cellStyle name="20% - Accent1 2 2 3 2 8" xfId="16233"/>
    <cellStyle name="20% - Accent1 2 2 3 2 9" xfId="16234"/>
    <cellStyle name="20% - Accent1 2 2 3 3" xfId="16235"/>
    <cellStyle name="20% - Accent1 2 2 3 3 2" xfId="16236"/>
    <cellStyle name="20% - Accent1 2 2 3 3 2 2" xfId="16237"/>
    <cellStyle name="20% - Accent1 2 2 3 3 3" xfId="16238"/>
    <cellStyle name="20% - Accent1 2 2 3 3 3 2" xfId="16239"/>
    <cellStyle name="20% - Accent1 2 2 3 3 4" xfId="16240"/>
    <cellStyle name="20% - Accent1 2 2 3 3 5" xfId="16241"/>
    <cellStyle name="20% - Accent1 2 2 3 3 6" xfId="16242"/>
    <cellStyle name="20% - Accent1 2 2 3 3 7" xfId="16243"/>
    <cellStyle name="20% - Accent1 2 2 3 4" xfId="16244"/>
    <cellStyle name="20% - Accent1 2 2 3 4 2" xfId="16245"/>
    <cellStyle name="20% - Accent1 2 2 3 4 2 2" xfId="16246"/>
    <cellStyle name="20% - Accent1 2 2 3 4 3" xfId="16247"/>
    <cellStyle name="20% - Accent1 2 2 3 4 3 2" xfId="16248"/>
    <cellStyle name="20% - Accent1 2 2 3 4 4" xfId="16249"/>
    <cellStyle name="20% - Accent1 2 2 3 4 5" xfId="16250"/>
    <cellStyle name="20% - Accent1 2 2 3 4 6" xfId="16251"/>
    <cellStyle name="20% - Accent1 2 2 3 4 7" xfId="16252"/>
    <cellStyle name="20% - Accent1 2 2 3 5" xfId="16253"/>
    <cellStyle name="20% - Accent1 2 2 3 5 2" xfId="16254"/>
    <cellStyle name="20% - Accent1 2 2 3 5 2 2" xfId="16255"/>
    <cellStyle name="20% - Accent1 2 2 3 5 3" xfId="16256"/>
    <cellStyle name="20% - Accent1 2 2 3 5 3 2" xfId="16257"/>
    <cellStyle name="20% - Accent1 2 2 3 5 4" xfId="16258"/>
    <cellStyle name="20% - Accent1 2 2 3 5 5" xfId="16259"/>
    <cellStyle name="20% - Accent1 2 2 3 5 6" xfId="16260"/>
    <cellStyle name="20% - Accent1 2 2 3 5 7" xfId="16261"/>
    <cellStyle name="20% - Accent1 2 2 3 6" xfId="16262"/>
    <cellStyle name="20% - Accent1 2 2 3 6 2" xfId="16263"/>
    <cellStyle name="20% - Accent1 2 2 3 7" xfId="16264"/>
    <cellStyle name="20% - Accent1 2 2 3 7 2" xfId="16265"/>
    <cellStyle name="20% - Accent1 2 2 3 8" xfId="16266"/>
    <cellStyle name="20% - Accent1 2 2 3 9" xfId="16267"/>
    <cellStyle name="20% - Accent1 2 2 4" xfId="16268"/>
    <cellStyle name="20% - Accent1 2 2 4 10" xfId="16269"/>
    <cellStyle name="20% - Accent1 2 2 4 2" xfId="16270"/>
    <cellStyle name="20% - Accent1 2 2 4 2 2" xfId="16271"/>
    <cellStyle name="20% - Accent1 2 2 4 2 2 2" xfId="16272"/>
    <cellStyle name="20% - Accent1 2 2 4 2 3" xfId="16273"/>
    <cellStyle name="20% - Accent1 2 2 4 2 3 2" xfId="16274"/>
    <cellStyle name="20% - Accent1 2 2 4 2 4" xfId="16275"/>
    <cellStyle name="20% - Accent1 2 2 4 2 5" xfId="16276"/>
    <cellStyle name="20% - Accent1 2 2 4 2 6" xfId="16277"/>
    <cellStyle name="20% - Accent1 2 2 4 2 7" xfId="16278"/>
    <cellStyle name="20% - Accent1 2 2 4 3" xfId="16279"/>
    <cellStyle name="20% - Accent1 2 2 4 3 2" xfId="16280"/>
    <cellStyle name="20% - Accent1 2 2 4 3 2 2" xfId="16281"/>
    <cellStyle name="20% - Accent1 2 2 4 3 3" xfId="16282"/>
    <cellStyle name="20% - Accent1 2 2 4 3 3 2" xfId="16283"/>
    <cellStyle name="20% - Accent1 2 2 4 3 4" xfId="16284"/>
    <cellStyle name="20% - Accent1 2 2 4 3 5" xfId="16285"/>
    <cellStyle name="20% - Accent1 2 2 4 3 6" xfId="16286"/>
    <cellStyle name="20% - Accent1 2 2 4 3 7" xfId="16287"/>
    <cellStyle name="20% - Accent1 2 2 4 4" xfId="16288"/>
    <cellStyle name="20% - Accent1 2 2 4 4 2" xfId="16289"/>
    <cellStyle name="20% - Accent1 2 2 4 4 2 2" xfId="16290"/>
    <cellStyle name="20% - Accent1 2 2 4 4 3" xfId="16291"/>
    <cellStyle name="20% - Accent1 2 2 4 4 3 2" xfId="16292"/>
    <cellStyle name="20% - Accent1 2 2 4 4 4" xfId="16293"/>
    <cellStyle name="20% - Accent1 2 2 4 4 5" xfId="16294"/>
    <cellStyle name="20% - Accent1 2 2 4 4 6" xfId="16295"/>
    <cellStyle name="20% - Accent1 2 2 4 4 7" xfId="16296"/>
    <cellStyle name="20% - Accent1 2 2 4 5" xfId="16297"/>
    <cellStyle name="20% - Accent1 2 2 4 5 2" xfId="16298"/>
    <cellStyle name="20% - Accent1 2 2 4 6" xfId="16299"/>
    <cellStyle name="20% - Accent1 2 2 4 6 2" xfId="16300"/>
    <cellStyle name="20% - Accent1 2 2 4 7" xfId="16301"/>
    <cellStyle name="20% - Accent1 2 2 4 8" xfId="16302"/>
    <cellStyle name="20% - Accent1 2 2 4 9" xfId="16303"/>
    <cellStyle name="20% - Accent1 2 2 5" xfId="16304"/>
    <cellStyle name="20% - Accent1 2 2 5 2" xfId="16305"/>
    <cellStyle name="20% - Accent1 2 2 5 2 2" xfId="16306"/>
    <cellStyle name="20% - Accent1 2 2 5 3" xfId="16307"/>
    <cellStyle name="20% - Accent1 2 2 5 3 2" xfId="16308"/>
    <cellStyle name="20% - Accent1 2 2 5 4" xfId="16309"/>
    <cellStyle name="20% - Accent1 2 2 5 5" xfId="16310"/>
    <cellStyle name="20% - Accent1 2 2 5 6" xfId="16311"/>
    <cellStyle name="20% - Accent1 2 2 5 7" xfId="16312"/>
    <cellStyle name="20% - Accent1 2 2 6" xfId="16313"/>
    <cellStyle name="20% - Accent1 2 2 6 2" xfId="16314"/>
    <cellStyle name="20% - Accent1 2 2 6 2 2" xfId="16315"/>
    <cellStyle name="20% - Accent1 2 2 6 3" xfId="16316"/>
    <cellStyle name="20% - Accent1 2 2 6 3 2" xfId="16317"/>
    <cellStyle name="20% - Accent1 2 2 6 4" xfId="16318"/>
    <cellStyle name="20% - Accent1 2 2 6 5" xfId="16319"/>
    <cellStyle name="20% - Accent1 2 2 6 6" xfId="16320"/>
    <cellStyle name="20% - Accent1 2 2 6 7" xfId="16321"/>
    <cellStyle name="20% - Accent1 2 2 7" xfId="16322"/>
    <cellStyle name="20% - Accent1 2 2 7 2" xfId="16323"/>
    <cellStyle name="20% - Accent1 2 2 7 2 2" xfId="16324"/>
    <cellStyle name="20% - Accent1 2 2 7 3" xfId="16325"/>
    <cellStyle name="20% - Accent1 2 2 7 3 2" xfId="16326"/>
    <cellStyle name="20% - Accent1 2 2 7 4" xfId="16327"/>
    <cellStyle name="20% - Accent1 2 2 7 5" xfId="16328"/>
    <cellStyle name="20% - Accent1 2 2 7 6" xfId="16329"/>
    <cellStyle name="20% - Accent1 2 2 7 7" xfId="16330"/>
    <cellStyle name="20% - Accent1 2 2 8" xfId="16331"/>
    <cellStyle name="20% - Accent1 2 2 8 2" xfId="16332"/>
    <cellStyle name="20% - Accent1 2 2 9" xfId="16333"/>
    <cellStyle name="20% - Accent1 2 2 9 2" xfId="16334"/>
    <cellStyle name="20% - Accent1 2 3" xfId="68"/>
    <cellStyle name="20% - Accent1 2 3 10" xfId="16335"/>
    <cellStyle name="20% - Accent1 2 3 11" xfId="16336"/>
    <cellStyle name="20% - Accent1 2 3 12" xfId="16337"/>
    <cellStyle name="20% - Accent1 2 3 13" xfId="16338"/>
    <cellStyle name="20% - Accent1 2 3 2" xfId="16339"/>
    <cellStyle name="20% - Accent1 2 3 2 10" xfId="16340"/>
    <cellStyle name="20% - Accent1 2 3 2 11" xfId="16341"/>
    <cellStyle name="20% - Accent1 2 3 2 2" xfId="16342"/>
    <cellStyle name="20% - Accent1 2 3 2 2 10" xfId="16343"/>
    <cellStyle name="20% - Accent1 2 3 2 2 2" xfId="16344"/>
    <cellStyle name="20% - Accent1 2 3 2 2 2 2" xfId="16345"/>
    <cellStyle name="20% - Accent1 2 3 2 2 2 2 2" xfId="16346"/>
    <cellStyle name="20% - Accent1 2 3 2 2 2 3" xfId="16347"/>
    <cellStyle name="20% - Accent1 2 3 2 2 2 3 2" xfId="16348"/>
    <cellStyle name="20% - Accent1 2 3 2 2 2 4" xfId="16349"/>
    <cellStyle name="20% - Accent1 2 3 2 2 2 5" xfId="16350"/>
    <cellStyle name="20% - Accent1 2 3 2 2 2 6" xfId="16351"/>
    <cellStyle name="20% - Accent1 2 3 2 2 2 7" xfId="16352"/>
    <cellStyle name="20% - Accent1 2 3 2 2 3" xfId="16353"/>
    <cellStyle name="20% - Accent1 2 3 2 2 3 2" xfId="16354"/>
    <cellStyle name="20% - Accent1 2 3 2 2 3 2 2" xfId="16355"/>
    <cellStyle name="20% - Accent1 2 3 2 2 3 3" xfId="16356"/>
    <cellStyle name="20% - Accent1 2 3 2 2 3 3 2" xfId="16357"/>
    <cellStyle name="20% - Accent1 2 3 2 2 3 4" xfId="16358"/>
    <cellStyle name="20% - Accent1 2 3 2 2 3 5" xfId="16359"/>
    <cellStyle name="20% - Accent1 2 3 2 2 3 6" xfId="16360"/>
    <cellStyle name="20% - Accent1 2 3 2 2 3 7" xfId="16361"/>
    <cellStyle name="20% - Accent1 2 3 2 2 4" xfId="16362"/>
    <cellStyle name="20% - Accent1 2 3 2 2 4 2" xfId="16363"/>
    <cellStyle name="20% - Accent1 2 3 2 2 4 2 2" xfId="16364"/>
    <cellStyle name="20% - Accent1 2 3 2 2 4 3" xfId="16365"/>
    <cellStyle name="20% - Accent1 2 3 2 2 4 3 2" xfId="16366"/>
    <cellStyle name="20% - Accent1 2 3 2 2 4 4" xfId="16367"/>
    <cellStyle name="20% - Accent1 2 3 2 2 4 5" xfId="16368"/>
    <cellStyle name="20% - Accent1 2 3 2 2 4 6" xfId="16369"/>
    <cellStyle name="20% - Accent1 2 3 2 2 4 7" xfId="16370"/>
    <cellStyle name="20% - Accent1 2 3 2 2 5" xfId="16371"/>
    <cellStyle name="20% - Accent1 2 3 2 2 5 2" xfId="16372"/>
    <cellStyle name="20% - Accent1 2 3 2 2 6" xfId="16373"/>
    <cellStyle name="20% - Accent1 2 3 2 2 6 2" xfId="16374"/>
    <cellStyle name="20% - Accent1 2 3 2 2 7" xfId="16375"/>
    <cellStyle name="20% - Accent1 2 3 2 2 8" xfId="16376"/>
    <cellStyle name="20% - Accent1 2 3 2 2 9" xfId="16377"/>
    <cellStyle name="20% - Accent1 2 3 2 3" xfId="16378"/>
    <cellStyle name="20% - Accent1 2 3 2 3 2" xfId="16379"/>
    <cellStyle name="20% - Accent1 2 3 2 3 2 2" xfId="16380"/>
    <cellStyle name="20% - Accent1 2 3 2 3 3" xfId="16381"/>
    <cellStyle name="20% - Accent1 2 3 2 3 3 2" xfId="16382"/>
    <cellStyle name="20% - Accent1 2 3 2 3 4" xfId="16383"/>
    <cellStyle name="20% - Accent1 2 3 2 3 5" xfId="16384"/>
    <cellStyle name="20% - Accent1 2 3 2 3 6" xfId="16385"/>
    <cellStyle name="20% - Accent1 2 3 2 3 7" xfId="16386"/>
    <cellStyle name="20% - Accent1 2 3 2 4" xfId="16387"/>
    <cellStyle name="20% - Accent1 2 3 2 4 2" xfId="16388"/>
    <cellStyle name="20% - Accent1 2 3 2 4 2 2" xfId="16389"/>
    <cellStyle name="20% - Accent1 2 3 2 4 3" xfId="16390"/>
    <cellStyle name="20% - Accent1 2 3 2 4 3 2" xfId="16391"/>
    <cellStyle name="20% - Accent1 2 3 2 4 4" xfId="16392"/>
    <cellStyle name="20% - Accent1 2 3 2 4 5" xfId="16393"/>
    <cellStyle name="20% - Accent1 2 3 2 4 6" xfId="16394"/>
    <cellStyle name="20% - Accent1 2 3 2 4 7" xfId="16395"/>
    <cellStyle name="20% - Accent1 2 3 2 5" xfId="16396"/>
    <cellStyle name="20% - Accent1 2 3 2 5 2" xfId="16397"/>
    <cellStyle name="20% - Accent1 2 3 2 5 2 2" xfId="16398"/>
    <cellStyle name="20% - Accent1 2 3 2 5 3" xfId="16399"/>
    <cellStyle name="20% - Accent1 2 3 2 5 3 2" xfId="16400"/>
    <cellStyle name="20% - Accent1 2 3 2 5 4" xfId="16401"/>
    <cellStyle name="20% - Accent1 2 3 2 5 5" xfId="16402"/>
    <cellStyle name="20% - Accent1 2 3 2 5 6" xfId="16403"/>
    <cellStyle name="20% - Accent1 2 3 2 5 7" xfId="16404"/>
    <cellStyle name="20% - Accent1 2 3 2 6" xfId="16405"/>
    <cellStyle name="20% - Accent1 2 3 2 6 2" xfId="16406"/>
    <cellStyle name="20% - Accent1 2 3 2 7" xfId="16407"/>
    <cellStyle name="20% - Accent1 2 3 2 7 2" xfId="16408"/>
    <cellStyle name="20% - Accent1 2 3 2 8" xfId="16409"/>
    <cellStyle name="20% - Accent1 2 3 2 9" xfId="16410"/>
    <cellStyle name="20% - Accent1 2 3 3" xfId="16411"/>
    <cellStyle name="20% - Accent1 2 3 3 10" xfId="16412"/>
    <cellStyle name="20% - Accent1 2 3 3 11" xfId="16413"/>
    <cellStyle name="20% - Accent1 2 3 3 2" xfId="16414"/>
    <cellStyle name="20% - Accent1 2 3 3 2 10" xfId="16415"/>
    <cellStyle name="20% - Accent1 2 3 3 2 2" xfId="16416"/>
    <cellStyle name="20% - Accent1 2 3 3 2 2 2" xfId="16417"/>
    <cellStyle name="20% - Accent1 2 3 3 2 2 2 2" xfId="16418"/>
    <cellStyle name="20% - Accent1 2 3 3 2 2 3" xfId="16419"/>
    <cellStyle name="20% - Accent1 2 3 3 2 2 3 2" xfId="16420"/>
    <cellStyle name="20% - Accent1 2 3 3 2 2 4" xfId="16421"/>
    <cellStyle name="20% - Accent1 2 3 3 2 2 5" xfId="16422"/>
    <cellStyle name="20% - Accent1 2 3 3 2 2 6" xfId="16423"/>
    <cellStyle name="20% - Accent1 2 3 3 2 2 7" xfId="16424"/>
    <cellStyle name="20% - Accent1 2 3 3 2 3" xfId="16425"/>
    <cellStyle name="20% - Accent1 2 3 3 2 3 2" xfId="16426"/>
    <cellStyle name="20% - Accent1 2 3 3 2 3 2 2" xfId="16427"/>
    <cellStyle name="20% - Accent1 2 3 3 2 3 3" xfId="16428"/>
    <cellStyle name="20% - Accent1 2 3 3 2 3 3 2" xfId="16429"/>
    <cellStyle name="20% - Accent1 2 3 3 2 3 4" xfId="16430"/>
    <cellStyle name="20% - Accent1 2 3 3 2 3 5" xfId="16431"/>
    <cellStyle name="20% - Accent1 2 3 3 2 3 6" xfId="16432"/>
    <cellStyle name="20% - Accent1 2 3 3 2 3 7" xfId="16433"/>
    <cellStyle name="20% - Accent1 2 3 3 2 4" xfId="16434"/>
    <cellStyle name="20% - Accent1 2 3 3 2 4 2" xfId="16435"/>
    <cellStyle name="20% - Accent1 2 3 3 2 4 2 2" xfId="16436"/>
    <cellStyle name="20% - Accent1 2 3 3 2 4 3" xfId="16437"/>
    <cellStyle name="20% - Accent1 2 3 3 2 4 3 2" xfId="16438"/>
    <cellStyle name="20% - Accent1 2 3 3 2 4 4" xfId="16439"/>
    <cellStyle name="20% - Accent1 2 3 3 2 4 5" xfId="16440"/>
    <cellStyle name="20% - Accent1 2 3 3 2 4 6" xfId="16441"/>
    <cellStyle name="20% - Accent1 2 3 3 2 4 7" xfId="16442"/>
    <cellStyle name="20% - Accent1 2 3 3 2 5" xfId="16443"/>
    <cellStyle name="20% - Accent1 2 3 3 2 5 2" xfId="16444"/>
    <cellStyle name="20% - Accent1 2 3 3 2 6" xfId="16445"/>
    <cellStyle name="20% - Accent1 2 3 3 2 6 2" xfId="16446"/>
    <cellStyle name="20% - Accent1 2 3 3 2 7" xfId="16447"/>
    <cellStyle name="20% - Accent1 2 3 3 2 8" xfId="16448"/>
    <cellStyle name="20% - Accent1 2 3 3 2 9" xfId="16449"/>
    <cellStyle name="20% - Accent1 2 3 3 3" xfId="16450"/>
    <cellStyle name="20% - Accent1 2 3 3 3 2" xfId="16451"/>
    <cellStyle name="20% - Accent1 2 3 3 3 2 2" xfId="16452"/>
    <cellStyle name="20% - Accent1 2 3 3 3 3" xfId="16453"/>
    <cellStyle name="20% - Accent1 2 3 3 3 3 2" xfId="16454"/>
    <cellStyle name="20% - Accent1 2 3 3 3 4" xfId="16455"/>
    <cellStyle name="20% - Accent1 2 3 3 3 5" xfId="16456"/>
    <cellStyle name="20% - Accent1 2 3 3 3 6" xfId="16457"/>
    <cellStyle name="20% - Accent1 2 3 3 3 7" xfId="16458"/>
    <cellStyle name="20% - Accent1 2 3 3 4" xfId="16459"/>
    <cellStyle name="20% - Accent1 2 3 3 4 2" xfId="16460"/>
    <cellStyle name="20% - Accent1 2 3 3 4 2 2" xfId="16461"/>
    <cellStyle name="20% - Accent1 2 3 3 4 3" xfId="16462"/>
    <cellStyle name="20% - Accent1 2 3 3 4 3 2" xfId="16463"/>
    <cellStyle name="20% - Accent1 2 3 3 4 4" xfId="16464"/>
    <cellStyle name="20% - Accent1 2 3 3 4 5" xfId="16465"/>
    <cellStyle name="20% - Accent1 2 3 3 4 6" xfId="16466"/>
    <cellStyle name="20% - Accent1 2 3 3 4 7" xfId="16467"/>
    <cellStyle name="20% - Accent1 2 3 3 5" xfId="16468"/>
    <cellStyle name="20% - Accent1 2 3 3 5 2" xfId="16469"/>
    <cellStyle name="20% - Accent1 2 3 3 5 2 2" xfId="16470"/>
    <cellStyle name="20% - Accent1 2 3 3 5 3" xfId="16471"/>
    <cellStyle name="20% - Accent1 2 3 3 5 3 2" xfId="16472"/>
    <cellStyle name="20% - Accent1 2 3 3 5 4" xfId="16473"/>
    <cellStyle name="20% - Accent1 2 3 3 5 5" xfId="16474"/>
    <cellStyle name="20% - Accent1 2 3 3 5 6" xfId="16475"/>
    <cellStyle name="20% - Accent1 2 3 3 5 7" xfId="16476"/>
    <cellStyle name="20% - Accent1 2 3 3 6" xfId="16477"/>
    <cellStyle name="20% - Accent1 2 3 3 6 2" xfId="16478"/>
    <cellStyle name="20% - Accent1 2 3 3 7" xfId="16479"/>
    <cellStyle name="20% - Accent1 2 3 3 7 2" xfId="16480"/>
    <cellStyle name="20% - Accent1 2 3 3 8" xfId="16481"/>
    <cellStyle name="20% - Accent1 2 3 3 9" xfId="16482"/>
    <cellStyle name="20% - Accent1 2 3 4" xfId="16483"/>
    <cellStyle name="20% - Accent1 2 3 4 10" xfId="16484"/>
    <cellStyle name="20% - Accent1 2 3 4 2" xfId="16485"/>
    <cellStyle name="20% - Accent1 2 3 4 2 2" xfId="16486"/>
    <cellStyle name="20% - Accent1 2 3 4 2 2 2" xfId="16487"/>
    <cellStyle name="20% - Accent1 2 3 4 2 3" xfId="16488"/>
    <cellStyle name="20% - Accent1 2 3 4 2 3 2" xfId="16489"/>
    <cellStyle name="20% - Accent1 2 3 4 2 4" xfId="16490"/>
    <cellStyle name="20% - Accent1 2 3 4 2 5" xfId="16491"/>
    <cellStyle name="20% - Accent1 2 3 4 2 6" xfId="16492"/>
    <cellStyle name="20% - Accent1 2 3 4 2 7" xfId="16493"/>
    <cellStyle name="20% - Accent1 2 3 4 3" xfId="16494"/>
    <cellStyle name="20% - Accent1 2 3 4 3 2" xfId="16495"/>
    <cellStyle name="20% - Accent1 2 3 4 3 2 2" xfId="16496"/>
    <cellStyle name="20% - Accent1 2 3 4 3 3" xfId="16497"/>
    <cellStyle name="20% - Accent1 2 3 4 3 3 2" xfId="16498"/>
    <cellStyle name="20% - Accent1 2 3 4 3 4" xfId="16499"/>
    <cellStyle name="20% - Accent1 2 3 4 3 5" xfId="16500"/>
    <cellStyle name="20% - Accent1 2 3 4 3 6" xfId="16501"/>
    <cellStyle name="20% - Accent1 2 3 4 3 7" xfId="16502"/>
    <cellStyle name="20% - Accent1 2 3 4 4" xfId="16503"/>
    <cellStyle name="20% - Accent1 2 3 4 4 2" xfId="16504"/>
    <cellStyle name="20% - Accent1 2 3 4 4 2 2" xfId="16505"/>
    <cellStyle name="20% - Accent1 2 3 4 4 3" xfId="16506"/>
    <cellStyle name="20% - Accent1 2 3 4 4 3 2" xfId="16507"/>
    <cellStyle name="20% - Accent1 2 3 4 4 4" xfId="16508"/>
    <cellStyle name="20% - Accent1 2 3 4 4 5" xfId="16509"/>
    <cellStyle name="20% - Accent1 2 3 4 4 6" xfId="16510"/>
    <cellStyle name="20% - Accent1 2 3 4 4 7" xfId="16511"/>
    <cellStyle name="20% - Accent1 2 3 4 5" xfId="16512"/>
    <cellStyle name="20% - Accent1 2 3 4 5 2" xfId="16513"/>
    <cellStyle name="20% - Accent1 2 3 4 6" xfId="16514"/>
    <cellStyle name="20% - Accent1 2 3 4 6 2" xfId="16515"/>
    <cellStyle name="20% - Accent1 2 3 4 7" xfId="16516"/>
    <cellStyle name="20% - Accent1 2 3 4 8" xfId="16517"/>
    <cellStyle name="20% - Accent1 2 3 4 9" xfId="16518"/>
    <cellStyle name="20% - Accent1 2 3 5" xfId="16519"/>
    <cellStyle name="20% - Accent1 2 3 5 2" xfId="16520"/>
    <cellStyle name="20% - Accent1 2 3 5 2 2" xfId="16521"/>
    <cellStyle name="20% - Accent1 2 3 5 3" xfId="16522"/>
    <cellStyle name="20% - Accent1 2 3 5 3 2" xfId="16523"/>
    <cellStyle name="20% - Accent1 2 3 5 4" xfId="16524"/>
    <cellStyle name="20% - Accent1 2 3 5 5" xfId="16525"/>
    <cellStyle name="20% - Accent1 2 3 5 6" xfId="16526"/>
    <cellStyle name="20% - Accent1 2 3 5 7" xfId="16527"/>
    <cellStyle name="20% - Accent1 2 3 6" xfId="16528"/>
    <cellStyle name="20% - Accent1 2 3 6 2" xfId="16529"/>
    <cellStyle name="20% - Accent1 2 3 6 2 2" xfId="16530"/>
    <cellStyle name="20% - Accent1 2 3 6 3" xfId="16531"/>
    <cellStyle name="20% - Accent1 2 3 6 3 2" xfId="16532"/>
    <cellStyle name="20% - Accent1 2 3 6 4" xfId="16533"/>
    <cellStyle name="20% - Accent1 2 3 6 5" xfId="16534"/>
    <cellStyle name="20% - Accent1 2 3 6 6" xfId="16535"/>
    <cellStyle name="20% - Accent1 2 3 6 7" xfId="16536"/>
    <cellStyle name="20% - Accent1 2 3 7" xfId="16537"/>
    <cellStyle name="20% - Accent1 2 3 7 2" xfId="16538"/>
    <cellStyle name="20% - Accent1 2 3 7 2 2" xfId="16539"/>
    <cellStyle name="20% - Accent1 2 3 7 3" xfId="16540"/>
    <cellStyle name="20% - Accent1 2 3 7 3 2" xfId="16541"/>
    <cellStyle name="20% - Accent1 2 3 7 4" xfId="16542"/>
    <cellStyle name="20% - Accent1 2 3 7 5" xfId="16543"/>
    <cellStyle name="20% - Accent1 2 3 7 6" xfId="16544"/>
    <cellStyle name="20% - Accent1 2 3 7 7" xfId="16545"/>
    <cellStyle name="20% - Accent1 2 3 8" xfId="16546"/>
    <cellStyle name="20% - Accent1 2 3 8 2" xfId="16547"/>
    <cellStyle name="20% - Accent1 2 3 9" xfId="16548"/>
    <cellStyle name="20% - Accent1 2 3 9 2" xfId="16549"/>
    <cellStyle name="20% - Accent1 2 4" xfId="16550"/>
    <cellStyle name="20% - Accent1 2 4 10" xfId="16551"/>
    <cellStyle name="20% - Accent1 2 4 11" xfId="16552"/>
    <cellStyle name="20% - Accent1 2 4 12" xfId="16553"/>
    <cellStyle name="20% - Accent1 2 4 13" xfId="16554"/>
    <cellStyle name="20% - Accent1 2 4 2" xfId="16555"/>
    <cellStyle name="20% - Accent1 2 4 2 10" xfId="16556"/>
    <cellStyle name="20% - Accent1 2 4 2 11" xfId="16557"/>
    <cellStyle name="20% - Accent1 2 4 2 2" xfId="16558"/>
    <cellStyle name="20% - Accent1 2 4 2 2 10" xfId="16559"/>
    <cellStyle name="20% - Accent1 2 4 2 2 2" xfId="16560"/>
    <cellStyle name="20% - Accent1 2 4 2 2 2 2" xfId="16561"/>
    <cellStyle name="20% - Accent1 2 4 2 2 2 2 2" xfId="16562"/>
    <cellStyle name="20% - Accent1 2 4 2 2 2 3" xfId="16563"/>
    <cellStyle name="20% - Accent1 2 4 2 2 2 3 2" xfId="16564"/>
    <cellStyle name="20% - Accent1 2 4 2 2 2 4" xfId="16565"/>
    <cellStyle name="20% - Accent1 2 4 2 2 2 5" xfId="16566"/>
    <cellStyle name="20% - Accent1 2 4 2 2 2 6" xfId="16567"/>
    <cellStyle name="20% - Accent1 2 4 2 2 2 7" xfId="16568"/>
    <cellStyle name="20% - Accent1 2 4 2 2 3" xfId="16569"/>
    <cellStyle name="20% - Accent1 2 4 2 2 3 2" xfId="16570"/>
    <cellStyle name="20% - Accent1 2 4 2 2 3 2 2" xfId="16571"/>
    <cellStyle name="20% - Accent1 2 4 2 2 3 3" xfId="16572"/>
    <cellStyle name="20% - Accent1 2 4 2 2 3 3 2" xfId="16573"/>
    <cellStyle name="20% - Accent1 2 4 2 2 3 4" xfId="16574"/>
    <cellStyle name="20% - Accent1 2 4 2 2 3 5" xfId="16575"/>
    <cellStyle name="20% - Accent1 2 4 2 2 3 6" xfId="16576"/>
    <cellStyle name="20% - Accent1 2 4 2 2 3 7" xfId="16577"/>
    <cellStyle name="20% - Accent1 2 4 2 2 4" xfId="16578"/>
    <cellStyle name="20% - Accent1 2 4 2 2 4 2" xfId="16579"/>
    <cellStyle name="20% - Accent1 2 4 2 2 4 2 2" xfId="16580"/>
    <cellStyle name="20% - Accent1 2 4 2 2 4 3" xfId="16581"/>
    <cellStyle name="20% - Accent1 2 4 2 2 4 3 2" xfId="16582"/>
    <cellStyle name="20% - Accent1 2 4 2 2 4 4" xfId="16583"/>
    <cellStyle name="20% - Accent1 2 4 2 2 4 5" xfId="16584"/>
    <cellStyle name="20% - Accent1 2 4 2 2 4 6" xfId="16585"/>
    <cellStyle name="20% - Accent1 2 4 2 2 4 7" xfId="16586"/>
    <cellStyle name="20% - Accent1 2 4 2 2 5" xfId="16587"/>
    <cellStyle name="20% - Accent1 2 4 2 2 5 2" xfId="16588"/>
    <cellStyle name="20% - Accent1 2 4 2 2 6" xfId="16589"/>
    <cellStyle name="20% - Accent1 2 4 2 2 6 2" xfId="16590"/>
    <cellStyle name="20% - Accent1 2 4 2 2 7" xfId="16591"/>
    <cellStyle name="20% - Accent1 2 4 2 2 8" xfId="16592"/>
    <cellStyle name="20% - Accent1 2 4 2 2 9" xfId="16593"/>
    <cellStyle name="20% - Accent1 2 4 2 3" xfId="16594"/>
    <cellStyle name="20% - Accent1 2 4 2 3 2" xfId="16595"/>
    <cellStyle name="20% - Accent1 2 4 2 3 2 2" xfId="16596"/>
    <cellStyle name="20% - Accent1 2 4 2 3 3" xfId="16597"/>
    <cellStyle name="20% - Accent1 2 4 2 3 3 2" xfId="16598"/>
    <cellStyle name="20% - Accent1 2 4 2 3 4" xfId="16599"/>
    <cellStyle name="20% - Accent1 2 4 2 3 5" xfId="16600"/>
    <cellStyle name="20% - Accent1 2 4 2 3 6" xfId="16601"/>
    <cellStyle name="20% - Accent1 2 4 2 3 7" xfId="16602"/>
    <cellStyle name="20% - Accent1 2 4 2 4" xfId="16603"/>
    <cellStyle name="20% - Accent1 2 4 2 4 2" xfId="16604"/>
    <cellStyle name="20% - Accent1 2 4 2 4 2 2" xfId="16605"/>
    <cellStyle name="20% - Accent1 2 4 2 4 3" xfId="16606"/>
    <cellStyle name="20% - Accent1 2 4 2 4 3 2" xfId="16607"/>
    <cellStyle name="20% - Accent1 2 4 2 4 4" xfId="16608"/>
    <cellStyle name="20% - Accent1 2 4 2 4 5" xfId="16609"/>
    <cellStyle name="20% - Accent1 2 4 2 4 6" xfId="16610"/>
    <cellStyle name="20% - Accent1 2 4 2 4 7" xfId="16611"/>
    <cellStyle name="20% - Accent1 2 4 2 5" xfId="16612"/>
    <cellStyle name="20% - Accent1 2 4 2 5 2" xfId="16613"/>
    <cellStyle name="20% - Accent1 2 4 2 5 2 2" xfId="16614"/>
    <cellStyle name="20% - Accent1 2 4 2 5 3" xfId="16615"/>
    <cellStyle name="20% - Accent1 2 4 2 5 3 2" xfId="16616"/>
    <cellStyle name="20% - Accent1 2 4 2 5 4" xfId="16617"/>
    <cellStyle name="20% - Accent1 2 4 2 5 5" xfId="16618"/>
    <cellStyle name="20% - Accent1 2 4 2 5 6" xfId="16619"/>
    <cellStyle name="20% - Accent1 2 4 2 5 7" xfId="16620"/>
    <cellStyle name="20% - Accent1 2 4 2 6" xfId="16621"/>
    <cellStyle name="20% - Accent1 2 4 2 6 2" xfId="16622"/>
    <cellStyle name="20% - Accent1 2 4 2 7" xfId="16623"/>
    <cellStyle name="20% - Accent1 2 4 2 7 2" xfId="16624"/>
    <cellStyle name="20% - Accent1 2 4 2 8" xfId="16625"/>
    <cellStyle name="20% - Accent1 2 4 2 9" xfId="16626"/>
    <cellStyle name="20% - Accent1 2 4 3" xfId="16627"/>
    <cellStyle name="20% - Accent1 2 4 3 10" xfId="16628"/>
    <cellStyle name="20% - Accent1 2 4 3 11" xfId="16629"/>
    <cellStyle name="20% - Accent1 2 4 3 2" xfId="16630"/>
    <cellStyle name="20% - Accent1 2 4 3 2 10" xfId="16631"/>
    <cellStyle name="20% - Accent1 2 4 3 2 2" xfId="16632"/>
    <cellStyle name="20% - Accent1 2 4 3 2 2 2" xfId="16633"/>
    <cellStyle name="20% - Accent1 2 4 3 2 2 2 2" xfId="16634"/>
    <cellStyle name="20% - Accent1 2 4 3 2 2 3" xfId="16635"/>
    <cellStyle name="20% - Accent1 2 4 3 2 2 3 2" xfId="16636"/>
    <cellStyle name="20% - Accent1 2 4 3 2 2 4" xfId="16637"/>
    <cellStyle name="20% - Accent1 2 4 3 2 2 5" xfId="16638"/>
    <cellStyle name="20% - Accent1 2 4 3 2 2 6" xfId="16639"/>
    <cellStyle name="20% - Accent1 2 4 3 2 2 7" xfId="16640"/>
    <cellStyle name="20% - Accent1 2 4 3 2 3" xfId="16641"/>
    <cellStyle name="20% - Accent1 2 4 3 2 3 2" xfId="16642"/>
    <cellStyle name="20% - Accent1 2 4 3 2 3 2 2" xfId="16643"/>
    <cellStyle name="20% - Accent1 2 4 3 2 3 3" xfId="16644"/>
    <cellStyle name="20% - Accent1 2 4 3 2 3 3 2" xfId="16645"/>
    <cellStyle name="20% - Accent1 2 4 3 2 3 4" xfId="16646"/>
    <cellStyle name="20% - Accent1 2 4 3 2 3 5" xfId="16647"/>
    <cellStyle name="20% - Accent1 2 4 3 2 3 6" xfId="16648"/>
    <cellStyle name="20% - Accent1 2 4 3 2 3 7" xfId="16649"/>
    <cellStyle name="20% - Accent1 2 4 3 2 4" xfId="16650"/>
    <cellStyle name="20% - Accent1 2 4 3 2 4 2" xfId="16651"/>
    <cellStyle name="20% - Accent1 2 4 3 2 4 2 2" xfId="16652"/>
    <cellStyle name="20% - Accent1 2 4 3 2 4 3" xfId="16653"/>
    <cellStyle name="20% - Accent1 2 4 3 2 4 3 2" xfId="16654"/>
    <cellStyle name="20% - Accent1 2 4 3 2 4 4" xfId="16655"/>
    <cellStyle name="20% - Accent1 2 4 3 2 4 5" xfId="16656"/>
    <cellStyle name="20% - Accent1 2 4 3 2 4 6" xfId="16657"/>
    <cellStyle name="20% - Accent1 2 4 3 2 4 7" xfId="16658"/>
    <cellStyle name="20% - Accent1 2 4 3 2 5" xfId="16659"/>
    <cellStyle name="20% - Accent1 2 4 3 2 5 2" xfId="16660"/>
    <cellStyle name="20% - Accent1 2 4 3 2 6" xfId="16661"/>
    <cellStyle name="20% - Accent1 2 4 3 2 6 2" xfId="16662"/>
    <cellStyle name="20% - Accent1 2 4 3 2 7" xfId="16663"/>
    <cellStyle name="20% - Accent1 2 4 3 2 8" xfId="16664"/>
    <cellStyle name="20% - Accent1 2 4 3 2 9" xfId="16665"/>
    <cellStyle name="20% - Accent1 2 4 3 3" xfId="16666"/>
    <cellStyle name="20% - Accent1 2 4 3 3 2" xfId="16667"/>
    <cellStyle name="20% - Accent1 2 4 3 3 2 2" xfId="16668"/>
    <cellStyle name="20% - Accent1 2 4 3 3 3" xfId="16669"/>
    <cellStyle name="20% - Accent1 2 4 3 3 3 2" xfId="16670"/>
    <cellStyle name="20% - Accent1 2 4 3 3 4" xfId="16671"/>
    <cellStyle name="20% - Accent1 2 4 3 3 5" xfId="16672"/>
    <cellStyle name="20% - Accent1 2 4 3 3 6" xfId="16673"/>
    <cellStyle name="20% - Accent1 2 4 3 3 7" xfId="16674"/>
    <cellStyle name="20% - Accent1 2 4 3 4" xfId="16675"/>
    <cellStyle name="20% - Accent1 2 4 3 4 2" xfId="16676"/>
    <cellStyle name="20% - Accent1 2 4 3 4 2 2" xfId="16677"/>
    <cellStyle name="20% - Accent1 2 4 3 4 3" xfId="16678"/>
    <cellStyle name="20% - Accent1 2 4 3 4 3 2" xfId="16679"/>
    <cellStyle name="20% - Accent1 2 4 3 4 4" xfId="16680"/>
    <cellStyle name="20% - Accent1 2 4 3 4 5" xfId="16681"/>
    <cellStyle name="20% - Accent1 2 4 3 4 6" xfId="16682"/>
    <cellStyle name="20% - Accent1 2 4 3 4 7" xfId="16683"/>
    <cellStyle name="20% - Accent1 2 4 3 5" xfId="16684"/>
    <cellStyle name="20% - Accent1 2 4 3 5 2" xfId="16685"/>
    <cellStyle name="20% - Accent1 2 4 3 5 2 2" xfId="16686"/>
    <cellStyle name="20% - Accent1 2 4 3 5 3" xfId="16687"/>
    <cellStyle name="20% - Accent1 2 4 3 5 3 2" xfId="16688"/>
    <cellStyle name="20% - Accent1 2 4 3 5 4" xfId="16689"/>
    <cellStyle name="20% - Accent1 2 4 3 5 5" xfId="16690"/>
    <cellStyle name="20% - Accent1 2 4 3 5 6" xfId="16691"/>
    <cellStyle name="20% - Accent1 2 4 3 5 7" xfId="16692"/>
    <cellStyle name="20% - Accent1 2 4 3 6" xfId="16693"/>
    <cellStyle name="20% - Accent1 2 4 3 6 2" xfId="16694"/>
    <cellStyle name="20% - Accent1 2 4 3 7" xfId="16695"/>
    <cellStyle name="20% - Accent1 2 4 3 7 2" xfId="16696"/>
    <cellStyle name="20% - Accent1 2 4 3 8" xfId="16697"/>
    <cellStyle name="20% - Accent1 2 4 3 9" xfId="16698"/>
    <cellStyle name="20% - Accent1 2 4 4" xfId="16699"/>
    <cellStyle name="20% - Accent1 2 4 4 10" xfId="16700"/>
    <cellStyle name="20% - Accent1 2 4 4 2" xfId="16701"/>
    <cellStyle name="20% - Accent1 2 4 4 2 2" xfId="16702"/>
    <cellStyle name="20% - Accent1 2 4 4 2 2 2" xfId="16703"/>
    <cellStyle name="20% - Accent1 2 4 4 2 3" xfId="16704"/>
    <cellStyle name="20% - Accent1 2 4 4 2 3 2" xfId="16705"/>
    <cellStyle name="20% - Accent1 2 4 4 2 4" xfId="16706"/>
    <cellStyle name="20% - Accent1 2 4 4 2 5" xfId="16707"/>
    <cellStyle name="20% - Accent1 2 4 4 2 6" xfId="16708"/>
    <cellStyle name="20% - Accent1 2 4 4 2 7" xfId="16709"/>
    <cellStyle name="20% - Accent1 2 4 4 3" xfId="16710"/>
    <cellStyle name="20% - Accent1 2 4 4 3 2" xfId="16711"/>
    <cellStyle name="20% - Accent1 2 4 4 3 2 2" xfId="16712"/>
    <cellStyle name="20% - Accent1 2 4 4 3 3" xfId="16713"/>
    <cellStyle name="20% - Accent1 2 4 4 3 3 2" xfId="16714"/>
    <cellStyle name="20% - Accent1 2 4 4 3 4" xfId="16715"/>
    <cellStyle name="20% - Accent1 2 4 4 3 5" xfId="16716"/>
    <cellStyle name="20% - Accent1 2 4 4 3 6" xfId="16717"/>
    <cellStyle name="20% - Accent1 2 4 4 3 7" xfId="16718"/>
    <cellStyle name="20% - Accent1 2 4 4 4" xfId="16719"/>
    <cellStyle name="20% - Accent1 2 4 4 4 2" xfId="16720"/>
    <cellStyle name="20% - Accent1 2 4 4 4 2 2" xfId="16721"/>
    <cellStyle name="20% - Accent1 2 4 4 4 3" xfId="16722"/>
    <cellStyle name="20% - Accent1 2 4 4 4 3 2" xfId="16723"/>
    <cellStyle name="20% - Accent1 2 4 4 4 4" xfId="16724"/>
    <cellStyle name="20% - Accent1 2 4 4 4 5" xfId="16725"/>
    <cellStyle name="20% - Accent1 2 4 4 4 6" xfId="16726"/>
    <cellStyle name="20% - Accent1 2 4 4 4 7" xfId="16727"/>
    <cellStyle name="20% - Accent1 2 4 4 5" xfId="16728"/>
    <cellStyle name="20% - Accent1 2 4 4 5 2" xfId="16729"/>
    <cellStyle name="20% - Accent1 2 4 4 6" xfId="16730"/>
    <cellStyle name="20% - Accent1 2 4 4 6 2" xfId="16731"/>
    <cellStyle name="20% - Accent1 2 4 4 7" xfId="16732"/>
    <cellStyle name="20% - Accent1 2 4 4 8" xfId="16733"/>
    <cellStyle name="20% - Accent1 2 4 4 9" xfId="16734"/>
    <cellStyle name="20% - Accent1 2 4 5" xfId="16735"/>
    <cellStyle name="20% - Accent1 2 4 5 2" xfId="16736"/>
    <cellStyle name="20% - Accent1 2 4 5 2 2" xfId="16737"/>
    <cellStyle name="20% - Accent1 2 4 5 3" xfId="16738"/>
    <cellStyle name="20% - Accent1 2 4 5 3 2" xfId="16739"/>
    <cellStyle name="20% - Accent1 2 4 5 4" xfId="16740"/>
    <cellStyle name="20% - Accent1 2 4 5 5" xfId="16741"/>
    <cellStyle name="20% - Accent1 2 4 5 6" xfId="16742"/>
    <cellStyle name="20% - Accent1 2 4 5 7" xfId="16743"/>
    <cellStyle name="20% - Accent1 2 4 6" xfId="16744"/>
    <cellStyle name="20% - Accent1 2 4 6 2" xfId="16745"/>
    <cellStyle name="20% - Accent1 2 4 6 2 2" xfId="16746"/>
    <cellStyle name="20% - Accent1 2 4 6 3" xfId="16747"/>
    <cellStyle name="20% - Accent1 2 4 6 3 2" xfId="16748"/>
    <cellStyle name="20% - Accent1 2 4 6 4" xfId="16749"/>
    <cellStyle name="20% - Accent1 2 4 6 5" xfId="16750"/>
    <cellStyle name="20% - Accent1 2 4 6 6" xfId="16751"/>
    <cellStyle name="20% - Accent1 2 4 6 7" xfId="16752"/>
    <cellStyle name="20% - Accent1 2 4 7" xfId="16753"/>
    <cellStyle name="20% - Accent1 2 4 7 2" xfId="16754"/>
    <cellStyle name="20% - Accent1 2 4 7 2 2" xfId="16755"/>
    <cellStyle name="20% - Accent1 2 4 7 3" xfId="16756"/>
    <cellStyle name="20% - Accent1 2 4 7 3 2" xfId="16757"/>
    <cellStyle name="20% - Accent1 2 4 7 4" xfId="16758"/>
    <cellStyle name="20% - Accent1 2 4 7 5" xfId="16759"/>
    <cellStyle name="20% - Accent1 2 4 7 6" xfId="16760"/>
    <cellStyle name="20% - Accent1 2 4 7 7" xfId="16761"/>
    <cellStyle name="20% - Accent1 2 4 8" xfId="16762"/>
    <cellStyle name="20% - Accent1 2 4 8 2" xfId="16763"/>
    <cellStyle name="20% - Accent1 2 4 9" xfId="16764"/>
    <cellStyle name="20% - Accent1 2 4 9 2" xfId="16765"/>
    <cellStyle name="20% - Accent1 2 5" xfId="16766"/>
    <cellStyle name="20% - Accent1 2 5 10" xfId="16767"/>
    <cellStyle name="20% - Accent1 2 5 11" xfId="16768"/>
    <cellStyle name="20% - Accent1 2 5 12" xfId="16769"/>
    <cellStyle name="20% - Accent1 2 5 13" xfId="16770"/>
    <cellStyle name="20% - Accent1 2 5 2" xfId="16771"/>
    <cellStyle name="20% - Accent1 2 5 2 10" xfId="16772"/>
    <cellStyle name="20% - Accent1 2 5 2 11" xfId="16773"/>
    <cellStyle name="20% - Accent1 2 5 2 2" xfId="16774"/>
    <cellStyle name="20% - Accent1 2 5 2 2 10" xfId="16775"/>
    <cellStyle name="20% - Accent1 2 5 2 2 2" xfId="16776"/>
    <cellStyle name="20% - Accent1 2 5 2 2 2 2" xfId="16777"/>
    <cellStyle name="20% - Accent1 2 5 2 2 2 2 2" xfId="16778"/>
    <cellStyle name="20% - Accent1 2 5 2 2 2 3" xfId="16779"/>
    <cellStyle name="20% - Accent1 2 5 2 2 2 3 2" xfId="16780"/>
    <cellStyle name="20% - Accent1 2 5 2 2 2 4" xfId="16781"/>
    <cellStyle name="20% - Accent1 2 5 2 2 2 5" xfId="16782"/>
    <cellStyle name="20% - Accent1 2 5 2 2 2 6" xfId="16783"/>
    <cellStyle name="20% - Accent1 2 5 2 2 2 7" xfId="16784"/>
    <cellStyle name="20% - Accent1 2 5 2 2 3" xfId="16785"/>
    <cellStyle name="20% - Accent1 2 5 2 2 3 2" xfId="16786"/>
    <cellStyle name="20% - Accent1 2 5 2 2 3 2 2" xfId="16787"/>
    <cellStyle name="20% - Accent1 2 5 2 2 3 3" xfId="16788"/>
    <cellStyle name="20% - Accent1 2 5 2 2 3 3 2" xfId="16789"/>
    <cellStyle name="20% - Accent1 2 5 2 2 3 4" xfId="16790"/>
    <cellStyle name="20% - Accent1 2 5 2 2 3 5" xfId="16791"/>
    <cellStyle name="20% - Accent1 2 5 2 2 3 6" xfId="16792"/>
    <cellStyle name="20% - Accent1 2 5 2 2 3 7" xfId="16793"/>
    <cellStyle name="20% - Accent1 2 5 2 2 4" xfId="16794"/>
    <cellStyle name="20% - Accent1 2 5 2 2 4 2" xfId="16795"/>
    <cellStyle name="20% - Accent1 2 5 2 2 4 2 2" xfId="16796"/>
    <cellStyle name="20% - Accent1 2 5 2 2 4 3" xfId="16797"/>
    <cellStyle name="20% - Accent1 2 5 2 2 4 3 2" xfId="16798"/>
    <cellStyle name="20% - Accent1 2 5 2 2 4 4" xfId="16799"/>
    <cellStyle name="20% - Accent1 2 5 2 2 4 5" xfId="16800"/>
    <cellStyle name="20% - Accent1 2 5 2 2 4 6" xfId="16801"/>
    <cellStyle name="20% - Accent1 2 5 2 2 4 7" xfId="16802"/>
    <cellStyle name="20% - Accent1 2 5 2 2 5" xfId="16803"/>
    <cellStyle name="20% - Accent1 2 5 2 2 5 2" xfId="16804"/>
    <cellStyle name="20% - Accent1 2 5 2 2 6" xfId="16805"/>
    <cellStyle name="20% - Accent1 2 5 2 2 6 2" xfId="16806"/>
    <cellStyle name="20% - Accent1 2 5 2 2 7" xfId="16807"/>
    <cellStyle name="20% - Accent1 2 5 2 2 8" xfId="16808"/>
    <cellStyle name="20% - Accent1 2 5 2 2 9" xfId="16809"/>
    <cellStyle name="20% - Accent1 2 5 2 3" xfId="16810"/>
    <cellStyle name="20% - Accent1 2 5 2 3 2" xfId="16811"/>
    <cellStyle name="20% - Accent1 2 5 2 3 2 2" xfId="16812"/>
    <cellStyle name="20% - Accent1 2 5 2 3 3" xfId="16813"/>
    <cellStyle name="20% - Accent1 2 5 2 3 3 2" xfId="16814"/>
    <cellStyle name="20% - Accent1 2 5 2 3 4" xfId="16815"/>
    <cellStyle name="20% - Accent1 2 5 2 3 5" xfId="16816"/>
    <cellStyle name="20% - Accent1 2 5 2 3 6" xfId="16817"/>
    <cellStyle name="20% - Accent1 2 5 2 3 7" xfId="16818"/>
    <cellStyle name="20% - Accent1 2 5 2 4" xfId="16819"/>
    <cellStyle name="20% - Accent1 2 5 2 4 2" xfId="16820"/>
    <cellStyle name="20% - Accent1 2 5 2 4 2 2" xfId="16821"/>
    <cellStyle name="20% - Accent1 2 5 2 4 3" xfId="16822"/>
    <cellStyle name="20% - Accent1 2 5 2 4 3 2" xfId="16823"/>
    <cellStyle name="20% - Accent1 2 5 2 4 4" xfId="16824"/>
    <cellStyle name="20% - Accent1 2 5 2 4 5" xfId="16825"/>
    <cellStyle name="20% - Accent1 2 5 2 4 6" xfId="16826"/>
    <cellStyle name="20% - Accent1 2 5 2 4 7" xfId="16827"/>
    <cellStyle name="20% - Accent1 2 5 2 5" xfId="16828"/>
    <cellStyle name="20% - Accent1 2 5 2 5 2" xfId="16829"/>
    <cellStyle name="20% - Accent1 2 5 2 5 2 2" xfId="16830"/>
    <cellStyle name="20% - Accent1 2 5 2 5 3" xfId="16831"/>
    <cellStyle name="20% - Accent1 2 5 2 5 3 2" xfId="16832"/>
    <cellStyle name="20% - Accent1 2 5 2 5 4" xfId="16833"/>
    <cellStyle name="20% - Accent1 2 5 2 5 5" xfId="16834"/>
    <cellStyle name="20% - Accent1 2 5 2 5 6" xfId="16835"/>
    <cellStyle name="20% - Accent1 2 5 2 5 7" xfId="16836"/>
    <cellStyle name="20% - Accent1 2 5 2 6" xfId="16837"/>
    <cellStyle name="20% - Accent1 2 5 2 6 2" xfId="16838"/>
    <cellStyle name="20% - Accent1 2 5 2 7" xfId="16839"/>
    <cellStyle name="20% - Accent1 2 5 2 7 2" xfId="16840"/>
    <cellStyle name="20% - Accent1 2 5 2 8" xfId="16841"/>
    <cellStyle name="20% - Accent1 2 5 2 9" xfId="16842"/>
    <cellStyle name="20% - Accent1 2 5 3" xfId="16843"/>
    <cellStyle name="20% - Accent1 2 5 3 10" xfId="16844"/>
    <cellStyle name="20% - Accent1 2 5 3 11" xfId="16845"/>
    <cellStyle name="20% - Accent1 2 5 3 2" xfId="16846"/>
    <cellStyle name="20% - Accent1 2 5 3 2 10" xfId="16847"/>
    <cellStyle name="20% - Accent1 2 5 3 2 2" xfId="16848"/>
    <cellStyle name="20% - Accent1 2 5 3 2 2 2" xfId="16849"/>
    <cellStyle name="20% - Accent1 2 5 3 2 2 2 2" xfId="16850"/>
    <cellStyle name="20% - Accent1 2 5 3 2 2 3" xfId="16851"/>
    <cellStyle name="20% - Accent1 2 5 3 2 2 3 2" xfId="16852"/>
    <cellStyle name="20% - Accent1 2 5 3 2 2 4" xfId="16853"/>
    <cellStyle name="20% - Accent1 2 5 3 2 2 5" xfId="16854"/>
    <cellStyle name="20% - Accent1 2 5 3 2 2 6" xfId="16855"/>
    <cellStyle name="20% - Accent1 2 5 3 2 2 7" xfId="16856"/>
    <cellStyle name="20% - Accent1 2 5 3 2 3" xfId="16857"/>
    <cellStyle name="20% - Accent1 2 5 3 2 3 2" xfId="16858"/>
    <cellStyle name="20% - Accent1 2 5 3 2 3 2 2" xfId="16859"/>
    <cellStyle name="20% - Accent1 2 5 3 2 3 3" xfId="16860"/>
    <cellStyle name="20% - Accent1 2 5 3 2 3 3 2" xfId="16861"/>
    <cellStyle name="20% - Accent1 2 5 3 2 3 4" xfId="16862"/>
    <cellStyle name="20% - Accent1 2 5 3 2 3 5" xfId="16863"/>
    <cellStyle name="20% - Accent1 2 5 3 2 3 6" xfId="16864"/>
    <cellStyle name="20% - Accent1 2 5 3 2 3 7" xfId="16865"/>
    <cellStyle name="20% - Accent1 2 5 3 2 4" xfId="16866"/>
    <cellStyle name="20% - Accent1 2 5 3 2 4 2" xfId="16867"/>
    <cellStyle name="20% - Accent1 2 5 3 2 4 2 2" xfId="16868"/>
    <cellStyle name="20% - Accent1 2 5 3 2 4 3" xfId="16869"/>
    <cellStyle name="20% - Accent1 2 5 3 2 4 3 2" xfId="16870"/>
    <cellStyle name="20% - Accent1 2 5 3 2 4 4" xfId="16871"/>
    <cellStyle name="20% - Accent1 2 5 3 2 4 5" xfId="16872"/>
    <cellStyle name="20% - Accent1 2 5 3 2 4 6" xfId="16873"/>
    <cellStyle name="20% - Accent1 2 5 3 2 4 7" xfId="16874"/>
    <cellStyle name="20% - Accent1 2 5 3 2 5" xfId="16875"/>
    <cellStyle name="20% - Accent1 2 5 3 2 5 2" xfId="16876"/>
    <cellStyle name="20% - Accent1 2 5 3 2 6" xfId="16877"/>
    <cellStyle name="20% - Accent1 2 5 3 2 6 2" xfId="16878"/>
    <cellStyle name="20% - Accent1 2 5 3 2 7" xfId="16879"/>
    <cellStyle name="20% - Accent1 2 5 3 2 8" xfId="16880"/>
    <cellStyle name="20% - Accent1 2 5 3 2 9" xfId="16881"/>
    <cellStyle name="20% - Accent1 2 5 3 3" xfId="16882"/>
    <cellStyle name="20% - Accent1 2 5 3 3 2" xfId="16883"/>
    <cellStyle name="20% - Accent1 2 5 3 3 2 2" xfId="16884"/>
    <cellStyle name="20% - Accent1 2 5 3 3 3" xfId="16885"/>
    <cellStyle name="20% - Accent1 2 5 3 3 3 2" xfId="16886"/>
    <cellStyle name="20% - Accent1 2 5 3 3 4" xfId="16887"/>
    <cellStyle name="20% - Accent1 2 5 3 3 5" xfId="16888"/>
    <cellStyle name="20% - Accent1 2 5 3 3 6" xfId="16889"/>
    <cellStyle name="20% - Accent1 2 5 3 3 7" xfId="16890"/>
    <cellStyle name="20% - Accent1 2 5 3 4" xfId="16891"/>
    <cellStyle name="20% - Accent1 2 5 3 4 2" xfId="16892"/>
    <cellStyle name="20% - Accent1 2 5 3 4 2 2" xfId="16893"/>
    <cellStyle name="20% - Accent1 2 5 3 4 3" xfId="16894"/>
    <cellStyle name="20% - Accent1 2 5 3 4 3 2" xfId="16895"/>
    <cellStyle name="20% - Accent1 2 5 3 4 4" xfId="16896"/>
    <cellStyle name="20% - Accent1 2 5 3 4 5" xfId="16897"/>
    <cellStyle name="20% - Accent1 2 5 3 4 6" xfId="16898"/>
    <cellStyle name="20% - Accent1 2 5 3 4 7" xfId="16899"/>
    <cellStyle name="20% - Accent1 2 5 3 5" xfId="16900"/>
    <cellStyle name="20% - Accent1 2 5 3 5 2" xfId="16901"/>
    <cellStyle name="20% - Accent1 2 5 3 5 2 2" xfId="16902"/>
    <cellStyle name="20% - Accent1 2 5 3 5 3" xfId="16903"/>
    <cellStyle name="20% - Accent1 2 5 3 5 3 2" xfId="16904"/>
    <cellStyle name="20% - Accent1 2 5 3 5 4" xfId="16905"/>
    <cellStyle name="20% - Accent1 2 5 3 5 5" xfId="16906"/>
    <cellStyle name="20% - Accent1 2 5 3 5 6" xfId="16907"/>
    <cellStyle name="20% - Accent1 2 5 3 5 7" xfId="16908"/>
    <cellStyle name="20% - Accent1 2 5 3 6" xfId="16909"/>
    <cellStyle name="20% - Accent1 2 5 3 6 2" xfId="16910"/>
    <cellStyle name="20% - Accent1 2 5 3 7" xfId="16911"/>
    <cellStyle name="20% - Accent1 2 5 3 7 2" xfId="16912"/>
    <cellStyle name="20% - Accent1 2 5 3 8" xfId="16913"/>
    <cellStyle name="20% - Accent1 2 5 3 9" xfId="16914"/>
    <cellStyle name="20% - Accent1 2 5 4" xfId="16915"/>
    <cellStyle name="20% - Accent1 2 5 4 10" xfId="16916"/>
    <cellStyle name="20% - Accent1 2 5 4 2" xfId="16917"/>
    <cellStyle name="20% - Accent1 2 5 4 2 2" xfId="16918"/>
    <cellStyle name="20% - Accent1 2 5 4 2 2 2" xfId="16919"/>
    <cellStyle name="20% - Accent1 2 5 4 2 3" xfId="16920"/>
    <cellStyle name="20% - Accent1 2 5 4 2 3 2" xfId="16921"/>
    <cellStyle name="20% - Accent1 2 5 4 2 4" xfId="16922"/>
    <cellStyle name="20% - Accent1 2 5 4 2 5" xfId="16923"/>
    <cellStyle name="20% - Accent1 2 5 4 2 6" xfId="16924"/>
    <cellStyle name="20% - Accent1 2 5 4 2 7" xfId="16925"/>
    <cellStyle name="20% - Accent1 2 5 4 3" xfId="16926"/>
    <cellStyle name="20% - Accent1 2 5 4 3 2" xfId="16927"/>
    <cellStyle name="20% - Accent1 2 5 4 3 2 2" xfId="16928"/>
    <cellStyle name="20% - Accent1 2 5 4 3 3" xfId="16929"/>
    <cellStyle name="20% - Accent1 2 5 4 3 3 2" xfId="16930"/>
    <cellStyle name="20% - Accent1 2 5 4 3 4" xfId="16931"/>
    <cellStyle name="20% - Accent1 2 5 4 3 5" xfId="16932"/>
    <cellStyle name="20% - Accent1 2 5 4 3 6" xfId="16933"/>
    <cellStyle name="20% - Accent1 2 5 4 3 7" xfId="16934"/>
    <cellStyle name="20% - Accent1 2 5 4 4" xfId="16935"/>
    <cellStyle name="20% - Accent1 2 5 4 4 2" xfId="16936"/>
    <cellStyle name="20% - Accent1 2 5 4 4 2 2" xfId="16937"/>
    <cellStyle name="20% - Accent1 2 5 4 4 3" xfId="16938"/>
    <cellStyle name="20% - Accent1 2 5 4 4 3 2" xfId="16939"/>
    <cellStyle name="20% - Accent1 2 5 4 4 4" xfId="16940"/>
    <cellStyle name="20% - Accent1 2 5 4 4 5" xfId="16941"/>
    <cellStyle name="20% - Accent1 2 5 4 4 6" xfId="16942"/>
    <cellStyle name="20% - Accent1 2 5 4 4 7" xfId="16943"/>
    <cellStyle name="20% - Accent1 2 5 4 5" xfId="16944"/>
    <cellStyle name="20% - Accent1 2 5 4 5 2" xfId="16945"/>
    <cellStyle name="20% - Accent1 2 5 4 6" xfId="16946"/>
    <cellStyle name="20% - Accent1 2 5 4 6 2" xfId="16947"/>
    <cellStyle name="20% - Accent1 2 5 4 7" xfId="16948"/>
    <cellStyle name="20% - Accent1 2 5 4 8" xfId="16949"/>
    <cellStyle name="20% - Accent1 2 5 4 9" xfId="16950"/>
    <cellStyle name="20% - Accent1 2 5 5" xfId="16951"/>
    <cellStyle name="20% - Accent1 2 5 5 2" xfId="16952"/>
    <cellStyle name="20% - Accent1 2 5 5 2 2" xfId="16953"/>
    <cellStyle name="20% - Accent1 2 5 5 3" xfId="16954"/>
    <cellStyle name="20% - Accent1 2 5 5 3 2" xfId="16955"/>
    <cellStyle name="20% - Accent1 2 5 5 4" xfId="16956"/>
    <cellStyle name="20% - Accent1 2 5 5 5" xfId="16957"/>
    <cellStyle name="20% - Accent1 2 5 5 6" xfId="16958"/>
    <cellStyle name="20% - Accent1 2 5 5 7" xfId="16959"/>
    <cellStyle name="20% - Accent1 2 5 6" xfId="16960"/>
    <cellStyle name="20% - Accent1 2 5 6 2" xfId="16961"/>
    <cellStyle name="20% - Accent1 2 5 6 2 2" xfId="16962"/>
    <cellStyle name="20% - Accent1 2 5 6 3" xfId="16963"/>
    <cellStyle name="20% - Accent1 2 5 6 3 2" xfId="16964"/>
    <cellStyle name="20% - Accent1 2 5 6 4" xfId="16965"/>
    <cellStyle name="20% - Accent1 2 5 6 5" xfId="16966"/>
    <cellStyle name="20% - Accent1 2 5 6 6" xfId="16967"/>
    <cellStyle name="20% - Accent1 2 5 6 7" xfId="16968"/>
    <cellStyle name="20% - Accent1 2 5 7" xfId="16969"/>
    <cellStyle name="20% - Accent1 2 5 7 2" xfId="16970"/>
    <cellStyle name="20% - Accent1 2 5 7 2 2" xfId="16971"/>
    <cellStyle name="20% - Accent1 2 5 7 3" xfId="16972"/>
    <cellStyle name="20% - Accent1 2 5 7 3 2" xfId="16973"/>
    <cellStyle name="20% - Accent1 2 5 7 4" xfId="16974"/>
    <cellStyle name="20% - Accent1 2 5 7 5" xfId="16975"/>
    <cellStyle name="20% - Accent1 2 5 7 6" xfId="16976"/>
    <cellStyle name="20% - Accent1 2 5 7 7" xfId="16977"/>
    <cellStyle name="20% - Accent1 2 5 8" xfId="16978"/>
    <cellStyle name="20% - Accent1 2 5 8 2" xfId="16979"/>
    <cellStyle name="20% - Accent1 2 5 9" xfId="16980"/>
    <cellStyle name="20% - Accent1 2 5 9 2" xfId="16981"/>
    <cellStyle name="20% - Accent1 2 6" xfId="16982"/>
    <cellStyle name="20% - Accent1 2 6 10" xfId="16983"/>
    <cellStyle name="20% - Accent1 2 6 11" xfId="16984"/>
    <cellStyle name="20% - Accent1 2 6 12" xfId="16985"/>
    <cellStyle name="20% - Accent1 2 6 13" xfId="16986"/>
    <cellStyle name="20% - Accent1 2 6 2" xfId="16987"/>
    <cellStyle name="20% - Accent1 2 6 2 10" xfId="16988"/>
    <cellStyle name="20% - Accent1 2 6 2 11" xfId="16989"/>
    <cellStyle name="20% - Accent1 2 6 2 2" xfId="16990"/>
    <cellStyle name="20% - Accent1 2 6 2 2 10" xfId="16991"/>
    <cellStyle name="20% - Accent1 2 6 2 2 2" xfId="16992"/>
    <cellStyle name="20% - Accent1 2 6 2 2 2 2" xfId="16993"/>
    <cellStyle name="20% - Accent1 2 6 2 2 2 2 2" xfId="16994"/>
    <cellStyle name="20% - Accent1 2 6 2 2 2 3" xfId="16995"/>
    <cellStyle name="20% - Accent1 2 6 2 2 2 3 2" xfId="16996"/>
    <cellStyle name="20% - Accent1 2 6 2 2 2 4" xfId="16997"/>
    <cellStyle name="20% - Accent1 2 6 2 2 2 5" xfId="16998"/>
    <cellStyle name="20% - Accent1 2 6 2 2 2 6" xfId="16999"/>
    <cellStyle name="20% - Accent1 2 6 2 2 2 7" xfId="17000"/>
    <cellStyle name="20% - Accent1 2 6 2 2 3" xfId="17001"/>
    <cellStyle name="20% - Accent1 2 6 2 2 3 2" xfId="17002"/>
    <cellStyle name="20% - Accent1 2 6 2 2 3 2 2" xfId="17003"/>
    <cellStyle name="20% - Accent1 2 6 2 2 3 3" xfId="17004"/>
    <cellStyle name="20% - Accent1 2 6 2 2 3 3 2" xfId="17005"/>
    <cellStyle name="20% - Accent1 2 6 2 2 3 4" xfId="17006"/>
    <cellStyle name="20% - Accent1 2 6 2 2 3 5" xfId="17007"/>
    <cellStyle name="20% - Accent1 2 6 2 2 3 6" xfId="17008"/>
    <cellStyle name="20% - Accent1 2 6 2 2 3 7" xfId="17009"/>
    <cellStyle name="20% - Accent1 2 6 2 2 4" xfId="17010"/>
    <cellStyle name="20% - Accent1 2 6 2 2 4 2" xfId="17011"/>
    <cellStyle name="20% - Accent1 2 6 2 2 4 2 2" xfId="17012"/>
    <cellStyle name="20% - Accent1 2 6 2 2 4 3" xfId="17013"/>
    <cellStyle name="20% - Accent1 2 6 2 2 4 3 2" xfId="17014"/>
    <cellStyle name="20% - Accent1 2 6 2 2 4 4" xfId="17015"/>
    <cellStyle name="20% - Accent1 2 6 2 2 4 5" xfId="17016"/>
    <cellStyle name="20% - Accent1 2 6 2 2 4 6" xfId="17017"/>
    <cellStyle name="20% - Accent1 2 6 2 2 4 7" xfId="17018"/>
    <cellStyle name="20% - Accent1 2 6 2 2 5" xfId="17019"/>
    <cellStyle name="20% - Accent1 2 6 2 2 5 2" xfId="17020"/>
    <cellStyle name="20% - Accent1 2 6 2 2 6" xfId="17021"/>
    <cellStyle name="20% - Accent1 2 6 2 2 6 2" xfId="17022"/>
    <cellStyle name="20% - Accent1 2 6 2 2 7" xfId="17023"/>
    <cellStyle name="20% - Accent1 2 6 2 2 8" xfId="17024"/>
    <cellStyle name="20% - Accent1 2 6 2 2 9" xfId="17025"/>
    <cellStyle name="20% - Accent1 2 6 2 3" xfId="17026"/>
    <cellStyle name="20% - Accent1 2 6 2 3 2" xfId="17027"/>
    <cellStyle name="20% - Accent1 2 6 2 3 2 2" xfId="17028"/>
    <cellStyle name="20% - Accent1 2 6 2 3 3" xfId="17029"/>
    <cellStyle name="20% - Accent1 2 6 2 3 3 2" xfId="17030"/>
    <cellStyle name="20% - Accent1 2 6 2 3 4" xfId="17031"/>
    <cellStyle name="20% - Accent1 2 6 2 3 5" xfId="17032"/>
    <cellStyle name="20% - Accent1 2 6 2 3 6" xfId="17033"/>
    <cellStyle name="20% - Accent1 2 6 2 3 7" xfId="17034"/>
    <cellStyle name="20% - Accent1 2 6 2 4" xfId="17035"/>
    <cellStyle name="20% - Accent1 2 6 2 4 2" xfId="17036"/>
    <cellStyle name="20% - Accent1 2 6 2 4 2 2" xfId="17037"/>
    <cellStyle name="20% - Accent1 2 6 2 4 3" xfId="17038"/>
    <cellStyle name="20% - Accent1 2 6 2 4 3 2" xfId="17039"/>
    <cellStyle name="20% - Accent1 2 6 2 4 4" xfId="17040"/>
    <cellStyle name="20% - Accent1 2 6 2 4 5" xfId="17041"/>
    <cellStyle name="20% - Accent1 2 6 2 4 6" xfId="17042"/>
    <cellStyle name="20% - Accent1 2 6 2 4 7" xfId="17043"/>
    <cellStyle name="20% - Accent1 2 6 2 5" xfId="17044"/>
    <cellStyle name="20% - Accent1 2 6 2 5 2" xfId="17045"/>
    <cellStyle name="20% - Accent1 2 6 2 5 2 2" xfId="17046"/>
    <cellStyle name="20% - Accent1 2 6 2 5 3" xfId="17047"/>
    <cellStyle name="20% - Accent1 2 6 2 5 3 2" xfId="17048"/>
    <cellStyle name="20% - Accent1 2 6 2 5 4" xfId="17049"/>
    <cellStyle name="20% - Accent1 2 6 2 5 5" xfId="17050"/>
    <cellStyle name="20% - Accent1 2 6 2 5 6" xfId="17051"/>
    <cellStyle name="20% - Accent1 2 6 2 5 7" xfId="17052"/>
    <cellStyle name="20% - Accent1 2 6 2 6" xfId="17053"/>
    <cellStyle name="20% - Accent1 2 6 2 6 2" xfId="17054"/>
    <cellStyle name="20% - Accent1 2 6 2 7" xfId="17055"/>
    <cellStyle name="20% - Accent1 2 6 2 7 2" xfId="17056"/>
    <cellStyle name="20% - Accent1 2 6 2 8" xfId="17057"/>
    <cellStyle name="20% - Accent1 2 6 2 9" xfId="17058"/>
    <cellStyle name="20% - Accent1 2 6 3" xfId="17059"/>
    <cellStyle name="20% - Accent1 2 6 3 10" xfId="17060"/>
    <cellStyle name="20% - Accent1 2 6 3 11" xfId="17061"/>
    <cellStyle name="20% - Accent1 2 6 3 2" xfId="17062"/>
    <cellStyle name="20% - Accent1 2 6 3 2 10" xfId="17063"/>
    <cellStyle name="20% - Accent1 2 6 3 2 2" xfId="17064"/>
    <cellStyle name="20% - Accent1 2 6 3 2 2 2" xfId="17065"/>
    <cellStyle name="20% - Accent1 2 6 3 2 2 2 2" xfId="17066"/>
    <cellStyle name="20% - Accent1 2 6 3 2 2 3" xfId="17067"/>
    <cellStyle name="20% - Accent1 2 6 3 2 2 3 2" xfId="17068"/>
    <cellStyle name="20% - Accent1 2 6 3 2 2 4" xfId="17069"/>
    <cellStyle name="20% - Accent1 2 6 3 2 2 5" xfId="17070"/>
    <cellStyle name="20% - Accent1 2 6 3 2 2 6" xfId="17071"/>
    <cellStyle name="20% - Accent1 2 6 3 2 2 7" xfId="17072"/>
    <cellStyle name="20% - Accent1 2 6 3 2 3" xfId="17073"/>
    <cellStyle name="20% - Accent1 2 6 3 2 3 2" xfId="17074"/>
    <cellStyle name="20% - Accent1 2 6 3 2 3 2 2" xfId="17075"/>
    <cellStyle name="20% - Accent1 2 6 3 2 3 3" xfId="17076"/>
    <cellStyle name="20% - Accent1 2 6 3 2 3 3 2" xfId="17077"/>
    <cellStyle name="20% - Accent1 2 6 3 2 3 4" xfId="17078"/>
    <cellStyle name="20% - Accent1 2 6 3 2 3 5" xfId="17079"/>
    <cellStyle name="20% - Accent1 2 6 3 2 3 6" xfId="17080"/>
    <cellStyle name="20% - Accent1 2 6 3 2 3 7" xfId="17081"/>
    <cellStyle name="20% - Accent1 2 6 3 2 4" xfId="17082"/>
    <cellStyle name="20% - Accent1 2 6 3 2 4 2" xfId="17083"/>
    <cellStyle name="20% - Accent1 2 6 3 2 4 2 2" xfId="17084"/>
    <cellStyle name="20% - Accent1 2 6 3 2 4 3" xfId="17085"/>
    <cellStyle name="20% - Accent1 2 6 3 2 4 3 2" xfId="17086"/>
    <cellStyle name="20% - Accent1 2 6 3 2 4 4" xfId="17087"/>
    <cellStyle name="20% - Accent1 2 6 3 2 4 5" xfId="17088"/>
    <cellStyle name="20% - Accent1 2 6 3 2 4 6" xfId="17089"/>
    <cellStyle name="20% - Accent1 2 6 3 2 4 7" xfId="17090"/>
    <cellStyle name="20% - Accent1 2 6 3 2 5" xfId="17091"/>
    <cellStyle name="20% - Accent1 2 6 3 2 5 2" xfId="17092"/>
    <cellStyle name="20% - Accent1 2 6 3 2 6" xfId="17093"/>
    <cellStyle name="20% - Accent1 2 6 3 2 6 2" xfId="17094"/>
    <cellStyle name="20% - Accent1 2 6 3 2 7" xfId="17095"/>
    <cellStyle name="20% - Accent1 2 6 3 2 8" xfId="17096"/>
    <cellStyle name="20% - Accent1 2 6 3 2 9" xfId="17097"/>
    <cellStyle name="20% - Accent1 2 6 3 3" xfId="17098"/>
    <cellStyle name="20% - Accent1 2 6 3 3 2" xfId="17099"/>
    <cellStyle name="20% - Accent1 2 6 3 3 2 2" xfId="17100"/>
    <cellStyle name="20% - Accent1 2 6 3 3 3" xfId="17101"/>
    <cellStyle name="20% - Accent1 2 6 3 3 3 2" xfId="17102"/>
    <cellStyle name="20% - Accent1 2 6 3 3 4" xfId="17103"/>
    <cellStyle name="20% - Accent1 2 6 3 3 5" xfId="17104"/>
    <cellStyle name="20% - Accent1 2 6 3 3 6" xfId="17105"/>
    <cellStyle name="20% - Accent1 2 6 3 3 7" xfId="17106"/>
    <cellStyle name="20% - Accent1 2 6 3 4" xfId="17107"/>
    <cellStyle name="20% - Accent1 2 6 3 4 2" xfId="17108"/>
    <cellStyle name="20% - Accent1 2 6 3 4 2 2" xfId="17109"/>
    <cellStyle name="20% - Accent1 2 6 3 4 3" xfId="17110"/>
    <cellStyle name="20% - Accent1 2 6 3 4 3 2" xfId="17111"/>
    <cellStyle name="20% - Accent1 2 6 3 4 4" xfId="17112"/>
    <cellStyle name="20% - Accent1 2 6 3 4 5" xfId="17113"/>
    <cellStyle name="20% - Accent1 2 6 3 4 6" xfId="17114"/>
    <cellStyle name="20% - Accent1 2 6 3 4 7" xfId="17115"/>
    <cellStyle name="20% - Accent1 2 6 3 5" xfId="17116"/>
    <cellStyle name="20% - Accent1 2 6 3 5 2" xfId="17117"/>
    <cellStyle name="20% - Accent1 2 6 3 5 2 2" xfId="17118"/>
    <cellStyle name="20% - Accent1 2 6 3 5 3" xfId="17119"/>
    <cellStyle name="20% - Accent1 2 6 3 5 3 2" xfId="17120"/>
    <cellStyle name="20% - Accent1 2 6 3 5 4" xfId="17121"/>
    <cellStyle name="20% - Accent1 2 6 3 5 5" xfId="17122"/>
    <cellStyle name="20% - Accent1 2 6 3 5 6" xfId="17123"/>
    <cellStyle name="20% - Accent1 2 6 3 5 7" xfId="17124"/>
    <cellStyle name="20% - Accent1 2 6 3 6" xfId="17125"/>
    <cellStyle name="20% - Accent1 2 6 3 6 2" xfId="17126"/>
    <cellStyle name="20% - Accent1 2 6 3 7" xfId="17127"/>
    <cellStyle name="20% - Accent1 2 6 3 7 2" xfId="17128"/>
    <cellStyle name="20% - Accent1 2 6 3 8" xfId="17129"/>
    <cellStyle name="20% - Accent1 2 6 3 9" xfId="17130"/>
    <cellStyle name="20% - Accent1 2 6 4" xfId="17131"/>
    <cellStyle name="20% - Accent1 2 6 4 10" xfId="17132"/>
    <cellStyle name="20% - Accent1 2 6 4 2" xfId="17133"/>
    <cellStyle name="20% - Accent1 2 6 4 2 2" xfId="17134"/>
    <cellStyle name="20% - Accent1 2 6 4 2 2 2" xfId="17135"/>
    <cellStyle name="20% - Accent1 2 6 4 2 3" xfId="17136"/>
    <cellStyle name="20% - Accent1 2 6 4 2 3 2" xfId="17137"/>
    <cellStyle name="20% - Accent1 2 6 4 2 4" xfId="17138"/>
    <cellStyle name="20% - Accent1 2 6 4 2 5" xfId="17139"/>
    <cellStyle name="20% - Accent1 2 6 4 2 6" xfId="17140"/>
    <cellStyle name="20% - Accent1 2 6 4 2 7" xfId="17141"/>
    <cellStyle name="20% - Accent1 2 6 4 3" xfId="17142"/>
    <cellStyle name="20% - Accent1 2 6 4 3 2" xfId="17143"/>
    <cellStyle name="20% - Accent1 2 6 4 3 2 2" xfId="17144"/>
    <cellStyle name="20% - Accent1 2 6 4 3 3" xfId="17145"/>
    <cellStyle name="20% - Accent1 2 6 4 3 3 2" xfId="17146"/>
    <cellStyle name="20% - Accent1 2 6 4 3 4" xfId="17147"/>
    <cellStyle name="20% - Accent1 2 6 4 3 5" xfId="17148"/>
    <cellStyle name="20% - Accent1 2 6 4 3 6" xfId="17149"/>
    <cellStyle name="20% - Accent1 2 6 4 3 7" xfId="17150"/>
    <cellStyle name="20% - Accent1 2 6 4 4" xfId="17151"/>
    <cellStyle name="20% - Accent1 2 6 4 4 2" xfId="17152"/>
    <cellStyle name="20% - Accent1 2 6 4 4 2 2" xfId="17153"/>
    <cellStyle name="20% - Accent1 2 6 4 4 3" xfId="17154"/>
    <cellStyle name="20% - Accent1 2 6 4 4 3 2" xfId="17155"/>
    <cellStyle name="20% - Accent1 2 6 4 4 4" xfId="17156"/>
    <cellStyle name="20% - Accent1 2 6 4 4 5" xfId="17157"/>
    <cellStyle name="20% - Accent1 2 6 4 4 6" xfId="17158"/>
    <cellStyle name="20% - Accent1 2 6 4 4 7" xfId="17159"/>
    <cellStyle name="20% - Accent1 2 6 4 5" xfId="17160"/>
    <cellStyle name="20% - Accent1 2 6 4 5 2" xfId="17161"/>
    <cellStyle name="20% - Accent1 2 6 4 6" xfId="17162"/>
    <cellStyle name="20% - Accent1 2 6 4 6 2" xfId="17163"/>
    <cellStyle name="20% - Accent1 2 6 4 7" xfId="17164"/>
    <cellStyle name="20% - Accent1 2 6 4 8" xfId="17165"/>
    <cellStyle name="20% - Accent1 2 6 4 9" xfId="17166"/>
    <cellStyle name="20% - Accent1 2 6 5" xfId="17167"/>
    <cellStyle name="20% - Accent1 2 6 5 2" xfId="17168"/>
    <cellStyle name="20% - Accent1 2 6 5 2 2" xfId="17169"/>
    <cellStyle name="20% - Accent1 2 6 5 3" xfId="17170"/>
    <cellStyle name="20% - Accent1 2 6 5 3 2" xfId="17171"/>
    <cellStyle name="20% - Accent1 2 6 5 4" xfId="17172"/>
    <cellStyle name="20% - Accent1 2 6 5 5" xfId="17173"/>
    <cellStyle name="20% - Accent1 2 6 5 6" xfId="17174"/>
    <cellStyle name="20% - Accent1 2 6 5 7" xfId="17175"/>
    <cellStyle name="20% - Accent1 2 6 6" xfId="17176"/>
    <cellStyle name="20% - Accent1 2 6 6 2" xfId="17177"/>
    <cellStyle name="20% - Accent1 2 6 6 2 2" xfId="17178"/>
    <cellStyle name="20% - Accent1 2 6 6 3" xfId="17179"/>
    <cellStyle name="20% - Accent1 2 6 6 3 2" xfId="17180"/>
    <cellStyle name="20% - Accent1 2 6 6 4" xfId="17181"/>
    <cellStyle name="20% - Accent1 2 6 6 5" xfId="17182"/>
    <cellStyle name="20% - Accent1 2 6 6 6" xfId="17183"/>
    <cellStyle name="20% - Accent1 2 6 6 7" xfId="17184"/>
    <cellStyle name="20% - Accent1 2 6 7" xfId="17185"/>
    <cellStyle name="20% - Accent1 2 6 7 2" xfId="17186"/>
    <cellStyle name="20% - Accent1 2 6 7 2 2" xfId="17187"/>
    <cellStyle name="20% - Accent1 2 6 7 3" xfId="17188"/>
    <cellStyle name="20% - Accent1 2 6 7 3 2" xfId="17189"/>
    <cellStyle name="20% - Accent1 2 6 7 4" xfId="17190"/>
    <cellStyle name="20% - Accent1 2 6 7 5" xfId="17191"/>
    <cellStyle name="20% - Accent1 2 6 7 6" xfId="17192"/>
    <cellStyle name="20% - Accent1 2 6 7 7" xfId="17193"/>
    <cellStyle name="20% - Accent1 2 6 8" xfId="17194"/>
    <cellStyle name="20% - Accent1 2 6 8 2" xfId="17195"/>
    <cellStyle name="20% - Accent1 2 6 9" xfId="17196"/>
    <cellStyle name="20% - Accent1 2 6 9 2" xfId="17197"/>
    <cellStyle name="20% - Accent1 2 7" xfId="17198"/>
    <cellStyle name="20% - Accent1 2 7 10" xfId="17199"/>
    <cellStyle name="20% - Accent1 2 7 11" xfId="17200"/>
    <cellStyle name="20% - Accent1 2 7 2" xfId="17201"/>
    <cellStyle name="20% - Accent1 2 7 2 10" xfId="17202"/>
    <cellStyle name="20% - Accent1 2 7 2 2" xfId="17203"/>
    <cellStyle name="20% - Accent1 2 7 2 2 2" xfId="17204"/>
    <cellStyle name="20% - Accent1 2 7 2 2 2 2" xfId="17205"/>
    <cellStyle name="20% - Accent1 2 7 2 2 3" xfId="17206"/>
    <cellStyle name="20% - Accent1 2 7 2 2 3 2" xfId="17207"/>
    <cellStyle name="20% - Accent1 2 7 2 2 4" xfId="17208"/>
    <cellStyle name="20% - Accent1 2 7 2 2 5" xfId="17209"/>
    <cellStyle name="20% - Accent1 2 7 2 2 6" xfId="17210"/>
    <cellStyle name="20% - Accent1 2 7 2 2 7" xfId="17211"/>
    <cellStyle name="20% - Accent1 2 7 2 3" xfId="17212"/>
    <cellStyle name="20% - Accent1 2 7 2 3 2" xfId="17213"/>
    <cellStyle name="20% - Accent1 2 7 2 3 2 2" xfId="17214"/>
    <cellStyle name="20% - Accent1 2 7 2 3 3" xfId="17215"/>
    <cellStyle name="20% - Accent1 2 7 2 3 3 2" xfId="17216"/>
    <cellStyle name="20% - Accent1 2 7 2 3 4" xfId="17217"/>
    <cellStyle name="20% - Accent1 2 7 2 3 5" xfId="17218"/>
    <cellStyle name="20% - Accent1 2 7 2 3 6" xfId="17219"/>
    <cellStyle name="20% - Accent1 2 7 2 3 7" xfId="17220"/>
    <cellStyle name="20% - Accent1 2 7 2 4" xfId="17221"/>
    <cellStyle name="20% - Accent1 2 7 2 4 2" xfId="17222"/>
    <cellStyle name="20% - Accent1 2 7 2 4 2 2" xfId="17223"/>
    <cellStyle name="20% - Accent1 2 7 2 4 3" xfId="17224"/>
    <cellStyle name="20% - Accent1 2 7 2 4 3 2" xfId="17225"/>
    <cellStyle name="20% - Accent1 2 7 2 4 4" xfId="17226"/>
    <cellStyle name="20% - Accent1 2 7 2 4 5" xfId="17227"/>
    <cellStyle name="20% - Accent1 2 7 2 4 6" xfId="17228"/>
    <cellStyle name="20% - Accent1 2 7 2 4 7" xfId="17229"/>
    <cellStyle name="20% - Accent1 2 7 2 5" xfId="17230"/>
    <cellStyle name="20% - Accent1 2 7 2 5 2" xfId="17231"/>
    <cellStyle name="20% - Accent1 2 7 2 6" xfId="17232"/>
    <cellStyle name="20% - Accent1 2 7 2 6 2" xfId="17233"/>
    <cellStyle name="20% - Accent1 2 7 2 7" xfId="17234"/>
    <cellStyle name="20% - Accent1 2 7 2 8" xfId="17235"/>
    <cellStyle name="20% - Accent1 2 7 2 9" xfId="17236"/>
    <cellStyle name="20% - Accent1 2 7 3" xfId="17237"/>
    <cellStyle name="20% - Accent1 2 7 3 2" xfId="17238"/>
    <cellStyle name="20% - Accent1 2 7 3 2 2" xfId="17239"/>
    <cellStyle name="20% - Accent1 2 7 3 3" xfId="17240"/>
    <cellStyle name="20% - Accent1 2 7 3 3 2" xfId="17241"/>
    <cellStyle name="20% - Accent1 2 7 3 4" xfId="17242"/>
    <cellStyle name="20% - Accent1 2 7 3 5" xfId="17243"/>
    <cellStyle name="20% - Accent1 2 7 3 6" xfId="17244"/>
    <cellStyle name="20% - Accent1 2 7 3 7" xfId="17245"/>
    <cellStyle name="20% - Accent1 2 7 4" xfId="17246"/>
    <cellStyle name="20% - Accent1 2 7 4 2" xfId="17247"/>
    <cellStyle name="20% - Accent1 2 7 4 2 2" xfId="17248"/>
    <cellStyle name="20% - Accent1 2 7 4 3" xfId="17249"/>
    <cellStyle name="20% - Accent1 2 7 4 3 2" xfId="17250"/>
    <cellStyle name="20% - Accent1 2 7 4 4" xfId="17251"/>
    <cellStyle name="20% - Accent1 2 7 4 5" xfId="17252"/>
    <cellStyle name="20% - Accent1 2 7 4 6" xfId="17253"/>
    <cellStyle name="20% - Accent1 2 7 4 7" xfId="17254"/>
    <cellStyle name="20% - Accent1 2 7 5" xfId="17255"/>
    <cellStyle name="20% - Accent1 2 7 5 2" xfId="17256"/>
    <cellStyle name="20% - Accent1 2 7 5 2 2" xfId="17257"/>
    <cellStyle name="20% - Accent1 2 7 5 3" xfId="17258"/>
    <cellStyle name="20% - Accent1 2 7 5 3 2" xfId="17259"/>
    <cellStyle name="20% - Accent1 2 7 5 4" xfId="17260"/>
    <cellStyle name="20% - Accent1 2 7 5 5" xfId="17261"/>
    <cellStyle name="20% - Accent1 2 7 5 6" xfId="17262"/>
    <cellStyle name="20% - Accent1 2 7 5 7" xfId="17263"/>
    <cellStyle name="20% - Accent1 2 7 6" xfId="17264"/>
    <cellStyle name="20% - Accent1 2 7 6 2" xfId="17265"/>
    <cellStyle name="20% - Accent1 2 7 7" xfId="17266"/>
    <cellStyle name="20% - Accent1 2 7 7 2" xfId="17267"/>
    <cellStyle name="20% - Accent1 2 7 8" xfId="17268"/>
    <cellStyle name="20% - Accent1 2 7 9" xfId="17269"/>
    <cellStyle name="20% - Accent1 2 8" xfId="17270"/>
    <cellStyle name="20% - Accent1 2 8 10" xfId="17271"/>
    <cellStyle name="20% - Accent1 2 8 11" xfId="17272"/>
    <cellStyle name="20% - Accent1 2 8 2" xfId="17273"/>
    <cellStyle name="20% - Accent1 2 8 2 10" xfId="17274"/>
    <cellStyle name="20% - Accent1 2 8 2 2" xfId="17275"/>
    <cellStyle name="20% - Accent1 2 8 2 2 2" xfId="17276"/>
    <cellStyle name="20% - Accent1 2 8 2 2 2 2" xfId="17277"/>
    <cellStyle name="20% - Accent1 2 8 2 2 3" xfId="17278"/>
    <cellStyle name="20% - Accent1 2 8 2 2 3 2" xfId="17279"/>
    <cellStyle name="20% - Accent1 2 8 2 2 4" xfId="17280"/>
    <cellStyle name="20% - Accent1 2 8 2 2 5" xfId="17281"/>
    <cellStyle name="20% - Accent1 2 8 2 2 6" xfId="17282"/>
    <cellStyle name="20% - Accent1 2 8 2 2 7" xfId="17283"/>
    <cellStyle name="20% - Accent1 2 8 2 3" xfId="17284"/>
    <cellStyle name="20% - Accent1 2 8 2 3 2" xfId="17285"/>
    <cellStyle name="20% - Accent1 2 8 2 3 2 2" xfId="17286"/>
    <cellStyle name="20% - Accent1 2 8 2 3 3" xfId="17287"/>
    <cellStyle name="20% - Accent1 2 8 2 3 3 2" xfId="17288"/>
    <cellStyle name="20% - Accent1 2 8 2 3 4" xfId="17289"/>
    <cellStyle name="20% - Accent1 2 8 2 3 5" xfId="17290"/>
    <cellStyle name="20% - Accent1 2 8 2 3 6" xfId="17291"/>
    <cellStyle name="20% - Accent1 2 8 2 3 7" xfId="17292"/>
    <cellStyle name="20% - Accent1 2 8 2 4" xfId="17293"/>
    <cellStyle name="20% - Accent1 2 8 2 4 2" xfId="17294"/>
    <cellStyle name="20% - Accent1 2 8 2 4 2 2" xfId="17295"/>
    <cellStyle name="20% - Accent1 2 8 2 4 3" xfId="17296"/>
    <cellStyle name="20% - Accent1 2 8 2 4 3 2" xfId="17297"/>
    <cellStyle name="20% - Accent1 2 8 2 4 4" xfId="17298"/>
    <cellStyle name="20% - Accent1 2 8 2 4 5" xfId="17299"/>
    <cellStyle name="20% - Accent1 2 8 2 4 6" xfId="17300"/>
    <cellStyle name="20% - Accent1 2 8 2 4 7" xfId="17301"/>
    <cellStyle name="20% - Accent1 2 8 2 5" xfId="17302"/>
    <cellStyle name="20% - Accent1 2 8 2 5 2" xfId="17303"/>
    <cellStyle name="20% - Accent1 2 8 2 6" xfId="17304"/>
    <cellStyle name="20% - Accent1 2 8 2 6 2" xfId="17305"/>
    <cellStyle name="20% - Accent1 2 8 2 7" xfId="17306"/>
    <cellStyle name="20% - Accent1 2 8 2 8" xfId="17307"/>
    <cellStyle name="20% - Accent1 2 8 2 9" xfId="17308"/>
    <cellStyle name="20% - Accent1 2 8 3" xfId="17309"/>
    <cellStyle name="20% - Accent1 2 8 3 2" xfId="17310"/>
    <cellStyle name="20% - Accent1 2 8 3 2 2" xfId="17311"/>
    <cellStyle name="20% - Accent1 2 8 3 3" xfId="17312"/>
    <cellStyle name="20% - Accent1 2 8 3 3 2" xfId="17313"/>
    <cellStyle name="20% - Accent1 2 8 3 4" xfId="17314"/>
    <cellStyle name="20% - Accent1 2 8 3 5" xfId="17315"/>
    <cellStyle name="20% - Accent1 2 8 3 6" xfId="17316"/>
    <cellStyle name="20% - Accent1 2 8 3 7" xfId="17317"/>
    <cellStyle name="20% - Accent1 2 8 4" xfId="17318"/>
    <cellStyle name="20% - Accent1 2 8 4 2" xfId="17319"/>
    <cellStyle name="20% - Accent1 2 8 4 2 2" xfId="17320"/>
    <cellStyle name="20% - Accent1 2 8 4 3" xfId="17321"/>
    <cellStyle name="20% - Accent1 2 8 4 3 2" xfId="17322"/>
    <cellStyle name="20% - Accent1 2 8 4 4" xfId="17323"/>
    <cellStyle name="20% - Accent1 2 8 4 5" xfId="17324"/>
    <cellStyle name="20% - Accent1 2 8 4 6" xfId="17325"/>
    <cellStyle name="20% - Accent1 2 8 4 7" xfId="17326"/>
    <cellStyle name="20% - Accent1 2 8 5" xfId="17327"/>
    <cellStyle name="20% - Accent1 2 8 5 2" xfId="17328"/>
    <cellStyle name="20% - Accent1 2 8 5 2 2" xfId="17329"/>
    <cellStyle name="20% - Accent1 2 8 5 3" xfId="17330"/>
    <cellStyle name="20% - Accent1 2 8 5 3 2" xfId="17331"/>
    <cellStyle name="20% - Accent1 2 8 5 4" xfId="17332"/>
    <cellStyle name="20% - Accent1 2 8 5 5" xfId="17333"/>
    <cellStyle name="20% - Accent1 2 8 5 6" xfId="17334"/>
    <cellStyle name="20% - Accent1 2 8 5 7" xfId="17335"/>
    <cellStyle name="20% - Accent1 2 8 6" xfId="17336"/>
    <cellStyle name="20% - Accent1 2 8 6 2" xfId="17337"/>
    <cellStyle name="20% - Accent1 2 8 7" xfId="17338"/>
    <cellStyle name="20% - Accent1 2 8 7 2" xfId="17339"/>
    <cellStyle name="20% - Accent1 2 8 8" xfId="17340"/>
    <cellStyle name="20% - Accent1 2 8 9" xfId="17341"/>
    <cellStyle name="20% - Accent1 2 9" xfId="17342"/>
    <cellStyle name="20% - Accent1 2 9 10" xfId="17343"/>
    <cellStyle name="20% - Accent1 2 9 2" xfId="17344"/>
    <cellStyle name="20% - Accent1 2 9 2 2" xfId="17345"/>
    <cellStyle name="20% - Accent1 2 9 2 2 2" xfId="17346"/>
    <cellStyle name="20% - Accent1 2 9 2 3" xfId="17347"/>
    <cellStyle name="20% - Accent1 2 9 2 3 2" xfId="17348"/>
    <cellStyle name="20% - Accent1 2 9 2 4" xfId="17349"/>
    <cellStyle name="20% - Accent1 2 9 2 5" xfId="17350"/>
    <cellStyle name="20% - Accent1 2 9 2 6" xfId="17351"/>
    <cellStyle name="20% - Accent1 2 9 2 7" xfId="17352"/>
    <cellStyle name="20% - Accent1 2 9 3" xfId="17353"/>
    <cellStyle name="20% - Accent1 2 9 3 2" xfId="17354"/>
    <cellStyle name="20% - Accent1 2 9 3 2 2" xfId="17355"/>
    <cellStyle name="20% - Accent1 2 9 3 3" xfId="17356"/>
    <cellStyle name="20% - Accent1 2 9 3 3 2" xfId="17357"/>
    <cellStyle name="20% - Accent1 2 9 3 4" xfId="17358"/>
    <cellStyle name="20% - Accent1 2 9 3 5" xfId="17359"/>
    <cellStyle name="20% - Accent1 2 9 3 6" xfId="17360"/>
    <cellStyle name="20% - Accent1 2 9 3 7" xfId="17361"/>
    <cellStyle name="20% - Accent1 2 9 4" xfId="17362"/>
    <cellStyle name="20% - Accent1 2 9 4 2" xfId="17363"/>
    <cellStyle name="20% - Accent1 2 9 4 2 2" xfId="17364"/>
    <cellStyle name="20% - Accent1 2 9 4 3" xfId="17365"/>
    <cellStyle name="20% - Accent1 2 9 4 3 2" xfId="17366"/>
    <cellStyle name="20% - Accent1 2 9 4 4" xfId="17367"/>
    <cellStyle name="20% - Accent1 2 9 4 5" xfId="17368"/>
    <cellStyle name="20% - Accent1 2 9 4 6" xfId="17369"/>
    <cellStyle name="20% - Accent1 2 9 4 7" xfId="17370"/>
    <cellStyle name="20% - Accent1 2 9 5" xfId="17371"/>
    <cellStyle name="20% - Accent1 2 9 5 2" xfId="17372"/>
    <cellStyle name="20% - Accent1 2 9 6" xfId="17373"/>
    <cellStyle name="20% - Accent1 2 9 6 2" xfId="17374"/>
    <cellStyle name="20% - Accent1 2 9 7" xfId="17375"/>
    <cellStyle name="20% - Accent1 2 9 8" xfId="17376"/>
    <cellStyle name="20% - Accent1 2 9 9" xfId="17377"/>
    <cellStyle name="20% - Accent1 2_10-15-10-Stmt AU - Period I - Working 1 0" xfId="69"/>
    <cellStyle name="20% - Accent1 3" xfId="70"/>
    <cellStyle name="20% - Accent1 3 10" xfId="17378"/>
    <cellStyle name="20% - Accent1 3 10 2" xfId="17379"/>
    <cellStyle name="20% - Accent1 3 10 2 2" xfId="17380"/>
    <cellStyle name="20% - Accent1 3 10 3" xfId="17381"/>
    <cellStyle name="20% - Accent1 3 10 3 2" xfId="17382"/>
    <cellStyle name="20% - Accent1 3 10 4" xfId="17383"/>
    <cellStyle name="20% - Accent1 3 10 5" xfId="17384"/>
    <cellStyle name="20% - Accent1 3 10 6" xfId="17385"/>
    <cellStyle name="20% - Accent1 3 10 7" xfId="17386"/>
    <cellStyle name="20% - Accent1 3 11" xfId="17387"/>
    <cellStyle name="20% - Accent1 3 11 2" xfId="17388"/>
    <cellStyle name="20% - Accent1 3 11 2 2" xfId="17389"/>
    <cellStyle name="20% - Accent1 3 11 3" xfId="17390"/>
    <cellStyle name="20% - Accent1 3 11 3 2" xfId="17391"/>
    <cellStyle name="20% - Accent1 3 11 4" xfId="17392"/>
    <cellStyle name="20% - Accent1 3 11 5" xfId="17393"/>
    <cellStyle name="20% - Accent1 3 11 6" xfId="17394"/>
    <cellStyle name="20% - Accent1 3 11 7" xfId="17395"/>
    <cellStyle name="20% - Accent1 3 12" xfId="17396"/>
    <cellStyle name="20% - Accent1 3 12 2" xfId="17397"/>
    <cellStyle name="20% - Accent1 3 12 2 2" xfId="17398"/>
    <cellStyle name="20% - Accent1 3 12 3" xfId="17399"/>
    <cellStyle name="20% - Accent1 3 12 3 2" xfId="17400"/>
    <cellStyle name="20% - Accent1 3 12 4" xfId="17401"/>
    <cellStyle name="20% - Accent1 3 12 5" xfId="17402"/>
    <cellStyle name="20% - Accent1 3 12 6" xfId="17403"/>
    <cellStyle name="20% - Accent1 3 12 7" xfId="17404"/>
    <cellStyle name="20% - Accent1 3 13" xfId="17405"/>
    <cellStyle name="20% - Accent1 3 13 2" xfId="17406"/>
    <cellStyle name="20% - Accent1 3 14" xfId="17407"/>
    <cellStyle name="20% - Accent1 3 14 2" xfId="17408"/>
    <cellStyle name="20% - Accent1 3 15" xfId="17409"/>
    <cellStyle name="20% - Accent1 3 16" xfId="17410"/>
    <cellStyle name="20% - Accent1 3 17" xfId="17411"/>
    <cellStyle name="20% - Accent1 3 18" xfId="17412"/>
    <cellStyle name="20% - Accent1 3 2" xfId="71"/>
    <cellStyle name="20% - Accent1 3 2 10" xfId="17413"/>
    <cellStyle name="20% - Accent1 3 2 11" xfId="17414"/>
    <cellStyle name="20% - Accent1 3 2 12" xfId="17415"/>
    <cellStyle name="20% - Accent1 3 2 13" xfId="17416"/>
    <cellStyle name="20% - Accent1 3 2 2" xfId="17417"/>
    <cellStyle name="20% - Accent1 3 2 2 10" xfId="17418"/>
    <cellStyle name="20% - Accent1 3 2 2 11" xfId="17419"/>
    <cellStyle name="20% - Accent1 3 2 2 2" xfId="17420"/>
    <cellStyle name="20% - Accent1 3 2 2 2 10" xfId="17421"/>
    <cellStyle name="20% - Accent1 3 2 2 2 2" xfId="17422"/>
    <cellStyle name="20% - Accent1 3 2 2 2 2 2" xfId="17423"/>
    <cellStyle name="20% - Accent1 3 2 2 2 2 2 2" xfId="17424"/>
    <cellStyle name="20% - Accent1 3 2 2 2 2 3" xfId="17425"/>
    <cellStyle name="20% - Accent1 3 2 2 2 2 3 2" xfId="17426"/>
    <cellStyle name="20% - Accent1 3 2 2 2 2 4" xfId="17427"/>
    <cellStyle name="20% - Accent1 3 2 2 2 2 5" xfId="17428"/>
    <cellStyle name="20% - Accent1 3 2 2 2 2 6" xfId="17429"/>
    <cellStyle name="20% - Accent1 3 2 2 2 2 7" xfId="17430"/>
    <cellStyle name="20% - Accent1 3 2 2 2 3" xfId="17431"/>
    <cellStyle name="20% - Accent1 3 2 2 2 3 2" xfId="17432"/>
    <cellStyle name="20% - Accent1 3 2 2 2 3 2 2" xfId="17433"/>
    <cellStyle name="20% - Accent1 3 2 2 2 3 3" xfId="17434"/>
    <cellStyle name="20% - Accent1 3 2 2 2 3 3 2" xfId="17435"/>
    <cellStyle name="20% - Accent1 3 2 2 2 3 4" xfId="17436"/>
    <cellStyle name="20% - Accent1 3 2 2 2 3 5" xfId="17437"/>
    <cellStyle name="20% - Accent1 3 2 2 2 3 6" xfId="17438"/>
    <cellStyle name="20% - Accent1 3 2 2 2 3 7" xfId="17439"/>
    <cellStyle name="20% - Accent1 3 2 2 2 4" xfId="17440"/>
    <cellStyle name="20% - Accent1 3 2 2 2 4 2" xfId="17441"/>
    <cellStyle name="20% - Accent1 3 2 2 2 4 2 2" xfId="17442"/>
    <cellStyle name="20% - Accent1 3 2 2 2 4 3" xfId="17443"/>
    <cellStyle name="20% - Accent1 3 2 2 2 4 3 2" xfId="17444"/>
    <cellStyle name="20% - Accent1 3 2 2 2 4 4" xfId="17445"/>
    <cellStyle name="20% - Accent1 3 2 2 2 4 5" xfId="17446"/>
    <cellStyle name="20% - Accent1 3 2 2 2 4 6" xfId="17447"/>
    <cellStyle name="20% - Accent1 3 2 2 2 4 7" xfId="17448"/>
    <cellStyle name="20% - Accent1 3 2 2 2 5" xfId="17449"/>
    <cellStyle name="20% - Accent1 3 2 2 2 5 2" xfId="17450"/>
    <cellStyle name="20% - Accent1 3 2 2 2 6" xfId="17451"/>
    <cellStyle name="20% - Accent1 3 2 2 2 6 2" xfId="17452"/>
    <cellStyle name="20% - Accent1 3 2 2 2 7" xfId="17453"/>
    <cellStyle name="20% - Accent1 3 2 2 2 8" xfId="17454"/>
    <cellStyle name="20% - Accent1 3 2 2 2 9" xfId="17455"/>
    <cellStyle name="20% - Accent1 3 2 2 3" xfId="17456"/>
    <cellStyle name="20% - Accent1 3 2 2 3 2" xfId="17457"/>
    <cellStyle name="20% - Accent1 3 2 2 3 2 2" xfId="17458"/>
    <cellStyle name="20% - Accent1 3 2 2 3 3" xfId="17459"/>
    <cellStyle name="20% - Accent1 3 2 2 3 3 2" xfId="17460"/>
    <cellStyle name="20% - Accent1 3 2 2 3 4" xfId="17461"/>
    <cellStyle name="20% - Accent1 3 2 2 3 5" xfId="17462"/>
    <cellStyle name="20% - Accent1 3 2 2 3 6" xfId="17463"/>
    <cellStyle name="20% - Accent1 3 2 2 3 7" xfId="17464"/>
    <cellStyle name="20% - Accent1 3 2 2 4" xfId="17465"/>
    <cellStyle name="20% - Accent1 3 2 2 4 2" xfId="17466"/>
    <cellStyle name="20% - Accent1 3 2 2 4 2 2" xfId="17467"/>
    <cellStyle name="20% - Accent1 3 2 2 4 3" xfId="17468"/>
    <cellStyle name="20% - Accent1 3 2 2 4 3 2" xfId="17469"/>
    <cellStyle name="20% - Accent1 3 2 2 4 4" xfId="17470"/>
    <cellStyle name="20% - Accent1 3 2 2 4 5" xfId="17471"/>
    <cellStyle name="20% - Accent1 3 2 2 4 6" xfId="17472"/>
    <cellStyle name="20% - Accent1 3 2 2 4 7" xfId="17473"/>
    <cellStyle name="20% - Accent1 3 2 2 5" xfId="17474"/>
    <cellStyle name="20% - Accent1 3 2 2 5 2" xfId="17475"/>
    <cellStyle name="20% - Accent1 3 2 2 5 2 2" xfId="17476"/>
    <cellStyle name="20% - Accent1 3 2 2 5 3" xfId="17477"/>
    <cellStyle name="20% - Accent1 3 2 2 5 3 2" xfId="17478"/>
    <cellStyle name="20% - Accent1 3 2 2 5 4" xfId="17479"/>
    <cellStyle name="20% - Accent1 3 2 2 5 5" xfId="17480"/>
    <cellStyle name="20% - Accent1 3 2 2 5 6" xfId="17481"/>
    <cellStyle name="20% - Accent1 3 2 2 5 7" xfId="17482"/>
    <cellStyle name="20% - Accent1 3 2 2 6" xfId="17483"/>
    <cellStyle name="20% - Accent1 3 2 2 6 2" xfId="17484"/>
    <cellStyle name="20% - Accent1 3 2 2 7" xfId="17485"/>
    <cellStyle name="20% - Accent1 3 2 2 7 2" xfId="17486"/>
    <cellStyle name="20% - Accent1 3 2 2 8" xfId="17487"/>
    <cellStyle name="20% - Accent1 3 2 2 9" xfId="17488"/>
    <cellStyle name="20% - Accent1 3 2 3" xfId="17489"/>
    <cellStyle name="20% - Accent1 3 2 3 10" xfId="17490"/>
    <cellStyle name="20% - Accent1 3 2 3 11" xfId="17491"/>
    <cellStyle name="20% - Accent1 3 2 3 2" xfId="17492"/>
    <cellStyle name="20% - Accent1 3 2 3 2 10" xfId="17493"/>
    <cellStyle name="20% - Accent1 3 2 3 2 2" xfId="17494"/>
    <cellStyle name="20% - Accent1 3 2 3 2 2 2" xfId="17495"/>
    <cellStyle name="20% - Accent1 3 2 3 2 2 2 2" xfId="17496"/>
    <cellStyle name="20% - Accent1 3 2 3 2 2 3" xfId="17497"/>
    <cellStyle name="20% - Accent1 3 2 3 2 2 3 2" xfId="17498"/>
    <cellStyle name="20% - Accent1 3 2 3 2 2 4" xfId="17499"/>
    <cellStyle name="20% - Accent1 3 2 3 2 2 5" xfId="17500"/>
    <cellStyle name="20% - Accent1 3 2 3 2 2 6" xfId="17501"/>
    <cellStyle name="20% - Accent1 3 2 3 2 2 7" xfId="17502"/>
    <cellStyle name="20% - Accent1 3 2 3 2 3" xfId="17503"/>
    <cellStyle name="20% - Accent1 3 2 3 2 3 2" xfId="17504"/>
    <cellStyle name="20% - Accent1 3 2 3 2 3 2 2" xfId="17505"/>
    <cellStyle name="20% - Accent1 3 2 3 2 3 3" xfId="17506"/>
    <cellStyle name="20% - Accent1 3 2 3 2 3 3 2" xfId="17507"/>
    <cellStyle name="20% - Accent1 3 2 3 2 3 4" xfId="17508"/>
    <cellStyle name="20% - Accent1 3 2 3 2 3 5" xfId="17509"/>
    <cellStyle name="20% - Accent1 3 2 3 2 3 6" xfId="17510"/>
    <cellStyle name="20% - Accent1 3 2 3 2 3 7" xfId="17511"/>
    <cellStyle name="20% - Accent1 3 2 3 2 4" xfId="17512"/>
    <cellStyle name="20% - Accent1 3 2 3 2 4 2" xfId="17513"/>
    <cellStyle name="20% - Accent1 3 2 3 2 4 2 2" xfId="17514"/>
    <cellStyle name="20% - Accent1 3 2 3 2 4 3" xfId="17515"/>
    <cellStyle name="20% - Accent1 3 2 3 2 4 3 2" xfId="17516"/>
    <cellStyle name="20% - Accent1 3 2 3 2 4 4" xfId="17517"/>
    <cellStyle name="20% - Accent1 3 2 3 2 4 5" xfId="17518"/>
    <cellStyle name="20% - Accent1 3 2 3 2 4 6" xfId="17519"/>
    <cellStyle name="20% - Accent1 3 2 3 2 4 7" xfId="17520"/>
    <cellStyle name="20% - Accent1 3 2 3 2 5" xfId="17521"/>
    <cellStyle name="20% - Accent1 3 2 3 2 5 2" xfId="17522"/>
    <cellStyle name="20% - Accent1 3 2 3 2 6" xfId="17523"/>
    <cellStyle name="20% - Accent1 3 2 3 2 6 2" xfId="17524"/>
    <cellStyle name="20% - Accent1 3 2 3 2 7" xfId="17525"/>
    <cellStyle name="20% - Accent1 3 2 3 2 8" xfId="17526"/>
    <cellStyle name="20% - Accent1 3 2 3 2 9" xfId="17527"/>
    <cellStyle name="20% - Accent1 3 2 3 3" xfId="17528"/>
    <cellStyle name="20% - Accent1 3 2 3 3 2" xfId="17529"/>
    <cellStyle name="20% - Accent1 3 2 3 3 2 2" xfId="17530"/>
    <cellStyle name="20% - Accent1 3 2 3 3 3" xfId="17531"/>
    <cellStyle name="20% - Accent1 3 2 3 3 3 2" xfId="17532"/>
    <cellStyle name="20% - Accent1 3 2 3 3 4" xfId="17533"/>
    <cellStyle name="20% - Accent1 3 2 3 3 5" xfId="17534"/>
    <cellStyle name="20% - Accent1 3 2 3 3 6" xfId="17535"/>
    <cellStyle name="20% - Accent1 3 2 3 3 7" xfId="17536"/>
    <cellStyle name="20% - Accent1 3 2 3 4" xfId="17537"/>
    <cellStyle name="20% - Accent1 3 2 3 4 2" xfId="17538"/>
    <cellStyle name="20% - Accent1 3 2 3 4 2 2" xfId="17539"/>
    <cellStyle name="20% - Accent1 3 2 3 4 3" xfId="17540"/>
    <cellStyle name="20% - Accent1 3 2 3 4 3 2" xfId="17541"/>
    <cellStyle name="20% - Accent1 3 2 3 4 4" xfId="17542"/>
    <cellStyle name="20% - Accent1 3 2 3 4 5" xfId="17543"/>
    <cellStyle name="20% - Accent1 3 2 3 4 6" xfId="17544"/>
    <cellStyle name="20% - Accent1 3 2 3 4 7" xfId="17545"/>
    <cellStyle name="20% - Accent1 3 2 3 5" xfId="17546"/>
    <cellStyle name="20% - Accent1 3 2 3 5 2" xfId="17547"/>
    <cellStyle name="20% - Accent1 3 2 3 5 2 2" xfId="17548"/>
    <cellStyle name="20% - Accent1 3 2 3 5 3" xfId="17549"/>
    <cellStyle name="20% - Accent1 3 2 3 5 3 2" xfId="17550"/>
    <cellStyle name="20% - Accent1 3 2 3 5 4" xfId="17551"/>
    <cellStyle name="20% - Accent1 3 2 3 5 5" xfId="17552"/>
    <cellStyle name="20% - Accent1 3 2 3 5 6" xfId="17553"/>
    <cellStyle name="20% - Accent1 3 2 3 5 7" xfId="17554"/>
    <cellStyle name="20% - Accent1 3 2 3 6" xfId="17555"/>
    <cellStyle name="20% - Accent1 3 2 3 6 2" xfId="17556"/>
    <cellStyle name="20% - Accent1 3 2 3 7" xfId="17557"/>
    <cellStyle name="20% - Accent1 3 2 3 7 2" xfId="17558"/>
    <cellStyle name="20% - Accent1 3 2 3 8" xfId="17559"/>
    <cellStyle name="20% - Accent1 3 2 3 9" xfId="17560"/>
    <cellStyle name="20% - Accent1 3 2 4" xfId="17561"/>
    <cellStyle name="20% - Accent1 3 2 4 10" xfId="17562"/>
    <cellStyle name="20% - Accent1 3 2 4 2" xfId="17563"/>
    <cellStyle name="20% - Accent1 3 2 4 2 2" xfId="17564"/>
    <cellStyle name="20% - Accent1 3 2 4 2 2 2" xfId="17565"/>
    <cellStyle name="20% - Accent1 3 2 4 2 3" xfId="17566"/>
    <cellStyle name="20% - Accent1 3 2 4 2 3 2" xfId="17567"/>
    <cellStyle name="20% - Accent1 3 2 4 2 4" xfId="17568"/>
    <cellStyle name="20% - Accent1 3 2 4 2 5" xfId="17569"/>
    <cellStyle name="20% - Accent1 3 2 4 2 6" xfId="17570"/>
    <cellStyle name="20% - Accent1 3 2 4 2 7" xfId="17571"/>
    <cellStyle name="20% - Accent1 3 2 4 3" xfId="17572"/>
    <cellStyle name="20% - Accent1 3 2 4 3 2" xfId="17573"/>
    <cellStyle name="20% - Accent1 3 2 4 3 2 2" xfId="17574"/>
    <cellStyle name="20% - Accent1 3 2 4 3 3" xfId="17575"/>
    <cellStyle name="20% - Accent1 3 2 4 3 3 2" xfId="17576"/>
    <cellStyle name="20% - Accent1 3 2 4 3 4" xfId="17577"/>
    <cellStyle name="20% - Accent1 3 2 4 3 5" xfId="17578"/>
    <cellStyle name="20% - Accent1 3 2 4 3 6" xfId="17579"/>
    <cellStyle name="20% - Accent1 3 2 4 3 7" xfId="17580"/>
    <cellStyle name="20% - Accent1 3 2 4 4" xfId="17581"/>
    <cellStyle name="20% - Accent1 3 2 4 4 2" xfId="17582"/>
    <cellStyle name="20% - Accent1 3 2 4 4 2 2" xfId="17583"/>
    <cellStyle name="20% - Accent1 3 2 4 4 3" xfId="17584"/>
    <cellStyle name="20% - Accent1 3 2 4 4 3 2" xfId="17585"/>
    <cellStyle name="20% - Accent1 3 2 4 4 4" xfId="17586"/>
    <cellStyle name="20% - Accent1 3 2 4 4 5" xfId="17587"/>
    <cellStyle name="20% - Accent1 3 2 4 4 6" xfId="17588"/>
    <cellStyle name="20% - Accent1 3 2 4 4 7" xfId="17589"/>
    <cellStyle name="20% - Accent1 3 2 4 5" xfId="17590"/>
    <cellStyle name="20% - Accent1 3 2 4 5 2" xfId="17591"/>
    <cellStyle name="20% - Accent1 3 2 4 6" xfId="17592"/>
    <cellStyle name="20% - Accent1 3 2 4 6 2" xfId="17593"/>
    <cellStyle name="20% - Accent1 3 2 4 7" xfId="17594"/>
    <cellStyle name="20% - Accent1 3 2 4 8" xfId="17595"/>
    <cellStyle name="20% - Accent1 3 2 4 9" xfId="17596"/>
    <cellStyle name="20% - Accent1 3 2 5" xfId="17597"/>
    <cellStyle name="20% - Accent1 3 2 5 2" xfId="17598"/>
    <cellStyle name="20% - Accent1 3 2 5 2 2" xfId="17599"/>
    <cellStyle name="20% - Accent1 3 2 5 3" xfId="17600"/>
    <cellStyle name="20% - Accent1 3 2 5 3 2" xfId="17601"/>
    <cellStyle name="20% - Accent1 3 2 5 4" xfId="17602"/>
    <cellStyle name="20% - Accent1 3 2 5 5" xfId="17603"/>
    <cellStyle name="20% - Accent1 3 2 5 6" xfId="17604"/>
    <cellStyle name="20% - Accent1 3 2 5 7" xfId="17605"/>
    <cellStyle name="20% - Accent1 3 2 6" xfId="17606"/>
    <cellStyle name="20% - Accent1 3 2 6 2" xfId="17607"/>
    <cellStyle name="20% - Accent1 3 2 6 2 2" xfId="17608"/>
    <cellStyle name="20% - Accent1 3 2 6 3" xfId="17609"/>
    <cellStyle name="20% - Accent1 3 2 6 3 2" xfId="17610"/>
    <cellStyle name="20% - Accent1 3 2 6 4" xfId="17611"/>
    <cellStyle name="20% - Accent1 3 2 6 5" xfId="17612"/>
    <cellStyle name="20% - Accent1 3 2 6 6" xfId="17613"/>
    <cellStyle name="20% - Accent1 3 2 6 7" xfId="17614"/>
    <cellStyle name="20% - Accent1 3 2 7" xfId="17615"/>
    <cellStyle name="20% - Accent1 3 2 7 2" xfId="17616"/>
    <cellStyle name="20% - Accent1 3 2 7 2 2" xfId="17617"/>
    <cellStyle name="20% - Accent1 3 2 7 3" xfId="17618"/>
    <cellStyle name="20% - Accent1 3 2 7 3 2" xfId="17619"/>
    <cellStyle name="20% - Accent1 3 2 7 4" xfId="17620"/>
    <cellStyle name="20% - Accent1 3 2 7 5" xfId="17621"/>
    <cellStyle name="20% - Accent1 3 2 7 6" xfId="17622"/>
    <cellStyle name="20% - Accent1 3 2 7 7" xfId="17623"/>
    <cellStyle name="20% - Accent1 3 2 8" xfId="17624"/>
    <cellStyle name="20% - Accent1 3 2 8 2" xfId="17625"/>
    <cellStyle name="20% - Accent1 3 2 9" xfId="17626"/>
    <cellStyle name="20% - Accent1 3 2 9 2" xfId="17627"/>
    <cellStyle name="20% - Accent1 3 3" xfId="72"/>
    <cellStyle name="20% - Accent1 3 3 10" xfId="17628"/>
    <cellStyle name="20% - Accent1 3 3 11" xfId="17629"/>
    <cellStyle name="20% - Accent1 3 3 12" xfId="17630"/>
    <cellStyle name="20% - Accent1 3 3 13" xfId="17631"/>
    <cellStyle name="20% - Accent1 3 3 2" xfId="17632"/>
    <cellStyle name="20% - Accent1 3 3 2 10" xfId="17633"/>
    <cellStyle name="20% - Accent1 3 3 2 11" xfId="17634"/>
    <cellStyle name="20% - Accent1 3 3 2 2" xfId="17635"/>
    <cellStyle name="20% - Accent1 3 3 2 2 10" xfId="17636"/>
    <cellStyle name="20% - Accent1 3 3 2 2 2" xfId="17637"/>
    <cellStyle name="20% - Accent1 3 3 2 2 2 2" xfId="17638"/>
    <cellStyle name="20% - Accent1 3 3 2 2 2 2 2" xfId="17639"/>
    <cellStyle name="20% - Accent1 3 3 2 2 2 3" xfId="17640"/>
    <cellStyle name="20% - Accent1 3 3 2 2 2 3 2" xfId="17641"/>
    <cellStyle name="20% - Accent1 3 3 2 2 2 4" xfId="17642"/>
    <cellStyle name="20% - Accent1 3 3 2 2 2 5" xfId="17643"/>
    <cellStyle name="20% - Accent1 3 3 2 2 2 6" xfId="17644"/>
    <cellStyle name="20% - Accent1 3 3 2 2 2 7" xfId="17645"/>
    <cellStyle name="20% - Accent1 3 3 2 2 3" xfId="17646"/>
    <cellStyle name="20% - Accent1 3 3 2 2 3 2" xfId="17647"/>
    <cellStyle name="20% - Accent1 3 3 2 2 3 2 2" xfId="17648"/>
    <cellStyle name="20% - Accent1 3 3 2 2 3 3" xfId="17649"/>
    <cellStyle name="20% - Accent1 3 3 2 2 3 3 2" xfId="17650"/>
    <cellStyle name="20% - Accent1 3 3 2 2 3 4" xfId="17651"/>
    <cellStyle name="20% - Accent1 3 3 2 2 3 5" xfId="17652"/>
    <cellStyle name="20% - Accent1 3 3 2 2 3 6" xfId="17653"/>
    <cellStyle name="20% - Accent1 3 3 2 2 3 7" xfId="17654"/>
    <cellStyle name="20% - Accent1 3 3 2 2 4" xfId="17655"/>
    <cellStyle name="20% - Accent1 3 3 2 2 4 2" xfId="17656"/>
    <cellStyle name="20% - Accent1 3 3 2 2 4 2 2" xfId="17657"/>
    <cellStyle name="20% - Accent1 3 3 2 2 4 3" xfId="17658"/>
    <cellStyle name="20% - Accent1 3 3 2 2 4 3 2" xfId="17659"/>
    <cellStyle name="20% - Accent1 3 3 2 2 4 4" xfId="17660"/>
    <cellStyle name="20% - Accent1 3 3 2 2 4 5" xfId="17661"/>
    <cellStyle name="20% - Accent1 3 3 2 2 4 6" xfId="17662"/>
    <cellStyle name="20% - Accent1 3 3 2 2 4 7" xfId="17663"/>
    <cellStyle name="20% - Accent1 3 3 2 2 5" xfId="17664"/>
    <cellStyle name="20% - Accent1 3 3 2 2 5 2" xfId="17665"/>
    <cellStyle name="20% - Accent1 3 3 2 2 6" xfId="17666"/>
    <cellStyle name="20% - Accent1 3 3 2 2 6 2" xfId="17667"/>
    <cellStyle name="20% - Accent1 3 3 2 2 7" xfId="17668"/>
    <cellStyle name="20% - Accent1 3 3 2 2 8" xfId="17669"/>
    <cellStyle name="20% - Accent1 3 3 2 2 9" xfId="17670"/>
    <cellStyle name="20% - Accent1 3 3 2 3" xfId="17671"/>
    <cellStyle name="20% - Accent1 3 3 2 3 2" xfId="17672"/>
    <cellStyle name="20% - Accent1 3 3 2 3 2 2" xfId="17673"/>
    <cellStyle name="20% - Accent1 3 3 2 3 3" xfId="17674"/>
    <cellStyle name="20% - Accent1 3 3 2 3 3 2" xfId="17675"/>
    <cellStyle name="20% - Accent1 3 3 2 3 4" xfId="17676"/>
    <cellStyle name="20% - Accent1 3 3 2 3 5" xfId="17677"/>
    <cellStyle name="20% - Accent1 3 3 2 3 6" xfId="17678"/>
    <cellStyle name="20% - Accent1 3 3 2 3 7" xfId="17679"/>
    <cellStyle name="20% - Accent1 3 3 2 4" xfId="17680"/>
    <cellStyle name="20% - Accent1 3 3 2 4 2" xfId="17681"/>
    <cellStyle name="20% - Accent1 3 3 2 4 2 2" xfId="17682"/>
    <cellStyle name="20% - Accent1 3 3 2 4 3" xfId="17683"/>
    <cellStyle name="20% - Accent1 3 3 2 4 3 2" xfId="17684"/>
    <cellStyle name="20% - Accent1 3 3 2 4 4" xfId="17685"/>
    <cellStyle name="20% - Accent1 3 3 2 4 5" xfId="17686"/>
    <cellStyle name="20% - Accent1 3 3 2 4 6" xfId="17687"/>
    <cellStyle name="20% - Accent1 3 3 2 4 7" xfId="17688"/>
    <cellStyle name="20% - Accent1 3 3 2 5" xfId="17689"/>
    <cellStyle name="20% - Accent1 3 3 2 5 2" xfId="17690"/>
    <cellStyle name="20% - Accent1 3 3 2 5 2 2" xfId="17691"/>
    <cellStyle name="20% - Accent1 3 3 2 5 3" xfId="17692"/>
    <cellStyle name="20% - Accent1 3 3 2 5 3 2" xfId="17693"/>
    <cellStyle name="20% - Accent1 3 3 2 5 4" xfId="17694"/>
    <cellStyle name="20% - Accent1 3 3 2 5 5" xfId="17695"/>
    <cellStyle name="20% - Accent1 3 3 2 5 6" xfId="17696"/>
    <cellStyle name="20% - Accent1 3 3 2 5 7" xfId="17697"/>
    <cellStyle name="20% - Accent1 3 3 2 6" xfId="17698"/>
    <cellStyle name="20% - Accent1 3 3 2 6 2" xfId="17699"/>
    <cellStyle name="20% - Accent1 3 3 2 7" xfId="17700"/>
    <cellStyle name="20% - Accent1 3 3 2 7 2" xfId="17701"/>
    <cellStyle name="20% - Accent1 3 3 2 8" xfId="17702"/>
    <cellStyle name="20% - Accent1 3 3 2 9" xfId="17703"/>
    <cellStyle name="20% - Accent1 3 3 3" xfId="17704"/>
    <cellStyle name="20% - Accent1 3 3 3 10" xfId="17705"/>
    <cellStyle name="20% - Accent1 3 3 3 11" xfId="17706"/>
    <cellStyle name="20% - Accent1 3 3 3 2" xfId="17707"/>
    <cellStyle name="20% - Accent1 3 3 3 2 10" xfId="17708"/>
    <cellStyle name="20% - Accent1 3 3 3 2 2" xfId="17709"/>
    <cellStyle name="20% - Accent1 3 3 3 2 2 2" xfId="17710"/>
    <cellStyle name="20% - Accent1 3 3 3 2 2 2 2" xfId="17711"/>
    <cellStyle name="20% - Accent1 3 3 3 2 2 3" xfId="17712"/>
    <cellStyle name="20% - Accent1 3 3 3 2 2 3 2" xfId="17713"/>
    <cellStyle name="20% - Accent1 3 3 3 2 2 4" xfId="17714"/>
    <cellStyle name="20% - Accent1 3 3 3 2 2 5" xfId="17715"/>
    <cellStyle name="20% - Accent1 3 3 3 2 2 6" xfId="17716"/>
    <cellStyle name="20% - Accent1 3 3 3 2 2 7" xfId="17717"/>
    <cellStyle name="20% - Accent1 3 3 3 2 3" xfId="17718"/>
    <cellStyle name="20% - Accent1 3 3 3 2 3 2" xfId="17719"/>
    <cellStyle name="20% - Accent1 3 3 3 2 3 2 2" xfId="17720"/>
    <cellStyle name="20% - Accent1 3 3 3 2 3 3" xfId="17721"/>
    <cellStyle name="20% - Accent1 3 3 3 2 3 3 2" xfId="17722"/>
    <cellStyle name="20% - Accent1 3 3 3 2 3 4" xfId="17723"/>
    <cellStyle name="20% - Accent1 3 3 3 2 3 5" xfId="17724"/>
    <cellStyle name="20% - Accent1 3 3 3 2 3 6" xfId="17725"/>
    <cellStyle name="20% - Accent1 3 3 3 2 3 7" xfId="17726"/>
    <cellStyle name="20% - Accent1 3 3 3 2 4" xfId="17727"/>
    <cellStyle name="20% - Accent1 3 3 3 2 4 2" xfId="17728"/>
    <cellStyle name="20% - Accent1 3 3 3 2 4 2 2" xfId="17729"/>
    <cellStyle name="20% - Accent1 3 3 3 2 4 3" xfId="17730"/>
    <cellStyle name="20% - Accent1 3 3 3 2 4 3 2" xfId="17731"/>
    <cellStyle name="20% - Accent1 3 3 3 2 4 4" xfId="17732"/>
    <cellStyle name="20% - Accent1 3 3 3 2 4 5" xfId="17733"/>
    <cellStyle name="20% - Accent1 3 3 3 2 4 6" xfId="17734"/>
    <cellStyle name="20% - Accent1 3 3 3 2 4 7" xfId="17735"/>
    <cellStyle name="20% - Accent1 3 3 3 2 5" xfId="17736"/>
    <cellStyle name="20% - Accent1 3 3 3 2 5 2" xfId="17737"/>
    <cellStyle name="20% - Accent1 3 3 3 2 6" xfId="17738"/>
    <cellStyle name="20% - Accent1 3 3 3 2 6 2" xfId="17739"/>
    <cellStyle name="20% - Accent1 3 3 3 2 7" xfId="17740"/>
    <cellStyle name="20% - Accent1 3 3 3 2 8" xfId="17741"/>
    <cellStyle name="20% - Accent1 3 3 3 2 9" xfId="17742"/>
    <cellStyle name="20% - Accent1 3 3 3 3" xfId="17743"/>
    <cellStyle name="20% - Accent1 3 3 3 3 2" xfId="17744"/>
    <cellStyle name="20% - Accent1 3 3 3 3 2 2" xfId="17745"/>
    <cellStyle name="20% - Accent1 3 3 3 3 3" xfId="17746"/>
    <cellStyle name="20% - Accent1 3 3 3 3 3 2" xfId="17747"/>
    <cellStyle name="20% - Accent1 3 3 3 3 4" xfId="17748"/>
    <cellStyle name="20% - Accent1 3 3 3 3 5" xfId="17749"/>
    <cellStyle name="20% - Accent1 3 3 3 3 6" xfId="17750"/>
    <cellStyle name="20% - Accent1 3 3 3 3 7" xfId="17751"/>
    <cellStyle name="20% - Accent1 3 3 3 4" xfId="17752"/>
    <cellStyle name="20% - Accent1 3 3 3 4 2" xfId="17753"/>
    <cellStyle name="20% - Accent1 3 3 3 4 2 2" xfId="17754"/>
    <cellStyle name="20% - Accent1 3 3 3 4 3" xfId="17755"/>
    <cellStyle name="20% - Accent1 3 3 3 4 3 2" xfId="17756"/>
    <cellStyle name="20% - Accent1 3 3 3 4 4" xfId="17757"/>
    <cellStyle name="20% - Accent1 3 3 3 4 5" xfId="17758"/>
    <cellStyle name="20% - Accent1 3 3 3 4 6" xfId="17759"/>
    <cellStyle name="20% - Accent1 3 3 3 4 7" xfId="17760"/>
    <cellStyle name="20% - Accent1 3 3 3 5" xfId="17761"/>
    <cellStyle name="20% - Accent1 3 3 3 5 2" xfId="17762"/>
    <cellStyle name="20% - Accent1 3 3 3 5 2 2" xfId="17763"/>
    <cellStyle name="20% - Accent1 3 3 3 5 3" xfId="17764"/>
    <cellStyle name="20% - Accent1 3 3 3 5 3 2" xfId="17765"/>
    <cellStyle name="20% - Accent1 3 3 3 5 4" xfId="17766"/>
    <cellStyle name="20% - Accent1 3 3 3 5 5" xfId="17767"/>
    <cellStyle name="20% - Accent1 3 3 3 5 6" xfId="17768"/>
    <cellStyle name="20% - Accent1 3 3 3 5 7" xfId="17769"/>
    <cellStyle name="20% - Accent1 3 3 3 6" xfId="17770"/>
    <cellStyle name="20% - Accent1 3 3 3 6 2" xfId="17771"/>
    <cellStyle name="20% - Accent1 3 3 3 7" xfId="17772"/>
    <cellStyle name="20% - Accent1 3 3 3 7 2" xfId="17773"/>
    <cellStyle name="20% - Accent1 3 3 3 8" xfId="17774"/>
    <cellStyle name="20% - Accent1 3 3 3 9" xfId="17775"/>
    <cellStyle name="20% - Accent1 3 3 4" xfId="17776"/>
    <cellStyle name="20% - Accent1 3 3 4 10" xfId="17777"/>
    <cellStyle name="20% - Accent1 3 3 4 2" xfId="17778"/>
    <cellStyle name="20% - Accent1 3 3 4 2 2" xfId="17779"/>
    <cellStyle name="20% - Accent1 3 3 4 2 2 2" xfId="17780"/>
    <cellStyle name="20% - Accent1 3 3 4 2 3" xfId="17781"/>
    <cellStyle name="20% - Accent1 3 3 4 2 3 2" xfId="17782"/>
    <cellStyle name="20% - Accent1 3 3 4 2 4" xfId="17783"/>
    <cellStyle name="20% - Accent1 3 3 4 2 5" xfId="17784"/>
    <cellStyle name="20% - Accent1 3 3 4 2 6" xfId="17785"/>
    <cellStyle name="20% - Accent1 3 3 4 2 7" xfId="17786"/>
    <cellStyle name="20% - Accent1 3 3 4 3" xfId="17787"/>
    <cellStyle name="20% - Accent1 3 3 4 3 2" xfId="17788"/>
    <cellStyle name="20% - Accent1 3 3 4 3 2 2" xfId="17789"/>
    <cellStyle name="20% - Accent1 3 3 4 3 3" xfId="17790"/>
    <cellStyle name="20% - Accent1 3 3 4 3 3 2" xfId="17791"/>
    <cellStyle name="20% - Accent1 3 3 4 3 4" xfId="17792"/>
    <cellStyle name="20% - Accent1 3 3 4 3 5" xfId="17793"/>
    <cellStyle name="20% - Accent1 3 3 4 3 6" xfId="17794"/>
    <cellStyle name="20% - Accent1 3 3 4 3 7" xfId="17795"/>
    <cellStyle name="20% - Accent1 3 3 4 4" xfId="17796"/>
    <cellStyle name="20% - Accent1 3 3 4 4 2" xfId="17797"/>
    <cellStyle name="20% - Accent1 3 3 4 4 2 2" xfId="17798"/>
    <cellStyle name="20% - Accent1 3 3 4 4 3" xfId="17799"/>
    <cellStyle name="20% - Accent1 3 3 4 4 3 2" xfId="17800"/>
    <cellStyle name="20% - Accent1 3 3 4 4 4" xfId="17801"/>
    <cellStyle name="20% - Accent1 3 3 4 4 5" xfId="17802"/>
    <cellStyle name="20% - Accent1 3 3 4 4 6" xfId="17803"/>
    <cellStyle name="20% - Accent1 3 3 4 4 7" xfId="17804"/>
    <cellStyle name="20% - Accent1 3 3 4 5" xfId="17805"/>
    <cellStyle name="20% - Accent1 3 3 4 5 2" xfId="17806"/>
    <cellStyle name="20% - Accent1 3 3 4 6" xfId="17807"/>
    <cellStyle name="20% - Accent1 3 3 4 6 2" xfId="17808"/>
    <cellStyle name="20% - Accent1 3 3 4 7" xfId="17809"/>
    <cellStyle name="20% - Accent1 3 3 4 8" xfId="17810"/>
    <cellStyle name="20% - Accent1 3 3 4 9" xfId="17811"/>
    <cellStyle name="20% - Accent1 3 3 5" xfId="17812"/>
    <cellStyle name="20% - Accent1 3 3 5 2" xfId="17813"/>
    <cellStyle name="20% - Accent1 3 3 5 2 2" xfId="17814"/>
    <cellStyle name="20% - Accent1 3 3 5 3" xfId="17815"/>
    <cellStyle name="20% - Accent1 3 3 5 3 2" xfId="17816"/>
    <cellStyle name="20% - Accent1 3 3 5 4" xfId="17817"/>
    <cellStyle name="20% - Accent1 3 3 5 5" xfId="17818"/>
    <cellStyle name="20% - Accent1 3 3 5 6" xfId="17819"/>
    <cellStyle name="20% - Accent1 3 3 5 7" xfId="17820"/>
    <cellStyle name="20% - Accent1 3 3 6" xfId="17821"/>
    <cellStyle name="20% - Accent1 3 3 6 2" xfId="17822"/>
    <cellStyle name="20% - Accent1 3 3 6 2 2" xfId="17823"/>
    <cellStyle name="20% - Accent1 3 3 6 3" xfId="17824"/>
    <cellStyle name="20% - Accent1 3 3 6 3 2" xfId="17825"/>
    <cellStyle name="20% - Accent1 3 3 6 4" xfId="17826"/>
    <cellStyle name="20% - Accent1 3 3 6 5" xfId="17827"/>
    <cellStyle name="20% - Accent1 3 3 6 6" xfId="17828"/>
    <cellStyle name="20% - Accent1 3 3 6 7" xfId="17829"/>
    <cellStyle name="20% - Accent1 3 3 7" xfId="17830"/>
    <cellStyle name="20% - Accent1 3 3 7 2" xfId="17831"/>
    <cellStyle name="20% - Accent1 3 3 7 2 2" xfId="17832"/>
    <cellStyle name="20% - Accent1 3 3 7 3" xfId="17833"/>
    <cellStyle name="20% - Accent1 3 3 7 3 2" xfId="17834"/>
    <cellStyle name="20% - Accent1 3 3 7 4" xfId="17835"/>
    <cellStyle name="20% - Accent1 3 3 7 5" xfId="17836"/>
    <cellStyle name="20% - Accent1 3 3 7 6" xfId="17837"/>
    <cellStyle name="20% - Accent1 3 3 7 7" xfId="17838"/>
    <cellStyle name="20% - Accent1 3 3 8" xfId="17839"/>
    <cellStyle name="20% - Accent1 3 3 8 2" xfId="17840"/>
    <cellStyle name="20% - Accent1 3 3 9" xfId="17841"/>
    <cellStyle name="20% - Accent1 3 3 9 2" xfId="17842"/>
    <cellStyle name="20% - Accent1 3 4" xfId="17843"/>
    <cellStyle name="20% - Accent1 3 4 10" xfId="17844"/>
    <cellStyle name="20% - Accent1 3 4 11" xfId="17845"/>
    <cellStyle name="20% - Accent1 3 4 12" xfId="17846"/>
    <cellStyle name="20% - Accent1 3 4 13" xfId="17847"/>
    <cellStyle name="20% - Accent1 3 4 2" xfId="17848"/>
    <cellStyle name="20% - Accent1 3 4 2 10" xfId="17849"/>
    <cellStyle name="20% - Accent1 3 4 2 11" xfId="17850"/>
    <cellStyle name="20% - Accent1 3 4 2 2" xfId="17851"/>
    <cellStyle name="20% - Accent1 3 4 2 2 10" xfId="17852"/>
    <cellStyle name="20% - Accent1 3 4 2 2 2" xfId="17853"/>
    <cellStyle name="20% - Accent1 3 4 2 2 2 2" xfId="17854"/>
    <cellStyle name="20% - Accent1 3 4 2 2 2 2 2" xfId="17855"/>
    <cellStyle name="20% - Accent1 3 4 2 2 2 3" xfId="17856"/>
    <cellStyle name="20% - Accent1 3 4 2 2 2 3 2" xfId="17857"/>
    <cellStyle name="20% - Accent1 3 4 2 2 2 4" xfId="17858"/>
    <cellStyle name="20% - Accent1 3 4 2 2 2 5" xfId="17859"/>
    <cellStyle name="20% - Accent1 3 4 2 2 2 6" xfId="17860"/>
    <cellStyle name="20% - Accent1 3 4 2 2 2 7" xfId="17861"/>
    <cellStyle name="20% - Accent1 3 4 2 2 3" xfId="17862"/>
    <cellStyle name="20% - Accent1 3 4 2 2 3 2" xfId="17863"/>
    <cellStyle name="20% - Accent1 3 4 2 2 3 2 2" xfId="17864"/>
    <cellStyle name="20% - Accent1 3 4 2 2 3 3" xfId="17865"/>
    <cellStyle name="20% - Accent1 3 4 2 2 3 3 2" xfId="17866"/>
    <cellStyle name="20% - Accent1 3 4 2 2 3 4" xfId="17867"/>
    <cellStyle name="20% - Accent1 3 4 2 2 3 5" xfId="17868"/>
    <cellStyle name="20% - Accent1 3 4 2 2 3 6" xfId="17869"/>
    <cellStyle name="20% - Accent1 3 4 2 2 3 7" xfId="17870"/>
    <cellStyle name="20% - Accent1 3 4 2 2 4" xfId="17871"/>
    <cellStyle name="20% - Accent1 3 4 2 2 4 2" xfId="17872"/>
    <cellStyle name="20% - Accent1 3 4 2 2 4 2 2" xfId="17873"/>
    <cellStyle name="20% - Accent1 3 4 2 2 4 3" xfId="17874"/>
    <cellStyle name="20% - Accent1 3 4 2 2 4 3 2" xfId="17875"/>
    <cellStyle name="20% - Accent1 3 4 2 2 4 4" xfId="17876"/>
    <cellStyle name="20% - Accent1 3 4 2 2 4 5" xfId="17877"/>
    <cellStyle name="20% - Accent1 3 4 2 2 4 6" xfId="17878"/>
    <cellStyle name="20% - Accent1 3 4 2 2 4 7" xfId="17879"/>
    <cellStyle name="20% - Accent1 3 4 2 2 5" xfId="17880"/>
    <cellStyle name="20% - Accent1 3 4 2 2 5 2" xfId="17881"/>
    <cellStyle name="20% - Accent1 3 4 2 2 6" xfId="17882"/>
    <cellStyle name="20% - Accent1 3 4 2 2 6 2" xfId="17883"/>
    <cellStyle name="20% - Accent1 3 4 2 2 7" xfId="17884"/>
    <cellStyle name="20% - Accent1 3 4 2 2 8" xfId="17885"/>
    <cellStyle name="20% - Accent1 3 4 2 2 9" xfId="17886"/>
    <cellStyle name="20% - Accent1 3 4 2 3" xfId="17887"/>
    <cellStyle name="20% - Accent1 3 4 2 3 2" xfId="17888"/>
    <cellStyle name="20% - Accent1 3 4 2 3 2 2" xfId="17889"/>
    <cellStyle name="20% - Accent1 3 4 2 3 3" xfId="17890"/>
    <cellStyle name="20% - Accent1 3 4 2 3 3 2" xfId="17891"/>
    <cellStyle name="20% - Accent1 3 4 2 3 4" xfId="17892"/>
    <cellStyle name="20% - Accent1 3 4 2 3 5" xfId="17893"/>
    <cellStyle name="20% - Accent1 3 4 2 3 6" xfId="17894"/>
    <cellStyle name="20% - Accent1 3 4 2 3 7" xfId="17895"/>
    <cellStyle name="20% - Accent1 3 4 2 4" xfId="17896"/>
    <cellStyle name="20% - Accent1 3 4 2 4 2" xfId="17897"/>
    <cellStyle name="20% - Accent1 3 4 2 4 2 2" xfId="17898"/>
    <cellStyle name="20% - Accent1 3 4 2 4 3" xfId="17899"/>
    <cellStyle name="20% - Accent1 3 4 2 4 3 2" xfId="17900"/>
    <cellStyle name="20% - Accent1 3 4 2 4 4" xfId="17901"/>
    <cellStyle name="20% - Accent1 3 4 2 4 5" xfId="17902"/>
    <cellStyle name="20% - Accent1 3 4 2 4 6" xfId="17903"/>
    <cellStyle name="20% - Accent1 3 4 2 4 7" xfId="17904"/>
    <cellStyle name="20% - Accent1 3 4 2 5" xfId="17905"/>
    <cellStyle name="20% - Accent1 3 4 2 5 2" xfId="17906"/>
    <cellStyle name="20% - Accent1 3 4 2 5 2 2" xfId="17907"/>
    <cellStyle name="20% - Accent1 3 4 2 5 3" xfId="17908"/>
    <cellStyle name="20% - Accent1 3 4 2 5 3 2" xfId="17909"/>
    <cellStyle name="20% - Accent1 3 4 2 5 4" xfId="17910"/>
    <cellStyle name="20% - Accent1 3 4 2 5 5" xfId="17911"/>
    <cellStyle name="20% - Accent1 3 4 2 5 6" xfId="17912"/>
    <cellStyle name="20% - Accent1 3 4 2 5 7" xfId="17913"/>
    <cellStyle name="20% - Accent1 3 4 2 6" xfId="17914"/>
    <cellStyle name="20% - Accent1 3 4 2 6 2" xfId="17915"/>
    <cellStyle name="20% - Accent1 3 4 2 7" xfId="17916"/>
    <cellStyle name="20% - Accent1 3 4 2 7 2" xfId="17917"/>
    <cellStyle name="20% - Accent1 3 4 2 8" xfId="17918"/>
    <cellStyle name="20% - Accent1 3 4 2 9" xfId="17919"/>
    <cellStyle name="20% - Accent1 3 4 3" xfId="17920"/>
    <cellStyle name="20% - Accent1 3 4 3 10" xfId="17921"/>
    <cellStyle name="20% - Accent1 3 4 3 11" xfId="17922"/>
    <cellStyle name="20% - Accent1 3 4 3 2" xfId="17923"/>
    <cellStyle name="20% - Accent1 3 4 3 2 10" xfId="17924"/>
    <cellStyle name="20% - Accent1 3 4 3 2 2" xfId="17925"/>
    <cellStyle name="20% - Accent1 3 4 3 2 2 2" xfId="17926"/>
    <cellStyle name="20% - Accent1 3 4 3 2 2 2 2" xfId="17927"/>
    <cellStyle name="20% - Accent1 3 4 3 2 2 3" xfId="17928"/>
    <cellStyle name="20% - Accent1 3 4 3 2 2 3 2" xfId="17929"/>
    <cellStyle name="20% - Accent1 3 4 3 2 2 4" xfId="17930"/>
    <cellStyle name="20% - Accent1 3 4 3 2 2 5" xfId="17931"/>
    <cellStyle name="20% - Accent1 3 4 3 2 2 6" xfId="17932"/>
    <cellStyle name="20% - Accent1 3 4 3 2 2 7" xfId="17933"/>
    <cellStyle name="20% - Accent1 3 4 3 2 3" xfId="17934"/>
    <cellStyle name="20% - Accent1 3 4 3 2 3 2" xfId="17935"/>
    <cellStyle name="20% - Accent1 3 4 3 2 3 2 2" xfId="17936"/>
    <cellStyle name="20% - Accent1 3 4 3 2 3 3" xfId="17937"/>
    <cellStyle name="20% - Accent1 3 4 3 2 3 3 2" xfId="17938"/>
    <cellStyle name="20% - Accent1 3 4 3 2 3 4" xfId="17939"/>
    <cellStyle name="20% - Accent1 3 4 3 2 3 5" xfId="17940"/>
    <cellStyle name="20% - Accent1 3 4 3 2 3 6" xfId="17941"/>
    <cellStyle name="20% - Accent1 3 4 3 2 3 7" xfId="17942"/>
    <cellStyle name="20% - Accent1 3 4 3 2 4" xfId="17943"/>
    <cellStyle name="20% - Accent1 3 4 3 2 4 2" xfId="17944"/>
    <cellStyle name="20% - Accent1 3 4 3 2 4 2 2" xfId="17945"/>
    <cellStyle name="20% - Accent1 3 4 3 2 4 3" xfId="17946"/>
    <cellStyle name="20% - Accent1 3 4 3 2 4 3 2" xfId="17947"/>
    <cellStyle name="20% - Accent1 3 4 3 2 4 4" xfId="17948"/>
    <cellStyle name="20% - Accent1 3 4 3 2 4 5" xfId="17949"/>
    <cellStyle name="20% - Accent1 3 4 3 2 4 6" xfId="17950"/>
    <cellStyle name="20% - Accent1 3 4 3 2 4 7" xfId="17951"/>
    <cellStyle name="20% - Accent1 3 4 3 2 5" xfId="17952"/>
    <cellStyle name="20% - Accent1 3 4 3 2 5 2" xfId="17953"/>
    <cellStyle name="20% - Accent1 3 4 3 2 6" xfId="17954"/>
    <cellStyle name="20% - Accent1 3 4 3 2 6 2" xfId="17955"/>
    <cellStyle name="20% - Accent1 3 4 3 2 7" xfId="17956"/>
    <cellStyle name="20% - Accent1 3 4 3 2 8" xfId="17957"/>
    <cellStyle name="20% - Accent1 3 4 3 2 9" xfId="17958"/>
    <cellStyle name="20% - Accent1 3 4 3 3" xfId="17959"/>
    <cellStyle name="20% - Accent1 3 4 3 3 2" xfId="17960"/>
    <cellStyle name="20% - Accent1 3 4 3 3 2 2" xfId="17961"/>
    <cellStyle name="20% - Accent1 3 4 3 3 3" xfId="17962"/>
    <cellStyle name="20% - Accent1 3 4 3 3 3 2" xfId="17963"/>
    <cellStyle name="20% - Accent1 3 4 3 3 4" xfId="17964"/>
    <cellStyle name="20% - Accent1 3 4 3 3 5" xfId="17965"/>
    <cellStyle name="20% - Accent1 3 4 3 3 6" xfId="17966"/>
    <cellStyle name="20% - Accent1 3 4 3 3 7" xfId="17967"/>
    <cellStyle name="20% - Accent1 3 4 3 4" xfId="17968"/>
    <cellStyle name="20% - Accent1 3 4 3 4 2" xfId="17969"/>
    <cellStyle name="20% - Accent1 3 4 3 4 2 2" xfId="17970"/>
    <cellStyle name="20% - Accent1 3 4 3 4 3" xfId="17971"/>
    <cellStyle name="20% - Accent1 3 4 3 4 3 2" xfId="17972"/>
    <cellStyle name="20% - Accent1 3 4 3 4 4" xfId="17973"/>
    <cellStyle name="20% - Accent1 3 4 3 4 5" xfId="17974"/>
    <cellStyle name="20% - Accent1 3 4 3 4 6" xfId="17975"/>
    <cellStyle name="20% - Accent1 3 4 3 4 7" xfId="17976"/>
    <cellStyle name="20% - Accent1 3 4 3 5" xfId="17977"/>
    <cellStyle name="20% - Accent1 3 4 3 5 2" xfId="17978"/>
    <cellStyle name="20% - Accent1 3 4 3 5 2 2" xfId="17979"/>
    <cellStyle name="20% - Accent1 3 4 3 5 3" xfId="17980"/>
    <cellStyle name="20% - Accent1 3 4 3 5 3 2" xfId="17981"/>
    <cellStyle name="20% - Accent1 3 4 3 5 4" xfId="17982"/>
    <cellStyle name="20% - Accent1 3 4 3 5 5" xfId="17983"/>
    <cellStyle name="20% - Accent1 3 4 3 5 6" xfId="17984"/>
    <cellStyle name="20% - Accent1 3 4 3 5 7" xfId="17985"/>
    <cellStyle name="20% - Accent1 3 4 3 6" xfId="17986"/>
    <cellStyle name="20% - Accent1 3 4 3 6 2" xfId="17987"/>
    <cellStyle name="20% - Accent1 3 4 3 7" xfId="17988"/>
    <cellStyle name="20% - Accent1 3 4 3 7 2" xfId="17989"/>
    <cellStyle name="20% - Accent1 3 4 3 8" xfId="17990"/>
    <cellStyle name="20% - Accent1 3 4 3 9" xfId="17991"/>
    <cellStyle name="20% - Accent1 3 4 4" xfId="17992"/>
    <cellStyle name="20% - Accent1 3 4 4 10" xfId="17993"/>
    <cellStyle name="20% - Accent1 3 4 4 2" xfId="17994"/>
    <cellStyle name="20% - Accent1 3 4 4 2 2" xfId="17995"/>
    <cellStyle name="20% - Accent1 3 4 4 2 2 2" xfId="17996"/>
    <cellStyle name="20% - Accent1 3 4 4 2 3" xfId="17997"/>
    <cellStyle name="20% - Accent1 3 4 4 2 3 2" xfId="17998"/>
    <cellStyle name="20% - Accent1 3 4 4 2 4" xfId="17999"/>
    <cellStyle name="20% - Accent1 3 4 4 2 5" xfId="18000"/>
    <cellStyle name="20% - Accent1 3 4 4 2 6" xfId="18001"/>
    <cellStyle name="20% - Accent1 3 4 4 2 7" xfId="18002"/>
    <cellStyle name="20% - Accent1 3 4 4 3" xfId="18003"/>
    <cellStyle name="20% - Accent1 3 4 4 3 2" xfId="18004"/>
    <cellStyle name="20% - Accent1 3 4 4 3 2 2" xfId="18005"/>
    <cellStyle name="20% - Accent1 3 4 4 3 3" xfId="18006"/>
    <cellStyle name="20% - Accent1 3 4 4 3 3 2" xfId="18007"/>
    <cellStyle name="20% - Accent1 3 4 4 3 4" xfId="18008"/>
    <cellStyle name="20% - Accent1 3 4 4 3 5" xfId="18009"/>
    <cellStyle name="20% - Accent1 3 4 4 3 6" xfId="18010"/>
    <cellStyle name="20% - Accent1 3 4 4 3 7" xfId="18011"/>
    <cellStyle name="20% - Accent1 3 4 4 4" xfId="18012"/>
    <cellStyle name="20% - Accent1 3 4 4 4 2" xfId="18013"/>
    <cellStyle name="20% - Accent1 3 4 4 4 2 2" xfId="18014"/>
    <cellStyle name="20% - Accent1 3 4 4 4 3" xfId="18015"/>
    <cellStyle name="20% - Accent1 3 4 4 4 3 2" xfId="18016"/>
    <cellStyle name="20% - Accent1 3 4 4 4 4" xfId="18017"/>
    <cellStyle name="20% - Accent1 3 4 4 4 5" xfId="18018"/>
    <cellStyle name="20% - Accent1 3 4 4 4 6" xfId="18019"/>
    <cellStyle name="20% - Accent1 3 4 4 4 7" xfId="18020"/>
    <cellStyle name="20% - Accent1 3 4 4 5" xfId="18021"/>
    <cellStyle name="20% - Accent1 3 4 4 5 2" xfId="18022"/>
    <cellStyle name="20% - Accent1 3 4 4 6" xfId="18023"/>
    <cellStyle name="20% - Accent1 3 4 4 6 2" xfId="18024"/>
    <cellStyle name="20% - Accent1 3 4 4 7" xfId="18025"/>
    <cellStyle name="20% - Accent1 3 4 4 8" xfId="18026"/>
    <cellStyle name="20% - Accent1 3 4 4 9" xfId="18027"/>
    <cellStyle name="20% - Accent1 3 4 5" xfId="18028"/>
    <cellStyle name="20% - Accent1 3 4 5 2" xfId="18029"/>
    <cellStyle name="20% - Accent1 3 4 5 2 2" xfId="18030"/>
    <cellStyle name="20% - Accent1 3 4 5 3" xfId="18031"/>
    <cellStyle name="20% - Accent1 3 4 5 3 2" xfId="18032"/>
    <cellStyle name="20% - Accent1 3 4 5 4" xfId="18033"/>
    <cellStyle name="20% - Accent1 3 4 5 5" xfId="18034"/>
    <cellStyle name="20% - Accent1 3 4 5 6" xfId="18035"/>
    <cellStyle name="20% - Accent1 3 4 5 7" xfId="18036"/>
    <cellStyle name="20% - Accent1 3 4 6" xfId="18037"/>
    <cellStyle name="20% - Accent1 3 4 6 2" xfId="18038"/>
    <cellStyle name="20% - Accent1 3 4 6 2 2" xfId="18039"/>
    <cellStyle name="20% - Accent1 3 4 6 3" xfId="18040"/>
    <cellStyle name="20% - Accent1 3 4 6 3 2" xfId="18041"/>
    <cellStyle name="20% - Accent1 3 4 6 4" xfId="18042"/>
    <cellStyle name="20% - Accent1 3 4 6 5" xfId="18043"/>
    <cellStyle name="20% - Accent1 3 4 6 6" xfId="18044"/>
    <cellStyle name="20% - Accent1 3 4 6 7" xfId="18045"/>
    <cellStyle name="20% - Accent1 3 4 7" xfId="18046"/>
    <cellStyle name="20% - Accent1 3 4 7 2" xfId="18047"/>
    <cellStyle name="20% - Accent1 3 4 7 2 2" xfId="18048"/>
    <cellStyle name="20% - Accent1 3 4 7 3" xfId="18049"/>
    <cellStyle name="20% - Accent1 3 4 7 3 2" xfId="18050"/>
    <cellStyle name="20% - Accent1 3 4 7 4" xfId="18051"/>
    <cellStyle name="20% - Accent1 3 4 7 5" xfId="18052"/>
    <cellStyle name="20% - Accent1 3 4 7 6" xfId="18053"/>
    <cellStyle name="20% - Accent1 3 4 7 7" xfId="18054"/>
    <cellStyle name="20% - Accent1 3 4 8" xfId="18055"/>
    <cellStyle name="20% - Accent1 3 4 8 2" xfId="18056"/>
    <cellStyle name="20% - Accent1 3 4 9" xfId="18057"/>
    <cellStyle name="20% - Accent1 3 4 9 2" xfId="18058"/>
    <cellStyle name="20% - Accent1 3 5" xfId="18059"/>
    <cellStyle name="20% - Accent1 3 5 10" xfId="18060"/>
    <cellStyle name="20% - Accent1 3 5 11" xfId="18061"/>
    <cellStyle name="20% - Accent1 3 5 12" xfId="18062"/>
    <cellStyle name="20% - Accent1 3 5 13" xfId="18063"/>
    <cellStyle name="20% - Accent1 3 5 2" xfId="18064"/>
    <cellStyle name="20% - Accent1 3 5 2 10" xfId="18065"/>
    <cellStyle name="20% - Accent1 3 5 2 11" xfId="18066"/>
    <cellStyle name="20% - Accent1 3 5 2 2" xfId="18067"/>
    <cellStyle name="20% - Accent1 3 5 2 2 10" xfId="18068"/>
    <cellStyle name="20% - Accent1 3 5 2 2 2" xfId="18069"/>
    <cellStyle name="20% - Accent1 3 5 2 2 2 2" xfId="18070"/>
    <cellStyle name="20% - Accent1 3 5 2 2 2 2 2" xfId="18071"/>
    <cellStyle name="20% - Accent1 3 5 2 2 2 3" xfId="18072"/>
    <cellStyle name="20% - Accent1 3 5 2 2 2 3 2" xfId="18073"/>
    <cellStyle name="20% - Accent1 3 5 2 2 2 4" xfId="18074"/>
    <cellStyle name="20% - Accent1 3 5 2 2 2 5" xfId="18075"/>
    <cellStyle name="20% - Accent1 3 5 2 2 2 6" xfId="18076"/>
    <cellStyle name="20% - Accent1 3 5 2 2 2 7" xfId="18077"/>
    <cellStyle name="20% - Accent1 3 5 2 2 3" xfId="18078"/>
    <cellStyle name="20% - Accent1 3 5 2 2 3 2" xfId="18079"/>
    <cellStyle name="20% - Accent1 3 5 2 2 3 2 2" xfId="18080"/>
    <cellStyle name="20% - Accent1 3 5 2 2 3 3" xfId="18081"/>
    <cellStyle name="20% - Accent1 3 5 2 2 3 3 2" xfId="18082"/>
    <cellStyle name="20% - Accent1 3 5 2 2 3 4" xfId="18083"/>
    <cellStyle name="20% - Accent1 3 5 2 2 3 5" xfId="18084"/>
    <cellStyle name="20% - Accent1 3 5 2 2 3 6" xfId="18085"/>
    <cellStyle name="20% - Accent1 3 5 2 2 3 7" xfId="18086"/>
    <cellStyle name="20% - Accent1 3 5 2 2 4" xfId="18087"/>
    <cellStyle name="20% - Accent1 3 5 2 2 4 2" xfId="18088"/>
    <cellStyle name="20% - Accent1 3 5 2 2 4 2 2" xfId="18089"/>
    <cellStyle name="20% - Accent1 3 5 2 2 4 3" xfId="18090"/>
    <cellStyle name="20% - Accent1 3 5 2 2 4 3 2" xfId="18091"/>
    <cellStyle name="20% - Accent1 3 5 2 2 4 4" xfId="18092"/>
    <cellStyle name="20% - Accent1 3 5 2 2 4 5" xfId="18093"/>
    <cellStyle name="20% - Accent1 3 5 2 2 4 6" xfId="18094"/>
    <cellStyle name="20% - Accent1 3 5 2 2 4 7" xfId="18095"/>
    <cellStyle name="20% - Accent1 3 5 2 2 5" xfId="18096"/>
    <cellStyle name="20% - Accent1 3 5 2 2 5 2" xfId="18097"/>
    <cellStyle name="20% - Accent1 3 5 2 2 6" xfId="18098"/>
    <cellStyle name="20% - Accent1 3 5 2 2 6 2" xfId="18099"/>
    <cellStyle name="20% - Accent1 3 5 2 2 7" xfId="18100"/>
    <cellStyle name="20% - Accent1 3 5 2 2 8" xfId="18101"/>
    <cellStyle name="20% - Accent1 3 5 2 2 9" xfId="18102"/>
    <cellStyle name="20% - Accent1 3 5 2 3" xfId="18103"/>
    <cellStyle name="20% - Accent1 3 5 2 3 2" xfId="18104"/>
    <cellStyle name="20% - Accent1 3 5 2 3 2 2" xfId="18105"/>
    <cellStyle name="20% - Accent1 3 5 2 3 3" xfId="18106"/>
    <cellStyle name="20% - Accent1 3 5 2 3 3 2" xfId="18107"/>
    <cellStyle name="20% - Accent1 3 5 2 3 4" xfId="18108"/>
    <cellStyle name="20% - Accent1 3 5 2 3 5" xfId="18109"/>
    <cellStyle name="20% - Accent1 3 5 2 3 6" xfId="18110"/>
    <cellStyle name="20% - Accent1 3 5 2 3 7" xfId="18111"/>
    <cellStyle name="20% - Accent1 3 5 2 4" xfId="18112"/>
    <cellStyle name="20% - Accent1 3 5 2 4 2" xfId="18113"/>
    <cellStyle name="20% - Accent1 3 5 2 4 2 2" xfId="18114"/>
    <cellStyle name="20% - Accent1 3 5 2 4 3" xfId="18115"/>
    <cellStyle name="20% - Accent1 3 5 2 4 3 2" xfId="18116"/>
    <cellStyle name="20% - Accent1 3 5 2 4 4" xfId="18117"/>
    <cellStyle name="20% - Accent1 3 5 2 4 5" xfId="18118"/>
    <cellStyle name="20% - Accent1 3 5 2 4 6" xfId="18119"/>
    <cellStyle name="20% - Accent1 3 5 2 4 7" xfId="18120"/>
    <cellStyle name="20% - Accent1 3 5 2 5" xfId="18121"/>
    <cellStyle name="20% - Accent1 3 5 2 5 2" xfId="18122"/>
    <cellStyle name="20% - Accent1 3 5 2 5 2 2" xfId="18123"/>
    <cellStyle name="20% - Accent1 3 5 2 5 3" xfId="18124"/>
    <cellStyle name="20% - Accent1 3 5 2 5 3 2" xfId="18125"/>
    <cellStyle name="20% - Accent1 3 5 2 5 4" xfId="18126"/>
    <cellStyle name="20% - Accent1 3 5 2 5 5" xfId="18127"/>
    <cellStyle name="20% - Accent1 3 5 2 5 6" xfId="18128"/>
    <cellStyle name="20% - Accent1 3 5 2 5 7" xfId="18129"/>
    <cellStyle name="20% - Accent1 3 5 2 6" xfId="18130"/>
    <cellStyle name="20% - Accent1 3 5 2 6 2" xfId="18131"/>
    <cellStyle name="20% - Accent1 3 5 2 7" xfId="18132"/>
    <cellStyle name="20% - Accent1 3 5 2 7 2" xfId="18133"/>
    <cellStyle name="20% - Accent1 3 5 2 8" xfId="18134"/>
    <cellStyle name="20% - Accent1 3 5 2 9" xfId="18135"/>
    <cellStyle name="20% - Accent1 3 5 3" xfId="18136"/>
    <cellStyle name="20% - Accent1 3 5 3 10" xfId="18137"/>
    <cellStyle name="20% - Accent1 3 5 3 11" xfId="18138"/>
    <cellStyle name="20% - Accent1 3 5 3 2" xfId="18139"/>
    <cellStyle name="20% - Accent1 3 5 3 2 10" xfId="18140"/>
    <cellStyle name="20% - Accent1 3 5 3 2 2" xfId="18141"/>
    <cellStyle name="20% - Accent1 3 5 3 2 2 2" xfId="18142"/>
    <cellStyle name="20% - Accent1 3 5 3 2 2 2 2" xfId="18143"/>
    <cellStyle name="20% - Accent1 3 5 3 2 2 3" xfId="18144"/>
    <cellStyle name="20% - Accent1 3 5 3 2 2 3 2" xfId="18145"/>
    <cellStyle name="20% - Accent1 3 5 3 2 2 4" xfId="18146"/>
    <cellStyle name="20% - Accent1 3 5 3 2 2 5" xfId="18147"/>
    <cellStyle name="20% - Accent1 3 5 3 2 2 6" xfId="18148"/>
    <cellStyle name="20% - Accent1 3 5 3 2 2 7" xfId="18149"/>
    <cellStyle name="20% - Accent1 3 5 3 2 3" xfId="18150"/>
    <cellStyle name="20% - Accent1 3 5 3 2 3 2" xfId="18151"/>
    <cellStyle name="20% - Accent1 3 5 3 2 3 2 2" xfId="18152"/>
    <cellStyle name="20% - Accent1 3 5 3 2 3 3" xfId="18153"/>
    <cellStyle name="20% - Accent1 3 5 3 2 3 3 2" xfId="18154"/>
    <cellStyle name="20% - Accent1 3 5 3 2 3 4" xfId="18155"/>
    <cellStyle name="20% - Accent1 3 5 3 2 3 5" xfId="18156"/>
    <cellStyle name="20% - Accent1 3 5 3 2 3 6" xfId="18157"/>
    <cellStyle name="20% - Accent1 3 5 3 2 3 7" xfId="18158"/>
    <cellStyle name="20% - Accent1 3 5 3 2 4" xfId="18159"/>
    <cellStyle name="20% - Accent1 3 5 3 2 4 2" xfId="18160"/>
    <cellStyle name="20% - Accent1 3 5 3 2 4 2 2" xfId="18161"/>
    <cellStyle name="20% - Accent1 3 5 3 2 4 3" xfId="18162"/>
    <cellStyle name="20% - Accent1 3 5 3 2 4 3 2" xfId="18163"/>
    <cellStyle name="20% - Accent1 3 5 3 2 4 4" xfId="18164"/>
    <cellStyle name="20% - Accent1 3 5 3 2 4 5" xfId="18165"/>
    <cellStyle name="20% - Accent1 3 5 3 2 4 6" xfId="18166"/>
    <cellStyle name="20% - Accent1 3 5 3 2 4 7" xfId="18167"/>
    <cellStyle name="20% - Accent1 3 5 3 2 5" xfId="18168"/>
    <cellStyle name="20% - Accent1 3 5 3 2 5 2" xfId="18169"/>
    <cellStyle name="20% - Accent1 3 5 3 2 6" xfId="18170"/>
    <cellStyle name="20% - Accent1 3 5 3 2 6 2" xfId="18171"/>
    <cellStyle name="20% - Accent1 3 5 3 2 7" xfId="18172"/>
    <cellStyle name="20% - Accent1 3 5 3 2 8" xfId="18173"/>
    <cellStyle name="20% - Accent1 3 5 3 2 9" xfId="18174"/>
    <cellStyle name="20% - Accent1 3 5 3 3" xfId="18175"/>
    <cellStyle name="20% - Accent1 3 5 3 3 2" xfId="18176"/>
    <cellStyle name="20% - Accent1 3 5 3 3 2 2" xfId="18177"/>
    <cellStyle name="20% - Accent1 3 5 3 3 3" xfId="18178"/>
    <cellStyle name="20% - Accent1 3 5 3 3 3 2" xfId="18179"/>
    <cellStyle name="20% - Accent1 3 5 3 3 4" xfId="18180"/>
    <cellStyle name="20% - Accent1 3 5 3 3 5" xfId="18181"/>
    <cellStyle name="20% - Accent1 3 5 3 3 6" xfId="18182"/>
    <cellStyle name="20% - Accent1 3 5 3 3 7" xfId="18183"/>
    <cellStyle name="20% - Accent1 3 5 3 4" xfId="18184"/>
    <cellStyle name="20% - Accent1 3 5 3 4 2" xfId="18185"/>
    <cellStyle name="20% - Accent1 3 5 3 4 2 2" xfId="18186"/>
    <cellStyle name="20% - Accent1 3 5 3 4 3" xfId="18187"/>
    <cellStyle name="20% - Accent1 3 5 3 4 3 2" xfId="18188"/>
    <cellStyle name="20% - Accent1 3 5 3 4 4" xfId="18189"/>
    <cellStyle name="20% - Accent1 3 5 3 4 5" xfId="18190"/>
    <cellStyle name="20% - Accent1 3 5 3 4 6" xfId="18191"/>
    <cellStyle name="20% - Accent1 3 5 3 4 7" xfId="18192"/>
    <cellStyle name="20% - Accent1 3 5 3 5" xfId="18193"/>
    <cellStyle name="20% - Accent1 3 5 3 5 2" xfId="18194"/>
    <cellStyle name="20% - Accent1 3 5 3 5 2 2" xfId="18195"/>
    <cellStyle name="20% - Accent1 3 5 3 5 3" xfId="18196"/>
    <cellStyle name="20% - Accent1 3 5 3 5 3 2" xfId="18197"/>
    <cellStyle name="20% - Accent1 3 5 3 5 4" xfId="18198"/>
    <cellStyle name="20% - Accent1 3 5 3 5 5" xfId="18199"/>
    <cellStyle name="20% - Accent1 3 5 3 5 6" xfId="18200"/>
    <cellStyle name="20% - Accent1 3 5 3 5 7" xfId="18201"/>
    <cellStyle name="20% - Accent1 3 5 3 6" xfId="18202"/>
    <cellStyle name="20% - Accent1 3 5 3 6 2" xfId="18203"/>
    <cellStyle name="20% - Accent1 3 5 3 7" xfId="18204"/>
    <cellStyle name="20% - Accent1 3 5 3 7 2" xfId="18205"/>
    <cellStyle name="20% - Accent1 3 5 3 8" xfId="18206"/>
    <cellStyle name="20% - Accent1 3 5 3 9" xfId="18207"/>
    <cellStyle name="20% - Accent1 3 5 4" xfId="18208"/>
    <cellStyle name="20% - Accent1 3 5 4 10" xfId="18209"/>
    <cellStyle name="20% - Accent1 3 5 4 2" xfId="18210"/>
    <cellStyle name="20% - Accent1 3 5 4 2 2" xfId="18211"/>
    <cellStyle name="20% - Accent1 3 5 4 2 2 2" xfId="18212"/>
    <cellStyle name="20% - Accent1 3 5 4 2 3" xfId="18213"/>
    <cellStyle name="20% - Accent1 3 5 4 2 3 2" xfId="18214"/>
    <cellStyle name="20% - Accent1 3 5 4 2 4" xfId="18215"/>
    <cellStyle name="20% - Accent1 3 5 4 2 5" xfId="18216"/>
    <cellStyle name="20% - Accent1 3 5 4 2 6" xfId="18217"/>
    <cellStyle name="20% - Accent1 3 5 4 2 7" xfId="18218"/>
    <cellStyle name="20% - Accent1 3 5 4 3" xfId="18219"/>
    <cellStyle name="20% - Accent1 3 5 4 3 2" xfId="18220"/>
    <cellStyle name="20% - Accent1 3 5 4 3 2 2" xfId="18221"/>
    <cellStyle name="20% - Accent1 3 5 4 3 3" xfId="18222"/>
    <cellStyle name="20% - Accent1 3 5 4 3 3 2" xfId="18223"/>
    <cellStyle name="20% - Accent1 3 5 4 3 4" xfId="18224"/>
    <cellStyle name="20% - Accent1 3 5 4 3 5" xfId="18225"/>
    <cellStyle name="20% - Accent1 3 5 4 3 6" xfId="18226"/>
    <cellStyle name="20% - Accent1 3 5 4 3 7" xfId="18227"/>
    <cellStyle name="20% - Accent1 3 5 4 4" xfId="18228"/>
    <cellStyle name="20% - Accent1 3 5 4 4 2" xfId="18229"/>
    <cellStyle name="20% - Accent1 3 5 4 4 2 2" xfId="18230"/>
    <cellStyle name="20% - Accent1 3 5 4 4 3" xfId="18231"/>
    <cellStyle name="20% - Accent1 3 5 4 4 3 2" xfId="18232"/>
    <cellStyle name="20% - Accent1 3 5 4 4 4" xfId="18233"/>
    <cellStyle name="20% - Accent1 3 5 4 4 5" xfId="18234"/>
    <cellStyle name="20% - Accent1 3 5 4 4 6" xfId="18235"/>
    <cellStyle name="20% - Accent1 3 5 4 4 7" xfId="18236"/>
    <cellStyle name="20% - Accent1 3 5 4 5" xfId="18237"/>
    <cellStyle name="20% - Accent1 3 5 4 5 2" xfId="18238"/>
    <cellStyle name="20% - Accent1 3 5 4 6" xfId="18239"/>
    <cellStyle name="20% - Accent1 3 5 4 6 2" xfId="18240"/>
    <cellStyle name="20% - Accent1 3 5 4 7" xfId="18241"/>
    <cellStyle name="20% - Accent1 3 5 4 8" xfId="18242"/>
    <cellStyle name="20% - Accent1 3 5 4 9" xfId="18243"/>
    <cellStyle name="20% - Accent1 3 5 5" xfId="18244"/>
    <cellStyle name="20% - Accent1 3 5 5 2" xfId="18245"/>
    <cellStyle name="20% - Accent1 3 5 5 2 2" xfId="18246"/>
    <cellStyle name="20% - Accent1 3 5 5 3" xfId="18247"/>
    <cellStyle name="20% - Accent1 3 5 5 3 2" xfId="18248"/>
    <cellStyle name="20% - Accent1 3 5 5 4" xfId="18249"/>
    <cellStyle name="20% - Accent1 3 5 5 5" xfId="18250"/>
    <cellStyle name="20% - Accent1 3 5 5 6" xfId="18251"/>
    <cellStyle name="20% - Accent1 3 5 5 7" xfId="18252"/>
    <cellStyle name="20% - Accent1 3 5 6" xfId="18253"/>
    <cellStyle name="20% - Accent1 3 5 6 2" xfId="18254"/>
    <cellStyle name="20% - Accent1 3 5 6 2 2" xfId="18255"/>
    <cellStyle name="20% - Accent1 3 5 6 3" xfId="18256"/>
    <cellStyle name="20% - Accent1 3 5 6 3 2" xfId="18257"/>
    <cellStyle name="20% - Accent1 3 5 6 4" xfId="18258"/>
    <cellStyle name="20% - Accent1 3 5 6 5" xfId="18259"/>
    <cellStyle name="20% - Accent1 3 5 6 6" xfId="18260"/>
    <cellStyle name="20% - Accent1 3 5 6 7" xfId="18261"/>
    <cellStyle name="20% - Accent1 3 5 7" xfId="18262"/>
    <cellStyle name="20% - Accent1 3 5 7 2" xfId="18263"/>
    <cellStyle name="20% - Accent1 3 5 7 2 2" xfId="18264"/>
    <cellStyle name="20% - Accent1 3 5 7 3" xfId="18265"/>
    <cellStyle name="20% - Accent1 3 5 7 3 2" xfId="18266"/>
    <cellStyle name="20% - Accent1 3 5 7 4" xfId="18267"/>
    <cellStyle name="20% - Accent1 3 5 7 5" xfId="18268"/>
    <cellStyle name="20% - Accent1 3 5 7 6" xfId="18269"/>
    <cellStyle name="20% - Accent1 3 5 7 7" xfId="18270"/>
    <cellStyle name="20% - Accent1 3 5 8" xfId="18271"/>
    <cellStyle name="20% - Accent1 3 5 8 2" xfId="18272"/>
    <cellStyle name="20% - Accent1 3 5 9" xfId="18273"/>
    <cellStyle name="20% - Accent1 3 5 9 2" xfId="18274"/>
    <cellStyle name="20% - Accent1 3 6" xfId="18275"/>
    <cellStyle name="20% - Accent1 3 6 10" xfId="18276"/>
    <cellStyle name="20% - Accent1 3 6 11" xfId="18277"/>
    <cellStyle name="20% - Accent1 3 6 12" xfId="18278"/>
    <cellStyle name="20% - Accent1 3 6 13" xfId="18279"/>
    <cellStyle name="20% - Accent1 3 6 2" xfId="18280"/>
    <cellStyle name="20% - Accent1 3 6 2 10" xfId="18281"/>
    <cellStyle name="20% - Accent1 3 6 2 11" xfId="18282"/>
    <cellStyle name="20% - Accent1 3 6 2 2" xfId="18283"/>
    <cellStyle name="20% - Accent1 3 6 2 2 10" xfId="18284"/>
    <cellStyle name="20% - Accent1 3 6 2 2 2" xfId="18285"/>
    <cellStyle name="20% - Accent1 3 6 2 2 2 2" xfId="18286"/>
    <cellStyle name="20% - Accent1 3 6 2 2 2 2 2" xfId="18287"/>
    <cellStyle name="20% - Accent1 3 6 2 2 2 3" xfId="18288"/>
    <cellStyle name="20% - Accent1 3 6 2 2 2 3 2" xfId="18289"/>
    <cellStyle name="20% - Accent1 3 6 2 2 2 4" xfId="18290"/>
    <cellStyle name="20% - Accent1 3 6 2 2 2 5" xfId="18291"/>
    <cellStyle name="20% - Accent1 3 6 2 2 2 6" xfId="18292"/>
    <cellStyle name="20% - Accent1 3 6 2 2 2 7" xfId="18293"/>
    <cellStyle name="20% - Accent1 3 6 2 2 3" xfId="18294"/>
    <cellStyle name="20% - Accent1 3 6 2 2 3 2" xfId="18295"/>
    <cellStyle name="20% - Accent1 3 6 2 2 3 2 2" xfId="18296"/>
    <cellStyle name="20% - Accent1 3 6 2 2 3 3" xfId="18297"/>
    <cellStyle name="20% - Accent1 3 6 2 2 3 3 2" xfId="18298"/>
    <cellStyle name="20% - Accent1 3 6 2 2 3 4" xfId="18299"/>
    <cellStyle name="20% - Accent1 3 6 2 2 3 5" xfId="18300"/>
    <cellStyle name="20% - Accent1 3 6 2 2 3 6" xfId="18301"/>
    <cellStyle name="20% - Accent1 3 6 2 2 3 7" xfId="18302"/>
    <cellStyle name="20% - Accent1 3 6 2 2 4" xfId="18303"/>
    <cellStyle name="20% - Accent1 3 6 2 2 4 2" xfId="18304"/>
    <cellStyle name="20% - Accent1 3 6 2 2 4 2 2" xfId="18305"/>
    <cellStyle name="20% - Accent1 3 6 2 2 4 3" xfId="18306"/>
    <cellStyle name="20% - Accent1 3 6 2 2 4 3 2" xfId="18307"/>
    <cellStyle name="20% - Accent1 3 6 2 2 4 4" xfId="18308"/>
    <cellStyle name="20% - Accent1 3 6 2 2 4 5" xfId="18309"/>
    <cellStyle name="20% - Accent1 3 6 2 2 4 6" xfId="18310"/>
    <cellStyle name="20% - Accent1 3 6 2 2 4 7" xfId="18311"/>
    <cellStyle name="20% - Accent1 3 6 2 2 5" xfId="18312"/>
    <cellStyle name="20% - Accent1 3 6 2 2 5 2" xfId="18313"/>
    <cellStyle name="20% - Accent1 3 6 2 2 6" xfId="18314"/>
    <cellStyle name="20% - Accent1 3 6 2 2 6 2" xfId="18315"/>
    <cellStyle name="20% - Accent1 3 6 2 2 7" xfId="18316"/>
    <cellStyle name="20% - Accent1 3 6 2 2 8" xfId="18317"/>
    <cellStyle name="20% - Accent1 3 6 2 2 9" xfId="18318"/>
    <cellStyle name="20% - Accent1 3 6 2 3" xfId="18319"/>
    <cellStyle name="20% - Accent1 3 6 2 3 2" xfId="18320"/>
    <cellStyle name="20% - Accent1 3 6 2 3 2 2" xfId="18321"/>
    <cellStyle name="20% - Accent1 3 6 2 3 3" xfId="18322"/>
    <cellStyle name="20% - Accent1 3 6 2 3 3 2" xfId="18323"/>
    <cellStyle name="20% - Accent1 3 6 2 3 4" xfId="18324"/>
    <cellStyle name="20% - Accent1 3 6 2 3 5" xfId="18325"/>
    <cellStyle name="20% - Accent1 3 6 2 3 6" xfId="18326"/>
    <cellStyle name="20% - Accent1 3 6 2 3 7" xfId="18327"/>
    <cellStyle name="20% - Accent1 3 6 2 4" xfId="18328"/>
    <cellStyle name="20% - Accent1 3 6 2 4 2" xfId="18329"/>
    <cellStyle name="20% - Accent1 3 6 2 4 2 2" xfId="18330"/>
    <cellStyle name="20% - Accent1 3 6 2 4 3" xfId="18331"/>
    <cellStyle name="20% - Accent1 3 6 2 4 3 2" xfId="18332"/>
    <cellStyle name="20% - Accent1 3 6 2 4 4" xfId="18333"/>
    <cellStyle name="20% - Accent1 3 6 2 4 5" xfId="18334"/>
    <cellStyle name="20% - Accent1 3 6 2 4 6" xfId="18335"/>
    <cellStyle name="20% - Accent1 3 6 2 4 7" xfId="18336"/>
    <cellStyle name="20% - Accent1 3 6 2 5" xfId="18337"/>
    <cellStyle name="20% - Accent1 3 6 2 5 2" xfId="18338"/>
    <cellStyle name="20% - Accent1 3 6 2 5 2 2" xfId="18339"/>
    <cellStyle name="20% - Accent1 3 6 2 5 3" xfId="18340"/>
    <cellStyle name="20% - Accent1 3 6 2 5 3 2" xfId="18341"/>
    <cellStyle name="20% - Accent1 3 6 2 5 4" xfId="18342"/>
    <cellStyle name="20% - Accent1 3 6 2 5 5" xfId="18343"/>
    <cellStyle name="20% - Accent1 3 6 2 5 6" xfId="18344"/>
    <cellStyle name="20% - Accent1 3 6 2 5 7" xfId="18345"/>
    <cellStyle name="20% - Accent1 3 6 2 6" xfId="18346"/>
    <cellStyle name="20% - Accent1 3 6 2 6 2" xfId="18347"/>
    <cellStyle name="20% - Accent1 3 6 2 7" xfId="18348"/>
    <cellStyle name="20% - Accent1 3 6 2 7 2" xfId="18349"/>
    <cellStyle name="20% - Accent1 3 6 2 8" xfId="18350"/>
    <cellStyle name="20% - Accent1 3 6 2 9" xfId="18351"/>
    <cellStyle name="20% - Accent1 3 6 3" xfId="18352"/>
    <cellStyle name="20% - Accent1 3 6 3 10" xfId="18353"/>
    <cellStyle name="20% - Accent1 3 6 3 11" xfId="18354"/>
    <cellStyle name="20% - Accent1 3 6 3 2" xfId="18355"/>
    <cellStyle name="20% - Accent1 3 6 3 2 10" xfId="18356"/>
    <cellStyle name="20% - Accent1 3 6 3 2 2" xfId="18357"/>
    <cellStyle name="20% - Accent1 3 6 3 2 2 2" xfId="18358"/>
    <cellStyle name="20% - Accent1 3 6 3 2 2 2 2" xfId="18359"/>
    <cellStyle name="20% - Accent1 3 6 3 2 2 3" xfId="18360"/>
    <cellStyle name="20% - Accent1 3 6 3 2 2 3 2" xfId="18361"/>
    <cellStyle name="20% - Accent1 3 6 3 2 2 4" xfId="18362"/>
    <cellStyle name="20% - Accent1 3 6 3 2 2 5" xfId="18363"/>
    <cellStyle name="20% - Accent1 3 6 3 2 2 6" xfId="18364"/>
    <cellStyle name="20% - Accent1 3 6 3 2 2 7" xfId="18365"/>
    <cellStyle name="20% - Accent1 3 6 3 2 3" xfId="18366"/>
    <cellStyle name="20% - Accent1 3 6 3 2 3 2" xfId="18367"/>
    <cellStyle name="20% - Accent1 3 6 3 2 3 2 2" xfId="18368"/>
    <cellStyle name="20% - Accent1 3 6 3 2 3 3" xfId="18369"/>
    <cellStyle name="20% - Accent1 3 6 3 2 3 3 2" xfId="18370"/>
    <cellStyle name="20% - Accent1 3 6 3 2 3 4" xfId="18371"/>
    <cellStyle name="20% - Accent1 3 6 3 2 3 5" xfId="18372"/>
    <cellStyle name="20% - Accent1 3 6 3 2 3 6" xfId="18373"/>
    <cellStyle name="20% - Accent1 3 6 3 2 3 7" xfId="18374"/>
    <cellStyle name="20% - Accent1 3 6 3 2 4" xfId="18375"/>
    <cellStyle name="20% - Accent1 3 6 3 2 4 2" xfId="18376"/>
    <cellStyle name="20% - Accent1 3 6 3 2 4 2 2" xfId="18377"/>
    <cellStyle name="20% - Accent1 3 6 3 2 4 3" xfId="18378"/>
    <cellStyle name="20% - Accent1 3 6 3 2 4 3 2" xfId="18379"/>
    <cellStyle name="20% - Accent1 3 6 3 2 4 4" xfId="18380"/>
    <cellStyle name="20% - Accent1 3 6 3 2 4 5" xfId="18381"/>
    <cellStyle name="20% - Accent1 3 6 3 2 4 6" xfId="18382"/>
    <cellStyle name="20% - Accent1 3 6 3 2 4 7" xfId="18383"/>
    <cellStyle name="20% - Accent1 3 6 3 2 5" xfId="18384"/>
    <cellStyle name="20% - Accent1 3 6 3 2 5 2" xfId="18385"/>
    <cellStyle name="20% - Accent1 3 6 3 2 6" xfId="18386"/>
    <cellStyle name="20% - Accent1 3 6 3 2 6 2" xfId="18387"/>
    <cellStyle name="20% - Accent1 3 6 3 2 7" xfId="18388"/>
    <cellStyle name="20% - Accent1 3 6 3 2 8" xfId="18389"/>
    <cellStyle name="20% - Accent1 3 6 3 2 9" xfId="18390"/>
    <cellStyle name="20% - Accent1 3 6 3 3" xfId="18391"/>
    <cellStyle name="20% - Accent1 3 6 3 3 2" xfId="18392"/>
    <cellStyle name="20% - Accent1 3 6 3 3 2 2" xfId="18393"/>
    <cellStyle name="20% - Accent1 3 6 3 3 3" xfId="18394"/>
    <cellStyle name="20% - Accent1 3 6 3 3 3 2" xfId="18395"/>
    <cellStyle name="20% - Accent1 3 6 3 3 4" xfId="18396"/>
    <cellStyle name="20% - Accent1 3 6 3 3 5" xfId="18397"/>
    <cellStyle name="20% - Accent1 3 6 3 3 6" xfId="18398"/>
    <cellStyle name="20% - Accent1 3 6 3 3 7" xfId="18399"/>
    <cellStyle name="20% - Accent1 3 6 3 4" xfId="18400"/>
    <cellStyle name="20% - Accent1 3 6 3 4 2" xfId="18401"/>
    <cellStyle name="20% - Accent1 3 6 3 4 2 2" xfId="18402"/>
    <cellStyle name="20% - Accent1 3 6 3 4 3" xfId="18403"/>
    <cellStyle name="20% - Accent1 3 6 3 4 3 2" xfId="18404"/>
    <cellStyle name="20% - Accent1 3 6 3 4 4" xfId="18405"/>
    <cellStyle name="20% - Accent1 3 6 3 4 5" xfId="18406"/>
    <cellStyle name="20% - Accent1 3 6 3 4 6" xfId="18407"/>
    <cellStyle name="20% - Accent1 3 6 3 4 7" xfId="18408"/>
    <cellStyle name="20% - Accent1 3 6 3 5" xfId="18409"/>
    <cellStyle name="20% - Accent1 3 6 3 5 2" xfId="18410"/>
    <cellStyle name="20% - Accent1 3 6 3 5 2 2" xfId="18411"/>
    <cellStyle name="20% - Accent1 3 6 3 5 3" xfId="18412"/>
    <cellStyle name="20% - Accent1 3 6 3 5 3 2" xfId="18413"/>
    <cellStyle name="20% - Accent1 3 6 3 5 4" xfId="18414"/>
    <cellStyle name="20% - Accent1 3 6 3 5 5" xfId="18415"/>
    <cellStyle name="20% - Accent1 3 6 3 5 6" xfId="18416"/>
    <cellStyle name="20% - Accent1 3 6 3 5 7" xfId="18417"/>
    <cellStyle name="20% - Accent1 3 6 3 6" xfId="18418"/>
    <cellStyle name="20% - Accent1 3 6 3 6 2" xfId="18419"/>
    <cellStyle name="20% - Accent1 3 6 3 7" xfId="18420"/>
    <cellStyle name="20% - Accent1 3 6 3 7 2" xfId="18421"/>
    <cellStyle name="20% - Accent1 3 6 3 8" xfId="18422"/>
    <cellStyle name="20% - Accent1 3 6 3 9" xfId="18423"/>
    <cellStyle name="20% - Accent1 3 6 4" xfId="18424"/>
    <cellStyle name="20% - Accent1 3 6 4 10" xfId="18425"/>
    <cellStyle name="20% - Accent1 3 6 4 2" xfId="18426"/>
    <cellStyle name="20% - Accent1 3 6 4 2 2" xfId="18427"/>
    <cellStyle name="20% - Accent1 3 6 4 2 2 2" xfId="18428"/>
    <cellStyle name="20% - Accent1 3 6 4 2 3" xfId="18429"/>
    <cellStyle name="20% - Accent1 3 6 4 2 3 2" xfId="18430"/>
    <cellStyle name="20% - Accent1 3 6 4 2 4" xfId="18431"/>
    <cellStyle name="20% - Accent1 3 6 4 2 5" xfId="18432"/>
    <cellStyle name="20% - Accent1 3 6 4 2 6" xfId="18433"/>
    <cellStyle name="20% - Accent1 3 6 4 2 7" xfId="18434"/>
    <cellStyle name="20% - Accent1 3 6 4 3" xfId="18435"/>
    <cellStyle name="20% - Accent1 3 6 4 3 2" xfId="18436"/>
    <cellStyle name="20% - Accent1 3 6 4 3 2 2" xfId="18437"/>
    <cellStyle name="20% - Accent1 3 6 4 3 3" xfId="18438"/>
    <cellStyle name="20% - Accent1 3 6 4 3 3 2" xfId="18439"/>
    <cellStyle name="20% - Accent1 3 6 4 3 4" xfId="18440"/>
    <cellStyle name="20% - Accent1 3 6 4 3 5" xfId="18441"/>
    <cellStyle name="20% - Accent1 3 6 4 3 6" xfId="18442"/>
    <cellStyle name="20% - Accent1 3 6 4 3 7" xfId="18443"/>
    <cellStyle name="20% - Accent1 3 6 4 4" xfId="18444"/>
    <cellStyle name="20% - Accent1 3 6 4 4 2" xfId="18445"/>
    <cellStyle name="20% - Accent1 3 6 4 4 2 2" xfId="18446"/>
    <cellStyle name="20% - Accent1 3 6 4 4 3" xfId="18447"/>
    <cellStyle name="20% - Accent1 3 6 4 4 3 2" xfId="18448"/>
    <cellStyle name="20% - Accent1 3 6 4 4 4" xfId="18449"/>
    <cellStyle name="20% - Accent1 3 6 4 4 5" xfId="18450"/>
    <cellStyle name="20% - Accent1 3 6 4 4 6" xfId="18451"/>
    <cellStyle name="20% - Accent1 3 6 4 4 7" xfId="18452"/>
    <cellStyle name="20% - Accent1 3 6 4 5" xfId="18453"/>
    <cellStyle name="20% - Accent1 3 6 4 5 2" xfId="18454"/>
    <cellStyle name="20% - Accent1 3 6 4 6" xfId="18455"/>
    <cellStyle name="20% - Accent1 3 6 4 6 2" xfId="18456"/>
    <cellStyle name="20% - Accent1 3 6 4 7" xfId="18457"/>
    <cellStyle name="20% - Accent1 3 6 4 8" xfId="18458"/>
    <cellStyle name="20% - Accent1 3 6 4 9" xfId="18459"/>
    <cellStyle name="20% - Accent1 3 6 5" xfId="18460"/>
    <cellStyle name="20% - Accent1 3 6 5 2" xfId="18461"/>
    <cellStyle name="20% - Accent1 3 6 5 2 2" xfId="18462"/>
    <cellStyle name="20% - Accent1 3 6 5 3" xfId="18463"/>
    <cellStyle name="20% - Accent1 3 6 5 3 2" xfId="18464"/>
    <cellStyle name="20% - Accent1 3 6 5 4" xfId="18465"/>
    <cellStyle name="20% - Accent1 3 6 5 5" xfId="18466"/>
    <cellStyle name="20% - Accent1 3 6 5 6" xfId="18467"/>
    <cellStyle name="20% - Accent1 3 6 5 7" xfId="18468"/>
    <cellStyle name="20% - Accent1 3 6 6" xfId="18469"/>
    <cellStyle name="20% - Accent1 3 6 6 2" xfId="18470"/>
    <cellStyle name="20% - Accent1 3 6 6 2 2" xfId="18471"/>
    <cellStyle name="20% - Accent1 3 6 6 3" xfId="18472"/>
    <cellStyle name="20% - Accent1 3 6 6 3 2" xfId="18473"/>
    <cellStyle name="20% - Accent1 3 6 6 4" xfId="18474"/>
    <cellStyle name="20% - Accent1 3 6 6 5" xfId="18475"/>
    <cellStyle name="20% - Accent1 3 6 6 6" xfId="18476"/>
    <cellStyle name="20% - Accent1 3 6 6 7" xfId="18477"/>
    <cellStyle name="20% - Accent1 3 6 7" xfId="18478"/>
    <cellStyle name="20% - Accent1 3 6 7 2" xfId="18479"/>
    <cellStyle name="20% - Accent1 3 6 7 2 2" xfId="18480"/>
    <cellStyle name="20% - Accent1 3 6 7 3" xfId="18481"/>
    <cellStyle name="20% - Accent1 3 6 7 3 2" xfId="18482"/>
    <cellStyle name="20% - Accent1 3 6 7 4" xfId="18483"/>
    <cellStyle name="20% - Accent1 3 6 7 5" xfId="18484"/>
    <cellStyle name="20% - Accent1 3 6 7 6" xfId="18485"/>
    <cellStyle name="20% - Accent1 3 6 7 7" xfId="18486"/>
    <cellStyle name="20% - Accent1 3 6 8" xfId="18487"/>
    <cellStyle name="20% - Accent1 3 6 8 2" xfId="18488"/>
    <cellStyle name="20% - Accent1 3 6 9" xfId="18489"/>
    <cellStyle name="20% - Accent1 3 6 9 2" xfId="18490"/>
    <cellStyle name="20% - Accent1 3 7" xfId="18491"/>
    <cellStyle name="20% - Accent1 3 7 10" xfId="18492"/>
    <cellStyle name="20% - Accent1 3 7 11" xfId="18493"/>
    <cellStyle name="20% - Accent1 3 7 2" xfId="18494"/>
    <cellStyle name="20% - Accent1 3 7 2 10" xfId="18495"/>
    <cellStyle name="20% - Accent1 3 7 2 2" xfId="18496"/>
    <cellStyle name="20% - Accent1 3 7 2 2 2" xfId="18497"/>
    <cellStyle name="20% - Accent1 3 7 2 2 2 2" xfId="18498"/>
    <cellStyle name="20% - Accent1 3 7 2 2 3" xfId="18499"/>
    <cellStyle name="20% - Accent1 3 7 2 2 3 2" xfId="18500"/>
    <cellStyle name="20% - Accent1 3 7 2 2 4" xfId="18501"/>
    <cellStyle name="20% - Accent1 3 7 2 2 5" xfId="18502"/>
    <cellStyle name="20% - Accent1 3 7 2 2 6" xfId="18503"/>
    <cellStyle name="20% - Accent1 3 7 2 2 7" xfId="18504"/>
    <cellStyle name="20% - Accent1 3 7 2 3" xfId="18505"/>
    <cellStyle name="20% - Accent1 3 7 2 3 2" xfId="18506"/>
    <cellStyle name="20% - Accent1 3 7 2 3 2 2" xfId="18507"/>
    <cellStyle name="20% - Accent1 3 7 2 3 3" xfId="18508"/>
    <cellStyle name="20% - Accent1 3 7 2 3 3 2" xfId="18509"/>
    <cellStyle name="20% - Accent1 3 7 2 3 4" xfId="18510"/>
    <cellStyle name="20% - Accent1 3 7 2 3 5" xfId="18511"/>
    <cellStyle name="20% - Accent1 3 7 2 3 6" xfId="18512"/>
    <cellStyle name="20% - Accent1 3 7 2 3 7" xfId="18513"/>
    <cellStyle name="20% - Accent1 3 7 2 4" xfId="18514"/>
    <cellStyle name="20% - Accent1 3 7 2 4 2" xfId="18515"/>
    <cellStyle name="20% - Accent1 3 7 2 4 2 2" xfId="18516"/>
    <cellStyle name="20% - Accent1 3 7 2 4 3" xfId="18517"/>
    <cellStyle name="20% - Accent1 3 7 2 4 3 2" xfId="18518"/>
    <cellStyle name="20% - Accent1 3 7 2 4 4" xfId="18519"/>
    <cellStyle name="20% - Accent1 3 7 2 4 5" xfId="18520"/>
    <cellStyle name="20% - Accent1 3 7 2 4 6" xfId="18521"/>
    <cellStyle name="20% - Accent1 3 7 2 4 7" xfId="18522"/>
    <cellStyle name="20% - Accent1 3 7 2 5" xfId="18523"/>
    <cellStyle name="20% - Accent1 3 7 2 5 2" xfId="18524"/>
    <cellStyle name="20% - Accent1 3 7 2 6" xfId="18525"/>
    <cellStyle name="20% - Accent1 3 7 2 6 2" xfId="18526"/>
    <cellStyle name="20% - Accent1 3 7 2 7" xfId="18527"/>
    <cellStyle name="20% - Accent1 3 7 2 8" xfId="18528"/>
    <cellStyle name="20% - Accent1 3 7 2 9" xfId="18529"/>
    <cellStyle name="20% - Accent1 3 7 3" xfId="18530"/>
    <cellStyle name="20% - Accent1 3 7 3 2" xfId="18531"/>
    <cellStyle name="20% - Accent1 3 7 3 2 2" xfId="18532"/>
    <cellStyle name="20% - Accent1 3 7 3 3" xfId="18533"/>
    <cellStyle name="20% - Accent1 3 7 3 3 2" xfId="18534"/>
    <cellStyle name="20% - Accent1 3 7 3 4" xfId="18535"/>
    <cellStyle name="20% - Accent1 3 7 3 5" xfId="18536"/>
    <cellStyle name="20% - Accent1 3 7 3 6" xfId="18537"/>
    <cellStyle name="20% - Accent1 3 7 3 7" xfId="18538"/>
    <cellStyle name="20% - Accent1 3 7 4" xfId="18539"/>
    <cellStyle name="20% - Accent1 3 7 4 2" xfId="18540"/>
    <cellStyle name="20% - Accent1 3 7 4 2 2" xfId="18541"/>
    <cellStyle name="20% - Accent1 3 7 4 3" xfId="18542"/>
    <cellStyle name="20% - Accent1 3 7 4 3 2" xfId="18543"/>
    <cellStyle name="20% - Accent1 3 7 4 4" xfId="18544"/>
    <cellStyle name="20% - Accent1 3 7 4 5" xfId="18545"/>
    <cellStyle name="20% - Accent1 3 7 4 6" xfId="18546"/>
    <cellStyle name="20% - Accent1 3 7 4 7" xfId="18547"/>
    <cellStyle name="20% - Accent1 3 7 5" xfId="18548"/>
    <cellStyle name="20% - Accent1 3 7 5 2" xfId="18549"/>
    <cellStyle name="20% - Accent1 3 7 5 2 2" xfId="18550"/>
    <cellStyle name="20% - Accent1 3 7 5 3" xfId="18551"/>
    <cellStyle name="20% - Accent1 3 7 5 3 2" xfId="18552"/>
    <cellStyle name="20% - Accent1 3 7 5 4" xfId="18553"/>
    <cellStyle name="20% - Accent1 3 7 5 5" xfId="18554"/>
    <cellStyle name="20% - Accent1 3 7 5 6" xfId="18555"/>
    <cellStyle name="20% - Accent1 3 7 5 7" xfId="18556"/>
    <cellStyle name="20% - Accent1 3 7 6" xfId="18557"/>
    <cellStyle name="20% - Accent1 3 7 6 2" xfId="18558"/>
    <cellStyle name="20% - Accent1 3 7 7" xfId="18559"/>
    <cellStyle name="20% - Accent1 3 7 7 2" xfId="18560"/>
    <cellStyle name="20% - Accent1 3 7 8" xfId="18561"/>
    <cellStyle name="20% - Accent1 3 7 9" xfId="18562"/>
    <cellStyle name="20% - Accent1 3 8" xfId="18563"/>
    <cellStyle name="20% - Accent1 3 8 10" xfId="18564"/>
    <cellStyle name="20% - Accent1 3 8 11" xfId="18565"/>
    <cellStyle name="20% - Accent1 3 8 2" xfId="18566"/>
    <cellStyle name="20% - Accent1 3 8 2 10" xfId="18567"/>
    <cellStyle name="20% - Accent1 3 8 2 2" xfId="18568"/>
    <cellStyle name="20% - Accent1 3 8 2 2 2" xfId="18569"/>
    <cellStyle name="20% - Accent1 3 8 2 2 2 2" xfId="18570"/>
    <cellStyle name="20% - Accent1 3 8 2 2 3" xfId="18571"/>
    <cellStyle name="20% - Accent1 3 8 2 2 3 2" xfId="18572"/>
    <cellStyle name="20% - Accent1 3 8 2 2 4" xfId="18573"/>
    <cellStyle name="20% - Accent1 3 8 2 2 5" xfId="18574"/>
    <cellStyle name="20% - Accent1 3 8 2 2 6" xfId="18575"/>
    <cellStyle name="20% - Accent1 3 8 2 2 7" xfId="18576"/>
    <cellStyle name="20% - Accent1 3 8 2 3" xfId="18577"/>
    <cellStyle name="20% - Accent1 3 8 2 3 2" xfId="18578"/>
    <cellStyle name="20% - Accent1 3 8 2 3 2 2" xfId="18579"/>
    <cellStyle name="20% - Accent1 3 8 2 3 3" xfId="18580"/>
    <cellStyle name="20% - Accent1 3 8 2 3 3 2" xfId="18581"/>
    <cellStyle name="20% - Accent1 3 8 2 3 4" xfId="18582"/>
    <cellStyle name="20% - Accent1 3 8 2 3 5" xfId="18583"/>
    <cellStyle name="20% - Accent1 3 8 2 3 6" xfId="18584"/>
    <cellStyle name="20% - Accent1 3 8 2 3 7" xfId="18585"/>
    <cellStyle name="20% - Accent1 3 8 2 4" xfId="18586"/>
    <cellStyle name="20% - Accent1 3 8 2 4 2" xfId="18587"/>
    <cellStyle name="20% - Accent1 3 8 2 4 2 2" xfId="18588"/>
    <cellStyle name="20% - Accent1 3 8 2 4 3" xfId="18589"/>
    <cellStyle name="20% - Accent1 3 8 2 4 3 2" xfId="18590"/>
    <cellStyle name="20% - Accent1 3 8 2 4 4" xfId="18591"/>
    <cellStyle name="20% - Accent1 3 8 2 4 5" xfId="18592"/>
    <cellStyle name="20% - Accent1 3 8 2 4 6" xfId="18593"/>
    <cellStyle name="20% - Accent1 3 8 2 4 7" xfId="18594"/>
    <cellStyle name="20% - Accent1 3 8 2 5" xfId="18595"/>
    <cellStyle name="20% - Accent1 3 8 2 5 2" xfId="18596"/>
    <cellStyle name="20% - Accent1 3 8 2 6" xfId="18597"/>
    <cellStyle name="20% - Accent1 3 8 2 6 2" xfId="18598"/>
    <cellStyle name="20% - Accent1 3 8 2 7" xfId="18599"/>
    <cellStyle name="20% - Accent1 3 8 2 8" xfId="18600"/>
    <cellStyle name="20% - Accent1 3 8 2 9" xfId="18601"/>
    <cellStyle name="20% - Accent1 3 8 3" xfId="18602"/>
    <cellStyle name="20% - Accent1 3 8 3 2" xfId="18603"/>
    <cellStyle name="20% - Accent1 3 8 3 2 2" xfId="18604"/>
    <cellStyle name="20% - Accent1 3 8 3 3" xfId="18605"/>
    <cellStyle name="20% - Accent1 3 8 3 3 2" xfId="18606"/>
    <cellStyle name="20% - Accent1 3 8 3 4" xfId="18607"/>
    <cellStyle name="20% - Accent1 3 8 3 5" xfId="18608"/>
    <cellStyle name="20% - Accent1 3 8 3 6" xfId="18609"/>
    <cellStyle name="20% - Accent1 3 8 3 7" xfId="18610"/>
    <cellStyle name="20% - Accent1 3 8 4" xfId="18611"/>
    <cellStyle name="20% - Accent1 3 8 4 2" xfId="18612"/>
    <cellStyle name="20% - Accent1 3 8 4 2 2" xfId="18613"/>
    <cellStyle name="20% - Accent1 3 8 4 3" xfId="18614"/>
    <cellStyle name="20% - Accent1 3 8 4 3 2" xfId="18615"/>
    <cellStyle name="20% - Accent1 3 8 4 4" xfId="18616"/>
    <cellStyle name="20% - Accent1 3 8 4 5" xfId="18617"/>
    <cellStyle name="20% - Accent1 3 8 4 6" xfId="18618"/>
    <cellStyle name="20% - Accent1 3 8 4 7" xfId="18619"/>
    <cellStyle name="20% - Accent1 3 8 5" xfId="18620"/>
    <cellStyle name="20% - Accent1 3 8 5 2" xfId="18621"/>
    <cellStyle name="20% - Accent1 3 8 5 2 2" xfId="18622"/>
    <cellStyle name="20% - Accent1 3 8 5 3" xfId="18623"/>
    <cellStyle name="20% - Accent1 3 8 5 3 2" xfId="18624"/>
    <cellStyle name="20% - Accent1 3 8 5 4" xfId="18625"/>
    <cellStyle name="20% - Accent1 3 8 5 5" xfId="18626"/>
    <cellStyle name="20% - Accent1 3 8 5 6" xfId="18627"/>
    <cellStyle name="20% - Accent1 3 8 5 7" xfId="18628"/>
    <cellStyle name="20% - Accent1 3 8 6" xfId="18629"/>
    <cellStyle name="20% - Accent1 3 8 6 2" xfId="18630"/>
    <cellStyle name="20% - Accent1 3 8 7" xfId="18631"/>
    <cellStyle name="20% - Accent1 3 8 7 2" xfId="18632"/>
    <cellStyle name="20% - Accent1 3 8 8" xfId="18633"/>
    <cellStyle name="20% - Accent1 3 8 9" xfId="18634"/>
    <cellStyle name="20% - Accent1 3 9" xfId="18635"/>
    <cellStyle name="20% - Accent1 3 9 10" xfId="18636"/>
    <cellStyle name="20% - Accent1 3 9 2" xfId="18637"/>
    <cellStyle name="20% - Accent1 3 9 2 2" xfId="18638"/>
    <cellStyle name="20% - Accent1 3 9 2 2 2" xfId="18639"/>
    <cellStyle name="20% - Accent1 3 9 2 3" xfId="18640"/>
    <cellStyle name="20% - Accent1 3 9 2 3 2" xfId="18641"/>
    <cellStyle name="20% - Accent1 3 9 2 4" xfId="18642"/>
    <cellStyle name="20% - Accent1 3 9 2 5" xfId="18643"/>
    <cellStyle name="20% - Accent1 3 9 2 6" xfId="18644"/>
    <cellStyle name="20% - Accent1 3 9 2 7" xfId="18645"/>
    <cellStyle name="20% - Accent1 3 9 3" xfId="18646"/>
    <cellStyle name="20% - Accent1 3 9 3 2" xfId="18647"/>
    <cellStyle name="20% - Accent1 3 9 3 2 2" xfId="18648"/>
    <cellStyle name="20% - Accent1 3 9 3 3" xfId="18649"/>
    <cellStyle name="20% - Accent1 3 9 3 3 2" xfId="18650"/>
    <cellStyle name="20% - Accent1 3 9 3 4" xfId="18651"/>
    <cellStyle name="20% - Accent1 3 9 3 5" xfId="18652"/>
    <cellStyle name="20% - Accent1 3 9 3 6" xfId="18653"/>
    <cellStyle name="20% - Accent1 3 9 3 7" xfId="18654"/>
    <cellStyle name="20% - Accent1 3 9 4" xfId="18655"/>
    <cellStyle name="20% - Accent1 3 9 4 2" xfId="18656"/>
    <cellStyle name="20% - Accent1 3 9 4 2 2" xfId="18657"/>
    <cellStyle name="20% - Accent1 3 9 4 3" xfId="18658"/>
    <cellStyle name="20% - Accent1 3 9 4 3 2" xfId="18659"/>
    <cellStyle name="20% - Accent1 3 9 4 4" xfId="18660"/>
    <cellStyle name="20% - Accent1 3 9 4 5" xfId="18661"/>
    <cellStyle name="20% - Accent1 3 9 4 6" xfId="18662"/>
    <cellStyle name="20% - Accent1 3 9 4 7" xfId="18663"/>
    <cellStyle name="20% - Accent1 3 9 5" xfId="18664"/>
    <cellStyle name="20% - Accent1 3 9 5 2" xfId="18665"/>
    <cellStyle name="20% - Accent1 3 9 6" xfId="18666"/>
    <cellStyle name="20% - Accent1 3 9 6 2" xfId="18667"/>
    <cellStyle name="20% - Accent1 3 9 7" xfId="18668"/>
    <cellStyle name="20% - Accent1 3 9 8" xfId="18669"/>
    <cellStyle name="20% - Accent1 3 9 9" xfId="18670"/>
    <cellStyle name="20% - Accent1 3_10-15-10-Stmt AU - Period I - Working 1 0" xfId="73"/>
    <cellStyle name="20% - Accent1 4" xfId="74"/>
    <cellStyle name="20% - Accent1 4 2" xfId="75"/>
    <cellStyle name="20% - Accent1 4 3" xfId="76"/>
    <cellStyle name="20% - Accent1 4_10-15-10-Stmt AU - Period I - Working 1 0" xfId="77"/>
    <cellStyle name="20% - Accent1 5" xfId="78"/>
    <cellStyle name="20% - Accent1 5 2" xfId="79"/>
    <cellStyle name="20% - Accent1 5 3" xfId="80"/>
    <cellStyle name="20% - Accent1 5_10-15-10-Stmt AU - Period I - Working 1 0" xfId="81"/>
    <cellStyle name="20% - Accent1 6" xfId="82"/>
    <cellStyle name="20% - Accent1 6 2" xfId="83"/>
    <cellStyle name="20% - Accent1 6 3" xfId="84"/>
    <cellStyle name="20% - Accent1 6_10-15-10-Stmt AU - Period I - Working 1 0" xfId="85"/>
    <cellStyle name="20% - Accent1 7" xfId="86"/>
    <cellStyle name="20% - Accent1 7 2" xfId="87"/>
    <cellStyle name="20% - Accent1 7 3" xfId="88"/>
    <cellStyle name="20% - Accent1 7_10-15-10-Stmt AU - Period I - Working 1 0" xfId="89"/>
    <cellStyle name="20% - Accent1 8" xfId="90"/>
    <cellStyle name="20% - Accent1 9" xfId="91"/>
    <cellStyle name="20% - Accent2 10" xfId="92"/>
    <cellStyle name="20% - Accent2 11" xfId="93"/>
    <cellStyle name="20% - Accent2 12" xfId="94"/>
    <cellStyle name="20% - Accent2 13" xfId="95"/>
    <cellStyle name="20% - Accent2 2" xfId="96"/>
    <cellStyle name="20% - Accent2 2 10" xfId="18671"/>
    <cellStyle name="20% - Accent2 2 10 2" xfId="18672"/>
    <cellStyle name="20% - Accent2 2 10 2 2" xfId="18673"/>
    <cellStyle name="20% - Accent2 2 10 3" xfId="18674"/>
    <cellStyle name="20% - Accent2 2 10 3 2" xfId="18675"/>
    <cellStyle name="20% - Accent2 2 10 4" xfId="18676"/>
    <cellStyle name="20% - Accent2 2 10 5" xfId="18677"/>
    <cellStyle name="20% - Accent2 2 10 6" xfId="18678"/>
    <cellStyle name="20% - Accent2 2 10 7" xfId="18679"/>
    <cellStyle name="20% - Accent2 2 11" xfId="18680"/>
    <cellStyle name="20% - Accent2 2 11 2" xfId="18681"/>
    <cellStyle name="20% - Accent2 2 11 2 2" xfId="18682"/>
    <cellStyle name="20% - Accent2 2 11 3" xfId="18683"/>
    <cellStyle name="20% - Accent2 2 11 3 2" xfId="18684"/>
    <cellStyle name="20% - Accent2 2 11 4" xfId="18685"/>
    <cellStyle name="20% - Accent2 2 11 5" xfId="18686"/>
    <cellStyle name="20% - Accent2 2 11 6" xfId="18687"/>
    <cellStyle name="20% - Accent2 2 11 7" xfId="18688"/>
    <cellStyle name="20% - Accent2 2 12" xfId="18689"/>
    <cellStyle name="20% - Accent2 2 12 2" xfId="18690"/>
    <cellStyle name="20% - Accent2 2 12 2 2" xfId="18691"/>
    <cellStyle name="20% - Accent2 2 12 3" xfId="18692"/>
    <cellStyle name="20% - Accent2 2 12 3 2" xfId="18693"/>
    <cellStyle name="20% - Accent2 2 12 4" xfId="18694"/>
    <cellStyle name="20% - Accent2 2 12 5" xfId="18695"/>
    <cellStyle name="20% - Accent2 2 12 6" xfId="18696"/>
    <cellStyle name="20% - Accent2 2 12 7" xfId="18697"/>
    <cellStyle name="20% - Accent2 2 13" xfId="18698"/>
    <cellStyle name="20% - Accent2 2 13 2" xfId="18699"/>
    <cellStyle name="20% - Accent2 2 14" xfId="18700"/>
    <cellStyle name="20% - Accent2 2 15" xfId="18701"/>
    <cellStyle name="20% - Accent2 2 16" xfId="18702"/>
    <cellStyle name="20% - Accent2 2 17" xfId="18703"/>
    <cellStyle name="20% - Accent2 2 18" xfId="18704"/>
    <cellStyle name="20% - Accent2 2 2" xfId="97"/>
    <cellStyle name="20% - Accent2 2 2 10" xfId="18705"/>
    <cellStyle name="20% - Accent2 2 2 11" xfId="18706"/>
    <cellStyle name="20% - Accent2 2 2 12" xfId="18707"/>
    <cellStyle name="20% - Accent2 2 2 13" xfId="18708"/>
    <cellStyle name="20% - Accent2 2 2 2" xfId="18709"/>
    <cellStyle name="20% - Accent2 2 2 2 10" xfId="18710"/>
    <cellStyle name="20% - Accent2 2 2 2 11" xfId="18711"/>
    <cellStyle name="20% - Accent2 2 2 2 2" xfId="18712"/>
    <cellStyle name="20% - Accent2 2 2 2 2 10" xfId="18713"/>
    <cellStyle name="20% - Accent2 2 2 2 2 2" xfId="18714"/>
    <cellStyle name="20% - Accent2 2 2 2 2 2 2" xfId="18715"/>
    <cellStyle name="20% - Accent2 2 2 2 2 2 2 2" xfId="18716"/>
    <cellStyle name="20% - Accent2 2 2 2 2 2 3" xfId="18717"/>
    <cellStyle name="20% - Accent2 2 2 2 2 2 3 2" xfId="18718"/>
    <cellStyle name="20% - Accent2 2 2 2 2 2 4" xfId="18719"/>
    <cellStyle name="20% - Accent2 2 2 2 2 2 5" xfId="18720"/>
    <cellStyle name="20% - Accent2 2 2 2 2 2 6" xfId="18721"/>
    <cellStyle name="20% - Accent2 2 2 2 2 2 7" xfId="18722"/>
    <cellStyle name="20% - Accent2 2 2 2 2 3" xfId="18723"/>
    <cellStyle name="20% - Accent2 2 2 2 2 3 2" xfId="18724"/>
    <cellStyle name="20% - Accent2 2 2 2 2 3 2 2" xfId="18725"/>
    <cellStyle name="20% - Accent2 2 2 2 2 3 3" xfId="18726"/>
    <cellStyle name="20% - Accent2 2 2 2 2 3 3 2" xfId="18727"/>
    <cellStyle name="20% - Accent2 2 2 2 2 3 4" xfId="18728"/>
    <cellStyle name="20% - Accent2 2 2 2 2 3 5" xfId="18729"/>
    <cellStyle name="20% - Accent2 2 2 2 2 3 6" xfId="18730"/>
    <cellStyle name="20% - Accent2 2 2 2 2 3 7" xfId="18731"/>
    <cellStyle name="20% - Accent2 2 2 2 2 4" xfId="18732"/>
    <cellStyle name="20% - Accent2 2 2 2 2 4 2" xfId="18733"/>
    <cellStyle name="20% - Accent2 2 2 2 2 4 2 2" xfId="18734"/>
    <cellStyle name="20% - Accent2 2 2 2 2 4 3" xfId="18735"/>
    <cellStyle name="20% - Accent2 2 2 2 2 4 3 2" xfId="18736"/>
    <cellStyle name="20% - Accent2 2 2 2 2 4 4" xfId="18737"/>
    <cellStyle name="20% - Accent2 2 2 2 2 4 5" xfId="18738"/>
    <cellStyle name="20% - Accent2 2 2 2 2 4 6" xfId="18739"/>
    <cellStyle name="20% - Accent2 2 2 2 2 4 7" xfId="18740"/>
    <cellStyle name="20% - Accent2 2 2 2 2 5" xfId="18741"/>
    <cellStyle name="20% - Accent2 2 2 2 2 5 2" xfId="18742"/>
    <cellStyle name="20% - Accent2 2 2 2 2 6" xfId="18743"/>
    <cellStyle name="20% - Accent2 2 2 2 2 6 2" xfId="18744"/>
    <cellStyle name="20% - Accent2 2 2 2 2 7" xfId="18745"/>
    <cellStyle name="20% - Accent2 2 2 2 2 8" xfId="18746"/>
    <cellStyle name="20% - Accent2 2 2 2 2 9" xfId="18747"/>
    <cellStyle name="20% - Accent2 2 2 2 3" xfId="18748"/>
    <cellStyle name="20% - Accent2 2 2 2 3 2" xfId="18749"/>
    <cellStyle name="20% - Accent2 2 2 2 3 2 2" xfId="18750"/>
    <cellStyle name="20% - Accent2 2 2 2 3 3" xfId="18751"/>
    <cellStyle name="20% - Accent2 2 2 2 3 3 2" xfId="18752"/>
    <cellStyle name="20% - Accent2 2 2 2 3 4" xfId="18753"/>
    <cellStyle name="20% - Accent2 2 2 2 3 5" xfId="18754"/>
    <cellStyle name="20% - Accent2 2 2 2 3 6" xfId="18755"/>
    <cellStyle name="20% - Accent2 2 2 2 3 7" xfId="18756"/>
    <cellStyle name="20% - Accent2 2 2 2 4" xfId="18757"/>
    <cellStyle name="20% - Accent2 2 2 2 4 2" xfId="18758"/>
    <cellStyle name="20% - Accent2 2 2 2 4 2 2" xfId="18759"/>
    <cellStyle name="20% - Accent2 2 2 2 4 3" xfId="18760"/>
    <cellStyle name="20% - Accent2 2 2 2 4 3 2" xfId="18761"/>
    <cellStyle name="20% - Accent2 2 2 2 4 4" xfId="18762"/>
    <cellStyle name="20% - Accent2 2 2 2 4 5" xfId="18763"/>
    <cellStyle name="20% - Accent2 2 2 2 4 6" xfId="18764"/>
    <cellStyle name="20% - Accent2 2 2 2 4 7" xfId="18765"/>
    <cellStyle name="20% - Accent2 2 2 2 5" xfId="18766"/>
    <cellStyle name="20% - Accent2 2 2 2 5 2" xfId="18767"/>
    <cellStyle name="20% - Accent2 2 2 2 5 2 2" xfId="18768"/>
    <cellStyle name="20% - Accent2 2 2 2 5 3" xfId="18769"/>
    <cellStyle name="20% - Accent2 2 2 2 5 3 2" xfId="18770"/>
    <cellStyle name="20% - Accent2 2 2 2 5 4" xfId="18771"/>
    <cellStyle name="20% - Accent2 2 2 2 5 5" xfId="18772"/>
    <cellStyle name="20% - Accent2 2 2 2 5 6" xfId="18773"/>
    <cellStyle name="20% - Accent2 2 2 2 5 7" xfId="18774"/>
    <cellStyle name="20% - Accent2 2 2 2 6" xfId="18775"/>
    <cellStyle name="20% - Accent2 2 2 2 6 2" xfId="18776"/>
    <cellStyle name="20% - Accent2 2 2 2 7" xfId="18777"/>
    <cellStyle name="20% - Accent2 2 2 2 7 2" xfId="18778"/>
    <cellStyle name="20% - Accent2 2 2 2 8" xfId="18779"/>
    <cellStyle name="20% - Accent2 2 2 2 9" xfId="18780"/>
    <cellStyle name="20% - Accent2 2 2 3" xfId="18781"/>
    <cellStyle name="20% - Accent2 2 2 3 10" xfId="18782"/>
    <cellStyle name="20% - Accent2 2 2 3 11" xfId="18783"/>
    <cellStyle name="20% - Accent2 2 2 3 2" xfId="18784"/>
    <cellStyle name="20% - Accent2 2 2 3 2 10" xfId="18785"/>
    <cellStyle name="20% - Accent2 2 2 3 2 2" xfId="18786"/>
    <cellStyle name="20% - Accent2 2 2 3 2 2 2" xfId="18787"/>
    <cellStyle name="20% - Accent2 2 2 3 2 2 2 2" xfId="18788"/>
    <cellStyle name="20% - Accent2 2 2 3 2 2 3" xfId="18789"/>
    <cellStyle name="20% - Accent2 2 2 3 2 2 3 2" xfId="18790"/>
    <cellStyle name="20% - Accent2 2 2 3 2 2 4" xfId="18791"/>
    <cellStyle name="20% - Accent2 2 2 3 2 2 5" xfId="18792"/>
    <cellStyle name="20% - Accent2 2 2 3 2 2 6" xfId="18793"/>
    <cellStyle name="20% - Accent2 2 2 3 2 2 7" xfId="18794"/>
    <cellStyle name="20% - Accent2 2 2 3 2 3" xfId="18795"/>
    <cellStyle name="20% - Accent2 2 2 3 2 3 2" xfId="18796"/>
    <cellStyle name="20% - Accent2 2 2 3 2 3 2 2" xfId="18797"/>
    <cellStyle name="20% - Accent2 2 2 3 2 3 3" xfId="18798"/>
    <cellStyle name="20% - Accent2 2 2 3 2 3 3 2" xfId="18799"/>
    <cellStyle name="20% - Accent2 2 2 3 2 3 4" xfId="18800"/>
    <cellStyle name="20% - Accent2 2 2 3 2 3 5" xfId="18801"/>
    <cellStyle name="20% - Accent2 2 2 3 2 3 6" xfId="18802"/>
    <cellStyle name="20% - Accent2 2 2 3 2 3 7" xfId="18803"/>
    <cellStyle name="20% - Accent2 2 2 3 2 4" xfId="18804"/>
    <cellStyle name="20% - Accent2 2 2 3 2 4 2" xfId="18805"/>
    <cellStyle name="20% - Accent2 2 2 3 2 4 2 2" xfId="18806"/>
    <cellStyle name="20% - Accent2 2 2 3 2 4 3" xfId="18807"/>
    <cellStyle name="20% - Accent2 2 2 3 2 4 3 2" xfId="18808"/>
    <cellStyle name="20% - Accent2 2 2 3 2 4 4" xfId="18809"/>
    <cellStyle name="20% - Accent2 2 2 3 2 4 5" xfId="18810"/>
    <cellStyle name="20% - Accent2 2 2 3 2 4 6" xfId="18811"/>
    <cellStyle name="20% - Accent2 2 2 3 2 4 7" xfId="18812"/>
    <cellStyle name="20% - Accent2 2 2 3 2 5" xfId="18813"/>
    <cellStyle name="20% - Accent2 2 2 3 2 5 2" xfId="18814"/>
    <cellStyle name="20% - Accent2 2 2 3 2 6" xfId="18815"/>
    <cellStyle name="20% - Accent2 2 2 3 2 6 2" xfId="18816"/>
    <cellStyle name="20% - Accent2 2 2 3 2 7" xfId="18817"/>
    <cellStyle name="20% - Accent2 2 2 3 2 8" xfId="18818"/>
    <cellStyle name="20% - Accent2 2 2 3 2 9" xfId="18819"/>
    <cellStyle name="20% - Accent2 2 2 3 3" xfId="18820"/>
    <cellStyle name="20% - Accent2 2 2 3 3 2" xfId="18821"/>
    <cellStyle name="20% - Accent2 2 2 3 3 2 2" xfId="18822"/>
    <cellStyle name="20% - Accent2 2 2 3 3 3" xfId="18823"/>
    <cellStyle name="20% - Accent2 2 2 3 3 3 2" xfId="18824"/>
    <cellStyle name="20% - Accent2 2 2 3 3 4" xfId="18825"/>
    <cellStyle name="20% - Accent2 2 2 3 3 5" xfId="18826"/>
    <cellStyle name="20% - Accent2 2 2 3 3 6" xfId="18827"/>
    <cellStyle name="20% - Accent2 2 2 3 3 7" xfId="18828"/>
    <cellStyle name="20% - Accent2 2 2 3 4" xfId="18829"/>
    <cellStyle name="20% - Accent2 2 2 3 4 2" xfId="18830"/>
    <cellStyle name="20% - Accent2 2 2 3 4 2 2" xfId="18831"/>
    <cellStyle name="20% - Accent2 2 2 3 4 3" xfId="18832"/>
    <cellStyle name="20% - Accent2 2 2 3 4 3 2" xfId="18833"/>
    <cellStyle name="20% - Accent2 2 2 3 4 4" xfId="18834"/>
    <cellStyle name="20% - Accent2 2 2 3 4 5" xfId="18835"/>
    <cellStyle name="20% - Accent2 2 2 3 4 6" xfId="18836"/>
    <cellStyle name="20% - Accent2 2 2 3 4 7" xfId="18837"/>
    <cellStyle name="20% - Accent2 2 2 3 5" xfId="18838"/>
    <cellStyle name="20% - Accent2 2 2 3 5 2" xfId="18839"/>
    <cellStyle name="20% - Accent2 2 2 3 5 2 2" xfId="18840"/>
    <cellStyle name="20% - Accent2 2 2 3 5 3" xfId="18841"/>
    <cellStyle name="20% - Accent2 2 2 3 5 3 2" xfId="18842"/>
    <cellStyle name="20% - Accent2 2 2 3 5 4" xfId="18843"/>
    <cellStyle name="20% - Accent2 2 2 3 5 5" xfId="18844"/>
    <cellStyle name="20% - Accent2 2 2 3 5 6" xfId="18845"/>
    <cellStyle name="20% - Accent2 2 2 3 5 7" xfId="18846"/>
    <cellStyle name="20% - Accent2 2 2 3 6" xfId="18847"/>
    <cellStyle name="20% - Accent2 2 2 3 6 2" xfId="18848"/>
    <cellStyle name="20% - Accent2 2 2 3 7" xfId="18849"/>
    <cellStyle name="20% - Accent2 2 2 3 7 2" xfId="18850"/>
    <cellStyle name="20% - Accent2 2 2 3 8" xfId="18851"/>
    <cellStyle name="20% - Accent2 2 2 3 9" xfId="18852"/>
    <cellStyle name="20% - Accent2 2 2 4" xfId="18853"/>
    <cellStyle name="20% - Accent2 2 2 4 10" xfId="18854"/>
    <cellStyle name="20% - Accent2 2 2 4 2" xfId="18855"/>
    <cellStyle name="20% - Accent2 2 2 4 2 2" xfId="18856"/>
    <cellStyle name="20% - Accent2 2 2 4 2 2 2" xfId="18857"/>
    <cellStyle name="20% - Accent2 2 2 4 2 3" xfId="18858"/>
    <cellStyle name="20% - Accent2 2 2 4 2 3 2" xfId="18859"/>
    <cellStyle name="20% - Accent2 2 2 4 2 4" xfId="18860"/>
    <cellStyle name="20% - Accent2 2 2 4 2 5" xfId="18861"/>
    <cellStyle name="20% - Accent2 2 2 4 2 6" xfId="18862"/>
    <cellStyle name="20% - Accent2 2 2 4 2 7" xfId="18863"/>
    <cellStyle name="20% - Accent2 2 2 4 3" xfId="18864"/>
    <cellStyle name="20% - Accent2 2 2 4 3 2" xfId="18865"/>
    <cellStyle name="20% - Accent2 2 2 4 3 2 2" xfId="18866"/>
    <cellStyle name="20% - Accent2 2 2 4 3 3" xfId="18867"/>
    <cellStyle name="20% - Accent2 2 2 4 3 3 2" xfId="18868"/>
    <cellStyle name="20% - Accent2 2 2 4 3 4" xfId="18869"/>
    <cellStyle name="20% - Accent2 2 2 4 3 5" xfId="18870"/>
    <cellStyle name="20% - Accent2 2 2 4 3 6" xfId="18871"/>
    <cellStyle name="20% - Accent2 2 2 4 3 7" xfId="18872"/>
    <cellStyle name="20% - Accent2 2 2 4 4" xfId="18873"/>
    <cellStyle name="20% - Accent2 2 2 4 4 2" xfId="18874"/>
    <cellStyle name="20% - Accent2 2 2 4 4 2 2" xfId="18875"/>
    <cellStyle name="20% - Accent2 2 2 4 4 3" xfId="18876"/>
    <cellStyle name="20% - Accent2 2 2 4 4 3 2" xfId="18877"/>
    <cellStyle name="20% - Accent2 2 2 4 4 4" xfId="18878"/>
    <cellStyle name="20% - Accent2 2 2 4 4 5" xfId="18879"/>
    <cellStyle name="20% - Accent2 2 2 4 4 6" xfId="18880"/>
    <cellStyle name="20% - Accent2 2 2 4 4 7" xfId="18881"/>
    <cellStyle name="20% - Accent2 2 2 4 5" xfId="18882"/>
    <cellStyle name="20% - Accent2 2 2 4 5 2" xfId="18883"/>
    <cellStyle name="20% - Accent2 2 2 4 6" xfId="18884"/>
    <cellStyle name="20% - Accent2 2 2 4 6 2" xfId="18885"/>
    <cellStyle name="20% - Accent2 2 2 4 7" xfId="18886"/>
    <cellStyle name="20% - Accent2 2 2 4 8" xfId="18887"/>
    <cellStyle name="20% - Accent2 2 2 4 9" xfId="18888"/>
    <cellStyle name="20% - Accent2 2 2 5" xfId="18889"/>
    <cellStyle name="20% - Accent2 2 2 5 2" xfId="18890"/>
    <cellStyle name="20% - Accent2 2 2 5 2 2" xfId="18891"/>
    <cellStyle name="20% - Accent2 2 2 5 3" xfId="18892"/>
    <cellStyle name="20% - Accent2 2 2 5 3 2" xfId="18893"/>
    <cellStyle name="20% - Accent2 2 2 5 4" xfId="18894"/>
    <cellStyle name="20% - Accent2 2 2 5 5" xfId="18895"/>
    <cellStyle name="20% - Accent2 2 2 5 6" xfId="18896"/>
    <cellStyle name="20% - Accent2 2 2 5 7" xfId="18897"/>
    <cellStyle name="20% - Accent2 2 2 6" xfId="18898"/>
    <cellStyle name="20% - Accent2 2 2 6 2" xfId="18899"/>
    <cellStyle name="20% - Accent2 2 2 6 2 2" xfId="18900"/>
    <cellStyle name="20% - Accent2 2 2 6 3" xfId="18901"/>
    <cellStyle name="20% - Accent2 2 2 6 3 2" xfId="18902"/>
    <cellStyle name="20% - Accent2 2 2 6 4" xfId="18903"/>
    <cellStyle name="20% - Accent2 2 2 6 5" xfId="18904"/>
    <cellStyle name="20% - Accent2 2 2 6 6" xfId="18905"/>
    <cellStyle name="20% - Accent2 2 2 6 7" xfId="18906"/>
    <cellStyle name="20% - Accent2 2 2 7" xfId="18907"/>
    <cellStyle name="20% - Accent2 2 2 7 2" xfId="18908"/>
    <cellStyle name="20% - Accent2 2 2 7 2 2" xfId="18909"/>
    <cellStyle name="20% - Accent2 2 2 7 3" xfId="18910"/>
    <cellStyle name="20% - Accent2 2 2 7 3 2" xfId="18911"/>
    <cellStyle name="20% - Accent2 2 2 7 4" xfId="18912"/>
    <cellStyle name="20% - Accent2 2 2 7 5" xfId="18913"/>
    <cellStyle name="20% - Accent2 2 2 7 6" xfId="18914"/>
    <cellStyle name="20% - Accent2 2 2 7 7" xfId="18915"/>
    <cellStyle name="20% - Accent2 2 2 8" xfId="18916"/>
    <cellStyle name="20% - Accent2 2 2 8 2" xfId="18917"/>
    <cellStyle name="20% - Accent2 2 2 9" xfId="18918"/>
    <cellStyle name="20% - Accent2 2 2 9 2" xfId="18919"/>
    <cellStyle name="20% - Accent2 2 3" xfId="98"/>
    <cellStyle name="20% - Accent2 2 3 10" xfId="18920"/>
    <cellStyle name="20% - Accent2 2 3 11" xfId="18921"/>
    <cellStyle name="20% - Accent2 2 3 12" xfId="18922"/>
    <cellStyle name="20% - Accent2 2 3 13" xfId="18923"/>
    <cellStyle name="20% - Accent2 2 3 2" xfId="18924"/>
    <cellStyle name="20% - Accent2 2 3 2 10" xfId="18925"/>
    <cellStyle name="20% - Accent2 2 3 2 11" xfId="18926"/>
    <cellStyle name="20% - Accent2 2 3 2 2" xfId="18927"/>
    <cellStyle name="20% - Accent2 2 3 2 2 10" xfId="18928"/>
    <cellStyle name="20% - Accent2 2 3 2 2 2" xfId="18929"/>
    <cellStyle name="20% - Accent2 2 3 2 2 2 2" xfId="18930"/>
    <cellStyle name="20% - Accent2 2 3 2 2 2 2 2" xfId="18931"/>
    <cellStyle name="20% - Accent2 2 3 2 2 2 3" xfId="18932"/>
    <cellStyle name="20% - Accent2 2 3 2 2 2 3 2" xfId="18933"/>
    <cellStyle name="20% - Accent2 2 3 2 2 2 4" xfId="18934"/>
    <cellStyle name="20% - Accent2 2 3 2 2 2 5" xfId="18935"/>
    <cellStyle name="20% - Accent2 2 3 2 2 2 6" xfId="18936"/>
    <cellStyle name="20% - Accent2 2 3 2 2 2 7" xfId="18937"/>
    <cellStyle name="20% - Accent2 2 3 2 2 3" xfId="18938"/>
    <cellStyle name="20% - Accent2 2 3 2 2 3 2" xfId="18939"/>
    <cellStyle name="20% - Accent2 2 3 2 2 3 2 2" xfId="18940"/>
    <cellStyle name="20% - Accent2 2 3 2 2 3 3" xfId="18941"/>
    <cellStyle name="20% - Accent2 2 3 2 2 3 3 2" xfId="18942"/>
    <cellStyle name="20% - Accent2 2 3 2 2 3 4" xfId="18943"/>
    <cellStyle name="20% - Accent2 2 3 2 2 3 5" xfId="18944"/>
    <cellStyle name="20% - Accent2 2 3 2 2 3 6" xfId="18945"/>
    <cellStyle name="20% - Accent2 2 3 2 2 3 7" xfId="18946"/>
    <cellStyle name="20% - Accent2 2 3 2 2 4" xfId="18947"/>
    <cellStyle name="20% - Accent2 2 3 2 2 4 2" xfId="18948"/>
    <cellStyle name="20% - Accent2 2 3 2 2 4 2 2" xfId="18949"/>
    <cellStyle name="20% - Accent2 2 3 2 2 4 3" xfId="18950"/>
    <cellStyle name="20% - Accent2 2 3 2 2 4 3 2" xfId="18951"/>
    <cellStyle name="20% - Accent2 2 3 2 2 4 4" xfId="18952"/>
    <cellStyle name="20% - Accent2 2 3 2 2 4 5" xfId="18953"/>
    <cellStyle name="20% - Accent2 2 3 2 2 4 6" xfId="18954"/>
    <cellStyle name="20% - Accent2 2 3 2 2 4 7" xfId="18955"/>
    <cellStyle name="20% - Accent2 2 3 2 2 5" xfId="18956"/>
    <cellStyle name="20% - Accent2 2 3 2 2 5 2" xfId="18957"/>
    <cellStyle name="20% - Accent2 2 3 2 2 6" xfId="18958"/>
    <cellStyle name="20% - Accent2 2 3 2 2 6 2" xfId="18959"/>
    <cellStyle name="20% - Accent2 2 3 2 2 7" xfId="18960"/>
    <cellStyle name="20% - Accent2 2 3 2 2 8" xfId="18961"/>
    <cellStyle name="20% - Accent2 2 3 2 2 9" xfId="18962"/>
    <cellStyle name="20% - Accent2 2 3 2 3" xfId="18963"/>
    <cellStyle name="20% - Accent2 2 3 2 3 2" xfId="18964"/>
    <cellStyle name="20% - Accent2 2 3 2 3 2 2" xfId="18965"/>
    <cellStyle name="20% - Accent2 2 3 2 3 3" xfId="18966"/>
    <cellStyle name="20% - Accent2 2 3 2 3 3 2" xfId="18967"/>
    <cellStyle name="20% - Accent2 2 3 2 3 4" xfId="18968"/>
    <cellStyle name="20% - Accent2 2 3 2 3 5" xfId="18969"/>
    <cellStyle name="20% - Accent2 2 3 2 3 6" xfId="18970"/>
    <cellStyle name="20% - Accent2 2 3 2 3 7" xfId="18971"/>
    <cellStyle name="20% - Accent2 2 3 2 4" xfId="18972"/>
    <cellStyle name="20% - Accent2 2 3 2 4 2" xfId="18973"/>
    <cellStyle name="20% - Accent2 2 3 2 4 2 2" xfId="18974"/>
    <cellStyle name="20% - Accent2 2 3 2 4 3" xfId="18975"/>
    <cellStyle name="20% - Accent2 2 3 2 4 3 2" xfId="18976"/>
    <cellStyle name="20% - Accent2 2 3 2 4 4" xfId="18977"/>
    <cellStyle name="20% - Accent2 2 3 2 4 5" xfId="18978"/>
    <cellStyle name="20% - Accent2 2 3 2 4 6" xfId="18979"/>
    <cellStyle name="20% - Accent2 2 3 2 4 7" xfId="18980"/>
    <cellStyle name="20% - Accent2 2 3 2 5" xfId="18981"/>
    <cellStyle name="20% - Accent2 2 3 2 5 2" xfId="18982"/>
    <cellStyle name="20% - Accent2 2 3 2 5 2 2" xfId="18983"/>
    <cellStyle name="20% - Accent2 2 3 2 5 3" xfId="18984"/>
    <cellStyle name="20% - Accent2 2 3 2 5 3 2" xfId="18985"/>
    <cellStyle name="20% - Accent2 2 3 2 5 4" xfId="18986"/>
    <cellStyle name="20% - Accent2 2 3 2 5 5" xfId="18987"/>
    <cellStyle name="20% - Accent2 2 3 2 5 6" xfId="18988"/>
    <cellStyle name="20% - Accent2 2 3 2 5 7" xfId="18989"/>
    <cellStyle name="20% - Accent2 2 3 2 6" xfId="18990"/>
    <cellStyle name="20% - Accent2 2 3 2 6 2" xfId="18991"/>
    <cellStyle name="20% - Accent2 2 3 2 7" xfId="18992"/>
    <cellStyle name="20% - Accent2 2 3 2 7 2" xfId="18993"/>
    <cellStyle name="20% - Accent2 2 3 2 8" xfId="18994"/>
    <cellStyle name="20% - Accent2 2 3 2 9" xfId="18995"/>
    <cellStyle name="20% - Accent2 2 3 3" xfId="18996"/>
    <cellStyle name="20% - Accent2 2 3 3 10" xfId="18997"/>
    <cellStyle name="20% - Accent2 2 3 3 11" xfId="18998"/>
    <cellStyle name="20% - Accent2 2 3 3 2" xfId="18999"/>
    <cellStyle name="20% - Accent2 2 3 3 2 10" xfId="19000"/>
    <cellStyle name="20% - Accent2 2 3 3 2 2" xfId="19001"/>
    <cellStyle name="20% - Accent2 2 3 3 2 2 2" xfId="19002"/>
    <cellStyle name="20% - Accent2 2 3 3 2 2 2 2" xfId="19003"/>
    <cellStyle name="20% - Accent2 2 3 3 2 2 3" xfId="19004"/>
    <cellStyle name="20% - Accent2 2 3 3 2 2 3 2" xfId="19005"/>
    <cellStyle name="20% - Accent2 2 3 3 2 2 4" xfId="19006"/>
    <cellStyle name="20% - Accent2 2 3 3 2 2 5" xfId="19007"/>
    <cellStyle name="20% - Accent2 2 3 3 2 2 6" xfId="19008"/>
    <cellStyle name="20% - Accent2 2 3 3 2 2 7" xfId="19009"/>
    <cellStyle name="20% - Accent2 2 3 3 2 3" xfId="19010"/>
    <cellStyle name="20% - Accent2 2 3 3 2 3 2" xfId="19011"/>
    <cellStyle name="20% - Accent2 2 3 3 2 3 2 2" xfId="19012"/>
    <cellStyle name="20% - Accent2 2 3 3 2 3 3" xfId="19013"/>
    <cellStyle name="20% - Accent2 2 3 3 2 3 3 2" xfId="19014"/>
    <cellStyle name="20% - Accent2 2 3 3 2 3 4" xfId="19015"/>
    <cellStyle name="20% - Accent2 2 3 3 2 3 5" xfId="19016"/>
    <cellStyle name="20% - Accent2 2 3 3 2 3 6" xfId="19017"/>
    <cellStyle name="20% - Accent2 2 3 3 2 3 7" xfId="19018"/>
    <cellStyle name="20% - Accent2 2 3 3 2 4" xfId="19019"/>
    <cellStyle name="20% - Accent2 2 3 3 2 4 2" xfId="19020"/>
    <cellStyle name="20% - Accent2 2 3 3 2 4 2 2" xfId="19021"/>
    <cellStyle name="20% - Accent2 2 3 3 2 4 3" xfId="19022"/>
    <cellStyle name="20% - Accent2 2 3 3 2 4 3 2" xfId="19023"/>
    <cellStyle name="20% - Accent2 2 3 3 2 4 4" xfId="19024"/>
    <cellStyle name="20% - Accent2 2 3 3 2 4 5" xfId="19025"/>
    <cellStyle name="20% - Accent2 2 3 3 2 4 6" xfId="19026"/>
    <cellStyle name="20% - Accent2 2 3 3 2 4 7" xfId="19027"/>
    <cellStyle name="20% - Accent2 2 3 3 2 5" xfId="19028"/>
    <cellStyle name="20% - Accent2 2 3 3 2 5 2" xfId="19029"/>
    <cellStyle name="20% - Accent2 2 3 3 2 6" xfId="19030"/>
    <cellStyle name="20% - Accent2 2 3 3 2 6 2" xfId="19031"/>
    <cellStyle name="20% - Accent2 2 3 3 2 7" xfId="19032"/>
    <cellStyle name="20% - Accent2 2 3 3 2 8" xfId="19033"/>
    <cellStyle name="20% - Accent2 2 3 3 2 9" xfId="19034"/>
    <cellStyle name="20% - Accent2 2 3 3 3" xfId="19035"/>
    <cellStyle name="20% - Accent2 2 3 3 3 2" xfId="19036"/>
    <cellStyle name="20% - Accent2 2 3 3 3 2 2" xfId="19037"/>
    <cellStyle name="20% - Accent2 2 3 3 3 3" xfId="19038"/>
    <cellStyle name="20% - Accent2 2 3 3 3 3 2" xfId="19039"/>
    <cellStyle name="20% - Accent2 2 3 3 3 4" xfId="19040"/>
    <cellStyle name="20% - Accent2 2 3 3 3 5" xfId="19041"/>
    <cellStyle name="20% - Accent2 2 3 3 3 6" xfId="19042"/>
    <cellStyle name="20% - Accent2 2 3 3 3 7" xfId="19043"/>
    <cellStyle name="20% - Accent2 2 3 3 4" xfId="19044"/>
    <cellStyle name="20% - Accent2 2 3 3 4 2" xfId="19045"/>
    <cellStyle name="20% - Accent2 2 3 3 4 2 2" xfId="19046"/>
    <cellStyle name="20% - Accent2 2 3 3 4 3" xfId="19047"/>
    <cellStyle name="20% - Accent2 2 3 3 4 3 2" xfId="19048"/>
    <cellStyle name="20% - Accent2 2 3 3 4 4" xfId="19049"/>
    <cellStyle name="20% - Accent2 2 3 3 4 5" xfId="19050"/>
    <cellStyle name="20% - Accent2 2 3 3 4 6" xfId="19051"/>
    <cellStyle name="20% - Accent2 2 3 3 4 7" xfId="19052"/>
    <cellStyle name="20% - Accent2 2 3 3 5" xfId="19053"/>
    <cellStyle name="20% - Accent2 2 3 3 5 2" xfId="19054"/>
    <cellStyle name="20% - Accent2 2 3 3 5 2 2" xfId="19055"/>
    <cellStyle name="20% - Accent2 2 3 3 5 3" xfId="19056"/>
    <cellStyle name="20% - Accent2 2 3 3 5 3 2" xfId="19057"/>
    <cellStyle name="20% - Accent2 2 3 3 5 4" xfId="19058"/>
    <cellStyle name="20% - Accent2 2 3 3 5 5" xfId="19059"/>
    <cellStyle name="20% - Accent2 2 3 3 5 6" xfId="19060"/>
    <cellStyle name="20% - Accent2 2 3 3 5 7" xfId="19061"/>
    <cellStyle name="20% - Accent2 2 3 3 6" xfId="19062"/>
    <cellStyle name="20% - Accent2 2 3 3 6 2" xfId="19063"/>
    <cellStyle name="20% - Accent2 2 3 3 7" xfId="19064"/>
    <cellStyle name="20% - Accent2 2 3 3 7 2" xfId="19065"/>
    <cellStyle name="20% - Accent2 2 3 3 8" xfId="19066"/>
    <cellStyle name="20% - Accent2 2 3 3 9" xfId="19067"/>
    <cellStyle name="20% - Accent2 2 3 4" xfId="19068"/>
    <cellStyle name="20% - Accent2 2 3 4 10" xfId="19069"/>
    <cellStyle name="20% - Accent2 2 3 4 2" xfId="19070"/>
    <cellStyle name="20% - Accent2 2 3 4 2 2" xfId="19071"/>
    <cellStyle name="20% - Accent2 2 3 4 2 2 2" xfId="19072"/>
    <cellStyle name="20% - Accent2 2 3 4 2 3" xfId="19073"/>
    <cellStyle name="20% - Accent2 2 3 4 2 3 2" xfId="19074"/>
    <cellStyle name="20% - Accent2 2 3 4 2 4" xfId="19075"/>
    <cellStyle name="20% - Accent2 2 3 4 2 5" xfId="19076"/>
    <cellStyle name="20% - Accent2 2 3 4 2 6" xfId="19077"/>
    <cellStyle name="20% - Accent2 2 3 4 2 7" xfId="19078"/>
    <cellStyle name="20% - Accent2 2 3 4 3" xfId="19079"/>
    <cellStyle name="20% - Accent2 2 3 4 3 2" xfId="19080"/>
    <cellStyle name="20% - Accent2 2 3 4 3 2 2" xfId="19081"/>
    <cellStyle name="20% - Accent2 2 3 4 3 3" xfId="19082"/>
    <cellStyle name="20% - Accent2 2 3 4 3 3 2" xfId="19083"/>
    <cellStyle name="20% - Accent2 2 3 4 3 4" xfId="19084"/>
    <cellStyle name="20% - Accent2 2 3 4 3 5" xfId="19085"/>
    <cellStyle name="20% - Accent2 2 3 4 3 6" xfId="19086"/>
    <cellStyle name="20% - Accent2 2 3 4 3 7" xfId="19087"/>
    <cellStyle name="20% - Accent2 2 3 4 4" xfId="19088"/>
    <cellStyle name="20% - Accent2 2 3 4 4 2" xfId="19089"/>
    <cellStyle name="20% - Accent2 2 3 4 4 2 2" xfId="19090"/>
    <cellStyle name="20% - Accent2 2 3 4 4 3" xfId="19091"/>
    <cellStyle name="20% - Accent2 2 3 4 4 3 2" xfId="19092"/>
    <cellStyle name="20% - Accent2 2 3 4 4 4" xfId="19093"/>
    <cellStyle name="20% - Accent2 2 3 4 4 5" xfId="19094"/>
    <cellStyle name="20% - Accent2 2 3 4 4 6" xfId="19095"/>
    <cellStyle name="20% - Accent2 2 3 4 4 7" xfId="19096"/>
    <cellStyle name="20% - Accent2 2 3 4 5" xfId="19097"/>
    <cellStyle name="20% - Accent2 2 3 4 5 2" xfId="19098"/>
    <cellStyle name="20% - Accent2 2 3 4 6" xfId="19099"/>
    <cellStyle name="20% - Accent2 2 3 4 6 2" xfId="19100"/>
    <cellStyle name="20% - Accent2 2 3 4 7" xfId="19101"/>
    <cellStyle name="20% - Accent2 2 3 4 8" xfId="19102"/>
    <cellStyle name="20% - Accent2 2 3 4 9" xfId="19103"/>
    <cellStyle name="20% - Accent2 2 3 5" xfId="19104"/>
    <cellStyle name="20% - Accent2 2 3 5 2" xfId="19105"/>
    <cellStyle name="20% - Accent2 2 3 5 2 2" xfId="19106"/>
    <cellStyle name="20% - Accent2 2 3 5 3" xfId="19107"/>
    <cellStyle name="20% - Accent2 2 3 5 3 2" xfId="19108"/>
    <cellStyle name="20% - Accent2 2 3 5 4" xfId="19109"/>
    <cellStyle name="20% - Accent2 2 3 5 5" xfId="19110"/>
    <cellStyle name="20% - Accent2 2 3 5 6" xfId="19111"/>
    <cellStyle name="20% - Accent2 2 3 5 7" xfId="19112"/>
    <cellStyle name="20% - Accent2 2 3 6" xfId="19113"/>
    <cellStyle name="20% - Accent2 2 3 6 2" xfId="19114"/>
    <cellStyle name="20% - Accent2 2 3 6 2 2" xfId="19115"/>
    <cellStyle name="20% - Accent2 2 3 6 3" xfId="19116"/>
    <cellStyle name="20% - Accent2 2 3 6 3 2" xfId="19117"/>
    <cellStyle name="20% - Accent2 2 3 6 4" xfId="19118"/>
    <cellStyle name="20% - Accent2 2 3 6 5" xfId="19119"/>
    <cellStyle name="20% - Accent2 2 3 6 6" xfId="19120"/>
    <cellStyle name="20% - Accent2 2 3 6 7" xfId="19121"/>
    <cellStyle name="20% - Accent2 2 3 7" xfId="19122"/>
    <cellStyle name="20% - Accent2 2 3 7 2" xfId="19123"/>
    <cellStyle name="20% - Accent2 2 3 7 2 2" xfId="19124"/>
    <cellStyle name="20% - Accent2 2 3 7 3" xfId="19125"/>
    <cellStyle name="20% - Accent2 2 3 7 3 2" xfId="19126"/>
    <cellStyle name="20% - Accent2 2 3 7 4" xfId="19127"/>
    <cellStyle name="20% - Accent2 2 3 7 5" xfId="19128"/>
    <cellStyle name="20% - Accent2 2 3 7 6" xfId="19129"/>
    <cellStyle name="20% - Accent2 2 3 7 7" xfId="19130"/>
    <cellStyle name="20% - Accent2 2 3 8" xfId="19131"/>
    <cellStyle name="20% - Accent2 2 3 8 2" xfId="19132"/>
    <cellStyle name="20% - Accent2 2 3 9" xfId="19133"/>
    <cellStyle name="20% - Accent2 2 3 9 2" xfId="19134"/>
    <cellStyle name="20% - Accent2 2 4" xfId="19135"/>
    <cellStyle name="20% - Accent2 2 4 10" xfId="19136"/>
    <cellStyle name="20% - Accent2 2 4 11" xfId="19137"/>
    <cellStyle name="20% - Accent2 2 4 12" xfId="19138"/>
    <cellStyle name="20% - Accent2 2 4 13" xfId="19139"/>
    <cellStyle name="20% - Accent2 2 4 2" xfId="19140"/>
    <cellStyle name="20% - Accent2 2 4 2 10" xfId="19141"/>
    <cellStyle name="20% - Accent2 2 4 2 11" xfId="19142"/>
    <cellStyle name="20% - Accent2 2 4 2 2" xfId="19143"/>
    <cellStyle name="20% - Accent2 2 4 2 2 10" xfId="19144"/>
    <cellStyle name="20% - Accent2 2 4 2 2 2" xfId="19145"/>
    <cellStyle name="20% - Accent2 2 4 2 2 2 2" xfId="19146"/>
    <cellStyle name="20% - Accent2 2 4 2 2 2 2 2" xfId="19147"/>
    <cellStyle name="20% - Accent2 2 4 2 2 2 3" xfId="19148"/>
    <cellStyle name="20% - Accent2 2 4 2 2 2 3 2" xfId="19149"/>
    <cellStyle name="20% - Accent2 2 4 2 2 2 4" xfId="19150"/>
    <cellStyle name="20% - Accent2 2 4 2 2 2 5" xfId="19151"/>
    <cellStyle name="20% - Accent2 2 4 2 2 2 6" xfId="19152"/>
    <cellStyle name="20% - Accent2 2 4 2 2 2 7" xfId="19153"/>
    <cellStyle name="20% - Accent2 2 4 2 2 3" xfId="19154"/>
    <cellStyle name="20% - Accent2 2 4 2 2 3 2" xfId="19155"/>
    <cellStyle name="20% - Accent2 2 4 2 2 3 2 2" xfId="19156"/>
    <cellStyle name="20% - Accent2 2 4 2 2 3 3" xfId="19157"/>
    <cellStyle name="20% - Accent2 2 4 2 2 3 3 2" xfId="19158"/>
    <cellStyle name="20% - Accent2 2 4 2 2 3 4" xfId="19159"/>
    <cellStyle name="20% - Accent2 2 4 2 2 3 5" xfId="19160"/>
    <cellStyle name="20% - Accent2 2 4 2 2 3 6" xfId="19161"/>
    <cellStyle name="20% - Accent2 2 4 2 2 3 7" xfId="19162"/>
    <cellStyle name="20% - Accent2 2 4 2 2 4" xfId="19163"/>
    <cellStyle name="20% - Accent2 2 4 2 2 4 2" xfId="19164"/>
    <cellStyle name="20% - Accent2 2 4 2 2 4 2 2" xfId="19165"/>
    <cellStyle name="20% - Accent2 2 4 2 2 4 3" xfId="19166"/>
    <cellStyle name="20% - Accent2 2 4 2 2 4 3 2" xfId="19167"/>
    <cellStyle name="20% - Accent2 2 4 2 2 4 4" xfId="19168"/>
    <cellStyle name="20% - Accent2 2 4 2 2 4 5" xfId="19169"/>
    <cellStyle name="20% - Accent2 2 4 2 2 4 6" xfId="19170"/>
    <cellStyle name="20% - Accent2 2 4 2 2 4 7" xfId="19171"/>
    <cellStyle name="20% - Accent2 2 4 2 2 5" xfId="19172"/>
    <cellStyle name="20% - Accent2 2 4 2 2 5 2" xfId="19173"/>
    <cellStyle name="20% - Accent2 2 4 2 2 6" xfId="19174"/>
    <cellStyle name="20% - Accent2 2 4 2 2 6 2" xfId="19175"/>
    <cellStyle name="20% - Accent2 2 4 2 2 7" xfId="19176"/>
    <cellStyle name="20% - Accent2 2 4 2 2 8" xfId="19177"/>
    <cellStyle name="20% - Accent2 2 4 2 2 9" xfId="19178"/>
    <cellStyle name="20% - Accent2 2 4 2 3" xfId="19179"/>
    <cellStyle name="20% - Accent2 2 4 2 3 2" xfId="19180"/>
    <cellStyle name="20% - Accent2 2 4 2 3 2 2" xfId="19181"/>
    <cellStyle name="20% - Accent2 2 4 2 3 3" xfId="19182"/>
    <cellStyle name="20% - Accent2 2 4 2 3 3 2" xfId="19183"/>
    <cellStyle name="20% - Accent2 2 4 2 3 4" xfId="19184"/>
    <cellStyle name="20% - Accent2 2 4 2 3 5" xfId="19185"/>
    <cellStyle name="20% - Accent2 2 4 2 3 6" xfId="19186"/>
    <cellStyle name="20% - Accent2 2 4 2 3 7" xfId="19187"/>
    <cellStyle name="20% - Accent2 2 4 2 4" xfId="19188"/>
    <cellStyle name="20% - Accent2 2 4 2 4 2" xfId="19189"/>
    <cellStyle name="20% - Accent2 2 4 2 4 2 2" xfId="19190"/>
    <cellStyle name="20% - Accent2 2 4 2 4 3" xfId="19191"/>
    <cellStyle name="20% - Accent2 2 4 2 4 3 2" xfId="19192"/>
    <cellStyle name="20% - Accent2 2 4 2 4 4" xfId="19193"/>
    <cellStyle name="20% - Accent2 2 4 2 4 5" xfId="19194"/>
    <cellStyle name="20% - Accent2 2 4 2 4 6" xfId="19195"/>
    <cellStyle name="20% - Accent2 2 4 2 4 7" xfId="19196"/>
    <cellStyle name="20% - Accent2 2 4 2 5" xfId="19197"/>
    <cellStyle name="20% - Accent2 2 4 2 5 2" xfId="19198"/>
    <cellStyle name="20% - Accent2 2 4 2 5 2 2" xfId="19199"/>
    <cellStyle name="20% - Accent2 2 4 2 5 3" xfId="19200"/>
    <cellStyle name="20% - Accent2 2 4 2 5 3 2" xfId="19201"/>
    <cellStyle name="20% - Accent2 2 4 2 5 4" xfId="19202"/>
    <cellStyle name="20% - Accent2 2 4 2 5 5" xfId="19203"/>
    <cellStyle name="20% - Accent2 2 4 2 5 6" xfId="19204"/>
    <cellStyle name="20% - Accent2 2 4 2 5 7" xfId="19205"/>
    <cellStyle name="20% - Accent2 2 4 2 6" xfId="19206"/>
    <cellStyle name="20% - Accent2 2 4 2 6 2" xfId="19207"/>
    <cellStyle name="20% - Accent2 2 4 2 7" xfId="19208"/>
    <cellStyle name="20% - Accent2 2 4 2 7 2" xfId="19209"/>
    <cellStyle name="20% - Accent2 2 4 2 8" xfId="19210"/>
    <cellStyle name="20% - Accent2 2 4 2 9" xfId="19211"/>
    <cellStyle name="20% - Accent2 2 4 3" xfId="19212"/>
    <cellStyle name="20% - Accent2 2 4 3 10" xfId="19213"/>
    <cellStyle name="20% - Accent2 2 4 3 11" xfId="19214"/>
    <cellStyle name="20% - Accent2 2 4 3 2" xfId="19215"/>
    <cellStyle name="20% - Accent2 2 4 3 2 10" xfId="19216"/>
    <cellStyle name="20% - Accent2 2 4 3 2 2" xfId="19217"/>
    <cellStyle name="20% - Accent2 2 4 3 2 2 2" xfId="19218"/>
    <cellStyle name="20% - Accent2 2 4 3 2 2 2 2" xfId="19219"/>
    <cellStyle name="20% - Accent2 2 4 3 2 2 3" xfId="19220"/>
    <cellStyle name="20% - Accent2 2 4 3 2 2 3 2" xfId="19221"/>
    <cellStyle name="20% - Accent2 2 4 3 2 2 4" xfId="19222"/>
    <cellStyle name="20% - Accent2 2 4 3 2 2 5" xfId="19223"/>
    <cellStyle name="20% - Accent2 2 4 3 2 2 6" xfId="19224"/>
    <cellStyle name="20% - Accent2 2 4 3 2 2 7" xfId="19225"/>
    <cellStyle name="20% - Accent2 2 4 3 2 3" xfId="19226"/>
    <cellStyle name="20% - Accent2 2 4 3 2 3 2" xfId="19227"/>
    <cellStyle name="20% - Accent2 2 4 3 2 3 2 2" xfId="19228"/>
    <cellStyle name="20% - Accent2 2 4 3 2 3 3" xfId="19229"/>
    <cellStyle name="20% - Accent2 2 4 3 2 3 3 2" xfId="19230"/>
    <cellStyle name="20% - Accent2 2 4 3 2 3 4" xfId="19231"/>
    <cellStyle name="20% - Accent2 2 4 3 2 3 5" xfId="19232"/>
    <cellStyle name="20% - Accent2 2 4 3 2 3 6" xfId="19233"/>
    <cellStyle name="20% - Accent2 2 4 3 2 3 7" xfId="19234"/>
    <cellStyle name="20% - Accent2 2 4 3 2 4" xfId="19235"/>
    <cellStyle name="20% - Accent2 2 4 3 2 4 2" xfId="19236"/>
    <cellStyle name="20% - Accent2 2 4 3 2 4 2 2" xfId="19237"/>
    <cellStyle name="20% - Accent2 2 4 3 2 4 3" xfId="19238"/>
    <cellStyle name="20% - Accent2 2 4 3 2 4 3 2" xfId="19239"/>
    <cellStyle name="20% - Accent2 2 4 3 2 4 4" xfId="19240"/>
    <cellStyle name="20% - Accent2 2 4 3 2 4 5" xfId="19241"/>
    <cellStyle name="20% - Accent2 2 4 3 2 4 6" xfId="19242"/>
    <cellStyle name="20% - Accent2 2 4 3 2 4 7" xfId="19243"/>
    <cellStyle name="20% - Accent2 2 4 3 2 5" xfId="19244"/>
    <cellStyle name="20% - Accent2 2 4 3 2 5 2" xfId="19245"/>
    <cellStyle name="20% - Accent2 2 4 3 2 6" xfId="19246"/>
    <cellStyle name="20% - Accent2 2 4 3 2 6 2" xfId="19247"/>
    <cellStyle name="20% - Accent2 2 4 3 2 7" xfId="19248"/>
    <cellStyle name="20% - Accent2 2 4 3 2 8" xfId="19249"/>
    <cellStyle name="20% - Accent2 2 4 3 2 9" xfId="19250"/>
    <cellStyle name="20% - Accent2 2 4 3 3" xfId="19251"/>
    <cellStyle name="20% - Accent2 2 4 3 3 2" xfId="19252"/>
    <cellStyle name="20% - Accent2 2 4 3 3 2 2" xfId="19253"/>
    <cellStyle name="20% - Accent2 2 4 3 3 3" xfId="19254"/>
    <cellStyle name="20% - Accent2 2 4 3 3 3 2" xfId="19255"/>
    <cellStyle name="20% - Accent2 2 4 3 3 4" xfId="19256"/>
    <cellStyle name="20% - Accent2 2 4 3 3 5" xfId="19257"/>
    <cellStyle name="20% - Accent2 2 4 3 3 6" xfId="19258"/>
    <cellStyle name="20% - Accent2 2 4 3 3 7" xfId="19259"/>
    <cellStyle name="20% - Accent2 2 4 3 4" xfId="19260"/>
    <cellStyle name="20% - Accent2 2 4 3 4 2" xfId="19261"/>
    <cellStyle name="20% - Accent2 2 4 3 4 2 2" xfId="19262"/>
    <cellStyle name="20% - Accent2 2 4 3 4 3" xfId="19263"/>
    <cellStyle name="20% - Accent2 2 4 3 4 3 2" xfId="19264"/>
    <cellStyle name="20% - Accent2 2 4 3 4 4" xfId="19265"/>
    <cellStyle name="20% - Accent2 2 4 3 4 5" xfId="19266"/>
    <cellStyle name="20% - Accent2 2 4 3 4 6" xfId="19267"/>
    <cellStyle name="20% - Accent2 2 4 3 4 7" xfId="19268"/>
    <cellStyle name="20% - Accent2 2 4 3 5" xfId="19269"/>
    <cellStyle name="20% - Accent2 2 4 3 5 2" xfId="19270"/>
    <cellStyle name="20% - Accent2 2 4 3 5 2 2" xfId="19271"/>
    <cellStyle name="20% - Accent2 2 4 3 5 3" xfId="19272"/>
    <cellStyle name="20% - Accent2 2 4 3 5 3 2" xfId="19273"/>
    <cellStyle name="20% - Accent2 2 4 3 5 4" xfId="19274"/>
    <cellStyle name="20% - Accent2 2 4 3 5 5" xfId="19275"/>
    <cellStyle name="20% - Accent2 2 4 3 5 6" xfId="19276"/>
    <cellStyle name="20% - Accent2 2 4 3 5 7" xfId="19277"/>
    <cellStyle name="20% - Accent2 2 4 3 6" xfId="19278"/>
    <cellStyle name="20% - Accent2 2 4 3 6 2" xfId="19279"/>
    <cellStyle name="20% - Accent2 2 4 3 7" xfId="19280"/>
    <cellStyle name="20% - Accent2 2 4 3 7 2" xfId="19281"/>
    <cellStyle name="20% - Accent2 2 4 3 8" xfId="19282"/>
    <cellStyle name="20% - Accent2 2 4 3 9" xfId="19283"/>
    <cellStyle name="20% - Accent2 2 4 4" xfId="19284"/>
    <cellStyle name="20% - Accent2 2 4 4 10" xfId="19285"/>
    <cellStyle name="20% - Accent2 2 4 4 2" xfId="19286"/>
    <cellStyle name="20% - Accent2 2 4 4 2 2" xfId="19287"/>
    <cellStyle name="20% - Accent2 2 4 4 2 2 2" xfId="19288"/>
    <cellStyle name="20% - Accent2 2 4 4 2 3" xfId="19289"/>
    <cellStyle name="20% - Accent2 2 4 4 2 3 2" xfId="19290"/>
    <cellStyle name="20% - Accent2 2 4 4 2 4" xfId="19291"/>
    <cellStyle name="20% - Accent2 2 4 4 2 5" xfId="19292"/>
    <cellStyle name="20% - Accent2 2 4 4 2 6" xfId="19293"/>
    <cellStyle name="20% - Accent2 2 4 4 2 7" xfId="19294"/>
    <cellStyle name="20% - Accent2 2 4 4 3" xfId="19295"/>
    <cellStyle name="20% - Accent2 2 4 4 3 2" xfId="19296"/>
    <cellStyle name="20% - Accent2 2 4 4 3 2 2" xfId="19297"/>
    <cellStyle name="20% - Accent2 2 4 4 3 3" xfId="19298"/>
    <cellStyle name="20% - Accent2 2 4 4 3 3 2" xfId="19299"/>
    <cellStyle name="20% - Accent2 2 4 4 3 4" xfId="19300"/>
    <cellStyle name="20% - Accent2 2 4 4 3 5" xfId="19301"/>
    <cellStyle name="20% - Accent2 2 4 4 3 6" xfId="19302"/>
    <cellStyle name="20% - Accent2 2 4 4 3 7" xfId="19303"/>
    <cellStyle name="20% - Accent2 2 4 4 4" xfId="19304"/>
    <cellStyle name="20% - Accent2 2 4 4 4 2" xfId="19305"/>
    <cellStyle name="20% - Accent2 2 4 4 4 2 2" xfId="19306"/>
    <cellStyle name="20% - Accent2 2 4 4 4 3" xfId="19307"/>
    <cellStyle name="20% - Accent2 2 4 4 4 3 2" xfId="19308"/>
    <cellStyle name="20% - Accent2 2 4 4 4 4" xfId="19309"/>
    <cellStyle name="20% - Accent2 2 4 4 4 5" xfId="19310"/>
    <cellStyle name="20% - Accent2 2 4 4 4 6" xfId="19311"/>
    <cellStyle name="20% - Accent2 2 4 4 4 7" xfId="19312"/>
    <cellStyle name="20% - Accent2 2 4 4 5" xfId="19313"/>
    <cellStyle name="20% - Accent2 2 4 4 5 2" xfId="19314"/>
    <cellStyle name="20% - Accent2 2 4 4 6" xfId="19315"/>
    <cellStyle name="20% - Accent2 2 4 4 6 2" xfId="19316"/>
    <cellStyle name="20% - Accent2 2 4 4 7" xfId="19317"/>
    <cellStyle name="20% - Accent2 2 4 4 8" xfId="19318"/>
    <cellStyle name="20% - Accent2 2 4 4 9" xfId="19319"/>
    <cellStyle name="20% - Accent2 2 4 5" xfId="19320"/>
    <cellStyle name="20% - Accent2 2 4 5 2" xfId="19321"/>
    <cellStyle name="20% - Accent2 2 4 5 2 2" xfId="19322"/>
    <cellStyle name="20% - Accent2 2 4 5 3" xfId="19323"/>
    <cellStyle name="20% - Accent2 2 4 5 3 2" xfId="19324"/>
    <cellStyle name="20% - Accent2 2 4 5 4" xfId="19325"/>
    <cellStyle name="20% - Accent2 2 4 5 5" xfId="19326"/>
    <cellStyle name="20% - Accent2 2 4 5 6" xfId="19327"/>
    <cellStyle name="20% - Accent2 2 4 5 7" xfId="19328"/>
    <cellStyle name="20% - Accent2 2 4 6" xfId="19329"/>
    <cellStyle name="20% - Accent2 2 4 6 2" xfId="19330"/>
    <cellStyle name="20% - Accent2 2 4 6 2 2" xfId="19331"/>
    <cellStyle name="20% - Accent2 2 4 6 3" xfId="19332"/>
    <cellStyle name="20% - Accent2 2 4 6 3 2" xfId="19333"/>
    <cellStyle name="20% - Accent2 2 4 6 4" xfId="19334"/>
    <cellStyle name="20% - Accent2 2 4 6 5" xfId="19335"/>
    <cellStyle name="20% - Accent2 2 4 6 6" xfId="19336"/>
    <cellStyle name="20% - Accent2 2 4 6 7" xfId="19337"/>
    <cellStyle name="20% - Accent2 2 4 7" xfId="19338"/>
    <cellStyle name="20% - Accent2 2 4 7 2" xfId="19339"/>
    <cellStyle name="20% - Accent2 2 4 7 2 2" xfId="19340"/>
    <cellStyle name="20% - Accent2 2 4 7 3" xfId="19341"/>
    <cellStyle name="20% - Accent2 2 4 7 3 2" xfId="19342"/>
    <cellStyle name="20% - Accent2 2 4 7 4" xfId="19343"/>
    <cellStyle name="20% - Accent2 2 4 7 5" xfId="19344"/>
    <cellStyle name="20% - Accent2 2 4 7 6" xfId="19345"/>
    <cellStyle name="20% - Accent2 2 4 7 7" xfId="19346"/>
    <cellStyle name="20% - Accent2 2 4 8" xfId="19347"/>
    <cellStyle name="20% - Accent2 2 4 8 2" xfId="19348"/>
    <cellStyle name="20% - Accent2 2 4 9" xfId="19349"/>
    <cellStyle name="20% - Accent2 2 4 9 2" xfId="19350"/>
    <cellStyle name="20% - Accent2 2 5" xfId="19351"/>
    <cellStyle name="20% - Accent2 2 5 10" xfId="19352"/>
    <cellStyle name="20% - Accent2 2 5 11" xfId="19353"/>
    <cellStyle name="20% - Accent2 2 5 12" xfId="19354"/>
    <cellStyle name="20% - Accent2 2 5 13" xfId="19355"/>
    <cellStyle name="20% - Accent2 2 5 2" xfId="19356"/>
    <cellStyle name="20% - Accent2 2 5 2 10" xfId="19357"/>
    <cellStyle name="20% - Accent2 2 5 2 11" xfId="19358"/>
    <cellStyle name="20% - Accent2 2 5 2 2" xfId="19359"/>
    <cellStyle name="20% - Accent2 2 5 2 2 10" xfId="19360"/>
    <cellStyle name="20% - Accent2 2 5 2 2 2" xfId="19361"/>
    <cellStyle name="20% - Accent2 2 5 2 2 2 2" xfId="19362"/>
    <cellStyle name="20% - Accent2 2 5 2 2 2 2 2" xfId="19363"/>
    <cellStyle name="20% - Accent2 2 5 2 2 2 3" xfId="19364"/>
    <cellStyle name="20% - Accent2 2 5 2 2 2 3 2" xfId="19365"/>
    <cellStyle name="20% - Accent2 2 5 2 2 2 4" xfId="19366"/>
    <cellStyle name="20% - Accent2 2 5 2 2 2 5" xfId="19367"/>
    <cellStyle name="20% - Accent2 2 5 2 2 2 6" xfId="19368"/>
    <cellStyle name="20% - Accent2 2 5 2 2 2 7" xfId="19369"/>
    <cellStyle name="20% - Accent2 2 5 2 2 3" xfId="19370"/>
    <cellStyle name="20% - Accent2 2 5 2 2 3 2" xfId="19371"/>
    <cellStyle name="20% - Accent2 2 5 2 2 3 2 2" xfId="19372"/>
    <cellStyle name="20% - Accent2 2 5 2 2 3 3" xfId="19373"/>
    <cellStyle name="20% - Accent2 2 5 2 2 3 3 2" xfId="19374"/>
    <cellStyle name="20% - Accent2 2 5 2 2 3 4" xfId="19375"/>
    <cellStyle name="20% - Accent2 2 5 2 2 3 5" xfId="19376"/>
    <cellStyle name="20% - Accent2 2 5 2 2 3 6" xfId="19377"/>
    <cellStyle name="20% - Accent2 2 5 2 2 3 7" xfId="19378"/>
    <cellStyle name="20% - Accent2 2 5 2 2 4" xfId="19379"/>
    <cellStyle name="20% - Accent2 2 5 2 2 4 2" xfId="19380"/>
    <cellStyle name="20% - Accent2 2 5 2 2 4 2 2" xfId="19381"/>
    <cellStyle name="20% - Accent2 2 5 2 2 4 3" xfId="19382"/>
    <cellStyle name="20% - Accent2 2 5 2 2 4 3 2" xfId="19383"/>
    <cellStyle name="20% - Accent2 2 5 2 2 4 4" xfId="19384"/>
    <cellStyle name="20% - Accent2 2 5 2 2 4 5" xfId="19385"/>
    <cellStyle name="20% - Accent2 2 5 2 2 4 6" xfId="19386"/>
    <cellStyle name="20% - Accent2 2 5 2 2 4 7" xfId="19387"/>
    <cellStyle name="20% - Accent2 2 5 2 2 5" xfId="19388"/>
    <cellStyle name="20% - Accent2 2 5 2 2 5 2" xfId="19389"/>
    <cellStyle name="20% - Accent2 2 5 2 2 6" xfId="19390"/>
    <cellStyle name="20% - Accent2 2 5 2 2 6 2" xfId="19391"/>
    <cellStyle name="20% - Accent2 2 5 2 2 7" xfId="19392"/>
    <cellStyle name="20% - Accent2 2 5 2 2 8" xfId="19393"/>
    <cellStyle name="20% - Accent2 2 5 2 2 9" xfId="19394"/>
    <cellStyle name="20% - Accent2 2 5 2 3" xfId="19395"/>
    <cellStyle name="20% - Accent2 2 5 2 3 2" xfId="19396"/>
    <cellStyle name="20% - Accent2 2 5 2 3 2 2" xfId="19397"/>
    <cellStyle name="20% - Accent2 2 5 2 3 3" xfId="19398"/>
    <cellStyle name="20% - Accent2 2 5 2 3 3 2" xfId="19399"/>
    <cellStyle name="20% - Accent2 2 5 2 3 4" xfId="19400"/>
    <cellStyle name="20% - Accent2 2 5 2 3 5" xfId="19401"/>
    <cellStyle name="20% - Accent2 2 5 2 3 6" xfId="19402"/>
    <cellStyle name="20% - Accent2 2 5 2 3 7" xfId="19403"/>
    <cellStyle name="20% - Accent2 2 5 2 4" xfId="19404"/>
    <cellStyle name="20% - Accent2 2 5 2 4 2" xfId="19405"/>
    <cellStyle name="20% - Accent2 2 5 2 4 2 2" xfId="19406"/>
    <cellStyle name="20% - Accent2 2 5 2 4 3" xfId="19407"/>
    <cellStyle name="20% - Accent2 2 5 2 4 3 2" xfId="19408"/>
    <cellStyle name="20% - Accent2 2 5 2 4 4" xfId="19409"/>
    <cellStyle name="20% - Accent2 2 5 2 4 5" xfId="19410"/>
    <cellStyle name="20% - Accent2 2 5 2 4 6" xfId="19411"/>
    <cellStyle name="20% - Accent2 2 5 2 4 7" xfId="19412"/>
    <cellStyle name="20% - Accent2 2 5 2 5" xfId="19413"/>
    <cellStyle name="20% - Accent2 2 5 2 5 2" xfId="19414"/>
    <cellStyle name="20% - Accent2 2 5 2 5 2 2" xfId="19415"/>
    <cellStyle name="20% - Accent2 2 5 2 5 3" xfId="19416"/>
    <cellStyle name="20% - Accent2 2 5 2 5 3 2" xfId="19417"/>
    <cellStyle name="20% - Accent2 2 5 2 5 4" xfId="19418"/>
    <cellStyle name="20% - Accent2 2 5 2 5 5" xfId="19419"/>
    <cellStyle name="20% - Accent2 2 5 2 5 6" xfId="19420"/>
    <cellStyle name="20% - Accent2 2 5 2 5 7" xfId="19421"/>
    <cellStyle name="20% - Accent2 2 5 2 6" xfId="19422"/>
    <cellStyle name="20% - Accent2 2 5 2 6 2" xfId="19423"/>
    <cellStyle name="20% - Accent2 2 5 2 7" xfId="19424"/>
    <cellStyle name="20% - Accent2 2 5 2 7 2" xfId="19425"/>
    <cellStyle name="20% - Accent2 2 5 2 8" xfId="19426"/>
    <cellStyle name="20% - Accent2 2 5 2 9" xfId="19427"/>
    <cellStyle name="20% - Accent2 2 5 3" xfId="19428"/>
    <cellStyle name="20% - Accent2 2 5 3 10" xfId="19429"/>
    <cellStyle name="20% - Accent2 2 5 3 11" xfId="19430"/>
    <cellStyle name="20% - Accent2 2 5 3 2" xfId="19431"/>
    <cellStyle name="20% - Accent2 2 5 3 2 10" xfId="19432"/>
    <cellStyle name="20% - Accent2 2 5 3 2 2" xfId="19433"/>
    <cellStyle name="20% - Accent2 2 5 3 2 2 2" xfId="19434"/>
    <cellStyle name="20% - Accent2 2 5 3 2 2 2 2" xfId="19435"/>
    <cellStyle name="20% - Accent2 2 5 3 2 2 3" xfId="19436"/>
    <cellStyle name="20% - Accent2 2 5 3 2 2 3 2" xfId="19437"/>
    <cellStyle name="20% - Accent2 2 5 3 2 2 4" xfId="19438"/>
    <cellStyle name="20% - Accent2 2 5 3 2 2 5" xfId="19439"/>
    <cellStyle name="20% - Accent2 2 5 3 2 2 6" xfId="19440"/>
    <cellStyle name="20% - Accent2 2 5 3 2 2 7" xfId="19441"/>
    <cellStyle name="20% - Accent2 2 5 3 2 3" xfId="19442"/>
    <cellStyle name="20% - Accent2 2 5 3 2 3 2" xfId="19443"/>
    <cellStyle name="20% - Accent2 2 5 3 2 3 2 2" xfId="19444"/>
    <cellStyle name="20% - Accent2 2 5 3 2 3 3" xfId="19445"/>
    <cellStyle name="20% - Accent2 2 5 3 2 3 3 2" xfId="19446"/>
    <cellStyle name="20% - Accent2 2 5 3 2 3 4" xfId="19447"/>
    <cellStyle name="20% - Accent2 2 5 3 2 3 5" xfId="19448"/>
    <cellStyle name="20% - Accent2 2 5 3 2 3 6" xfId="19449"/>
    <cellStyle name="20% - Accent2 2 5 3 2 3 7" xfId="19450"/>
    <cellStyle name="20% - Accent2 2 5 3 2 4" xfId="19451"/>
    <cellStyle name="20% - Accent2 2 5 3 2 4 2" xfId="19452"/>
    <cellStyle name="20% - Accent2 2 5 3 2 4 2 2" xfId="19453"/>
    <cellStyle name="20% - Accent2 2 5 3 2 4 3" xfId="19454"/>
    <cellStyle name="20% - Accent2 2 5 3 2 4 3 2" xfId="19455"/>
    <cellStyle name="20% - Accent2 2 5 3 2 4 4" xfId="19456"/>
    <cellStyle name="20% - Accent2 2 5 3 2 4 5" xfId="19457"/>
    <cellStyle name="20% - Accent2 2 5 3 2 4 6" xfId="19458"/>
    <cellStyle name="20% - Accent2 2 5 3 2 4 7" xfId="19459"/>
    <cellStyle name="20% - Accent2 2 5 3 2 5" xfId="19460"/>
    <cellStyle name="20% - Accent2 2 5 3 2 5 2" xfId="19461"/>
    <cellStyle name="20% - Accent2 2 5 3 2 6" xfId="19462"/>
    <cellStyle name="20% - Accent2 2 5 3 2 6 2" xfId="19463"/>
    <cellStyle name="20% - Accent2 2 5 3 2 7" xfId="19464"/>
    <cellStyle name="20% - Accent2 2 5 3 2 8" xfId="19465"/>
    <cellStyle name="20% - Accent2 2 5 3 2 9" xfId="19466"/>
    <cellStyle name="20% - Accent2 2 5 3 3" xfId="19467"/>
    <cellStyle name="20% - Accent2 2 5 3 3 2" xfId="19468"/>
    <cellStyle name="20% - Accent2 2 5 3 3 2 2" xfId="19469"/>
    <cellStyle name="20% - Accent2 2 5 3 3 3" xfId="19470"/>
    <cellStyle name="20% - Accent2 2 5 3 3 3 2" xfId="19471"/>
    <cellStyle name="20% - Accent2 2 5 3 3 4" xfId="19472"/>
    <cellStyle name="20% - Accent2 2 5 3 3 5" xfId="19473"/>
    <cellStyle name="20% - Accent2 2 5 3 3 6" xfId="19474"/>
    <cellStyle name="20% - Accent2 2 5 3 3 7" xfId="19475"/>
    <cellStyle name="20% - Accent2 2 5 3 4" xfId="19476"/>
    <cellStyle name="20% - Accent2 2 5 3 4 2" xfId="19477"/>
    <cellStyle name="20% - Accent2 2 5 3 4 2 2" xfId="19478"/>
    <cellStyle name="20% - Accent2 2 5 3 4 3" xfId="19479"/>
    <cellStyle name="20% - Accent2 2 5 3 4 3 2" xfId="19480"/>
    <cellStyle name="20% - Accent2 2 5 3 4 4" xfId="19481"/>
    <cellStyle name="20% - Accent2 2 5 3 4 5" xfId="19482"/>
    <cellStyle name="20% - Accent2 2 5 3 4 6" xfId="19483"/>
    <cellStyle name="20% - Accent2 2 5 3 4 7" xfId="19484"/>
    <cellStyle name="20% - Accent2 2 5 3 5" xfId="19485"/>
    <cellStyle name="20% - Accent2 2 5 3 5 2" xfId="19486"/>
    <cellStyle name="20% - Accent2 2 5 3 5 2 2" xfId="19487"/>
    <cellStyle name="20% - Accent2 2 5 3 5 3" xfId="19488"/>
    <cellStyle name="20% - Accent2 2 5 3 5 3 2" xfId="19489"/>
    <cellStyle name="20% - Accent2 2 5 3 5 4" xfId="19490"/>
    <cellStyle name="20% - Accent2 2 5 3 5 5" xfId="19491"/>
    <cellStyle name="20% - Accent2 2 5 3 5 6" xfId="19492"/>
    <cellStyle name="20% - Accent2 2 5 3 5 7" xfId="19493"/>
    <cellStyle name="20% - Accent2 2 5 3 6" xfId="19494"/>
    <cellStyle name="20% - Accent2 2 5 3 6 2" xfId="19495"/>
    <cellStyle name="20% - Accent2 2 5 3 7" xfId="19496"/>
    <cellStyle name="20% - Accent2 2 5 3 7 2" xfId="19497"/>
    <cellStyle name="20% - Accent2 2 5 3 8" xfId="19498"/>
    <cellStyle name="20% - Accent2 2 5 3 9" xfId="19499"/>
    <cellStyle name="20% - Accent2 2 5 4" xfId="19500"/>
    <cellStyle name="20% - Accent2 2 5 4 10" xfId="19501"/>
    <cellStyle name="20% - Accent2 2 5 4 2" xfId="19502"/>
    <cellStyle name="20% - Accent2 2 5 4 2 2" xfId="19503"/>
    <cellStyle name="20% - Accent2 2 5 4 2 2 2" xfId="19504"/>
    <cellStyle name="20% - Accent2 2 5 4 2 3" xfId="19505"/>
    <cellStyle name="20% - Accent2 2 5 4 2 3 2" xfId="19506"/>
    <cellStyle name="20% - Accent2 2 5 4 2 4" xfId="19507"/>
    <cellStyle name="20% - Accent2 2 5 4 2 5" xfId="19508"/>
    <cellStyle name="20% - Accent2 2 5 4 2 6" xfId="19509"/>
    <cellStyle name="20% - Accent2 2 5 4 2 7" xfId="19510"/>
    <cellStyle name="20% - Accent2 2 5 4 3" xfId="19511"/>
    <cellStyle name="20% - Accent2 2 5 4 3 2" xfId="19512"/>
    <cellStyle name="20% - Accent2 2 5 4 3 2 2" xfId="19513"/>
    <cellStyle name="20% - Accent2 2 5 4 3 3" xfId="19514"/>
    <cellStyle name="20% - Accent2 2 5 4 3 3 2" xfId="19515"/>
    <cellStyle name="20% - Accent2 2 5 4 3 4" xfId="19516"/>
    <cellStyle name="20% - Accent2 2 5 4 3 5" xfId="19517"/>
    <cellStyle name="20% - Accent2 2 5 4 3 6" xfId="19518"/>
    <cellStyle name="20% - Accent2 2 5 4 3 7" xfId="19519"/>
    <cellStyle name="20% - Accent2 2 5 4 4" xfId="19520"/>
    <cellStyle name="20% - Accent2 2 5 4 4 2" xfId="19521"/>
    <cellStyle name="20% - Accent2 2 5 4 4 2 2" xfId="19522"/>
    <cellStyle name="20% - Accent2 2 5 4 4 3" xfId="19523"/>
    <cellStyle name="20% - Accent2 2 5 4 4 3 2" xfId="19524"/>
    <cellStyle name="20% - Accent2 2 5 4 4 4" xfId="19525"/>
    <cellStyle name="20% - Accent2 2 5 4 4 5" xfId="19526"/>
    <cellStyle name="20% - Accent2 2 5 4 4 6" xfId="19527"/>
    <cellStyle name="20% - Accent2 2 5 4 4 7" xfId="19528"/>
    <cellStyle name="20% - Accent2 2 5 4 5" xfId="19529"/>
    <cellStyle name="20% - Accent2 2 5 4 5 2" xfId="19530"/>
    <cellStyle name="20% - Accent2 2 5 4 6" xfId="19531"/>
    <cellStyle name="20% - Accent2 2 5 4 6 2" xfId="19532"/>
    <cellStyle name="20% - Accent2 2 5 4 7" xfId="19533"/>
    <cellStyle name="20% - Accent2 2 5 4 8" xfId="19534"/>
    <cellStyle name="20% - Accent2 2 5 4 9" xfId="19535"/>
    <cellStyle name="20% - Accent2 2 5 5" xfId="19536"/>
    <cellStyle name="20% - Accent2 2 5 5 2" xfId="19537"/>
    <cellStyle name="20% - Accent2 2 5 5 2 2" xfId="19538"/>
    <cellStyle name="20% - Accent2 2 5 5 3" xfId="19539"/>
    <cellStyle name="20% - Accent2 2 5 5 3 2" xfId="19540"/>
    <cellStyle name="20% - Accent2 2 5 5 4" xfId="19541"/>
    <cellStyle name="20% - Accent2 2 5 5 5" xfId="19542"/>
    <cellStyle name="20% - Accent2 2 5 5 6" xfId="19543"/>
    <cellStyle name="20% - Accent2 2 5 5 7" xfId="19544"/>
    <cellStyle name="20% - Accent2 2 5 6" xfId="19545"/>
    <cellStyle name="20% - Accent2 2 5 6 2" xfId="19546"/>
    <cellStyle name="20% - Accent2 2 5 6 2 2" xfId="19547"/>
    <cellStyle name="20% - Accent2 2 5 6 3" xfId="19548"/>
    <cellStyle name="20% - Accent2 2 5 6 3 2" xfId="19549"/>
    <cellStyle name="20% - Accent2 2 5 6 4" xfId="19550"/>
    <cellStyle name="20% - Accent2 2 5 6 5" xfId="19551"/>
    <cellStyle name="20% - Accent2 2 5 6 6" xfId="19552"/>
    <cellStyle name="20% - Accent2 2 5 6 7" xfId="19553"/>
    <cellStyle name="20% - Accent2 2 5 7" xfId="19554"/>
    <cellStyle name="20% - Accent2 2 5 7 2" xfId="19555"/>
    <cellStyle name="20% - Accent2 2 5 7 2 2" xfId="19556"/>
    <cellStyle name="20% - Accent2 2 5 7 3" xfId="19557"/>
    <cellStyle name="20% - Accent2 2 5 7 3 2" xfId="19558"/>
    <cellStyle name="20% - Accent2 2 5 7 4" xfId="19559"/>
    <cellStyle name="20% - Accent2 2 5 7 5" xfId="19560"/>
    <cellStyle name="20% - Accent2 2 5 7 6" xfId="19561"/>
    <cellStyle name="20% - Accent2 2 5 7 7" xfId="19562"/>
    <cellStyle name="20% - Accent2 2 5 8" xfId="19563"/>
    <cellStyle name="20% - Accent2 2 5 8 2" xfId="19564"/>
    <cellStyle name="20% - Accent2 2 5 9" xfId="19565"/>
    <cellStyle name="20% - Accent2 2 5 9 2" xfId="19566"/>
    <cellStyle name="20% - Accent2 2 6" xfId="19567"/>
    <cellStyle name="20% - Accent2 2 6 10" xfId="19568"/>
    <cellStyle name="20% - Accent2 2 6 11" xfId="19569"/>
    <cellStyle name="20% - Accent2 2 6 12" xfId="19570"/>
    <cellStyle name="20% - Accent2 2 6 13" xfId="19571"/>
    <cellStyle name="20% - Accent2 2 6 2" xfId="19572"/>
    <cellStyle name="20% - Accent2 2 6 2 10" xfId="19573"/>
    <cellStyle name="20% - Accent2 2 6 2 11" xfId="19574"/>
    <cellStyle name="20% - Accent2 2 6 2 2" xfId="19575"/>
    <cellStyle name="20% - Accent2 2 6 2 2 10" xfId="19576"/>
    <cellStyle name="20% - Accent2 2 6 2 2 2" xfId="19577"/>
    <cellStyle name="20% - Accent2 2 6 2 2 2 2" xfId="19578"/>
    <cellStyle name="20% - Accent2 2 6 2 2 2 2 2" xfId="19579"/>
    <cellStyle name="20% - Accent2 2 6 2 2 2 3" xfId="19580"/>
    <cellStyle name="20% - Accent2 2 6 2 2 2 3 2" xfId="19581"/>
    <cellStyle name="20% - Accent2 2 6 2 2 2 4" xfId="19582"/>
    <cellStyle name="20% - Accent2 2 6 2 2 2 5" xfId="19583"/>
    <cellStyle name="20% - Accent2 2 6 2 2 2 6" xfId="19584"/>
    <cellStyle name="20% - Accent2 2 6 2 2 2 7" xfId="19585"/>
    <cellStyle name="20% - Accent2 2 6 2 2 3" xfId="19586"/>
    <cellStyle name="20% - Accent2 2 6 2 2 3 2" xfId="19587"/>
    <cellStyle name="20% - Accent2 2 6 2 2 3 2 2" xfId="19588"/>
    <cellStyle name="20% - Accent2 2 6 2 2 3 3" xfId="19589"/>
    <cellStyle name="20% - Accent2 2 6 2 2 3 3 2" xfId="19590"/>
    <cellStyle name="20% - Accent2 2 6 2 2 3 4" xfId="19591"/>
    <cellStyle name="20% - Accent2 2 6 2 2 3 5" xfId="19592"/>
    <cellStyle name="20% - Accent2 2 6 2 2 3 6" xfId="19593"/>
    <cellStyle name="20% - Accent2 2 6 2 2 3 7" xfId="19594"/>
    <cellStyle name="20% - Accent2 2 6 2 2 4" xfId="19595"/>
    <cellStyle name="20% - Accent2 2 6 2 2 4 2" xfId="19596"/>
    <cellStyle name="20% - Accent2 2 6 2 2 4 2 2" xfId="19597"/>
    <cellStyle name="20% - Accent2 2 6 2 2 4 3" xfId="19598"/>
    <cellStyle name="20% - Accent2 2 6 2 2 4 3 2" xfId="19599"/>
    <cellStyle name="20% - Accent2 2 6 2 2 4 4" xfId="19600"/>
    <cellStyle name="20% - Accent2 2 6 2 2 4 5" xfId="19601"/>
    <cellStyle name="20% - Accent2 2 6 2 2 4 6" xfId="19602"/>
    <cellStyle name="20% - Accent2 2 6 2 2 4 7" xfId="19603"/>
    <cellStyle name="20% - Accent2 2 6 2 2 5" xfId="19604"/>
    <cellStyle name="20% - Accent2 2 6 2 2 5 2" xfId="19605"/>
    <cellStyle name="20% - Accent2 2 6 2 2 6" xfId="19606"/>
    <cellStyle name="20% - Accent2 2 6 2 2 6 2" xfId="19607"/>
    <cellStyle name="20% - Accent2 2 6 2 2 7" xfId="19608"/>
    <cellStyle name="20% - Accent2 2 6 2 2 8" xfId="19609"/>
    <cellStyle name="20% - Accent2 2 6 2 2 9" xfId="19610"/>
    <cellStyle name="20% - Accent2 2 6 2 3" xfId="19611"/>
    <cellStyle name="20% - Accent2 2 6 2 3 2" xfId="19612"/>
    <cellStyle name="20% - Accent2 2 6 2 3 2 2" xfId="19613"/>
    <cellStyle name="20% - Accent2 2 6 2 3 3" xfId="19614"/>
    <cellStyle name="20% - Accent2 2 6 2 3 3 2" xfId="19615"/>
    <cellStyle name="20% - Accent2 2 6 2 3 4" xfId="19616"/>
    <cellStyle name="20% - Accent2 2 6 2 3 5" xfId="19617"/>
    <cellStyle name="20% - Accent2 2 6 2 3 6" xfId="19618"/>
    <cellStyle name="20% - Accent2 2 6 2 3 7" xfId="19619"/>
    <cellStyle name="20% - Accent2 2 6 2 4" xfId="19620"/>
    <cellStyle name="20% - Accent2 2 6 2 4 2" xfId="19621"/>
    <cellStyle name="20% - Accent2 2 6 2 4 2 2" xfId="19622"/>
    <cellStyle name="20% - Accent2 2 6 2 4 3" xfId="19623"/>
    <cellStyle name="20% - Accent2 2 6 2 4 3 2" xfId="19624"/>
    <cellStyle name="20% - Accent2 2 6 2 4 4" xfId="19625"/>
    <cellStyle name="20% - Accent2 2 6 2 4 5" xfId="19626"/>
    <cellStyle name="20% - Accent2 2 6 2 4 6" xfId="19627"/>
    <cellStyle name="20% - Accent2 2 6 2 4 7" xfId="19628"/>
    <cellStyle name="20% - Accent2 2 6 2 5" xfId="19629"/>
    <cellStyle name="20% - Accent2 2 6 2 5 2" xfId="19630"/>
    <cellStyle name="20% - Accent2 2 6 2 5 2 2" xfId="19631"/>
    <cellStyle name="20% - Accent2 2 6 2 5 3" xfId="19632"/>
    <cellStyle name="20% - Accent2 2 6 2 5 3 2" xfId="19633"/>
    <cellStyle name="20% - Accent2 2 6 2 5 4" xfId="19634"/>
    <cellStyle name="20% - Accent2 2 6 2 5 5" xfId="19635"/>
    <cellStyle name="20% - Accent2 2 6 2 5 6" xfId="19636"/>
    <cellStyle name="20% - Accent2 2 6 2 5 7" xfId="19637"/>
    <cellStyle name="20% - Accent2 2 6 2 6" xfId="19638"/>
    <cellStyle name="20% - Accent2 2 6 2 6 2" xfId="19639"/>
    <cellStyle name="20% - Accent2 2 6 2 7" xfId="19640"/>
    <cellStyle name="20% - Accent2 2 6 2 7 2" xfId="19641"/>
    <cellStyle name="20% - Accent2 2 6 2 8" xfId="19642"/>
    <cellStyle name="20% - Accent2 2 6 2 9" xfId="19643"/>
    <cellStyle name="20% - Accent2 2 6 3" xfId="19644"/>
    <cellStyle name="20% - Accent2 2 6 3 10" xfId="19645"/>
    <cellStyle name="20% - Accent2 2 6 3 11" xfId="19646"/>
    <cellStyle name="20% - Accent2 2 6 3 2" xfId="19647"/>
    <cellStyle name="20% - Accent2 2 6 3 2 10" xfId="19648"/>
    <cellStyle name="20% - Accent2 2 6 3 2 2" xfId="19649"/>
    <cellStyle name="20% - Accent2 2 6 3 2 2 2" xfId="19650"/>
    <cellStyle name="20% - Accent2 2 6 3 2 2 2 2" xfId="19651"/>
    <cellStyle name="20% - Accent2 2 6 3 2 2 3" xfId="19652"/>
    <cellStyle name="20% - Accent2 2 6 3 2 2 3 2" xfId="19653"/>
    <cellStyle name="20% - Accent2 2 6 3 2 2 4" xfId="19654"/>
    <cellStyle name="20% - Accent2 2 6 3 2 2 5" xfId="19655"/>
    <cellStyle name="20% - Accent2 2 6 3 2 2 6" xfId="19656"/>
    <cellStyle name="20% - Accent2 2 6 3 2 2 7" xfId="19657"/>
    <cellStyle name="20% - Accent2 2 6 3 2 3" xfId="19658"/>
    <cellStyle name="20% - Accent2 2 6 3 2 3 2" xfId="19659"/>
    <cellStyle name="20% - Accent2 2 6 3 2 3 2 2" xfId="19660"/>
    <cellStyle name="20% - Accent2 2 6 3 2 3 3" xfId="19661"/>
    <cellStyle name="20% - Accent2 2 6 3 2 3 3 2" xfId="19662"/>
    <cellStyle name="20% - Accent2 2 6 3 2 3 4" xfId="19663"/>
    <cellStyle name="20% - Accent2 2 6 3 2 3 5" xfId="19664"/>
    <cellStyle name="20% - Accent2 2 6 3 2 3 6" xfId="19665"/>
    <cellStyle name="20% - Accent2 2 6 3 2 3 7" xfId="19666"/>
    <cellStyle name="20% - Accent2 2 6 3 2 4" xfId="19667"/>
    <cellStyle name="20% - Accent2 2 6 3 2 4 2" xfId="19668"/>
    <cellStyle name="20% - Accent2 2 6 3 2 4 2 2" xfId="19669"/>
    <cellStyle name="20% - Accent2 2 6 3 2 4 3" xfId="19670"/>
    <cellStyle name="20% - Accent2 2 6 3 2 4 3 2" xfId="19671"/>
    <cellStyle name="20% - Accent2 2 6 3 2 4 4" xfId="19672"/>
    <cellStyle name="20% - Accent2 2 6 3 2 4 5" xfId="19673"/>
    <cellStyle name="20% - Accent2 2 6 3 2 4 6" xfId="19674"/>
    <cellStyle name="20% - Accent2 2 6 3 2 4 7" xfId="19675"/>
    <cellStyle name="20% - Accent2 2 6 3 2 5" xfId="19676"/>
    <cellStyle name="20% - Accent2 2 6 3 2 5 2" xfId="19677"/>
    <cellStyle name="20% - Accent2 2 6 3 2 6" xfId="19678"/>
    <cellStyle name="20% - Accent2 2 6 3 2 6 2" xfId="19679"/>
    <cellStyle name="20% - Accent2 2 6 3 2 7" xfId="19680"/>
    <cellStyle name="20% - Accent2 2 6 3 2 8" xfId="19681"/>
    <cellStyle name="20% - Accent2 2 6 3 2 9" xfId="19682"/>
    <cellStyle name="20% - Accent2 2 6 3 3" xfId="19683"/>
    <cellStyle name="20% - Accent2 2 6 3 3 2" xfId="19684"/>
    <cellStyle name="20% - Accent2 2 6 3 3 2 2" xfId="19685"/>
    <cellStyle name="20% - Accent2 2 6 3 3 3" xfId="19686"/>
    <cellStyle name="20% - Accent2 2 6 3 3 3 2" xfId="19687"/>
    <cellStyle name="20% - Accent2 2 6 3 3 4" xfId="19688"/>
    <cellStyle name="20% - Accent2 2 6 3 3 5" xfId="19689"/>
    <cellStyle name="20% - Accent2 2 6 3 3 6" xfId="19690"/>
    <cellStyle name="20% - Accent2 2 6 3 3 7" xfId="19691"/>
    <cellStyle name="20% - Accent2 2 6 3 4" xfId="19692"/>
    <cellStyle name="20% - Accent2 2 6 3 4 2" xfId="19693"/>
    <cellStyle name="20% - Accent2 2 6 3 4 2 2" xfId="19694"/>
    <cellStyle name="20% - Accent2 2 6 3 4 3" xfId="19695"/>
    <cellStyle name="20% - Accent2 2 6 3 4 3 2" xfId="19696"/>
    <cellStyle name="20% - Accent2 2 6 3 4 4" xfId="19697"/>
    <cellStyle name="20% - Accent2 2 6 3 4 5" xfId="19698"/>
    <cellStyle name="20% - Accent2 2 6 3 4 6" xfId="19699"/>
    <cellStyle name="20% - Accent2 2 6 3 4 7" xfId="19700"/>
    <cellStyle name="20% - Accent2 2 6 3 5" xfId="19701"/>
    <cellStyle name="20% - Accent2 2 6 3 5 2" xfId="19702"/>
    <cellStyle name="20% - Accent2 2 6 3 5 2 2" xfId="19703"/>
    <cellStyle name="20% - Accent2 2 6 3 5 3" xfId="19704"/>
    <cellStyle name="20% - Accent2 2 6 3 5 3 2" xfId="19705"/>
    <cellStyle name="20% - Accent2 2 6 3 5 4" xfId="19706"/>
    <cellStyle name="20% - Accent2 2 6 3 5 5" xfId="19707"/>
    <cellStyle name="20% - Accent2 2 6 3 5 6" xfId="19708"/>
    <cellStyle name="20% - Accent2 2 6 3 5 7" xfId="19709"/>
    <cellStyle name="20% - Accent2 2 6 3 6" xfId="19710"/>
    <cellStyle name="20% - Accent2 2 6 3 6 2" xfId="19711"/>
    <cellStyle name="20% - Accent2 2 6 3 7" xfId="19712"/>
    <cellStyle name="20% - Accent2 2 6 3 7 2" xfId="19713"/>
    <cellStyle name="20% - Accent2 2 6 3 8" xfId="19714"/>
    <cellStyle name="20% - Accent2 2 6 3 9" xfId="19715"/>
    <cellStyle name="20% - Accent2 2 6 4" xfId="19716"/>
    <cellStyle name="20% - Accent2 2 6 4 10" xfId="19717"/>
    <cellStyle name="20% - Accent2 2 6 4 2" xfId="19718"/>
    <cellStyle name="20% - Accent2 2 6 4 2 2" xfId="19719"/>
    <cellStyle name="20% - Accent2 2 6 4 2 2 2" xfId="19720"/>
    <cellStyle name="20% - Accent2 2 6 4 2 3" xfId="19721"/>
    <cellStyle name="20% - Accent2 2 6 4 2 3 2" xfId="19722"/>
    <cellStyle name="20% - Accent2 2 6 4 2 4" xfId="19723"/>
    <cellStyle name="20% - Accent2 2 6 4 2 5" xfId="19724"/>
    <cellStyle name="20% - Accent2 2 6 4 2 6" xfId="19725"/>
    <cellStyle name="20% - Accent2 2 6 4 2 7" xfId="19726"/>
    <cellStyle name="20% - Accent2 2 6 4 3" xfId="19727"/>
    <cellStyle name="20% - Accent2 2 6 4 3 2" xfId="19728"/>
    <cellStyle name="20% - Accent2 2 6 4 3 2 2" xfId="19729"/>
    <cellStyle name="20% - Accent2 2 6 4 3 3" xfId="19730"/>
    <cellStyle name="20% - Accent2 2 6 4 3 3 2" xfId="19731"/>
    <cellStyle name="20% - Accent2 2 6 4 3 4" xfId="19732"/>
    <cellStyle name="20% - Accent2 2 6 4 3 5" xfId="19733"/>
    <cellStyle name="20% - Accent2 2 6 4 3 6" xfId="19734"/>
    <cellStyle name="20% - Accent2 2 6 4 3 7" xfId="19735"/>
    <cellStyle name="20% - Accent2 2 6 4 4" xfId="19736"/>
    <cellStyle name="20% - Accent2 2 6 4 4 2" xfId="19737"/>
    <cellStyle name="20% - Accent2 2 6 4 4 2 2" xfId="19738"/>
    <cellStyle name="20% - Accent2 2 6 4 4 3" xfId="19739"/>
    <cellStyle name="20% - Accent2 2 6 4 4 3 2" xfId="19740"/>
    <cellStyle name="20% - Accent2 2 6 4 4 4" xfId="19741"/>
    <cellStyle name="20% - Accent2 2 6 4 4 5" xfId="19742"/>
    <cellStyle name="20% - Accent2 2 6 4 4 6" xfId="19743"/>
    <cellStyle name="20% - Accent2 2 6 4 4 7" xfId="19744"/>
    <cellStyle name="20% - Accent2 2 6 4 5" xfId="19745"/>
    <cellStyle name="20% - Accent2 2 6 4 5 2" xfId="19746"/>
    <cellStyle name="20% - Accent2 2 6 4 6" xfId="19747"/>
    <cellStyle name="20% - Accent2 2 6 4 6 2" xfId="19748"/>
    <cellStyle name="20% - Accent2 2 6 4 7" xfId="19749"/>
    <cellStyle name="20% - Accent2 2 6 4 8" xfId="19750"/>
    <cellStyle name="20% - Accent2 2 6 4 9" xfId="19751"/>
    <cellStyle name="20% - Accent2 2 6 5" xfId="19752"/>
    <cellStyle name="20% - Accent2 2 6 5 2" xfId="19753"/>
    <cellStyle name="20% - Accent2 2 6 5 2 2" xfId="19754"/>
    <cellStyle name="20% - Accent2 2 6 5 3" xfId="19755"/>
    <cellStyle name="20% - Accent2 2 6 5 3 2" xfId="19756"/>
    <cellStyle name="20% - Accent2 2 6 5 4" xfId="19757"/>
    <cellStyle name="20% - Accent2 2 6 5 5" xfId="19758"/>
    <cellStyle name="20% - Accent2 2 6 5 6" xfId="19759"/>
    <cellStyle name="20% - Accent2 2 6 5 7" xfId="19760"/>
    <cellStyle name="20% - Accent2 2 6 6" xfId="19761"/>
    <cellStyle name="20% - Accent2 2 6 6 2" xfId="19762"/>
    <cellStyle name="20% - Accent2 2 6 6 2 2" xfId="19763"/>
    <cellStyle name="20% - Accent2 2 6 6 3" xfId="19764"/>
    <cellStyle name="20% - Accent2 2 6 6 3 2" xfId="19765"/>
    <cellStyle name="20% - Accent2 2 6 6 4" xfId="19766"/>
    <cellStyle name="20% - Accent2 2 6 6 5" xfId="19767"/>
    <cellStyle name="20% - Accent2 2 6 6 6" xfId="19768"/>
    <cellStyle name="20% - Accent2 2 6 6 7" xfId="19769"/>
    <cellStyle name="20% - Accent2 2 6 7" xfId="19770"/>
    <cellStyle name="20% - Accent2 2 6 7 2" xfId="19771"/>
    <cellStyle name="20% - Accent2 2 6 7 2 2" xfId="19772"/>
    <cellStyle name="20% - Accent2 2 6 7 3" xfId="19773"/>
    <cellStyle name="20% - Accent2 2 6 7 3 2" xfId="19774"/>
    <cellStyle name="20% - Accent2 2 6 7 4" xfId="19775"/>
    <cellStyle name="20% - Accent2 2 6 7 5" xfId="19776"/>
    <cellStyle name="20% - Accent2 2 6 7 6" xfId="19777"/>
    <cellStyle name="20% - Accent2 2 6 7 7" xfId="19778"/>
    <cellStyle name="20% - Accent2 2 6 8" xfId="19779"/>
    <cellStyle name="20% - Accent2 2 6 8 2" xfId="19780"/>
    <cellStyle name="20% - Accent2 2 6 9" xfId="19781"/>
    <cellStyle name="20% - Accent2 2 6 9 2" xfId="19782"/>
    <cellStyle name="20% - Accent2 2 7" xfId="19783"/>
    <cellStyle name="20% - Accent2 2 7 10" xfId="19784"/>
    <cellStyle name="20% - Accent2 2 7 11" xfId="19785"/>
    <cellStyle name="20% - Accent2 2 7 2" xfId="19786"/>
    <cellStyle name="20% - Accent2 2 7 2 10" xfId="19787"/>
    <cellStyle name="20% - Accent2 2 7 2 2" xfId="19788"/>
    <cellStyle name="20% - Accent2 2 7 2 2 2" xfId="19789"/>
    <cellStyle name="20% - Accent2 2 7 2 2 2 2" xfId="19790"/>
    <cellStyle name="20% - Accent2 2 7 2 2 3" xfId="19791"/>
    <cellStyle name="20% - Accent2 2 7 2 2 3 2" xfId="19792"/>
    <cellStyle name="20% - Accent2 2 7 2 2 4" xfId="19793"/>
    <cellStyle name="20% - Accent2 2 7 2 2 5" xfId="19794"/>
    <cellStyle name="20% - Accent2 2 7 2 2 6" xfId="19795"/>
    <cellStyle name="20% - Accent2 2 7 2 2 7" xfId="19796"/>
    <cellStyle name="20% - Accent2 2 7 2 3" xfId="19797"/>
    <cellStyle name="20% - Accent2 2 7 2 3 2" xfId="19798"/>
    <cellStyle name="20% - Accent2 2 7 2 3 2 2" xfId="19799"/>
    <cellStyle name="20% - Accent2 2 7 2 3 3" xfId="19800"/>
    <cellStyle name="20% - Accent2 2 7 2 3 3 2" xfId="19801"/>
    <cellStyle name="20% - Accent2 2 7 2 3 4" xfId="19802"/>
    <cellStyle name="20% - Accent2 2 7 2 3 5" xfId="19803"/>
    <cellStyle name="20% - Accent2 2 7 2 3 6" xfId="19804"/>
    <cellStyle name="20% - Accent2 2 7 2 3 7" xfId="19805"/>
    <cellStyle name="20% - Accent2 2 7 2 4" xfId="19806"/>
    <cellStyle name="20% - Accent2 2 7 2 4 2" xfId="19807"/>
    <cellStyle name="20% - Accent2 2 7 2 4 2 2" xfId="19808"/>
    <cellStyle name="20% - Accent2 2 7 2 4 3" xfId="19809"/>
    <cellStyle name="20% - Accent2 2 7 2 4 3 2" xfId="19810"/>
    <cellStyle name="20% - Accent2 2 7 2 4 4" xfId="19811"/>
    <cellStyle name="20% - Accent2 2 7 2 4 5" xfId="19812"/>
    <cellStyle name="20% - Accent2 2 7 2 4 6" xfId="19813"/>
    <cellStyle name="20% - Accent2 2 7 2 4 7" xfId="19814"/>
    <cellStyle name="20% - Accent2 2 7 2 5" xfId="19815"/>
    <cellStyle name="20% - Accent2 2 7 2 5 2" xfId="19816"/>
    <cellStyle name="20% - Accent2 2 7 2 6" xfId="19817"/>
    <cellStyle name="20% - Accent2 2 7 2 6 2" xfId="19818"/>
    <cellStyle name="20% - Accent2 2 7 2 7" xfId="19819"/>
    <cellStyle name="20% - Accent2 2 7 2 8" xfId="19820"/>
    <cellStyle name="20% - Accent2 2 7 2 9" xfId="19821"/>
    <cellStyle name="20% - Accent2 2 7 3" xfId="19822"/>
    <cellStyle name="20% - Accent2 2 7 3 2" xfId="19823"/>
    <cellStyle name="20% - Accent2 2 7 3 2 2" xfId="19824"/>
    <cellStyle name="20% - Accent2 2 7 3 3" xfId="19825"/>
    <cellStyle name="20% - Accent2 2 7 3 3 2" xfId="19826"/>
    <cellStyle name="20% - Accent2 2 7 3 4" xfId="19827"/>
    <cellStyle name="20% - Accent2 2 7 3 5" xfId="19828"/>
    <cellStyle name="20% - Accent2 2 7 3 6" xfId="19829"/>
    <cellStyle name="20% - Accent2 2 7 3 7" xfId="19830"/>
    <cellStyle name="20% - Accent2 2 7 4" xfId="19831"/>
    <cellStyle name="20% - Accent2 2 7 4 2" xfId="19832"/>
    <cellStyle name="20% - Accent2 2 7 4 2 2" xfId="19833"/>
    <cellStyle name="20% - Accent2 2 7 4 3" xfId="19834"/>
    <cellStyle name="20% - Accent2 2 7 4 3 2" xfId="19835"/>
    <cellStyle name="20% - Accent2 2 7 4 4" xfId="19836"/>
    <cellStyle name="20% - Accent2 2 7 4 5" xfId="19837"/>
    <cellStyle name="20% - Accent2 2 7 4 6" xfId="19838"/>
    <cellStyle name="20% - Accent2 2 7 4 7" xfId="19839"/>
    <cellStyle name="20% - Accent2 2 7 5" xfId="19840"/>
    <cellStyle name="20% - Accent2 2 7 5 2" xfId="19841"/>
    <cellStyle name="20% - Accent2 2 7 5 2 2" xfId="19842"/>
    <cellStyle name="20% - Accent2 2 7 5 3" xfId="19843"/>
    <cellStyle name="20% - Accent2 2 7 5 3 2" xfId="19844"/>
    <cellStyle name="20% - Accent2 2 7 5 4" xfId="19845"/>
    <cellStyle name="20% - Accent2 2 7 5 5" xfId="19846"/>
    <cellStyle name="20% - Accent2 2 7 5 6" xfId="19847"/>
    <cellStyle name="20% - Accent2 2 7 5 7" xfId="19848"/>
    <cellStyle name="20% - Accent2 2 7 6" xfId="19849"/>
    <cellStyle name="20% - Accent2 2 7 6 2" xfId="19850"/>
    <cellStyle name="20% - Accent2 2 7 7" xfId="19851"/>
    <cellStyle name="20% - Accent2 2 7 7 2" xfId="19852"/>
    <cellStyle name="20% - Accent2 2 7 8" xfId="19853"/>
    <cellStyle name="20% - Accent2 2 7 9" xfId="19854"/>
    <cellStyle name="20% - Accent2 2 8" xfId="19855"/>
    <cellStyle name="20% - Accent2 2 8 10" xfId="19856"/>
    <cellStyle name="20% - Accent2 2 8 11" xfId="19857"/>
    <cellStyle name="20% - Accent2 2 8 2" xfId="19858"/>
    <cellStyle name="20% - Accent2 2 8 2 10" xfId="19859"/>
    <cellStyle name="20% - Accent2 2 8 2 2" xfId="19860"/>
    <cellStyle name="20% - Accent2 2 8 2 2 2" xfId="19861"/>
    <cellStyle name="20% - Accent2 2 8 2 2 2 2" xfId="19862"/>
    <cellStyle name="20% - Accent2 2 8 2 2 3" xfId="19863"/>
    <cellStyle name="20% - Accent2 2 8 2 2 3 2" xfId="19864"/>
    <cellStyle name="20% - Accent2 2 8 2 2 4" xfId="19865"/>
    <cellStyle name="20% - Accent2 2 8 2 2 5" xfId="19866"/>
    <cellStyle name="20% - Accent2 2 8 2 2 6" xfId="19867"/>
    <cellStyle name="20% - Accent2 2 8 2 2 7" xfId="19868"/>
    <cellStyle name="20% - Accent2 2 8 2 3" xfId="19869"/>
    <cellStyle name="20% - Accent2 2 8 2 3 2" xfId="19870"/>
    <cellStyle name="20% - Accent2 2 8 2 3 2 2" xfId="19871"/>
    <cellStyle name="20% - Accent2 2 8 2 3 3" xfId="19872"/>
    <cellStyle name="20% - Accent2 2 8 2 3 3 2" xfId="19873"/>
    <cellStyle name="20% - Accent2 2 8 2 3 4" xfId="19874"/>
    <cellStyle name="20% - Accent2 2 8 2 3 5" xfId="19875"/>
    <cellStyle name="20% - Accent2 2 8 2 3 6" xfId="19876"/>
    <cellStyle name="20% - Accent2 2 8 2 3 7" xfId="19877"/>
    <cellStyle name="20% - Accent2 2 8 2 4" xfId="19878"/>
    <cellStyle name="20% - Accent2 2 8 2 4 2" xfId="19879"/>
    <cellStyle name="20% - Accent2 2 8 2 4 2 2" xfId="19880"/>
    <cellStyle name="20% - Accent2 2 8 2 4 3" xfId="19881"/>
    <cellStyle name="20% - Accent2 2 8 2 4 3 2" xfId="19882"/>
    <cellStyle name="20% - Accent2 2 8 2 4 4" xfId="19883"/>
    <cellStyle name="20% - Accent2 2 8 2 4 5" xfId="19884"/>
    <cellStyle name="20% - Accent2 2 8 2 4 6" xfId="19885"/>
    <cellStyle name="20% - Accent2 2 8 2 4 7" xfId="19886"/>
    <cellStyle name="20% - Accent2 2 8 2 5" xfId="19887"/>
    <cellStyle name="20% - Accent2 2 8 2 5 2" xfId="19888"/>
    <cellStyle name="20% - Accent2 2 8 2 6" xfId="19889"/>
    <cellStyle name="20% - Accent2 2 8 2 6 2" xfId="19890"/>
    <cellStyle name="20% - Accent2 2 8 2 7" xfId="19891"/>
    <cellStyle name="20% - Accent2 2 8 2 8" xfId="19892"/>
    <cellStyle name="20% - Accent2 2 8 2 9" xfId="19893"/>
    <cellStyle name="20% - Accent2 2 8 3" xfId="19894"/>
    <cellStyle name="20% - Accent2 2 8 3 2" xfId="19895"/>
    <cellStyle name="20% - Accent2 2 8 3 2 2" xfId="19896"/>
    <cellStyle name="20% - Accent2 2 8 3 3" xfId="19897"/>
    <cellStyle name="20% - Accent2 2 8 3 3 2" xfId="19898"/>
    <cellStyle name="20% - Accent2 2 8 3 4" xfId="19899"/>
    <cellStyle name="20% - Accent2 2 8 3 5" xfId="19900"/>
    <cellStyle name="20% - Accent2 2 8 3 6" xfId="19901"/>
    <cellStyle name="20% - Accent2 2 8 3 7" xfId="19902"/>
    <cellStyle name="20% - Accent2 2 8 4" xfId="19903"/>
    <cellStyle name="20% - Accent2 2 8 4 2" xfId="19904"/>
    <cellStyle name="20% - Accent2 2 8 4 2 2" xfId="19905"/>
    <cellStyle name="20% - Accent2 2 8 4 3" xfId="19906"/>
    <cellStyle name="20% - Accent2 2 8 4 3 2" xfId="19907"/>
    <cellStyle name="20% - Accent2 2 8 4 4" xfId="19908"/>
    <cellStyle name="20% - Accent2 2 8 4 5" xfId="19909"/>
    <cellStyle name="20% - Accent2 2 8 4 6" xfId="19910"/>
    <cellStyle name="20% - Accent2 2 8 4 7" xfId="19911"/>
    <cellStyle name="20% - Accent2 2 8 5" xfId="19912"/>
    <cellStyle name="20% - Accent2 2 8 5 2" xfId="19913"/>
    <cellStyle name="20% - Accent2 2 8 5 2 2" xfId="19914"/>
    <cellStyle name="20% - Accent2 2 8 5 3" xfId="19915"/>
    <cellStyle name="20% - Accent2 2 8 5 3 2" xfId="19916"/>
    <cellStyle name="20% - Accent2 2 8 5 4" xfId="19917"/>
    <cellStyle name="20% - Accent2 2 8 5 5" xfId="19918"/>
    <cellStyle name="20% - Accent2 2 8 5 6" xfId="19919"/>
    <cellStyle name="20% - Accent2 2 8 5 7" xfId="19920"/>
    <cellStyle name="20% - Accent2 2 8 6" xfId="19921"/>
    <cellStyle name="20% - Accent2 2 8 6 2" xfId="19922"/>
    <cellStyle name="20% - Accent2 2 8 7" xfId="19923"/>
    <cellStyle name="20% - Accent2 2 8 7 2" xfId="19924"/>
    <cellStyle name="20% - Accent2 2 8 8" xfId="19925"/>
    <cellStyle name="20% - Accent2 2 8 9" xfId="19926"/>
    <cellStyle name="20% - Accent2 2 9" xfId="19927"/>
    <cellStyle name="20% - Accent2 2 9 10" xfId="19928"/>
    <cellStyle name="20% - Accent2 2 9 2" xfId="19929"/>
    <cellStyle name="20% - Accent2 2 9 2 2" xfId="19930"/>
    <cellStyle name="20% - Accent2 2 9 2 2 2" xfId="19931"/>
    <cellStyle name="20% - Accent2 2 9 2 3" xfId="19932"/>
    <cellStyle name="20% - Accent2 2 9 2 3 2" xfId="19933"/>
    <cellStyle name="20% - Accent2 2 9 2 4" xfId="19934"/>
    <cellStyle name="20% - Accent2 2 9 2 5" xfId="19935"/>
    <cellStyle name="20% - Accent2 2 9 2 6" xfId="19936"/>
    <cellStyle name="20% - Accent2 2 9 2 7" xfId="19937"/>
    <cellStyle name="20% - Accent2 2 9 3" xfId="19938"/>
    <cellStyle name="20% - Accent2 2 9 3 2" xfId="19939"/>
    <cellStyle name="20% - Accent2 2 9 3 2 2" xfId="19940"/>
    <cellStyle name="20% - Accent2 2 9 3 3" xfId="19941"/>
    <cellStyle name="20% - Accent2 2 9 3 3 2" xfId="19942"/>
    <cellStyle name="20% - Accent2 2 9 3 4" xfId="19943"/>
    <cellStyle name="20% - Accent2 2 9 3 5" xfId="19944"/>
    <cellStyle name="20% - Accent2 2 9 3 6" xfId="19945"/>
    <cellStyle name="20% - Accent2 2 9 3 7" xfId="19946"/>
    <cellStyle name="20% - Accent2 2 9 4" xfId="19947"/>
    <cellStyle name="20% - Accent2 2 9 4 2" xfId="19948"/>
    <cellStyle name="20% - Accent2 2 9 4 2 2" xfId="19949"/>
    <cellStyle name="20% - Accent2 2 9 4 3" xfId="19950"/>
    <cellStyle name="20% - Accent2 2 9 4 3 2" xfId="19951"/>
    <cellStyle name="20% - Accent2 2 9 4 4" xfId="19952"/>
    <cellStyle name="20% - Accent2 2 9 4 5" xfId="19953"/>
    <cellStyle name="20% - Accent2 2 9 4 6" xfId="19954"/>
    <cellStyle name="20% - Accent2 2 9 4 7" xfId="19955"/>
    <cellStyle name="20% - Accent2 2 9 5" xfId="19956"/>
    <cellStyle name="20% - Accent2 2 9 5 2" xfId="19957"/>
    <cellStyle name="20% - Accent2 2 9 6" xfId="19958"/>
    <cellStyle name="20% - Accent2 2 9 6 2" xfId="19959"/>
    <cellStyle name="20% - Accent2 2 9 7" xfId="19960"/>
    <cellStyle name="20% - Accent2 2 9 8" xfId="19961"/>
    <cellStyle name="20% - Accent2 2 9 9" xfId="19962"/>
    <cellStyle name="20% - Accent2 2_10-15-10-Stmt AU - Period I - Working 1 0" xfId="99"/>
    <cellStyle name="20% - Accent2 3" xfId="100"/>
    <cellStyle name="20% - Accent2 3 10" xfId="19963"/>
    <cellStyle name="20% - Accent2 3 10 2" xfId="19964"/>
    <cellStyle name="20% - Accent2 3 10 2 2" xfId="19965"/>
    <cellStyle name="20% - Accent2 3 10 3" xfId="19966"/>
    <cellStyle name="20% - Accent2 3 10 3 2" xfId="19967"/>
    <cellStyle name="20% - Accent2 3 10 4" xfId="19968"/>
    <cellStyle name="20% - Accent2 3 10 5" xfId="19969"/>
    <cellStyle name="20% - Accent2 3 10 6" xfId="19970"/>
    <cellStyle name="20% - Accent2 3 10 7" xfId="19971"/>
    <cellStyle name="20% - Accent2 3 11" xfId="19972"/>
    <cellStyle name="20% - Accent2 3 11 2" xfId="19973"/>
    <cellStyle name="20% - Accent2 3 11 2 2" xfId="19974"/>
    <cellStyle name="20% - Accent2 3 11 3" xfId="19975"/>
    <cellStyle name="20% - Accent2 3 11 3 2" xfId="19976"/>
    <cellStyle name="20% - Accent2 3 11 4" xfId="19977"/>
    <cellStyle name="20% - Accent2 3 11 5" xfId="19978"/>
    <cellStyle name="20% - Accent2 3 11 6" xfId="19979"/>
    <cellStyle name="20% - Accent2 3 11 7" xfId="19980"/>
    <cellStyle name="20% - Accent2 3 12" xfId="19981"/>
    <cellStyle name="20% - Accent2 3 12 2" xfId="19982"/>
    <cellStyle name="20% - Accent2 3 12 2 2" xfId="19983"/>
    <cellStyle name="20% - Accent2 3 12 3" xfId="19984"/>
    <cellStyle name="20% - Accent2 3 12 3 2" xfId="19985"/>
    <cellStyle name="20% - Accent2 3 12 4" xfId="19986"/>
    <cellStyle name="20% - Accent2 3 12 5" xfId="19987"/>
    <cellStyle name="20% - Accent2 3 12 6" xfId="19988"/>
    <cellStyle name="20% - Accent2 3 12 7" xfId="19989"/>
    <cellStyle name="20% - Accent2 3 13" xfId="19990"/>
    <cellStyle name="20% - Accent2 3 13 2" xfId="19991"/>
    <cellStyle name="20% - Accent2 3 14" xfId="19992"/>
    <cellStyle name="20% - Accent2 3 14 2" xfId="19993"/>
    <cellStyle name="20% - Accent2 3 15" xfId="19994"/>
    <cellStyle name="20% - Accent2 3 16" xfId="19995"/>
    <cellStyle name="20% - Accent2 3 17" xfId="19996"/>
    <cellStyle name="20% - Accent2 3 18" xfId="19997"/>
    <cellStyle name="20% - Accent2 3 2" xfId="101"/>
    <cellStyle name="20% - Accent2 3 2 10" xfId="19998"/>
    <cellStyle name="20% - Accent2 3 2 11" xfId="19999"/>
    <cellStyle name="20% - Accent2 3 2 12" xfId="20000"/>
    <cellStyle name="20% - Accent2 3 2 13" xfId="20001"/>
    <cellStyle name="20% - Accent2 3 2 2" xfId="20002"/>
    <cellStyle name="20% - Accent2 3 2 2 10" xfId="20003"/>
    <cellStyle name="20% - Accent2 3 2 2 11" xfId="20004"/>
    <cellStyle name="20% - Accent2 3 2 2 2" xfId="20005"/>
    <cellStyle name="20% - Accent2 3 2 2 2 10" xfId="20006"/>
    <cellStyle name="20% - Accent2 3 2 2 2 2" xfId="20007"/>
    <cellStyle name="20% - Accent2 3 2 2 2 2 2" xfId="20008"/>
    <cellStyle name="20% - Accent2 3 2 2 2 2 2 2" xfId="20009"/>
    <cellStyle name="20% - Accent2 3 2 2 2 2 3" xfId="20010"/>
    <cellStyle name="20% - Accent2 3 2 2 2 2 3 2" xfId="20011"/>
    <cellStyle name="20% - Accent2 3 2 2 2 2 4" xfId="20012"/>
    <cellStyle name="20% - Accent2 3 2 2 2 2 5" xfId="20013"/>
    <cellStyle name="20% - Accent2 3 2 2 2 2 6" xfId="20014"/>
    <cellStyle name="20% - Accent2 3 2 2 2 2 7" xfId="20015"/>
    <cellStyle name="20% - Accent2 3 2 2 2 3" xfId="20016"/>
    <cellStyle name="20% - Accent2 3 2 2 2 3 2" xfId="20017"/>
    <cellStyle name="20% - Accent2 3 2 2 2 3 2 2" xfId="20018"/>
    <cellStyle name="20% - Accent2 3 2 2 2 3 3" xfId="20019"/>
    <cellStyle name="20% - Accent2 3 2 2 2 3 3 2" xfId="20020"/>
    <cellStyle name="20% - Accent2 3 2 2 2 3 4" xfId="20021"/>
    <cellStyle name="20% - Accent2 3 2 2 2 3 5" xfId="20022"/>
    <cellStyle name="20% - Accent2 3 2 2 2 3 6" xfId="20023"/>
    <cellStyle name="20% - Accent2 3 2 2 2 3 7" xfId="20024"/>
    <cellStyle name="20% - Accent2 3 2 2 2 4" xfId="20025"/>
    <cellStyle name="20% - Accent2 3 2 2 2 4 2" xfId="20026"/>
    <cellStyle name="20% - Accent2 3 2 2 2 4 2 2" xfId="20027"/>
    <cellStyle name="20% - Accent2 3 2 2 2 4 3" xfId="20028"/>
    <cellStyle name="20% - Accent2 3 2 2 2 4 3 2" xfId="20029"/>
    <cellStyle name="20% - Accent2 3 2 2 2 4 4" xfId="20030"/>
    <cellStyle name="20% - Accent2 3 2 2 2 4 5" xfId="20031"/>
    <cellStyle name="20% - Accent2 3 2 2 2 4 6" xfId="20032"/>
    <cellStyle name="20% - Accent2 3 2 2 2 4 7" xfId="20033"/>
    <cellStyle name="20% - Accent2 3 2 2 2 5" xfId="20034"/>
    <cellStyle name="20% - Accent2 3 2 2 2 5 2" xfId="20035"/>
    <cellStyle name="20% - Accent2 3 2 2 2 6" xfId="20036"/>
    <cellStyle name="20% - Accent2 3 2 2 2 6 2" xfId="20037"/>
    <cellStyle name="20% - Accent2 3 2 2 2 7" xfId="20038"/>
    <cellStyle name="20% - Accent2 3 2 2 2 8" xfId="20039"/>
    <cellStyle name="20% - Accent2 3 2 2 2 9" xfId="20040"/>
    <cellStyle name="20% - Accent2 3 2 2 3" xfId="20041"/>
    <cellStyle name="20% - Accent2 3 2 2 3 2" xfId="20042"/>
    <cellStyle name="20% - Accent2 3 2 2 3 2 2" xfId="20043"/>
    <cellStyle name="20% - Accent2 3 2 2 3 3" xfId="20044"/>
    <cellStyle name="20% - Accent2 3 2 2 3 3 2" xfId="20045"/>
    <cellStyle name="20% - Accent2 3 2 2 3 4" xfId="20046"/>
    <cellStyle name="20% - Accent2 3 2 2 3 5" xfId="20047"/>
    <cellStyle name="20% - Accent2 3 2 2 3 6" xfId="20048"/>
    <cellStyle name="20% - Accent2 3 2 2 3 7" xfId="20049"/>
    <cellStyle name="20% - Accent2 3 2 2 4" xfId="20050"/>
    <cellStyle name="20% - Accent2 3 2 2 4 2" xfId="20051"/>
    <cellStyle name="20% - Accent2 3 2 2 4 2 2" xfId="20052"/>
    <cellStyle name="20% - Accent2 3 2 2 4 3" xfId="20053"/>
    <cellStyle name="20% - Accent2 3 2 2 4 3 2" xfId="20054"/>
    <cellStyle name="20% - Accent2 3 2 2 4 4" xfId="20055"/>
    <cellStyle name="20% - Accent2 3 2 2 4 5" xfId="20056"/>
    <cellStyle name="20% - Accent2 3 2 2 4 6" xfId="20057"/>
    <cellStyle name="20% - Accent2 3 2 2 4 7" xfId="20058"/>
    <cellStyle name="20% - Accent2 3 2 2 5" xfId="20059"/>
    <cellStyle name="20% - Accent2 3 2 2 5 2" xfId="20060"/>
    <cellStyle name="20% - Accent2 3 2 2 5 2 2" xfId="20061"/>
    <cellStyle name="20% - Accent2 3 2 2 5 3" xfId="20062"/>
    <cellStyle name="20% - Accent2 3 2 2 5 3 2" xfId="20063"/>
    <cellStyle name="20% - Accent2 3 2 2 5 4" xfId="20064"/>
    <cellStyle name="20% - Accent2 3 2 2 5 5" xfId="20065"/>
    <cellStyle name="20% - Accent2 3 2 2 5 6" xfId="20066"/>
    <cellStyle name="20% - Accent2 3 2 2 5 7" xfId="20067"/>
    <cellStyle name="20% - Accent2 3 2 2 6" xfId="20068"/>
    <cellStyle name="20% - Accent2 3 2 2 6 2" xfId="20069"/>
    <cellStyle name="20% - Accent2 3 2 2 7" xfId="20070"/>
    <cellStyle name="20% - Accent2 3 2 2 7 2" xfId="20071"/>
    <cellStyle name="20% - Accent2 3 2 2 8" xfId="20072"/>
    <cellStyle name="20% - Accent2 3 2 2 9" xfId="20073"/>
    <cellStyle name="20% - Accent2 3 2 3" xfId="20074"/>
    <cellStyle name="20% - Accent2 3 2 3 10" xfId="20075"/>
    <cellStyle name="20% - Accent2 3 2 3 11" xfId="20076"/>
    <cellStyle name="20% - Accent2 3 2 3 2" xfId="20077"/>
    <cellStyle name="20% - Accent2 3 2 3 2 10" xfId="20078"/>
    <cellStyle name="20% - Accent2 3 2 3 2 2" xfId="20079"/>
    <cellStyle name="20% - Accent2 3 2 3 2 2 2" xfId="20080"/>
    <cellStyle name="20% - Accent2 3 2 3 2 2 2 2" xfId="20081"/>
    <cellStyle name="20% - Accent2 3 2 3 2 2 3" xfId="20082"/>
    <cellStyle name="20% - Accent2 3 2 3 2 2 3 2" xfId="20083"/>
    <cellStyle name="20% - Accent2 3 2 3 2 2 4" xfId="20084"/>
    <cellStyle name="20% - Accent2 3 2 3 2 2 5" xfId="20085"/>
    <cellStyle name="20% - Accent2 3 2 3 2 2 6" xfId="20086"/>
    <cellStyle name="20% - Accent2 3 2 3 2 2 7" xfId="20087"/>
    <cellStyle name="20% - Accent2 3 2 3 2 3" xfId="20088"/>
    <cellStyle name="20% - Accent2 3 2 3 2 3 2" xfId="20089"/>
    <cellStyle name="20% - Accent2 3 2 3 2 3 2 2" xfId="20090"/>
    <cellStyle name="20% - Accent2 3 2 3 2 3 3" xfId="20091"/>
    <cellStyle name="20% - Accent2 3 2 3 2 3 3 2" xfId="20092"/>
    <cellStyle name="20% - Accent2 3 2 3 2 3 4" xfId="20093"/>
    <cellStyle name="20% - Accent2 3 2 3 2 3 5" xfId="20094"/>
    <cellStyle name="20% - Accent2 3 2 3 2 3 6" xfId="20095"/>
    <cellStyle name="20% - Accent2 3 2 3 2 3 7" xfId="20096"/>
    <cellStyle name="20% - Accent2 3 2 3 2 4" xfId="20097"/>
    <cellStyle name="20% - Accent2 3 2 3 2 4 2" xfId="20098"/>
    <cellStyle name="20% - Accent2 3 2 3 2 4 2 2" xfId="20099"/>
    <cellStyle name="20% - Accent2 3 2 3 2 4 3" xfId="20100"/>
    <cellStyle name="20% - Accent2 3 2 3 2 4 3 2" xfId="20101"/>
    <cellStyle name="20% - Accent2 3 2 3 2 4 4" xfId="20102"/>
    <cellStyle name="20% - Accent2 3 2 3 2 4 5" xfId="20103"/>
    <cellStyle name="20% - Accent2 3 2 3 2 4 6" xfId="20104"/>
    <cellStyle name="20% - Accent2 3 2 3 2 4 7" xfId="20105"/>
    <cellStyle name="20% - Accent2 3 2 3 2 5" xfId="20106"/>
    <cellStyle name="20% - Accent2 3 2 3 2 5 2" xfId="20107"/>
    <cellStyle name="20% - Accent2 3 2 3 2 6" xfId="20108"/>
    <cellStyle name="20% - Accent2 3 2 3 2 6 2" xfId="20109"/>
    <cellStyle name="20% - Accent2 3 2 3 2 7" xfId="20110"/>
    <cellStyle name="20% - Accent2 3 2 3 2 8" xfId="20111"/>
    <cellStyle name="20% - Accent2 3 2 3 2 9" xfId="20112"/>
    <cellStyle name="20% - Accent2 3 2 3 3" xfId="20113"/>
    <cellStyle name="20% - Accent2 3 2 3 3 2" xfId="20114"/>
    <cellStyle name="20% - Accent2 3 2 3 3 2 2" xfId="20115"/>
    <cellStyle name="20% - Accent2 3 2 3 3 3" xfId="20116"/>
    <cellStyle name="20% - Accent2 3 2 3 3 3 2" xfId="20117"/>
    <cellStyle name="20% - Accent2 3 2 3 3 4" xfId="20118"/>
    <cellStyle name="20% - Accent2 3 2 3 3 5" xfId="20119"/>
    <cellStyle name="20% - Accent2 3 2 3 3 6" xfId="20120"/>
    <cellStyle name="20% - Accent2 3 2 3 3 7" xfId="20121"/>
    <cellStyle name="20% - Accent2 3 2 3 4" xfId="20122"/>
    <cellStyle name="20% - Accent2 3 2 3 4 2" xfId="20123"/>
    <cellStyle name="20% - Accent2 3 2 3 4 2 2" xfId="20124"/>
    <cellStyle name="20% - Accent2 3 2 3 4 3" xfId="20125"/>
    <cellStyle name="20% - Accent2 3 2 3 4 3 2" xfId="20126"/>
    <cellStyle name="20% - Accent2 3 2 3 4 4" xfId="20127"/>
    <cellStyle name="20% - Accent2 3 2 3 4 5" xfId="20128"/>
    <cellStyle name="20% - Accent2 3 2 3 4 6" xfId="20129"/>
    <cellStyle name="20% - Accent2 3 2 3 4 7" xfId="20130"/>
    <cellStyle name="20% - Accent2 3 2 3 5" xfId="20131"/>
    <cellStyle name="20% - Accent2 3 2 3 5 2" xfId="20132"/>
    <cellStyle name="20% - Accent2 3 2 3 5 2 2" xfId="20133"/>
    <cellStyle name="20% - Accent2 3 2 3 5 3" xfId="20134"/>
    <cellStyle name="20% - Accent2 3 2 3 5 3 2" xfId="20135"/>
    <cellStyle name="20% - Accent2 3 2 3 5 4" xfId="20136"/>
    <cellStyle name="20% - Accent2 3 2 3 5 5" xfId="20137"/>
    <cellStyle name="20% - Accent2 3 2 3 5 6" xfId="20138"/>
    <cellStyle name="20% - Accent2 3 2 3 5 7" xfId="20139"/>
    <cellStyle name="20% - Accent2 3 2 3 6" xfId="20140"/>
    <cellStyle name="20% - Accent2 3 2 3 6 2" xfId="20141"/>
    <cellStyle name="20% - Accent2 3 2 3 7" xfId="20142"/>
    <cellStyle name="20% - Accent2 3 2 3 7 2" xfId="20143"/>
    <cellStyle name="20% - Accent2 3 2 3 8" xfId="20144"/>
    <cellStyle name="20% - Accent2 3 2 3 9" xfId="20145"/>
    <cellStyle name="20% - Accent2 3 2 4" xfId="20146"/>
    <cellStyle name="20% - Accent2 3 2 4 10" xfId="20147"/>
    <cellStyle name="20% - Accent2 3 2 4 2" xfId="20148"/>
    <cellStyle name="20% - Accent2 3 2 4 2 2" xfId="20149"/>
    <cellStyle name="20% - Accent2 3 2 4 2 2 2" xfId="20150"/>
    <cellStyle name="20% - Accent2 3 2 4 2 3" xfId="20151"/>
    <cellStyle name="20% - Accent2 3 2 4 2 3 2" xfId="20152"/>
    <cellStyle name="20% - Accent2 3 2 4 2 4" xfId="20153"/>
    <cellStyle name="20% - Accent2 3 2 4 2 5" xfId="20154"/>
    <cellStyle name="20% - Accent2 3 2 4 2 6" xfId="20155"/>
    <cellStyle name="20% - Accent2 3 2 4 2 7" xfId="20156"/>
    <cellStyle name="20% - Accent2 3 2 4 3" xfId="20157"/>
    <cellStyle name="20% - Accent2 3 2 4 3 2" xfId="20158"/>
    <cellStyle name="20% - Accent2 3 2 4 3 2 2" xfId="20159"/>
    <cellStyle name="20% - Accent2 3 2 4 3 3" xfId="20160"/>
    <cellStyle name="20% - Accent2 3 2 4 3 3 2" xfId="20161"/>
    <cellStyle name="20% - Accent2 3 2 4 3 4" xfId="20162"/>
    <cellStyle name="20% - Accent2 3 2 4 3 5" xfId="20163"/>
    <cellStyle name="20% - Accent2 3 2 4 3 6" xfId="20164"/>
    <cellStyle name="20% - Accent2 3 2 4 3 7" xfId="20165"/>
    <cellStyle name="20% - Accent2 3 2 4 4" xfId="20166"/>
    <cellStyle name="20% - Accent2 3 2 4 4 2" xfId="20167"/>
    <cellStyle name="20% - Accent2 3 2 4 4 2 2" xfId="20168"/>
    <cellStyle name="20% - Accent2 3 2 4 4 3" xfId="20169"/>
    <cellStyle name="20% - Accent2 3 2 4 4 3 2" xfId="20170"/>
    <cellStyle name="20% - Accent2 3 2 4 4 4" xfId="20171"/>
    <cellStyle name="20% - Accent2 3 2 4 4 5" xfId="20172"/>
    <cellStyle name="20% - Accent2 3 2 4 4 6" xfId="20173"/>
    <cellStyle name="20% - Accent2 3 2 4 4 7" xfId="20174"/>
    <cellStyle name="20% - Accent2 3 2 4 5" xfId="20175"/>
    <cellStyle name="20% - Accent2 3 2 4 5 2" xfId="20176"/>
    <cellStyle name="20% - Accent2 3 2 4 6" xfId="20177"/>
    <cellStyle name="20% - Accent2 3 2 4 6 2" xfId="20178"/>
    <cellStyle name="20% - Accent2 3 2 4 7" xfId="20179"/>
    <cellStyle name="20% - Accent2 3 2 4 8" xfId="20180"/>
    <cellStyle name="20% - Accent2 3 2 4 9" xfId="20181"/>
    <cellStyle name="20% - Accent2 3 2 5" xfId="20182"/>
    <cellStyle name="20% - Accent2 3 2 5 2" xfId="20183"/>
    <cellStyle name="20% - Accent2 3 2 5 2 2" xfId="20184"/>
    <cellStyle name="20% - Accent2 3 2 5 3" xfId="20185"/>
    <cellStyle name="20% - Accent2 3 2 5 3 2" xfId="20186"/>
    <cellStyle name="20% - Accent2 3 2 5 4" xfId="20187"/>
    <cellStyle name="20% - Accent2 3 2 5 5" xfId="20188"/>
    <cellStyle name="20% - Accent2 3 2 5 6" xfId="20189"/>
    <cellStyle name="20% - Accent2 3 2 5 7" xfId="20190"/>
    <cellStyle name="20% - Accent2 3 2 6" xfId="20191"/>
    <cellStyle name="20% - Accent2 3 2 6 2" xfId="20192"/>
    <cellStyle name="20% - Accent2 3 2 6 2 2" xfId="20193"/>
    <cellStyle name="20% - Accent2 3 2 6 3" xfId="20194"/>
    <cellStyle name="20% - Accent2 3 2 6 3 2" xfId="20195"/>
    <cellStyle name="20% - Accent2 3 2 6 4" xfId="20196"/>
    <cellStyle name="20% - Accent2 3 2 6 5" xfId="20197"/>
    <cellStyle name="20% - Accent2 3 2 6 6" xfId="20198"/>
    <cellStyle name="20% - Accent2 3 2 6 7" xfId="20199"/>
    <cellStyle name="20% - Accent2 3 2 7" xfId="20200"/>
    <cellStyle name="20% - Accent2 3 2 7 2" xfId="20201"/>
    <cellStyle name="20% - Accent2 3 2 7 2 2" xfId="20202"/>
    <cellStyle name="20% - Accent2 3 2 7 3" xfId="20203"/>
    <cellStyle name="20% - Accent2 3 2 7 3 2" xfId="20204"/>
    <cellStyle name="20% - Accent2 3 2 7 4" xfId="20205"/>
    <cellStyle name="20% - Accent2 3 2 7 5" xfId="20206"/>
    <cellStyle name="20% - Accent2 3 2 7 6" xfId="20207"/>
    <cellStyle name="20% - Accent2 3 2 7 7" xfId="20208"/>
    <cellStyle name="20% - Accent2 3 2 8" xfId="20209"/>
    <cellStyle name="20% - Accent2 3 2 8 2" xfId="20210"/>
    <cellStyle name="20% - Accent2 3 2 9" xfId="20211"/>
    <cellStyle name="20% - Accent2 3 2 9 2" xfId="20212"/>
    <cellStyle name="20% - Accent2 3 3" xfId="102"/>
    <cellStyle name="20% - Accent2 3 3 10" xfId="20213"/>
    <cellStyle name="20% - Accent2 3 3 11" xfId="20214"/>
    <cellStyle name="20% - Accent2 3 3 12" xfId="20215"/>
    <cellStyle name="20% - Accent2 3 3 13" xfId="20216"/>
    <cellStyle name="20% - Accent2 3 3 2" xfId="20217"/>
    <cellStyle name="20% - Accent2 3 3 2 10" xfId="20218"/>
    <cellStyle name="20% - Accent2 3 3 2 11" xfId="20219"/>
    <cellStyle name="20% - Accent2 3 3 2 2" xfId="20220"/>
    <cellStyle name="20% - Accent2 3 3 2 2 10" xfId="20221"/>
    <cellStyle name="20% - Accent2 3 3 2 2 2" xfId="20222"/>
    <cellStyle name="20% - Accent2 3 3 2 2 2 2" xfId="20223"/>
    <cellStyle name="20% - Accent2 3 3 2 2 2 2 2" xfId="20224"/>
    <cellStyle name="20% - Accent2 3 3 2 2 2 3" xfId="20225"/>
    <cellStyle name="20% - Accent2 3 3 2 2 2 3 2" xfId="20226"/>
    <cellStyle name="20% - Accent2 3 3 2 2 2 4" xfId="20227"/>
    <cellStyle name="20% - Accent2 3 3 2 2 2 5" xfId="20228"/>
    <cellStyle name="20% - Accent2 3 3 2 2 2 6" xfId="20229"/>
    <cellStyle name="20% - Accent2 3 3 2 2 2 7" xfId="20230"/>
    <cellStyle name="20% - Accent2 3 3 2 2 3" xfId="20231"/>
    <cellStyle name="20% - Accent2 3 3 2 2 3 2" xfId="20232"/>
    <cellStyle name="20% - Accent2 3 3 2 2 3 2 2" xfId="20233"/>
    <cellStyle name="20% - Accent2 3 3 2 2 3 3" xfId="20234"/>
    <cellStyle name="20% - Accent2 3 3 2 2 3 3 2" xfId="20235"/>
    <cellStyle name="20% - Accent2 3 3 2 2 3 4" xfId="20236"/>
    <cellStyle name="20% - Accent2 3 3 2 2 3 5" xfId="20237"/>
    <cellStyle name="20% - Accent2 3 3 2 2 3 6" xfId="20238"/>
    <cellStyle name="20% - Accent2 3 3 2 2 3 7" xfId="20239"/>
    <cellStyle name="20% - Accent2 3 3 2 2 4" xfId="20240"/>
    <cellStyle name="20% - Accent2 3 3 2 2 4 2" xfId="20241"/>
    <cellStyle name="20% - Accent2 3 3 2 2 4 2 2" xfId="20242"/>
    <cellStyle name="20% - Accent2 3 3 2 2 4 3" xfId="20243"/>
    <cellStyle name="20% - Accent2 3 3 2 2 4 3 2" xfId="20244"/>
    <cellStyle name="20% - Accent2 3 3 2 2 4 4" xfId="20245"/>
    <cellStyle name="20% - Accent2 3 3 2 2 4 5" xfId="20246"/>
    <cellStyle name="20% - Accent2 3 3 2 2 4 6" xfId="20247"/>
    <cellStyle name="20% - Accent2 3 3 2 2 4 7" xfId="20248"/>
    <cellStyle name="20% - Accent2 3 3 2 2 5" xfId="20249"/>
    <cellStyle name="20% - Accent2 3 3 2 2 5 2" xfId="20250"/>
    <cellStyle name="20% - Accent2 3 3 2 2 6" xfId="20251"/>
    <cellStyle name="20% - Accent2 3 3 2 2 6 2" xfId="20252"/>
    <cellStyle name="20% - Accent2 3 3 2 2 7" xfId="20253"/>
    <cellStyle name="20% - Accent2 3 3 2 2 8" xfId="20254"/>
    <cellStyle name="20% - Accent2 3 3 2 2 9" xfId="20255"/>
    <cellStyle name="20% - Accent2 3 3 2 3" xfId="20256"/>
    <cellStyle name="20% - Accent2 3 3 2 3 2" xfId="20257"/>
    <cellStyle name="20% - Accent2 3 3 2 3 2 2" xfId="20258"/>
    <cellStyle name="20% - Accent2 3 3 2 3 3" xfId="20259"/>
    <cellStyle name="20% - Accent2 3 3 2 3 3 2" xfId="20260"/>
    <cellStyle name="20% - Accent2 3 3 2 3 4" xfId="20261"/>
    <cellStyle name="20% - Accent2 3 3 2 3 5" xfId="20262"/>
    <cellStyle name="20% - Accent2 3 3 2 3 6" xfId="20263"/>
    <cellStyle name="20% - Accent2 3 3 2 3 7" xfId="20264"/>
    <cellStyle name="20% - Accent2 3 3 2 4" xfId="20265"/>
    <cellStyle name="20% - Accent2 3 3 2 4 2" xfId="20266"/>
    <cellStyle name="20% - Accent2 3 3 2 4 2 2" xfId="20267"/>
    <cellStyle name="20% - Accent2 3 3 2 4 3" xfId="20268"/>
    <cellStyle name="20% - Accent2 3 3 2 4 3 2" xfId="20269"/>
    <cellStyle name="20% - Accent2 3 3 2 4 4" xfId="20270"/>
    <cellStyle name="20% - Accent2 3 3 2 4 5" xfId="20271"/>
    <cellStyle name="20% - Accent2 3 3 2 4 6" xfId="20272"/>
    <cellStyle name="20% - Accent2 3 3 2 4 7" xfId="20273"/>
    <cellStyle name="20% - Accent2 3 3 2 5" xfId="20274"/>
    <cellStyle name="20% - Accent2 3 3 2 5 2" xfId="20275"/>
    <cellStyle name="20% - Accent2 3 3 2 5 2 2" xfId="20276"/>
    <cellStyle name="20% - Accent2 3 3 2 5 3" xfId="20277"/>
    <cellStyle name="20% - Accent2 3 3 2 5 3 2" xfId="20278"/>
    <cellStyle name="20% - Accent2 3 3 2 5 4" xfId="20279"/>
    <cellStyle name="20% - Accent2 3 3 2 5 5" xfId="20280"/>
    <cellStyle name="20% - Accent2 3 3 2 5 6" xfId="20281"/>
    <cellStyle name="20% - Accent2 3 3 2 5 7" xfId="20282"/>
    <cellStyle name="20% - Accent2 3 3 2 6" xfId="20283"/>
    <cellStyle name="20% - Accent2 3 3 2 6 2" xfId="20284"/>
    <cellStyle name="20% - Accent2 3 3 2 7" xfId="20285"/>
    <cellStyle name="20% - Accent2 3 3 2 7 2" xfId="20286"/>
    <cellStyle name="20% - Accent2 3 3 2 8" xfId="20287"/>
    <cellStyle name="20% - Accent2 3 3 2 9" xfId="20288"/>
    <cellStyle name="20% - Accent2 3 3 3" xfId="20289"/>
    <cellStyle name="20% - Accent2 3 3 3 10" xfId="20290"/>
    <cellStyle name="20% - Accent2 3 3 3 11" xfId="20291"/>
    <cellStyle name="20% - Accent2 3 3 3 2" xfId="20292"/>
    <cellStyle name="20% - Accent2 3 3 3 2 10" xfId="20293"/>
    <cellStyle name="20% - Accent2 3 3 3 2 2" xfId="20294"/>
    <cellStyle name="20% - Accent2 3 3 3 2 2 2" xfId="20295"/>
    <cellStyle name="20% - Accent2 3 3 3 2 2 2 2" xfId="20296"/>
    <cellStyle name="20% - Accent2 3 3 3 2 2 3" xfId="20297"/>
    <cellStyle name="20% - Accent2 3 3 3 2 2 3 2" xfId="20298"/>
    <cellStyle name="20% - Accent2 3 3 3 2 2 4" xfId="20299"/>
    <cellStyle name="20% - Accent2 3 3 3 2 2 5" xfId="20300"/>
    <cellStyle name="20% - Accent2 3 3 3 2 2 6" xfId="20301"/>
    <cellStyle name="20% - Accent2 3 3 3 2 2 7" xfId="20302"/>
    <cellStyle name="20% - Accent2 3 3 3 2 3" xfId="20303"/>
    <cellStyle name="20% - Accent2 3 3 3 2 3 2" xfId="20304"/>
    <cellStyle name="20% - Accent2 3 3 3 2 3 2 2" xfId="20305"/>
    <cellStyle name="20% - Accent2 3 3 3 2 3 3" xfId="20306"/>
    <cellStyle name="20% - Accent2 3 3 3 2 3 3 2" xfId="20307"/>
    <cellStyle name="20% - Accent2 3 3 3 2 3 4" xfId="20308"/>
    <cellStyle name="20% - Accent2 3 3 3 2 3 5" xfId="20309"/>
    <cellStyle name="20% - Accent2 3 3 3 2 3 6" xfId="20310"/>
    <cellStyle name="20% - Accent2 3 3 3 2 3 7" xfId="20311"/>
    <cellStyle name="20% - Accent2 3 3 3 2 4" xfId="20312"/>
    <cellStyle name="20% - Accent2 3 3 3 2 4 2" xfId="20313"/>
    <cellStyle name="20% - Accent2 3 3 3 2 4 2 2" xfId="20314"/>
    <cellStyle name="20% - Accent2 3 3 3 2 4 3" xfId="20315"/>
    <cellStyle name="20% - Accent2 3 3 3 2 4 3 2" xfId="20316"/>
    <cellStyle name="20% - Accent2 3 3 3 2 4 4" xfId="20317"/>
    <cellStyle name="20% - Accent2 3 3 3 2 4 5" xfId="20318"/>
    <cellStyle name="20% - Accent2 3 3 3 2 4 6" xfId="20319"/>
    <cellStyle name="20% - Accent2 3 3 3 2 4 7" xfId="20320"/>
    <cellStyle name="20% - Accent2 3 3 3 2 5" xfId="20321"/>
    <cellStyle name="20% - Accent2 3 3 3 2 5 2" xfId="20322"/>
    <cellStyle name="20% - Accent2 3 3 3 2 6" xfId="20323"/>
    <cellStyle name="20% - Accent2 3 3 3 2 6 2" xfId="20324"/>
    <cellStyle name="20% - Accent2 3 3 3 2 7" xfId="20325"/>
    <cellStyle name="20% - Accent2 3 3 3 2 8" xfId="20326"/>
    <cellStyle name="20% - Accent2 3 3 3 2 9" xfId="20327"/>
    <cellStyle name="20% - Accent2 3 3 3 3" xfId="20328"/>
    <cellStyle name="20% - Accent2 3 3 3 3 2" xfId="20329"/>
    <cellStyle name="20% - Accent2 3 3 3 3 2 2" xfId="20330"/>
    <cellStyle name="20% - Accent2 3 3 3 3 3" xfId="20331"/>
    <cellStyle name="20% - Accent2 3 3 3 3 3 2" xfId="20332"/>
    <cellStyle name="20% - Accent2 3 3 3 3 4" xfId="20333"/>
    <cellStyle name="20% - Accent2 3 3 3 3 5" xfId="20334"/>
    <cellStyle name="20% - Accent2 3 3 3 3 6" xfId="20335"/>
    <cellStyle name="20% - Accent2 3 3 3 3 7" xfId="20336"/>
    <cellStyle name="20% - Accent2 3 3 3 4" xfId="20337"/>
    <cellStyle name="20% - Accent2 3 3 3 4 2" xfId="20338"/>
    <cellStyle name="20% - Accent2 3 3 3 4 2 2" xfId="20339"/>
    <cellStyle name="20% - Accent2 3 3 3 4 3" xfId="20340"/>
    <cellStyle name="20% - Accent2 3 3 3 4 3 2" xfId="20341"/>
    <cellStyle name="20% - Accent2 3 3 3 4 4" xfId="20342"/>
    <cellStyle name="20% - Accent2 3 3 3 4 5" xfId="20343"/>
    <cellStyle name="20% - Accent2 3 3 3 4 6" xfId="20344"/>
    <cellStyle name="20% - Accent2 3 3 3 4 7" xfId="20345"/>
    <cellStyle name="20% - Accent2 3 3 3 5" xfId="20346"/>
    <cellStyle name="20% - Accent2 3 3 3 5 2" xfId="20347"/>
    <cellStyle name="20% - Accent2 3 3 3 5 2 2" xfId="20348"/>
    <cellStyle name="20% - Accent2 3 3 3 5 3" xfId="20349"/>
    <cellStyle name="20% - Accent2 3 3 3 5 3 2" xfId="20350"/>
    <cellStyle name="20% - Accent2 3 3 3 5 4" xfId="20351"/>
    <cellStyle name="20% - Accent2 3 3 3 5 5" xfId="20352"/>
    <cellStyle name="20% - Accent2 3 3 3 5 6" xfId="20353"/>
    <cellStyle name="20% - Accent2 3 3 3 5 7" xfId="20354"/>
    <cellStyle name="20% - Accent2 3 3 3 6" xfId="20355"/>
    <cellStyle name="20% - Accent2 3 3 3 6 2" xfId="20356"/>
    <cellStyle name="20% - Accent2 3 3 3 7" xfId="20357"/>
    <cellStyle name="20% - Accent2 3 3 3 7 2" xfId="20358"/>
    <cellStyle name="20% - Accent2 3 3 3 8" xfId="20359"/>
    <cellStyle name="20% - Accent2 3 3 3 9" xfId="20360"/>
    <cellStyle name="20% - Accent2 3 3 4" xfId="20361"/>
    <cellStyle name="20% - Accent2 3 3 4 10" xfId="20362"/>
    <cellStyle name="20% - Accent2 3 3 4 2" xfId="20363"/>
    <cellStyle name="20% - Accent2 3 3 4 2 2" xfId="20364"/>
    <cellStyle name="20% - Accent2 3 3 4 2 2 2" xfId="20365"/>
    <cellStyle name="20% - Accent2 3 3 4 2 3" xfId="20366"/>
    <cellStyle name="20% - Accent2 3 3 4 2 3 2" xfId="20367"/>
    <cellStyle name="20% - Accent2 3 3 4 2 4" xfId="20368"/>
    <cellStyle name="20% - Accent2 3 3 4 2 5" xfId="20369"/>
    <cellStyle name="20% - Accent2 3 3 4 2 6" xfId="20370"/>
    <cellStyle name="20% - Accent2 3 3 4 2 7" xfId="20371"/>
    <cellStyle name="20% - Accent2 3 3 4 3" xfId="20372"/>
    <cellStyle name="20% - Accent2 3 3 4 3 2" xfId="20373"/>
    <cellStyle name="20% - Accent2 3 3 4 3 2 2" xfId="20374"/>
    <cellStyle name="20% - Accent2 3 3 4 3 3" xfId="20375"/>
    <cellStyle name="20% - Accent2 3 3 4 3 3 2" xfId="20376"/>
    <cellStyle name="20% - Accent2 3 3 4 3 4" xfId="20377"/>
    <cellStyle name="20% - Accent2 3 3 4 3 5" xfId="20378"/>
    <cellStyle name="20% - Accent2 3 3 4 3 6" xfId="20379"/>
    <cellStyle name="20% - Accent2 3 3 4 3 7" xfId="20380"/>
    <cellStyle name="20% - Accent2 3 3 4 4" xfId="20381"/>
    <cellStyle name="20% - Accent2 3 3 4 4 2" xfId="20382"/>
    <cellStyle name="20% - Accent2 3 3 4 4 2 2" xfId="20383"/>
    <cellStyle name="20% - Accent2 3 3 4 4 3" xfId="20384"/>
    <cellStyle name="20% - Accent2 3 3 4 4 3 2" xfId="20385"/>
    <cellStyle name="20% - Accent2 3 3 4 4 4" xfId="20386"/>
    <cellStyle name="20% - Accent2 3 3 4 4 5" xfId="20387"/>
    <cellStyle name="20% - Accent2 3 3 4 4 6" xfId="20388"/>
    <cellStyle name="20% - Accent2 3 3 4 4 7" xfId="20389"/>
    <cellStyle name="20% - Accent2 3 3 4 5" xfId="20390"/>
    <cellStyle name="20% - Accent2 3 3 4 5 2" xfId="20391"/>
    <cellStyle name="20% - Accent2 3 3 4 6" xfId="20392"/>
    <cellStyle name="20% - Accent2 3 3 4 6 2" xfId="20393"/>
    <cellStyle name="20% - Accent2 3 3 4 7" xfId="20394"/>
    <cellStyle name="20% - Accent2 3 3 4 8" xfId="20395"/>
    <cellStyle name="20% - Accent2 3 3 4 9" xfId="20396"/>
    <cellStyle name="20% - Accent2 3 3 5" xfId="20397"/>
    <cellStyle name="20% - Accent2 3 3 5 2" xfId="20398"/>
    <cellStyle name="20% - Accent2 3 3 5 2 2" xfId="20399"/>
    <cellStyle name="20% - Accent2 3 3 5 3" xfId="20400"/>
    <cellStyle name="20% - Accent2 3 3 5 3 2" xfId="20401"/>
    <cellStyle name="20% - Accent2 3 3 5 4" xfId="20402"/>
    <cellStyle name="20% - Accent2 3 3 5 5" xfId="20403"/>
    <cellStyle name="20% - Accent2 3 3 5 6" xfId="20404"/>
    <cellStyle name="20% - Accent2 3 3 5 7" xfId="20405"/>
    <cellStyle name="20% - Accent2 3 3 6" xfId="20406"/>
    <cellStyle name="20% - Accent2 3 3 6 2" xfId="20407"/>
    <cellStyle name="20% - Accent2 3 3 6 2 2" xfId="20408"/>
    <cellStyle name="20% - Accent2 3 3 6 3" xfId="20409"/>
    <cellStyle name="20% - Accent2 3 3 6 3 2" xfId="20410"/>
    <cellStyle name="20% - Accent2 3 3 6 4" xfId="20411"/>
    <cellStyle name="20% - Accent2 3 3 6 5" xfId="20412"/>
    <cellStyle name="20% - Accent2 3 3 6 6" xfId="20413"/>
    <cellStyle name="20% - Accent2 3 3 6 7" xfId="20414"/>
    <cellStyle name="20% - Accent2 3 3 7" xfId="20415"/>
    <cellStyle name="20% - Accent2 3 3 7 2" xfId="20416"/>
    <cellStyle name="20% - Accent2 3 3 7 2 2" xfId="20417"/>
    <cellStyle name="20% - Accent2 3 3 7 3" xfId="20418"/>
    <cellStyle name="20% - Accent2 3 3 7 3 2" xfId="20419"/>
    <cellStyle name="20% - Accent2 3 3 7 4" xfId="20420"/>
    <cellStyle name="20% - Accent2 3 3 7 5" xfId="20421"/>
    <cellStyle name="20% - Accent2 3 3 7 6" xfId="20422"/>
    <cellStyle name="20% - Accent2 3 3 7 7" xfId="20423"/>
    <cellStyle name="20% - Accent2 3 3 8" xfId="20424"/>
    <cellStyle name="20% - Accent2 3 3 8 2" xfId="20425"/>
    <cellStyle name="20% - Accent2 3 3 9" xfId="20426"/>
    <cellStyle name="20% - Accent2 3 3 9 2" xfId="20427"/>
    <cellStyle name="20% - Accent2 3 4" xfId="20428"/>
    <cellStyle name="20% - Accent2 3 4 10" xfId="20429"/>
    <cellStyle name="20% - Accent2 3 4 11" xfId="20430"/>
    <cellStyle name="20% - Accent2 3 4 12" xfId="20431"/>
    <cellStyle name="20% - Accent2 3 4 13" xfId="20432"/>
    <cellStyle name="20% - Accent2 3 4 2" xfId="20433"/>
    <cellStyle name="20% - Accent2 3 4 2 10" xfId="20434"/>
    <cellStyle name="20% - Accent2 3 4 2 11" xfId="20435"/>
    <cellStyle name="20% - Accent2 3 4 2 2" xfId="20436"/>
    <cellStyle name="20% - Accent2 3 4 2 2 10" xfId="20437"/>
    <cellStyle name="20% - Accent2 3 4 2 2 2" xfId="20438"/>
    <cellStyle name="20% - Accent2 3 4 2 2 2 2" xfId="20439"/>
    <cellStyle name="20% - Accent2 3 4 2 2 2 2 2" xfId="20440"/>
    <cellStyle name="20% - Accent2 3 4 2 2 2 3" xfId="20441"/>
    <cellStyle name="20% - Accent2 3 4 2 2 2 3 2" xfId="20442"/>
    <cellStyle name="20% - Accent2 3 4 2 2 2 4" xfId="20443"/>
    <cellStyle name="20% - Accent2 3 4 2 2 2 5" xfId="20444"/>
    <cellStyle name="20% - Accent2 3 4 2 2 2 6" xfId="20445"/>
    <cellStyle name="20% - Accent2 3 4 2 2 2 7" xfId="20446"/>
    <cellStyle name="20% - Accent2 3 4 2 2 3" xfId="20447"/>
    <cellStyle name="20% - Accent2 3 4 2 2 3 2" xfId="20448"/>
    <cellStyle name="20% - Accent2 3 4 2 2 3 2 2" xfId="20449"/>
    <cellStyle name="20% - Accent2 3 4 2 2 3 3" xfId="20450"/>
    <cellStyle name="20% - Accent2 3 4 2 2 3 3 2" xfId="20451"/>
    <cellStyle name="20% - Accent2 3 4 2 2 3 4" xfId="20452"/>
    <cellStyle name="20% - Accent2 3 4 2 2 3 5" xfId="20453"/>
    <cellStyle name="20% - Accent2 3 4 2 2 3 6" xfId="20454"/>
    <cellStyle name="20% - Accent2 3 4 2 2 3 7" xfId="20455"/>
    <cellStyle name="20% - Accent2 3 4 2 2 4" xfId="20456"/>
    <cellStyle name="20% - Accent2 3 4 2 2 4 2" xfId="20457"/>
    <cellStyle name="20% - Accent2 3 4 2 2 4 2 2" xfId="20458"/>
    <cellStyle name="20% - Accent2 3 4 2 2 4 3" xfId="20459"/>
    <cellStyle name="20% - Accent2 3 4 2 2 4 3 2" xfId="20460"/>
    <cellStyle name="20% - Accent2 3 4 2 2 4 4" xfId="20461"/>
    <cellStyle name="20% - Accent2 3 4 2 2 4 5" xfId="20462"/>
    <cellStyle name="20% - Accent2 3 4 2 2 4 6" xfId="20463"/>
    <cellStyle name="20% - Accent2 3 4 2 2 4 7" xfId="20464"/>
    <cellStyle name="20% - Accent2 3 4 2 2 5" xfId="20465"/>
    <cellStyle name="20% - Accent2 3 4 2 2 5 2" xfId="20466"/>
    <cellStyle name="20% - Accent2 3 4 2 2 6" xfId="20467"/>
    <cellStyle name="20% - Accent2 3 4 2 2 6 2" xfId="20468"/>
    <cellStyle name="20% - Accent2 3 4 2 2 7" xfId="20469"/>
    <cellStyle name="20% - Accent2 3 4 2 2 8" xfId="20470"/>
    <cellStyle name="20% - Accent2 3 4 2 2 9" xfId="20471"/>
    <cellStyle name="20% - Accent2 3 4 2 3" xfId="20472"/>
    <cellStyle name="20% - Accent2 3 4 2 3 2" xfId="20473"/>
    <cellStyle name="20% - Accent2 3 4 2 3 2 2" xfId="20474"/>
    <cellStyle name="20% - Accent2 3 4 2 3 3" xfId="20475"/>
    <cellStyle name="20% - Accent2 3 4 2 3 3 2" xfId="20476"/>
    <cellStyle name="20% - Accent2 3 4 2 3 4" xfId="20477"/>
    <cellStyle name="20% - Accent2 3 4 2 3 5" xfId="20478"/>
    <cellStyle name="20% - Accent2 3 4 2 3 6" xfId="20479"/>
    <cellStyle name="20% - Accent2 3 4 2 3 7" xfId="20480"/>
    <cellStyle name="20% - Accent2 3 4 2 4" xfId="20481"/>
    <cellStyle name="20% - Accent2 3 4 2 4 2" xfId="20482"/>
    <cellStyle name="20% - Accent2 3 4 2 4 2 2" xfId="20483"/>
    <cellStyle name="20% - Accent2 3 4 2 4 3" xfId="20484"/>
    <cellStyle name="20% - Accent2 3 4 2 4 3 2" xfId="20485"/>
    <cellStyle name="20% - Accent2 3 4 2 4 4" xfId="20486"/>
    <cellStyle name="20% - Accent2 3 4 2 4 5" xfId="20487"/>
    <cellStyle name="20% - Accent2 3 4 2 4 6" xfId="20488"/>
    <cellStyle name="20% - Accent2 3 4 2 4 7" xfId="20489"/>
    <cellStyle name="20% - Accent2 3 4 2 5" xfId="20490"/>
    <cellStyle name="20% - Accent2 3 4 2 5 2" xfId="20491"/>
    <cellStyle name="20% - Accent2 3 4 2 5 2 2" xfId="20492"/>
    <cellStyle name="20% - Accent2 3 4 2 5 3" xfId="20493"/>
    <cellStyle name="20% - Accent2 3 4 2 5 3 2" xfId="20494"/>
    <cellStyle name="20% - Accent2 3 4 2 5 4" xfId="20495"/>
    <cellStyle name="20% - Accent2 3 4 2 5 5" xfId="20496"/>
    <cellStyle name="20% - Accent2 3 4 2 5 6" xfId="20497"/>
    <cellStyle name="20% - Accent2 3 4 2 5 7" xfId="20498"/>
    <cellStyle name="20% - Accent2 3 4 2 6" xfId="20499"/>
    <cellStyle name="20% - Accent2 3 4 2 6 2" xfId="20500"/>
    <cellStyle name="20% - Accent2 3 4 2 7" xfId="20501"/>
    <cellStyle name="20% - Accent2 3 4 2 7 2" xfId="20502"/>
    <cellStyle name="20% - Accent2 3 4 2 8" xfId="20503"/>
    <cellStyle name="20% - Accent2 3 4 2 9" xfId="20504"/>
    <cellStyle name="20% - Accent2 3 4 3" xfId="20505"/>
    <cellStyle name="20% - Accent2 3 4 3 10" xfId="20506"/>
    <cellStyle name="20% - Accent2 3 4 3 11" xfId="20507"/>
    <cellStyle name="20% - Accent2 3 4 3 2" xfId="20508"/>
    <cellStyle name="20% - Accent2 3 4 3 2 10" xfId="20509"/>
    <cellStyle name="20% - Accent2 3 4 3 2 2" xfId="20510"/>
    <cellStyle name="20% - Accent2 3 4 3 2 2 2" xfId="20511"/>
    <cellStyle name="20% - Accent2 3 4 3 2 2 2 2" xfId="20512"/>
    <cellStyle name="20% - Accent2 3 4 3 2 2 3" xfId="20513"/>
    <cellStyle name="20% - Accent2 3 4 3 2 2 3 2" xfId="20514"/>
    <cellStyle name="20% - Accent2 3 4 3 2 2 4" xfId="20515"/>
    <cellStyle name="20% - Accent2 3 4 3 2 2 5" xfId="20516"/>
    <cellStyle name="20% - Accent2 3 4 3 2 2 6" xfId="20517"/>
    <cellStyle name="20% - Accent2 3 4 3 2 2 7" xfId="20518"/>
    <cellStyle name="20% - Accent2 3 4 3 2 3" xfId="20519"/>
    <cellStyle name="20% - Accent2 3 4 3 2 3 2" xfId="20520"/>
    <cellStyle name="20% - Accent2 3 4 3 2 3 2 2" xfId="20521"/>
    <cellStyle name="20% - Accent2 3 4 3 2 3 3" xfId="20522"/>
    <cellStyle name="20% - Accent2 3 4 3 2 3 3 2" xfId="20523"/>
    <cellStyle name="20% - Accent2 3 4 3 2 3 4" xfId="20524"/>
    <cellStyle name="20% - Accent2 3 4 3 2 3 5" xfId="20525"/>
    <cellStyle name="20% - Accent2 3 4 3 2 3 6" xfId="20526"/>
    <cellStyle name="20% - Accent2 3 4 3 2 3 7" xfId="20527"/>
    <cellStyle name="20% - Accent2 3 4 3 2 4" xfId="20528"/>
    <cellStyle name="20% - Accent2 3 4 3 2 4 2" xfId="20529"/>
    <cellStyle name="20% - Accent2 3 4 3 2 4 2 2" xfId="20530"/>
    <cellStyle name="20% - Accent2 3 4 3 2 4 3" xfId="20531"/>
    <cellStyle name="20% - Accent2 3 4 3 2 4 3 2" xfId="20532"/>
    <cellStyle name="20% - Accent2 3 4 3 2 4 4" xfId="20533"/>
    <cellStyle name="20% - Accent2 3 4 3 2 4 5" xfId="20534"/>
    <cellStyle name="20% - Accent2 3 4 3 2 4 6" xfId="20535"/>
    <cellStyle name="20% - Accent2 3 4 3 2 4 7" xfId="20536"/>
    <cellStyle name="20% - Accent2 3 4 3 2 5" xfId="20537"/>
    <cellStyle name="20% - Accent2 3 4 3 2 5 2" xfId="20538"/>
    <cellStyle name="20% - Accent2 3 4 3 2 6" xfId="20539"/>
    <cellStyle name="20% - Accent2 3 4 3 2 6 2" xfId="20540"/>
    <cellStyle name="20% - Accent2 3 4 3 2 7" xfId="20541"/>
    <cellStyle name="20% - Accent2 3 4 3 2 8" xfId="20542"/>
    <cellStyle name="20% - Accent2 3 4 3 2 9" xfId="20543"/>
    <cellStyle name="20% - Accent2 3 4 3 3" xfId="20544"/>
    <cellStyle name="20% - Accent2 3 4 3 3 2" xfId="20545"/>
    <cellStyle name="20% - Accent2 3 4 3 3 2 2" xfId="20546"/>
    <cellStyle name="20% - Accent2 3 4 3 3 3" xfId="20547"/>
    <cellStyle name="20% - Accent2 3 4 3 3 3 2" xfId="20548"/>
    <cellStyle name="20% - Accent2 3 4 3 3 4" xfId="20549"/>
    <cellStyle name="20% - Accent2 3 4 3 3 5" xfId="20550"/>
    <cellStyle name="20% - Accent2 3 4 3 3 6" xfId="20551"/>
    <cellStyle name="20% - Accent2 3 4 3 3 7" xfId="20552"/>
    <cellStyle name="20% - Accent2 3 4 3 4" xfId="20553"/>
    <cellStyle name="20% - Accent2 3 4 3 4 2" xfId="20554"/>
    <cellStyle name="20% - Accent2 3 4 3 4 2 2" xfId="20555"/>
    <cellStyle name="20% - Accent2 3 4 3 4 3" xfId="20556"/>
    <cellStyle name="20% - Accent2 3 4 3 4 3 2" xfId="20557"/>
    <cellStyle name="20% - Accent2 3 4 3 4 4" xfId="20558"/>
    <cellStyle name="20% - Accent2 3 4 3 4 5" xfId="20559"/>
    <cellStyle name="20% - Accent2 3 4 3 4 6" xfId="20560"/>
    <cellStyle name="20% - Accent2 3 4 3 4 7" xfId="20561"/>
    <cellStyle name="20% - Accent2 3 4 3 5" xfId="20562"/>
    <cellStyle name="20% - Accent2 3 4 3 5 2" xfId="20563"/>
    <cellStyle name="20% - Accent2 3 4 3 5 2 2" xfId="20564"/>
    <cellStyle name="20% - Accent2 3 4 3 5 3" xfId="20565"/>
    <cellStyle name="20% - Accent2 3 4 3 5 3 2" xfId="20566"/>
    <cellStyle name="20% - Accent2 3 4 3 5 4" xfId="20567"/>
    <cellStyle name="20% - Accent2 3 4 3 5 5" xfId="20568"/>
    <cellStyle name="20% - Accent2 3 4 3 5 6" xfId="20569"/>
    <cellStyle name="20% - Accent2 3 4 3 5 7" xfId="20570"/>
    <cellStyle name="20% - Accent2 3 4 3 6" xfId="20571"/>
    <cellStyle name="20% - Accent2 3 4 3 6 2" xfId="20572"/>
    <cellStyle name="20% - Accent2 3 4 3 7" xfId="20573"/>
    <cellStyle name="20% - Accent2 3 4 3 7 2" xfId="20574"/>
    <cellStyle name="20% - Accent2 3 4 3 8" xfId="20575"/>
    <cellStyle name="20% - Accent2 3 4 3 9" xfId="20576"/>
    <cellStyle name="20% - Accent2 3 4 4" xfId="20577"/>
    <cellStyle name="20% - Accent2 3 4 4 10" xfId="20578"/>
    <cellStyle name="20% - Accent2 3 4 4 2" xfId="20579"/>
    <cellStyle name="20% - Accent2 3 4 4 2 2" xfId="20580"/>
    <cellStyle name="20% - Accent2 3 4 4 2 2 2" xfId="20581"/>
    <cellStyle name="20% - Accent2 3 4 4 2 3" xfId="20582"/>
    <cellStyle name="20% - Accent2 3 4 4 2 3 2" xfId="20583"/>
    <cellStyle name="20% - Accent2 3 4 4 2 4" xfId="20584"/>
    <cellStyle name="20% - Accent2 3 4 4 2 5" xfId="20585"/>
    <cellStyle name="20% - Accent2 3 4 4 2 6" xfId="20586"/>
    <cellStyle name="20% - Accent2 3 4 4 2 7" xfId="20587"/>
    <cellStyle name="20% - Accent2 3 4 4 3" xfId="20588"/>
    <cellStyle name="20% - Accent2 3 4 4 3 2" xfId="20589"/>
    <cellStyle name="20% - Accent2 3 4 4 3 2 2" xfId="20590"/>
    <cellStyle name="20% - Accent2 3 4 4 3 3" xfId="20591"/>
    <cellStyle name="20% - Accent2 3 4 4 3 3 2" xfId="20592"/>
    <cellStyle name="20% - Accent2 3 4 4 3 4" xfId="20593"/>
    <cellStyle name="20% - Accent2 3 4 4 3 5" xfId="20594"/>
    <cellStyle name="20% - Accent2 3 4 4 3 6" xfId="20595"/>
    <cellStyle name="20% - Accent2 3 4 4 3 7" xfId="20596"/>
    <cellStyle name="20% - Accent2 3 4 4 4" xfId="20597"/>
    <cellStyle name="20% - Accent2 3 4 4 4 2" xfId="20598"/>
    <cellStyle name="20% - Accent2 3 4 4 4 2 2" xfId="20599"/>
    <cellStyle name="20% - Accent2 3 4 4 4 3" xfId="20600"/>
    <cellStyle name="20% - Accent2 3 4 4 4 3 2" xfId="20601"/>
    <cellStyle name="20% - Accent2 3 4 4 4 4" xfId="20602"/>
    <cellStyle name="20% - Accent2 3 4 4 4 5" xfId="20603"/>
    <cellStyle name="20% - Accent2 3 4 4 4 6" xfId="20604"/>
    <cellStyle name="20% - Accent2 3 4 4 4 7" xfId="20605"/>
    <cellStyle name="20% - Accent2 3 4 4 5" xfId="20606"/>
    <cellStyle name="20% - Accent2 3 4 4 5 2" xfId="20607"/>
    <cellStyle name="20% - Accent2 3 4 4 6" xfId="20608"/>
    <cellStyle name="20% - Accent2 3 4 4 6 2" xfId="20609"/>
    <cellStyle name="20% - Accent2 3 4 4 7" xfId="20610"/>
    <cellStyle name="20% - Accent2 3 4 4 8" xfId="20611"/>
    <cellStyle name="20% - Accent2 3 4 4 9" xfId="20612"/>
    <cellStyle name="20% - Accent2 3 4 5" xfId="20613"/>
    <cellStyle name="20% - Accent2 3 4 5 2" xfId="20614"/>
    <cellStyle name="20% - Accent2 3 4 5 2 2" xfId="20615"/>
    <cellStyle name="20% - Accent2 3 4 5 3" xfId="20616"/>
    <cellStyle name="20% - Accent2 3 4 5 3 2" xfId="20617"/>
    <cellStyle name="20% - Accent2 3 4 5 4" xfId="20618"/>
    <cellStyle name="20% - Accent2 3 4 5 5" xfId="20619"/>
    <cellStyle name="20% - Accent2 3 4 5 6" xfId="20620"/>
    <cellStyle name="20% - Accent2 3 4 5 7" xfId="20621"/>
    <cellStyle name="20% - Accent2 3 4 6" xfId="20622"/>
    <cellStyle name="20% - Accent2 3 4 6 2" xfId="20623"/>
    <cellStyle name="20% - Accent2 3 4 6 2 2" xfId="20624"/>
    <cellStyle name="20% - Accent2 3 4 6 3" xfId="20625"/>
    <cellStyle name="20% - Accent2 3 4 6 3 2" xfId="20626"/>
    <cellStyle name="20% - Accent2 3 4 6 4" xfId="20627"/>
    <cellStyle name="20% - Accent2 3 4 6 5" xfId="20628"/>
    <cellStyle name="20% - Accent2 3 4 6 6" xfId="20629"/>
    <cellStyle name="20% - Accent2 3 4 6 7" xfId="20630"/>
    <cellStyle name="20% - Accent2 3 4 7" xfId="20631"/>
    <cellStyle name="20% - Accent2 3 4 7 2" xfId="20632"/>
    <cellStyle name="20% - Accent2 3 4 7 2 2" xfId="20633"/>
    <cellStyle name="20% - Accent2 3 4 7 3" xfId="20634"/>
    <cellStyle name="20% - Accent2 3 4 7 3 2" xfId="20635"/>
    <cellStyle name="20% - Accent2 3 4 7 4" xfId="20636"/>
    <cellStyle name="20% - Accent2 3 4 7 5" xfId="20637"/>
    <cellStyle name="20% - Accent2 3 4 7 6" xfId="20638"/>
    <cellStyle name="20% - Accent2 3 4 7 7" xfId="20639"/>
    <cellStyle name="20% - Accent2 3 4 8" xfId="20640"/>
    <cellStyle name="20% - Accent2 3 4 8 2" xfId="20641"/>
    <cellStyle name="20% - Accent2 3 4 9" xfId="20642"/>
    <cellStyle name="20% - Accent2 3 4 9 2" xfId="20643"/>
    <cellStyle name="20% - Accent2 3 5" xfId="20644"/>
    <cellStyle name="20% - Accent2 3 5 10" xfId="20645"/>
    <cellStyle name="20% - Accent2 3 5 11" xfId="20646"/>
    <cellStyle name="20% - Accent2 3 5 12" xfId="20647"/>
    <cellStyle name="20% - Accent2 3 5 13" xfId="20648"/>
    <cellStyle name="20% - Accent2 3 5 2" xfId="20649"/>
    <cellStyle name="20% - Accent2 3 5 2 10" xfId="20650"/>
    <cellStyle name="20% - Accent2 3 5 2 11" xfId="20651"/>
    <cellStyle name="20% - Accent2 3 5 2 2" xfId="20652"/>
    <cellStyle name="20% - Accent2 3 5 2 2 10" xfId="20653"/>
    <cellStyle name="20% - Accent2 3 5 2 2 2" xfId="20654"/>
    <cellStyle name="20% - Accent2 3 5 2 2 2 2" xfId="20655"/>
    <cellStyle name="20% - Accent2 3 5 2 2 2 2 2" xfId="20656"/>
    <cellStyle name="20% - Accent2 3 5 2 2 2 3" xfId="20657"/>
    <cellStyle name="20% - Accent2 3 5 2 2 2 3 2" xfId="20658"/>
    <cellStyle name="20% - Accent2 3 5 2 2 2 4" xfId="20659"/>
    <cellStyle name="20% - Accent2 3 5 2 2 2 5" xfId="20660"/>
    <cellStyle name="20% - Accent2 3 5 2 2 2 6" xfId="20661"/>
    <cellStyle name="20% - Accent2 3 5 2 2 2 7" xfId="20662"/>
    <cellStyle name="20% - Accent2 3 5 2 2 3" xfId="20663"/>
    <cellStyle name="20% - Accent2 3 5 2 2 3 2" xfId="20664"/>
    <cellStyle name="20% - Accent2 3 5 2 2 3 2 2" xfId="20665"/>
    <cellStyle name="20% - Accent2 3 5 2 2 3 3" xfId="20666"/>
    <cellStyle name="20% - Accent2 3 5 2 2 3 3 2" xfId="20667"/>
    <cellStyle name="20% - Accent2 3 5 2 2 3 4" xfId="20668"/>
    <cellStyle name="20% - Accent2 3 5 2 2 3 5" xfId="20669"/>
    <cellStyle name="20% - Accent2 3 5 2 2 3 6" xfId="20670"/>
    <cellStyle name="20% - Accent2 3 5 2 2 3 7" xfId="20671"/>
    <cellStyle name="20% - Accent2 3 5 2 2 4" xfId="20672"/>
    <cellStyle name="20% - Accent2 3 5 2 2 4 2" xfId="20673"/>
    <cellStyle name="20% - Accent2 3 5 2 2 4 2 2" xfId="20674"/>
    <cellStyle name="20% - Accent2 3 5 2 2 4 3" xfId="20675"/>
    <cellStyle name="20% - Accent2 3 5 2 2 4 3 2" xfId="20676"/>
    <cellStyle name="20% - Accent2 3 5 2 2 4 4" xfId="20677"/>
    <cellStyle name="20% - Accent2 3 5 2 2 4 5" xfId="20678"/>
    <cellStyle name="20% - Accent2 3 5 2 2 4 6" xfId="20679"/>
    <cellStyle name="20% - Accent2 3 5 2 2 4 7" xfId="20680"/>
    <cellStyle name="20% - Accent2 3 5 2 2 5" xfId="20681"/>
    <cellStyle name="20% - Accent2 3 5 2 2 5 2" xfId="20682"/>
    <cellStyle name="20% - Accent2 3 5 2 2 6" xfId="20683"/>
    <cellStyle name="20% - Accent2 3 5 2 2 6 2" xfId="20684"/>
    <cellStyle name="20% - Accent2 3 5 2 2 7" xfId="20685"/>
    <cellStyle name="20% - Accent2 3 5 2 2 8" xfId="20686"/>
    <cellStyle name="20% - Accent2 3 5 2 2 9" xfId="20687"/>
    <cellStyle name="20% - Accent2 3 5 2 3" xfId="20688"/>
    <cellStyle name="20% - Accent2 3 5 2 3 2" xfId="20689"/>
    <cellStyle name="20% - Accent2 3 5 2 3 2 2" xfId="20690"/>
    <cellStyle name="20% - Accent2 3 5 2 3 3" xfId="20691"/>
    <cellStyle name="20% - Accent2 3 5 2 3 3 2" xfId="20692"/>
    <cellStyle name="20% - Accent2 3 5 2 3 4" xfId="20693"/>
    <cellStyle name="20% - Accent2 3 5 2 3 5" xfId="20694"/>
    <cellStyle name="20% - Accent2 3 5 2 3 6" xfId="20695"/>
    <cellStyle name="20% - Accent2 3 5 2 3 7" xfId="20696"/>
    <cellStyle name="20% - Accent2 3 5 2 4" xfId="20697"/>
    <cellStyle name="20% - Accent2 3 5 2 4 2" xfId="20698"/>
    <cellStyle name="20% - Accent2 3 5 2 4 2 2" xfId="20699"/>
    <cellStyle name="20% - Accent2 3 5 2 4 3" xfId="20700"/>
    <cellStyle name="20% - Accent2 3 5 2 4 3 2" xfId="20701"/>
    <cellStyle name="20% - Accent2 3 5 2 4 4" xfId="20702"/>
    <cellStyle name="20% - Accent2 3 5 2 4 5" xfId="20703"/>
    <cellStyle name="20% - Accent2 3 5 2 4 6" xfId="20704"/>
    <cellStyle name="20% - Accent2 3 5 2 4 7" xfId="20705"/>
    <cellStyle name="20% - Accent2 3 5 2 5" xfId="20706"/>
    <cellStyle name="20% - Accent2 3 5 2 5 2" xfId="20707"/>
    <cellStyle name="20% - Accent2 3 5 2 5 2 2" xfId="20708"/>
    <cellStyle name="20% - Accent2 3 5 2 5 3" xfId="20709"/>
    <cellStyle name="20% - Accent2 3 5 2 5 3 2" xfId="20710"/>
    <cellStyle name="20% - Accent2 3 5 2 5 4" xfId="20711"/>
    <cellStyle name="20% - Accent2 3 5 2 5 5" xfId="20712"/>
    <cellStyle name="20% - Accent2 3 5 2 5 6" xfId="20713"/>
    <cellStyle name="20% - Accent2 3 5 2 5 7" xfId="20714"/>
    <cellStyle name="20% - Accent2 3 5 2 6" xfId="20715"/>
    <cellStyle name="20% - Accent2 3 5 2 6 2" xfId="20716"/>
    <cellStyle name="20% - Accent2 3 5 2 7" xfId="20717"/>
    <cellStyle name="20% - Accent2 3 5 2 7 2" xfId="20718"/>
    <cellStyle name="20% - Accent2 3 5 2 8" xfId="20719"/>
    <cellStyle name="20% - Accent2 3 5 2 9" xfId="20720"/>
    <cellStyle name="20% - Accent2 3 5 3" xfId="20721"/>
    <cellStyle name="20% - Accent2 3 5 3 10" xfId="20722"/>
    <cellStyle name="20% - Accent2 3 5 3 11" xfId="20723"/>
    <cellStyle name="20% - Accent2 3 5 3 2" xfId="20724"/>
    <cellStyle name="20% - Accent2 3 5 3 2 10" xfId="20725"/>
    <cellStyle name="20% - Accent2 3 5 3 2 2" xfId="20726"/>
    <cellStyle name="20% - Accent2 3 5 3 2 2 2" xfId="20727"/>
    <cellStyle name="20% - Accent2 3 5 3 2 2 2 2" xfId="20728"/>
    <cellStyle name="20% - Accent2 3 5 3 2 2 3" xfId="20729"/>
    <cellStyle name="20% - Accent2 3 5 3 2 2 3 2" xfId="20730"/>
    <cellStyle name="20% - Accent2 3 5 3 2 2 4" xfId="20731"/>
    <cellStyle name="20% - Accent2 3 5 3 2 2 5" xfId="20732"/>
    <cellStyle name="20% - Accent2 3 5 3 2 2 6" xfId="20733"/>
    <cellStyle name="20% - Accent2 3 5 3 2 2 7" xfId="20734"/>
    <cellStyle name="20% - Accent2 3 5 3 2 3" xfId="20735"/>
    <cellStyle name="20% - Accent2 3 5 3 2 3 2" xfId="20736"/>
    <cellStyle name="20% - Accent2 3 5 3 2 3 2 2" xfId="20737"/>
    <cellStyle name="20% - Accent2 3 5 3 2 3 3" xfId="20738"/>
    <cellStyle name="20% - Accent2 3 5 3 2 3 3 2" xfId="20739"/>
    <cellStyle name="20% - Accent2 3 5 3 2 3 4" xfId="20740"/>
    <cellStyle name="20% - Accent2 3 5 3 2 3 5" xfId="20741"/>
    <cellStyle name="20% - Accent2 3 5 3 2 3 6" xfId="20742"/>
    <cellStyle name="20% - Accent2 3 5 3 2 3 7" xfId="20743"/>
    <cellStyle name="20% - Accent2 3 5 3 2 4" xfId="20744"/>
    <cellStyle name="20% - Accent2 3 5 3 2 4 2" xfId="20745"/>
    <cellStyle name="20% - Accent2 3 5 3 2 4 2 2" xfId="20746"/>
    <cellStyle name="20% - Accent2 3 5 3 2 4 3" xfId="20747"/>
    <cellStyle name="20% - Accent2 3 5 3 2 4 3 2" xfId="20748"/>
    <cellStyle name="20% - Accent2 3 5 3 2 4 4" xfId="20749"/>
    <cellStyle name="20% - Accent2 3 5 3 2 4 5" xfId="20750"/>
    <cellStyle name="20% - Accent2 3 5 3 2 4 6" xfId="20751"/>
    <cellStyle name="20% - Accent2 3 5 3 2 4 7" xfId="20752"/>
    <cellStyle name="20% - Accent2 3 5 3 2 5" xfId="20753"/>
    <cellStyle name="20% - Accent2 3 5 3 2 5 2" xfId="20754"/>
    <cellStyle name="20% - Accent2 3 5 3 2 6" xfId="20755"/>
    <cellStyle name="20% - Accent2 3 5 3 2 6 2" xfId="20756"/>
    <cellStyle name="20% - Accent2 3 5 3 2 7" xfId="20757"/>
    <cellStyle name="20% - Accent2 3 5 3 2 8" xfId="20758"/>
    <cellStyle name="20% - Accent2 3 5 3 2 9" xfId="20759"/>
    <cellStyle name="20% - Accent2 3 5 3 3" xfId="20760"/>
    <cellStyle name="20% - Accent2 3 5 3 3 2" xfId="20761"/>
    <cellStyle name="20% - Accent2 3 5 3 3 2 2" xfId="20762"/>
    <cellStyle name="20% - Accent2 3 5 3 3 3" xfId="20763"/>
    <cellStyle name="20% - Accent2 3 5 3 3 3 2" xfId="20764"/>
    <cellStyle name="20% - Accent2 3 5 3 3 4" xfId="20765"/>
    <cellStyle name="20% - Accent2 3 5 3 3 5" xfId="20766"/>
    <cellStyle name="20% - Accent2 3 5 3 3 6" xfId="20767"/>
    <cellStyle name="20% - Accent2 3 5 3 3 7" xfId="20768"/>
    <cellStyle name="20% - Accent2 3 5 3 4" xfId="20769"/>
    <cellStyle name="20% - Accent2 3 5 3 4 2" xfId="20770"/>
    <cellStyle name="20% - Accent2 3 5 3 4 2 2" xfId="20771"/>
    <cellStyle name="20% - Accent2 3 5 3 4 3" xfId="20772"/>
    <cellStyle name="20% - Accent2 3 5 3 4 3 2" xfId="20773"/>
    <cellStyle name="20% - Accent2 3 5 3 4 4" xfId="20774"/>
    <cellStyle name="20% - Accent2 3 5 3 4 5" xfId="20775"/>
    <cellStyle name="20% - Accent2 3 5 3 4 6" xfId="20776"/>
    <cellStyle name="20% - Accent2 3 5 3 4 7" xfId="20777"/>
    <cellStyle name="20% - Accent2 3 5 3 5" xfId="20778"/>
    <cellStyle name="20% - Accent2 3 5 3 5 2" xfId="20779"/>
    <cellStyle name="20% - Accent2 3 5 3 5 2 2" xfId="20780"/>
    <cellStyle name="20% - Accent2 3 5 3 5 3" xfId="20781"/>
    <cellStyle name="20% - Accent2 3 5 3 5 3 2" xfId="20782"/>
    <cellStyle name="20% - Accent2 3 5 3 5 4" xfId="20783"/>
    <cellStyle name="20% - Accent2 3 5 3 5 5" xfId="20784"/>
    <cellStyle name="20% - Accent2 3 5 3 5 6" xfId="20785"/>
    <cellStyle name="20% - Accent2 3 5 3 5 7" xfId="20786"/>
    <cellStyle name="20% - Accent2 3 5 3 6" xfId="20787"/>
    <cellStyle name="20% - Accent2 3 5 3 6 2" xfId="20788"/>
    <cellStyle name="20% - Accent2 3 5 3 7" xfId="20789"/>
    <cellStyle name="20% - Accent2 3 5 3 7 2" xfId="20790"/>
    <cellStyle name="20% - Accent2 3 5 3 8" xfId="20791"/>
    <cellStyle name="20% - Accent2 3 5 3 9" xfId="20792"/>
    <cellStyle name="20% - Accent2 3 5 4" xfId="20793"/>
    <cellStyle name="20% - Accent2 3 5 4 10" xfId="20794"/>
    <cellStyle name="20% - Accent2 3 5 4 2" xfId="20795"/>
    <cellStyle name="20% - Accent2 3 5 4 2 2" xfId="20796"/>
    <cellStyle name="20% - Accent2 3 5 4 2 2 2" xfId="20797"/>
    <cellStyle name="20% - Accent2 3 5 4 2 3" xfId="20798"/>
    <cellStyle name="20% - Accent2 3 5 4 2 3 2" xfId="20799"/>
    <cellStyle name="20% - Accent2 3 5 4 2 4" xfId="20800"/>
    <cellStyle name="20% - Accent2 3 5 4 2 5" xfId="20801"/>
    <cellStyle name="20% - Accent2 3 5 4 2 6" xfId="20802"/>
    <cellStyle name="20% - Accent2 3 5 4 2 7" xfId="20803"/>
    <cellStyle name="20% - Accent2 3 5 4 3" xfId="20804"/>
    <cellStyle name="20% - Accent2 3 5 4 3 2" xfId="20805"/>
    <cellStyle name="20% - Accent2 3 5 4 3 2 2" xfId="20806"/>
    <cellStyle name="20% - Accent2 3 5 4 3 3" xfId="20807"/>
    <cellStyle name="20% - Accent2 3 5 4 3 3 2" xfId="20808"/>
    <cellStyle name="20% - Accent2 3 5 4 3 4" xfId="20809"/>
    <cellStyle name="20% - Accent2 3 5 4 3 5" xfId="20810"/>
    <cellStyle name="20% - Accent2 3 5 4 3 6" xfId="20811"/>
    <cellStyle name="20% - Accent2 3 5 4 3 7" xfId="20812"/>
    <cellStyle name="20% - Accent2 3 5 4 4" xfId="20813"/>
    <cellStyle name="20% - Accent2 3 5 4 4 2" xfId="20814"/>
    <cellStyle name="20% - Accent2 3 5 4 4 2 2" xfId="20815"/>
    <cellStyle name="20% - Accent2 3 5 4 4 3" xfId="20816"/>
    <cellStyle name="20% - Accent2 3 5 4 4 3 2" xfId="20817"/>
    <cellStyle name="20% - Accent2 3 5 4 4 4" xfId="20818"/>
    <cellStyle name="20% - Accent2 3 5 4 4 5" xfId="20819"/>
    <cellStyle name="20% - Accent2 3 5 4 4 6" xfId="20820"/>
    <cellStyle name="20% - Accent2 3 5 4 4 7" xfId="20821"/>
    <cellStyle name="20% - Accent2 3 5 4 5" xfId="20822"/>
    <cellStyle name="20% - Accent2 3 5 4 5 2" xfId="20823"/>
    <cellStyle name="20% - Accent2 3 5 4 6" xfId="20824"/>
    <cellStyle name="20% - Accent2 3 5 4 6 2" xfId="20825"/>
    <cellStyle name="20% - Accent2 3 5 4 7" xfId="20826"/>
    <cellStyle name="20% - Accent2 3 5 4 8" xfId="20827"/>
    <cellStyle name="20% - Accent2 3 5 4 9" xfId="20828"/>
    <cellStyle name="20% - Accent2 3 5 5" xfId="20829"/>
    <cellStyle name="20% - Accent2 3 5 5 2" xfId="20830"/>
    <cellStyle name="20% - Accent2 3 5 5 2 2" xfId="20831"/>
    <cellStyle name="20% - Accent2 3 5 5 3" xfId="20832"/>
    <cellStyle name="20% - Accent2 3 5 5 3 2" xfId="20833"/>
    <cellStyle name="20% - Accent2 3 5 5 4" xfId="20834"/>
    <cellStyle name="20% - Accent2 3 5 5 5" xfId="20835"/>
    <cellStyle name="20% - Accent2 3 5 5 6" xfId="20836"/>
    <cellStyle name="20% - Accent2 3 5 5 7" xfId="20837"/>
    <cellStyle name="20% - Accent2 3 5 6" xfId="20838"/>
    <cellStyle name="20% - Accent2 3 5 6 2" xfId="20839"/>
    <cellStyle name="20% - Accent2 3 5 6 2 2" xfId="20840"/>
    <cellStyle name="20% - Accent2 3 5 6 3" xfId="20841"/>
    <cellStyle name="20% - Accent2 3 5 6 3 2" xfId="20842"/>
    <cellStyle name="20% - Accent2 3 5 6 4" xfId="20843"/>
    <cellStyle name="20% - Accent2 3 5 6 5" xfId="20844"/>
    <cellStyle name="20% - Accent2 3 5 6 6" xfId="20845"/>
    <cellStyle name="20% - Accent2 3 5 6 7" xfId="20846"/>
    <cellStyle name="20% - Accent2 3 5 7" xfId="20847"/>
    <cellStyle name="20% - Accent2 3 5 7 2" xfId="20848"/>
    <cellStyle name="20% - Accent2 3 5 7 2 2" xfId="20849"/>
    <cellStyle name="20% - Accent2 3 5 7 3" xfId="20850"/>
    <cellStyle name="20% - Accent2 3 5 7 3 2" xfId="20851"/>
    <cellStyle name="20% - Accent2 3 5 7 4" xfId="20852"/>
    <cellStyle name="20% - Accent2 3 5 7 5" xfId="20853"/>
    <cellStyle name="20% - Accent2 3 5 7 6" xfId="20854"/>
    <cellStyle name="20% - Accent2 3 5 7 7" xfId="20855"/>
    <cellStyle name="20% - Accent2 3 5 8" xfId="20856"/>
    <cellStyle name="20% - Accent2 3 5 8 2" xfId="20857"/>
    <cellStyle name="20% - Accent2 3 5 9" xfId="20858"/>
    <cellStyle name="20% - Accent2 3 5 9 2" xfId="20859"/>
    <cellStyle name="20% - Accent2 3 6" xfId="20860"/>
    <cellStyle name="20% - Accent2 3 6 10" xfId="20861"/>
    <cellStyle name="20% - Accent2 3 6 11" xfId="20862"/>
    <cellStyle name="20% - Accent2 3 6 12" xfId="20863"/>
    <cellStyle name="20% - Accent2 3 6 13" xfId="20864"/>
    <cellStyle name="20% - Accent2 3 6 2" xfId="20865"/>
    <cellStyle name="20% - Accent2 3 6 2 10" xfId="20866"/>
    <cellStyle name="20% - Accent2 3 6 2 11" xfId="20867"/>
    <cellStyle name="20% - Accent2 3 6 2 2" xfId="20868"/>
    <cellStyle name="20% - Accent2 3 6 2 2 10" xfId="20869"/>
    <cellStyle name="20% - Accent2 3 6 2 2 2" xfId="20870"/>
    <cellStyle name="20% - Accent2 3 6 2 2 2 2" xfId="20871"/>
    <cellStyle name="20% - Accent2 3 6 2 2 2 2 2" xfId="20872"/>
    <cellStyle name="20% - Accent2 3 6 2 2 2 3" xfId="20873"/>
    <cellStyle name="20% - Accent2 3 6 2 2 2 3 2" xfId="20874"/>
    <cellStyle name="20% - Accent2 3 6 2 2 2 4" xfId="20875"/>
    <cellStyle name="20% - Accent2 3 6 2 2 2 5" xfId="20876"/>
    <cellStyle name="20% - Accent2 3 6 2 2 2 6" xfId="20877"/>
    <cellStyle name="20% - Accent2 3 6 2 2 2 7" xfId="20878"/>
    <cellStyle name="20% - Accent2 3 6 2 2 3" xfId="20879"/>
    <cellStyle name="20% - Accent2 3 6 2 2 3 2" xfId="20880"/>
    <cellStyle name="20% - Accent2 3 6 2 2 3 2 2" xfId="20881"/>
    <cellStyle name="20% - Accent2 3 6 2 2 3 3" xfId="20882"/>
    <cellStyle name="20% - Accent2 3 6 2 2 3 3 2" xfId="20883"/>
    <cellStyle name="20% - Accent2 3 6 2 2 3 4" xfId="20884"/>
    <cellStyle name="20% - Accent2 3 6 2 2 3 5" xfId="20885"/>
    <cellStyle name="20% - Accent2 3 6 2 2 3 6" xfId="20886"/>
    <cellStyle name="20% - Accent2 3 6 2 2 3 7" xfId="20887"/>
    <cellStyle name="20% - Accent2 3 6 2 2 4" xfId="20888"/>
    <cellStyle name="20% - Accent2 3 6 2 2 4 2" xfId="20889"/>
    <cellStyle name="20% - Accent2 3 6 2 2 4 2 2" xfId="20890"/>
    <cellStyle name="20% - Accent2 3 6 2 2 4 3" xfId="20891"/>
    <cellStyle name="20% - Accent2 3 6 2 2 4 3 2" xfId="20892"/>
    <cellStyle name="20% - Accent2 3 6 2 2 4 4" xfId="20893"/>
    <cellStyle name="20% - Accent2 3 6 2 2 4 5" xfId="20894"/>
    <cellStyle name="20% - Accent2 3 6 2 2 4 6" xfId="20895"/>
    <cellStyle name="20% - Accent2 3 6 2 2 4 7" xfId="20896"/>
    <cellStyle name="20% - Accent2 3 6 2 2 5" xfId="20897"/>
    <cellStyle name="20% - Accent2 3 6 2 2 5 2" xfId="20898"/>
    <cellStyle name="20% - Accent2 3 6 2 2 6" xfId="20899"/>
    <cellStyle name="20% - Accent2 3 6 2 2 6 2" xfId="20900"/>
    <cellStyle name="20% - Accent2 3 6 2 2 7" xfId="20901"/>
    <cellStyle name="20% - Accent2 3 6 2 2 8" xfId="20902"/>
    <cellStyle name="20% - Accent2 3 6 2 2 9" xfId="20903"/>
    <cellStyle name="20% - Accent2 3 6 2 3" xfId="20904"/>
    <cellStyle name="20% - Accent2 3 6 2 3 2" xfId="20905"/>
    <cellStyle name="20% - Accent2 3 6 2 3 2 2" xfId="20906"/>
    <cellStyle name="20% - Accent2 3 6 2 3 3" xfId="20907"/>
    <cellStyle name="20% - Accent2 3 6 2 3 3 2" xfId="20908"/>
    <cellStyle name="20% - Accent2 3 6 2 3 4" xfId="20909"/>
    <cellStyle name="20% - Accent2 3 6 2 3 5" xfId="20910"/>
    <cellStyle name="20% - Accent2 3 6 2 3 6" xfId="20911"/>
    <cellStyle name="20% - Accent2 3 6 2 3 7" xfId="20912"/>
    <cellStyle name="20% - Accent2 3 6 2 4" xfId="20913"/>
    <cellStyle name="20% - Accent2 3 6 2 4 2" xfId="20914"/>
    <cellStyle name="20% - Accent2 3 6 2 4 2 2" xfId="20915"/>
    <cellStyle name="20% - Accent2 3 6 2 4 3" xfId="20916"/>
    <cellStyle name="20% - Accent2 3 6 2 4 3 2" xfId="20917"/>
    <cellStyle name="20% - Accent2 3 6 2 4 4" xfId="20918"/>
    <cellStyle name="20% - Accent2 3 6 2 4 5" xfId="20919"/>
    <cellStyle name="20% - Accent2 3 6 2 4 6" xfId="20920"/>
    <cellStyle name="20% - Accent2 3 6 2 4 7" xfId="20921"/>
    <cellStyle name="20% - Accent2 3 6 2 5" xfId="20922"/>
    <cellStyle name="20% - Accent2 3 6 2 5 2" xfId="20923"/>
    <cellStyle name="20% - Accent2 3 6 2 5 2 2" xfId="20924"/>
    <cellStyle name="20% - Accent2 3 6 2 5 3" xfId="20925"/>
    <cellStyle name="20% - Accent2 3 6 2 5 3 2" xfId="20926"/>
    <cellStyle name="20% - Accent2 3 6 2 5 4" xfId="20927"/>
    <cellStyle name="20% - Accent2 3 6 2 5 5" xfId="20928"/>
    <cellStyle name="20% - Accent2 3 6 2 5 6" xfId="20929"/>
    <cellStyle name="20% - Accent2 3 6 2 5 7" xfId="20930"/>
    <cellStyle name="20% - Accent2 3 6 2 6" xfId="20931"/>
    <cellStyle name="20% - Accent2 3 6 2 6 2" xfId="20932"/>
    <cellStyle name="20% - Accent2 3 6 2 7" xfId="20933"/>
    <cellStyle name="20% - Accent2 3 6 2 7 2" xfId="20934"/>
    <cellStyle name="20% - Accent2 3 6 2 8" xfId="20935"/>
    <cellStyle name="20% - Accent2 3 6 2 9" xfId="20936"/>
    <cellStyle name="20% - Accent2 3 6 3" xfId="20937"/>
    <cellStyle name="20% - Accent2 3 6 3 10" xfId="20938"/>
    <cellStyle name="20% - Accent2 3 6 3 11" xfId="20939"/>
    <cellStyle name="20% - Accent2 3 6 3 2" xfId="20940"/>
    <cellStyle name="20% - Accent2 3 6 3 2 10" xfId="20941"/>
    <cellStyle name="20% - Accent2 3 6 3 2 2" xfId="20942"/>
    <cellStyle name="20% - Accent2 3 6 3 2 2 2" xfId="20943"/>
    <cellStyle name="20% - Accent2 3 6 3 2 2 2 2" xfId="20944"/>
    <cellStyle name="20% - Accent2 3 6 3 2 2 3" xfId="20945"/>
    <cellStyle name="20% - Accent2 3 6 3 2 2 3 2" xfId="20946"/>
    <cellStyle name="20% - Accent2 3 6 3 2 2 4" xfId="20947"/>
    <cellStyle name="20% - Accent2 3 6 3 2 2 5" xfId="20948"/>
    <cellStyle name="20% - Accent2 3 6 3 2 2 6" xfId="20949"/>
    <cellStyle name="20% - Accent2 3 6 3 2 2 7" xfId="20950"/>
    <cellStyle name="20% - Accent2 3 6 3 2 3" xfId="20951"/>
    <cellStyle name="20% - Accent2 3 6 3 2 3 2" xfId="20952"/>
    <cellStyle name="20% - Accent2 3 6 3 2 3 2 2" xfId="20953"/>
    <cellStyle name="20% - Accent2 3 6 3 2 3 3" xfId="20954"/>
    <cellStyle name="20% - Accent2 3 6 3 2 3 3 2" xfId="20955"/>
    <cellStyle name="20% - Accent2 3 6 3 2 3 4" xfId="20956"/>
    <cellStyle name="20% - Accent2 3 6 3 2 3 5" xfId="20957"/>
    <cellStyle name="20% - Accent2 3 6 3 2 3 6" xfId="20958"/>
    <cellStyle name="20% - Accent2 3 6 3 2 3 7" xfId="20959"/>
    <cellStyle name="20% - Accent2 3 6 3 2 4" xfId="20960"/>
    <cellStyle name="20% - Accent2 3 6 3 2 4 2" xfId="20961"/>
    <cellStyle name="20% - Accent2 3 6 3 2 4 2 2" xfId="20962"/>
    <cellStyle name="20% - Accent2 3 6 3 2 4 3" xfId="20963"/>
    <cellStyle name="20% - Accent2 3 6 3 2 4 3 2" xfId="20964"/>
    <cellStyle name="20% - Accent2 3 6 3 2 4 4" xfId="20965"/>
    <cellStyle name="20% - Accent2 3 6 3 2 4 5" xfId="20966"/>
    <cellStyle name="20% - Accent2 3 6 3 2 4 6" xfId="20967"/>
    <cellStyle name="20% - Accent2 3 6 3 2 4 7" xfId="20968"/>
    <cellStyle name="20% - Accent2 3 6 3 2 5" xfId="20969"/>
    <cellStyle name="20% - Accent2 3 6 3 2 5 2" xfId="20970"/>
    <cellStyle name="20% - Accent2 3 6 3 2 6" xfId="20971"/>
    <cellStyle name="20% - Accent2 3 6 3 2 6 2" xfId="20972"/>
    <cellStyle name="20% - Accent2 3 6 3 2 7" xfId="20973"/>
    <cellStyle name="20% - Accent2 3 6 3 2 8" xfId="20974"/>
    <cellStyle name="20% - Accent2 3 6 3 2 9" xfId="20975"/>
    <cellStyle name="20% - Accent2 3 6 3 3" xfId="20976"/>
    <cellStyle name="20% - Accent2 3 6 3 3 2" xfId="20977"/>
    <cellStyle name="20% - Accent2 3 6 3 3 2 2" xfId="20978"/>
    <cellStyle name="20% - Accent2 3 6 3 3 3" xfId="20979"/>
    <cellStyle name="20% - Accent2 3 6 3 3 3 2" xfId="20980"/>
    <cellStyle name="20% - Accent2 3 6 3 3 4" xfId="20981"/>
    <cellStyle name="20% - Accent2 3 6 3 3 5" xfId="20982"/>
    <cellStyle name="20% - Accent2 3 6 3 3 6" xfId="20983"/>
    <cellStyle name="20% - Accent2 3 6 3 3 7" xfId="20984"/>
    <cellStyle name="20% - Accent2 3 6 3 4" xfId="20985"/>
    <cellStyle name="20% - Accent2 3 6 3 4 2" xfId="20986"/>
    <cellStyle name="20% - Accent2 3 6 3 4 2 2" xfId="20987"/>
    <cellStyle name="20% - Accent2 3 6 3 4 3" xfId="20988"/>
    <cellStyle name="20% - Accent2 3 6 3 4 3 2" xfId="20989"/>
    <cellStyle name="20% - Accent2 3 6 3 4 4" xfId="20990"/>
    <cellStyle name="20% - Accent2 3 6 3 4 5" xfId="20991"/>
    <cellStyle name="20% - Accent2 3 6 3 4 6" xfId="20992"/>
    <cellStyle name="20% - Accent2 3 6 3 4 7" xfId="20993"/>
    <cellStyle name="20% - Accent2 3 6 3 5" xfId="20994"/>
    <cellStyle name="20% - Accent2 3 6 3 5 2" xfId="20995"/>
    <cellStyle name="20% - Accent2 3 6 3 5 2 2" xfId="20996"/>
    <cellStyle name="20% - Accent2 3 6 3 5 3" xfId="20997"/>
    <cellStyle name="20% - Accent2 3 6 3 5 3 2" xfId="20998"/>
    <cellStyle name="20% - Accent2 3 6 3 5 4" xfId="20999"/>
    <cellStyle name="20% - Accent2 3 6 3 5 5" xfId="21000"/>
    <cellStyle name="20% - Accent2 3 6 3 5 6" xfId="21001"/>
    <cellStyle name="20% - Accent2 3 6 3 5 7" xfId="21002"/>
    <cellStyle name="20% - Accent2 3 6 3 6" xfId="21003"/>
    <cellStyle name="20% - Accent2 3 6 3 6 2" xfId="21004"/>
    <cellStyle name="20% - Accent2 3 6 3 7" xfId="21005"/>
    <cellStyle name="20% - Accent2 3 6 3 7 2" xfId="21006"/>
    <cellStyle name="20% - Accent2 3 6 3 8" xfId="21007"/>
    <cellStyle name="20% - Accent2 3 6 3 9" xfId="21008"/>
    <cellStyle name="20% - Accent2 3 6 4" xfId="21009"/>
    <cellStyle name="20% - Accent2 3 6 4 10" xfId="21010"/>
    <cellStyle name="20% - Accent2 3 6 4 2" xfId="21011"/>
    <cellStyle name="20% - Accent2 3 6 4 2 2" xfId="21012"/>
    <cellStyle name="20% - Accent2 3 6 4 2 2 2" xfId="21013"/>
    <cellStyle name="20% - Accent2 3 6 4 2 3" xfId="21014"/>
    <cellStyle name="20% - Accent2 3 6 4 2 3 2" xfId="21015"/>
    <cellStyle name="20% - Accent2 3 6 4 2 4" xfId="21016"/>
    <cellStyle name="20% - Accent2 3 6 4 2 5" xfId="21017"/>
    <cellStyle name="20% - Accent2 3 6 4 2 6" xfId="21018"/>
    <cellStyle name="20% - Accent2 3 6 4 2 7" xfId="21019"/>
    <cellStyle name="20% - Accent2 3 6 4 3" xfId="21020"/>
    <cellStyle name="20% - Accent2 3 6 4 3 2" xfId="21021"/>
    <cellStyle name="20% - Accent2 3 6 4 3 2 2" xfId="21022"/>
    <cellStyle name="20% - Accent2 3 6 4 3 3" xfId="21023"/>
    <cellStyle name="20% - Accent2 3 6 4 3 3 2" xfId="21024"/>
    <cellStyle name="20% - Accent2 3 6 4 3 4" xfId="21025"/>
    <cellStyle name="20% - Accent2 3 6 4 3 5" xfId="21026"/>
    <cellStyle name="20% - Accent2 3 6 4 3 6" xfId="21027"/>
    <cellStyle name="20% - Accent2 3 6 4 3 7" xfId="21028"/>
    <cellStyle name="20% - Accent2 3 6 4 4" xfId="21029"/>
    <cellStyle name="20% - Accent2 3 6 4 4 2" xfId="21030"/>
    <cellStyle name="20% - Accent2 3 6 4 4 2 2" xfId="21031"/>
    <cellStyle name="20% - Accent2 3 6 4 4 3" xfId="21032"/>
    <cellStyle name="20% - Accent2 3 6 4 4 3 2" xfId="21033"/>
    <cellStyle name="20% - Accent2 3 6 4 4 4" xfId="21034"/>
    <cellStyle name="20% - Accent2 3 6 4 4 5" xfId="21035"/>
    <cellStyle name="20% - Accent2 3 6 4 4 6" xfId="21036"/>
    <cellStyle name="20% - Accent2 3 6 4 4 7" xfId="21037"/>
    <cellStyle name="20% - Accent2 3 6 4 5" xfId="21038"/>
    <cellStyle name="20% - Accent2 3 6 4 5 2" xfId="21039"/>
    <cellStyle name="20% - Accent2 3 6 4 6" xfId="21040"/>
    <cellStyle name="20% - Accent2 3 6 4 6 2" xfId="21041"/>
    <cellStyle name="20% - Accent2 3 6 4 7" xfId="21042"/>
    <cellStyle name="20% - Accent2 3 6 4 8" xfId="21043"/>
    <cellStyle name="20% - Accent2 3 6 4 9" xfId="21044"/>
    <cellStyle name="20% - Accent2 3 6 5" xfId="21045"/>
    <cellStyle name="20% - Accent2 3 6 5 2" xfId="21046"/>
    <cellStyle name="20% - Accent2 3 6 5 2 2" xfId="21047"/>
    <cellStyle name="20% - Accent2 3 6 5 3" xfId="21048"/>
    <cellStyle name="20% - Accent2 3 6 5 3 2" xfId="21049"/>
    <cellStyle name="20% - Accent2 3 6 5 4" xfId="21050"/>
    <cellStyle name="20% - Accent2 3 6 5 5" xfId="21051"/>
    <cellStyle name="20% - Accent2 3 6 5 6" xfId="21052"/>
    <cellStyle name="20% - Accent2 3 6 5 7" xfId="21053"/>
    <cellStyle name="20% - Accent2 3 6 6" xfId="21054"/>
    <cellStyle name="20% - Accent2 3 6 6 2" xfId="21055"/>
    <cellStyle name="20% - Accent2 3 6 6 2 2" xfId="21056"/>
    <cellStyle name="20% - Accent2 3 6 6 3" xfId="21057"/>
    <cellStyle name="20% - Accent2 3 6 6 3 2" xfId="21058"/>
    <cellStyle name="20% - Accent2 3 6 6 4" xfId="21059"/>
    <cellStyle name="20% - Accent2 3 6 6 5" xfId="21060"/>
    <cellStyle name="20% - Accent2 3 6 6 6" xfId="21061"/>
    <cellStyle name="20% - Accent2 3 6 6 7" xfId="21062"/>
    <cellStyle name="20% - Accent2 3 6 7" xfId="21063"/>
    <cellStyle name="20% - Accent2 3 6 7 2" xfId="21064"/>
    <cellStyle name="20% - Accent2 3 6 7 2 2" xfId="21065"/>
    <cellStyle name="20% - Accent2 3 6 7 3" xfId="21066"/>
    <cellStyle name="20% - Accent2 3 6 7 3 2" xfId="21067"/>
    <cellStyle name="20% - Accent2 3 6 7 4" xfId="21068"/>
    <cellStyle name="20% - Accent2 3 6 7 5" xfId="21069"/>
    <cellStyle name="20% - Accent2 3 6 7 6" xfId="21070"/>
    <cellStyle name="20% - Accent2 3 6 7 7" xfId="21071"/>
    <cellStyle name="20% - Accent2 3 6 8" xfId="21072"/>
    <cellStyle name="20% - Accent2 3 6 8 2" xfId="21073"/>
    <cellStyle name="20% - Accent2 3 6 9" xfId="21074"/>
    <cellStyle name="20% - Accent2 3 6 9 2" xfId="21075"/>
    <cellStyle name="20% - Accent2 3 7" xfId="21076"/>
    <cellStyle name="20% - Accent2 3 7 10" xfId="21077"/>
    <cellStyle name="20% - Accent2 3 7 11" xfId="21078"/>
    <cellStyle name="20% - Accent2 3 7 2" xfId="21079"/>
    <cellStyle name="20% - Accent2 3 7 2 10" xfId="21080"/>
    <cellStyle name="20% - Accent2 3 7 2 2" xfId="21081"/>
    <cellStyle name="20% - Accent2 3 7 2 2 2" xfId="21082"/>
    <cellStyle name="20% - Accent2 3 7 2 2 2 2" xfId="21083"/>
    <cellStyle name="20% - Accent2 3 7 2 2 3" xfId="21084"/>
    <cellStyle name="20% - Accent2 3 7 2 2 3 2" xfId="21085"/>
    <cellStyle name="20% - Accent2 3 7 2 2 4" xfId="21086"/>
    <cellStyle name="20% - Accent2 3 7 2 2 5" xfId="21087"/>
    <cellStyle name="20% - Accent2 3 7 2 2 6" xfId="21088"/>
    <cellStyle name="20% - Accent2 3 7 2 2 7" xfId="21089"/>
    <cellStyle name="20% - Accent2 3 7 2 3" xfId="21090"/>
    <cellStyle name="20% - Accent2 3 7 2 3 2" xfId="21091"/>
    <cellStyle name="20% - Accent2 3 7 2 3 2 2" xfId="21092"/>
    <cellStyle name="20% - Accent2 3 7 2 3 3" xfId="21093"/>
    <cellStyle name="20% - Accent2 3 7 2 3 3 2" xfId="21094"/>
    <cellStyle name="20% - Accent2 3 7 2 3 4" xfId="21095"/>
    <cellStyle name="20% - Accent2 3 7 2 3 5" xfId="21096"/>
    <cellStyle name="20% - Accent2 3 7 2 3 6" xfId="21097"/>
    <cellStyle name="20% - Accent2 3 7 2 3 7" xfId="21098"/>
    <cellStyle name="20% - Accent2 3 7 2 4" xfId="21099"/>
    <cellStyle name="20% - Accent2 3 7 2 4 2" xfId="21100"/>
    <cellStyle name="20% - Accent2 3 7 2 4 2 2" xfId="21101"/>
    <cellStyle name="20% - Accent2 3 7 2 4 3" xfId="21102"/>
    <cellStyle name="20% - Accent2 3 7 2 4 3 2" xfId="21103"/>
    <cellStyle name="20% - Accent2 3 7 2 4 4" xfId="21104"/>
    <cellStyle name="20% - Accent2 3 7 2 4 5" xfId="21105"/>
    <cellStyle name="20% - Accent2 3 7 2 4 6" xfId="21106"/>
    <cellStyle name="20% - Accent2 3 7 2 4 7" xfId="21107"/>
    <cellStyle name="20% - Accent2 3 7 2 5" xfId="21108"/>
    <cellStyle name="20% - Accent2 3 7 2 5 2" xfId="21109"/>
    <cellStyle name="20% - Accent2 3 7 2 6" xfId="21110"/>
    <cellStyle name="20% - Accent2 3 7 2 6 2" xfId="21111"/>
    <cellStyle name="20% - Accent2 3 7 2 7" xfId="21112"/>
    <cellStyle name="20% - Accent2 3 7 2 8" xfId="21113"/>
    <cellStyle name="20% - Accent2 3 7 2 9" xfId="21114"/>
    <cellStyle name="20% - Accent2 3 7 3" xfId="21115"/>
    <cellStyle name="20% - Accent2 3 7 3 2" xfId="21116"/>
    <cellStyle name="20% - Accent2 3 7 3 2 2" xfId="21117"/>
    <cellStyle name="20% - Accent2 3 7 3 3" xfId="21118"/>
    <cellStyle name="20% - Accent2 3 7 3 3 2" xfId="21119"/>
    <cellStyle name="20% - Accent2 3 7 3 4" xfId="21120"/>
    <cellStyle name="20% - Accent2 3 7 3 5" xfId="21121"/>
    <cellStyle name="20% - Accent2 3 7 3 6" xfId="21122"/>
    <cellStyle name="20% - Accent2 3 7 3 7" xfId="21123"/>
    <cellStyle name="20% - Accent2 3 7 4" xfId="21124"/>
    <cellStyle name="20% - Accent2 3 7 4 2" xfId="21125"/>
    <cellStyle name="20% - Accent2 3 7 4 2 2" xfId="21126"/>
    <cellStyle name="20% - Accent2 3 7 4 3" xfId="21127"/>
    <cellStyle name="20% - Accent2 3 7 4 3 2" xfId="21128"/>
    <cellStyle name="20% - Accent2 3 7 4 4" xfId="21129"/>
    <cellStyle name="20% - Accent2 3 7 4 5" xfId="21130"/>
    <cellStyle name="20% - Accent2 3 7 4 6" xfId="21131"/>
    <cellStyle name="20% - Accent2 3 7 4 7" xfId="21132"/>
    <cellStyle name="20% - Accent2 3 7 5" xfId="21133"/>
    <cellStyle name="20% - Accent2 3 7 5 2" xfId="21134"/>
    <cellStyle name="20% - Accent2 3 7 5 2 2" xfId="21135"/>
    <cellStyle name="20% - Accent2 3 7 5 3" xfId="21136"/>
    <cellStyle name="20% - Accent2 3 7 5 3 2" xfId="21137"/>
    <cellStyle name="20% - Accent2 3 7 5 4" xfId="21138"/>
    <cellStyle name="20% - Accent2 3 7 5 5" xfId="21139"/>
    <cellStyle name="20% - Accent2 3 7 5 6" xfId="21140"/>
    <cellStyle name="20% - Accent2 3 7 5 7" xfId="21141"/>
    <cellStyle name="20% - Accent2 3 7 6" xfId="21142"/>
    <cellStyle name="20% - Accent2 3 7 6 2" xfId="21143"/>
    <cellStyle name="20% - Accent2 3 7 7" xfId="21144"/>
    <cellStyle name="20% - Accent2 3 7 7 2" xfId="21145"/>
    <cellStyle name="20% - Accent2 3 7 8" xfId="21146"/>
    <cellStyle name="20% - Accent2 3 7 9" xfId="21147"/>
    <cellStyle name="20% - Accent2 3 8" xfId="21148"/>
    <cellStyle name="20% - Accent2 3 8 10" xfId="21149"/>
    <cellStyle name="20% - Accent2 3 8 11" xfId="21150"/>
    <cellStyle name="20% - Accent2 3 8 2" xfId="21151"/>
    <cellStyle name="20% - Accent2 3 8 2 10" xfId="21152"/>
    <cellStyle name="20% - Accent2 3 8 2 2" xfId="21153"/>
    <cellStyle name="20% - Accent2 3 8 2 2 2" xfId="21154"/>
    <cellStyle name="20% - Accent2 3 8 2 2 2 2" xfId="21155"/>
    <cellStyle name="20% - Accent2 3 8 2 2 3" xfId="21156"/>
    <cellStyle name="20% - Accent2 3 8 2 2 3 2" xfId="21157"/>
    <cellStyle name="20% - Accent2 3 8 2 2 4" xfId="21158"/>
    <cellStyle name="20% - Accent2 3 8 2 2 5" xfId="21159"/>
    <cellStyle name="20% - Accent2 3 8 2 2 6" xfId="21160"/>
    <cellStyle name="20% - Accent2 3 8 2 2 7" xfId="21161"/>
    <cellStyle name="20% - Accent2 3 8 2 3" xfId="21162"/>
    <cellStyle name="20% - Accent2 3 8 2 3 2" xfId="21163"/>
    <cellStyle name="20% - Accent2 3 8 2 3 2 2" xfId="21164"/>
    <cellStyle name="20% - Accent2 3 8 2 3 3" xfId="21165"/>
    <cellStyle name="20% - Accent2 3 8 2 3 3 2" xfId="21166"/>
    <cellStyle name="20% - Accent2 3 8 2 3 4" xfId="21167"/>
    <cellStyle name="20% - Accent2 3 8 2 3 5" xfId="21168"/>
    <cellStyle name="20% - Accent2 3 8 2 3 6" xfId="21169"/>
    <cellStyle name="20% - Accent2 3 8 2 3 7" xfId="21170"/>
    <cellStyle name="20% - Accent2 3 8 2 4" xfId="21171"/>
    <cellStyle name="20% - Accent2 3 8 2 4 2" xfId="21172"/>
    <cellStyle name="20% - Accent2 3 8 2 4 2 2" xfId="21173"/>
    <cellStyle name="20% - Accent2 3 8 2 4 3" xfId="21174"/>
    <cellStyle name="20% - Accent2 3 8 2 4 3 2" xfId="21175"/>
    <cellStyle name="20% - Accent2 3 8 2 4 4" xfId="21176"/>
    <cellStyle name="20% - Accent2 3 8 2 4 5" xfId="21177"/>
    <cellStyle name="20% - Accent2 3 8 2 4 6" xfId="21178"/>
    <cellStyle name="20% - Accent2 3 8 2 4 7" xfId="21179"/>
    <cellStyle name="20% - Accent2 3 8 2 5" xfId="21180"/>
    <cellStyle name="20% - Accent2 3 8 2 5 2" xfId="21181"/>
    <cellStyle name="20% - Accent2 3 8 2 6" xfId="21182"/>
    <cellStyle name="20% - Accent2 3 8 2 6 2" xfId="21183"/>
    <cellStyle name="20% - Accent2 3 8 2 7" xfId="21184"/>
    <cellStyle name="20% - Accent2 3 8 2 8" xfId="21185"/>
    <cellStyle name="20% - Accent2 3 8 2 9" xfId="21186"/>
    <cellStyle name="20% - Accent2 3 8 3" xfId="21187"/>
    <cellStyle name="20% - Accent2 3 8 3 2" xfId="21188"/>
    <cellStyle name="20% - Accent2 3 8 3 2 2" xfId="21189"/>
    <cellStyle name="20% - Accent2 3 8 3 3" xfId="21190"/>
    <cellStyle name="20% - Accent2 3 8 3 3 2" xfId="21191"/>
    <cellStyle name="20% - Accent2 3 8 3 4" xfId="21192"/>
    <cellStyle name="20% - Accent2 3 8 3 5" xfId="21193"/>
    <cellStyle name="20% - Accent2 3 8 3 6" xfId="21194"/>
    <cellStyle name="20% - Accent2 3 8 3 7" xfId="21195"/>
    <cellStyle name="20% - Accent2 3 8 4" xfId="21196"/>
    <cellStyle name="20% - Accent2 3 8 4 2" xfId="21197"/>
    <cellStyle name="20% - Accent2 3 8 4 2 2" xfId="21198"/>
    <cellStyle name="20% - Accent2 3 8 4 3" xfId="21199"/>
    <cellStyle name="20% - Accent2 3 8 4 3 2" xfId="21200"/>
    <cellStyle name="20% - Accent2 3 8 4 4" xfId="21201"/>
    <cellStyle name="20% - Accent2 3 8 4 5" xfId="21202"/>
    <cellStyle name="20% - Accent2 3 8 4 6" xfId="21203"/>
    <cellStyle name="20% - Accent2 3 8 4 7" xfId="21204"/>
    <cellStyle name="20% - Accent2 3 8 5" xfId="21205"/>
    <cellStyle name="20% - Accent2 3 8 5 2" xfId="21206"/>
    <cellStyle name="20% - Accent2 3 8 5 2 2" xfId="21207"/>
    <cellStyle name="20% - Accent2 3 8 5 3" xfId="21208"/>
    <cellStyle name="20% - Accent2 3 8 5 3 2" xfId="21209"/>
    <cellStyle name="20% - Accent2 3 8 5 4" xfId="21210"/>
    <cellStyle name="20% - Accent2 3 8 5 5" xfId="21211"/>
    <cellStyle name="20% - Accent2 3 8 5 6" xfId="21212"/>
    <cellStyle name="20% - Accent2 3 8 5 7" xfId="21213"/>
    <cellStyle name="20% - Accent2 3 8 6" xfId="21214"/>
    <cellStyle name="20% - Accent2 3 8 6 2" xfId="21215"/>
    <cellStyle name="20% - Accent2 3 8 7" xfId="21216"/>
    <cellStyle name="20% - Accent2 3 8 7 2" xfId="21217"/>
    <cellStyle name="20% - Accent2 3 8 8" xfId="21218"/>
    <cellStyle name="20% - Accent2 3 8 9" xfId="21219"/>
    <cellStyle name="20% - Accent2 3 9" xfId="21220"/>
    <cellStyle name="20% - Accent2 3 9 10" xfId="21221"/>
    <cellStyle name="20% - Accent2 3 9 2" xfId="21222"/>
    <cellStyle name="20% - Accent2 3 9 2 2" xfId="21223"/>
    <cellStyle name="20% - Accent2 3 9 2 2 2" xfId="21224"/>
    <cellStyle name="20% - Accent2 3 9 2 3" xfId="21225"/>
    <cellStyle name="20% - Accent2 3 9 2 3 2" xfId="21226"/>
    <cellStyle name="20% - Accent2 3 9 2 4" xfId="21227"/>
    <cellStyle name="20% - Accent2 3 9 2 5" xfId="21228"/>
    <cellStyle name="20% - Accent2 3 9 2 6" xfId="21229"/>
    <cellStyle name="20% - Accent2 3 9 2 7" xfId="21230"/>
    <cellStyle name="20% - Accent2 3 9 3" xfId="21231"/>
    <cellStyle name="20% - Accent2 3 9 3 2" xfId="21232"/>
    <cellStyle name="20% - Accent2 3 9 3 2 2" xfId="21233"/>
    <cellStyle name="20% - Accent2 3 9 3 3" xfId="21234"/>
    <cellStyle name="20% - Accent2 3 9 3 3 2" xfId="21235"/>
    <cellStyle name="20% - Accent2 3 9 3 4" xfId="21236"/>
    <cellStyle name="20% - Accent2 3 9 3 5" xfId="21237"/>
    <cellStyle name="20% - Accent2 3 9 3 6" xfId="21238"/>
    <cellStyle name="20% - Accent2 3 9 3 7" xfId="21239"/>
    <cellStyle name="20% - Accent2 3 9 4" xfId="21240"/>
    <cellStyle name="20% - Accent2 3 9 4 2" xfId="21241"/>
    <cellStyle name="20% - Accent2 3 9 4 2 2" xfId="21242"/>
    <cellStyle name="20% - Accent2 3 9 4 3" xfId="21243"/>
    <cellStyle name="20% - Accent2 3 9 4 3 2" xfId="21244"/>
    <cellStyle name="20% - Accent2 3 9 4 4" xfId="21245"/>
    <cellStyle name="20% - Accent2 3 9 4 5" xfId="21246"/>
    <cellStyle name="20% - Accent2 3 9 4 6" xfId="21247"/>
    <cellStyle name="20% - Accent2 3 9 4 7" xfId="21248"/>
    <cellStyle name="20% - Accent2 3 9 5" xfId="21249"/>
    <cellStyle name="20% - Accent2 3 9 5 2" xfId="21250"/>
    <cellStyle name="20% - Accent2 3 9 6" xfId="21251"/>
    <cellStyle name="20% - Accent2 3 9 6 2" xfId="21252"/>
    <cellStyle name="20% - Accent2 3 9 7" xfId="21253"/>
    <cellStyle name="20% - Accent2 3 9 8" xfId="21254"/>
    <cellStyle name="20% - Accent2 3 9 9" xfId="21255"/>
    <cellStyle name="20% - Accent2 3_10-15-10-Stmt AU - Period I - Working 1 0" xfId="103"/>
    <cellStyle name="20% - Accent2 4" xfId="104"/>
    <cellStyle name="20% - Accent2 4 2" xfId="105"/>
    <cellStyle name="20% - Accent2 4 3" xfId="106"/>
    <cellStyle name="20% - Accent2 4_10-15-10-Stmt AU - Period I - Working 1 0" xfId="107"/>
    <cellStyle name="20% - Accent2 5" xfId="108"/>
    <cellStyle name="20% - Accent2 5 2" xfId="109"/>
    <cellStyle name="20% - Accent2 5 3" xfId="110"/>
    <cellStyle name="20% - Accent2 5_10-15-10-Stmt AU - Period I - Working 1 0" xfId="111"/>
    <cellStyle name="20% - Accent2 6" xfId="112"/>
    <cellStyle name="20% - Accent2 6 2" xfId="113"/>
    <cellStyle name="20% - Accent2 6 3" xfId="114"/>
    <cellStyle name="20% - Accent2 6_10-15-10-Stmt AU - Period I - Working 1 0" xfId="115"/>
    <cellStyle name="20% - Accent2 7" xfId="116"/>
    <cellStyle name="20% - Accent2 7 2" xfId="117"/>
    <cellStyle name="20% - Accent2 7 3" xfId="118"/>
    <cellStyle name="20% - Accent2 7_10-15-10-Stmt AU - Period I - Working 1 0" xfId="119"/>
    <cellStyle name="20% - Accent2 8" xfId="120"/>
    <cellStyle name="20% - Accent2 9" xfId="121"/>
    <cellStyle name="20% - Accent3 10" xfId="122"/>
    <cellStyle name="20% - Accent3 11" xfId="123"/>
    <cellStyle name="20% - Accent3 12" xfId="124"/>
    <cellStyle name="20% - Accent3 13" xfId="125"/>
    <cellStyle name="20% - Accent3 2" xfId="126"/>
    <cellStyle name="20% - Accent3 2 10" xfId="21256"/>
    <cellStyle name="20% - Accent3 2 10 2" xfId="21257"/>
    <cellStyle name="20% - Accent3 2 10 2 2" xfId="21258"/>
    <cellStyle name="20% - Accent3 2 10 3" xfId="21259"/>
    <cellStyle name="20% - Accent3 2 10 3 2" xfId="21260"/>
    <cellStyle name="20% - Accent3 2 10 4" xfId="21261"/>
    <cellStyle name="20% - Accent3 2 10 5" xfId="21262"/>
    <cellStyle name="20% - Accent3 2 10 6" xfId="21263"/>
    <cellStyle name="20% - Accent3 2 10 7" xfId="21264"/>
    <cellStyle name="20% - Accent3 2 11" xfId="21265"/>
    <cellStyle name="20% - Accent3 2 11 2" xfId="21266"/>
    <cellStyle name="20% - Accent3 2 11 2 2" xfId="21267"/>
    <cellStyle name="20% - Accent3 2 11 3" xfId="21268"/>
    <cellStyle name="20% - Accent3 2 11 3 2" xfId="21269"/>
    <cellStyle name="20% - Accent3 2 11 4" xfId="21270"/>
    <cellStyle name="20% - Accent3 2 11 5" xfId="21271"/>
    <cellStyle name="20% - Accent3 2 11 6" xfId="21272"/>
    <cellStyle name="20% - Accent3 2 11 7" xfId="21273"/>
    <cellStyle name="20% - Accent3 2 12" xfId="21274"/>
    <cellStyle name="20% - Accent3 2 12 2" xfId="21275"/>
    <cellStyle name="20% - Accent3 2 12 2 2" xfId="21276"/>
    <cellStyle name="20% - Accent3 2 12 3" xfId="21277"/>
    <cellStyle name="20% - Accent3 2 12 3 2" xfId="21278"/>
    <cellStyle name="20% - Accent3 2 12 4" xfId="21279"/>
    <cellStyle name="20% - Accent3 2 12 5" xfId="21280"/>
    <cellStyle name="20% - Accent3 2 12 6" xfId="21281"/>
    <cellStyle name="20% - Accent3 2 12 7" xfId="21282"/>
    <cellStyle name="20% - Accent3 2 13" xfId="21283"/>
    <cellStyle name="20% - Accent3 2 13 2" xfId="21284"/>
    <cellStyle name="20% - Accent3 2 14" xfId="21285"/>
    <cellStyle name="20% - Accent3 2 15" xfId="21286"/>
    <cellStyle name="20% - Accent3 2 16" xfId="21287"/>
    <cellStyle name="20% - Accent3 2 17" xfId="21288"/>
    <cellStyle name="20% - Accent3 2 18" xfId="21289"/>
    <cellStyle name="20% - Accent3 2 2" xfId="127"/>
    <cellStyle name="20% - Accent3 2 2 10" xfId="21290"/>
    <cellStyle name="20% - Accent3 2 2 11" xfId="21291"/>
    <cellStyle name="20% - Accent3 2 2 12" xfId="21292"/>
    <cellStyle name="20% - Accent3 2 2 13" xfId="21293"/>
    <cellStyle name="20% - Accent3 2 2 2" xfId="21294"/>
    <cellStyle name="20% - Accent3 2 2 2 10" xfId="21295"/>
    <cellStyle name="20% - Accent3 2 2 2 11" xfId="21296"/>
    <cellStyle name="20% - Accent3 2 2 2 2" xfId="21297"/>
    <cellStyle name="20% - Accent3 2 2 2 2 10" xfId="21298"/>
    <cellStyle name="20% - Accent3 2 2 2 2 2" xfId="21299"/>
    <cellStyle name="20% - Accent3 2 2 2 2 2 2" xfId="21300"/>
    <cellStyle name="20% - Accent3 2 2 2 2 2 2 2" xfId="21301"/>
    <cellStyle name="20% - Accent3 2 2 2 2 2 3" xfId="21302"/>
    <cellStyle name="20% - Accent3 2 2 2 2 2 3 2" xfId="21303"/>
    <cellStyle name="20% - Accent3 2 2 2 2 2 4" xfId="21304"/>
    <cellStyle name="20% - Accent3 2 2 2 2 2 5" xfId="21305"/>
    <cellStyle name="20% - Accent3 2 2 2 2 2 6" xfId="21306"/>
    <cellStyle name="20% - Accent3 2 2 2 2 2 7" xfId="21307"/>
    <cellStyle name="20% - Accent3 2 2 2 2 3" xfId="21308"/>
    <cellStyle name="20% - Accent3 2 2 2 2 3 2" xfId="21309"/>
    <cellStyle name="20% - Accent3 2 2 2 2 3 2 2" xfId="21310"/>
    <cellStyle name="20% - Accent3 2 2 2 2 3 3" xfId="21311"/>
    <cellStyle name="20% - Accent3 2 2 2 2 3 3 2" xfId="21312"/>
    <cellStyle name="20% - Accent3 2 2 2 2 3 4" xfId="21313"/>
    <cellStyle name="20% - Accent3 2 2 2 2 3 5" xfId="21314"/>
    <cellStyle name="20% - Accent3 2 2 2 2 3 6" xfId="21315"/>
    <cellStyle name="20% - Accent3 2 2 2 2 3 7" xfId="21316"/>
    <cellStyle name="20% - Accent3 2 2 2 2 4" xfId="21317"/>
    <cellStyle name="20% - Accent3 2 2 2 2 4 2" xfId="21318"/>
    <cellStyle name="20% - Accent3 2 2 2 2 4 2 2" xfId="21319"/>
    <cellStyle name="20% - Accent3 2 2 2 2 4 3" xfId="21320"/>
    <cellStyle name="20% - Accent3 2 2 2 2 4 3 2" xfId="21321"/>
    <cellStyle name="20% - Accent3 2 2 2 2 4 4" xfId="21322"/>
    <cellStyle name="20% - Accent3 2 2 2 2 4 5" xfId="21323"/>
    <cellStyle name="20% - Accent3 2 2 2 2 4 6" xfId="21324"/>
    <cellStyle name="20% - Accent3 2 2 2 2 4 7" xfId="21325"/>
    <cellStyle name="20% - Accent3 2 2 2 2 5" xfId="21326"/>
    <cellStyle name="20% - Accent3 2 2 2 2 5 2" xfId="21327"/>
    <cellStyle name="20% - Accent3 2 2 2 2 6" xfId="21328"/>
    <cellStyle name="20% - Accent3 2 2 2 2 6 2" xfId="21329"/>
    <cellStyle name="20% - Accent3 2 2 2 2 7" xfId="21330"/>
    <cellStyle name="20% - Accent3 2 2 2 2 8" xfId="21331"/>
    <cellStyle name="20% - Accent3 2 2 2 2 9" xfId="21332"/>
    <cellStyle name="20% - Accent3 2 2 2 3" xfId="21333"/>
    <cellStyle name="20% - Accent3 2 2 2 3 2" xfId="21334"/>
    <cellStyle name="20% - Accent3 2 2 2 3 2 2" xfId="21335"/>
    <cellStyle name="20% - Accent3 2 2 2 3 3" xfId="21336"/>
    <cellStyle name="20% - Accent3 2 2 2 3 3 2" xfId="21337"/>
    <cellStyle name="20% - Accent3 2 2 2 3 4" xfId="21338"/>
    <cellStyle name="20% - Accent3 2 2 2 3 5" xfId="21339"/>
    <cellStyle name="20% - Accent3 2 2 2 3 6" xfId="21340"/>
    <cellStyle name="20% - Accent3 2 2 2 3 7" xfId="21341"/>
    <cellStyle name="20% - Accent3 2 2 2 4" xfId="21342"/>
    <cellStyle name="20% - Accent3 2 2 2 4 2" xfId="21343"/>
    <cellStyle name="20% - Accent3 2 2 2 4 2 2" xfId="21344"/>
    <cellStyle name="20% - Accent3 2 2 2 4 3" xfId="21345"/>
    <cellStyle name="20% - Accent3 2 2 2 4 3 2" xfId="21346"/>
    <cellStyle name="20% - Accent3 2 2 2 4 4" xfId="21347"/>
    <cellStyle name="20% - Accent3 2 2 2 4 5" xfId="21348"/>
    <cellStyle name="20% - Accent3 2 2 2 4 6" xfId="21349"/>
    <cellStyle name="20% - Accent3 2 2 2 4 7" xfId="21350"/>
    <cellStyle name="20% - Accent3 2 2 2 5" xfId="21351"/>
    <cellStyle name="20% - Accent3 2 2 2 5 2" xfId="21352"/>
    <cellStyle name="20% - Accent3 2 2 2 5 2 2" xfId="21353"/>
    <cellStyle name="20% - Accent3 2 2 2 5 3" xfId="21354"/>
    <cellStyle name="20% - Accent3 2 2 2 5 3 2" xfId="21355"/>
    <cellStyle name="20% - Accent3 2 2 2 5 4" xfId="21356"/>
    <cellStyle name="20% - Accent3 2 2 2 5 5" xfId="21357"/>
    <cellStyle name="20% - Accent3 2 2 2 5 6" xfId="21358"/>
    <cellStyle name="20% - Accent3 2 2 2 5 7" xfId="21359"/>
    <cellStyle name="20% - Accent3 2 2 2 6" xfId="21360"/>
    <cellStyle name="20% - Accent3 2 2 2 6 2" xfId="21361"/>
    <cellStyle name="20% - Accent3 2 2 2 7" xfId="21362"/>
    <cellStyle name="20% - Accent3 2 2 2 7 2" xfId="21363"/>
    <cellStyle name="20% - Accent3 2 2 2 8" xfId="21364"/>
    <cellStyle name="20% - Accent3 2 2 2 9" xfId="21365"/>
    <cellStyle name="20% - Accent3 2 2 3" xfId="21366"/>
    <cellStyle name="20% - Accent3 2 2 3 10" xfId="21367"/>
    <cellStyle name="20% - Accent3 2 2 3 11" xfId="21368"/>
    <cellStyle name="20% - Accent3 2 2 3 2" xfId="21369"/>
    <cellStyle name="20% - Accent3 2 2 3 2 10" xfId="21370"/>
    <cellStyle name="20% - Accent3 2 2 3 2 2" xfId="21371"/>
    <cellStyle name="20% - Accent3 2 2 3 2 2 2" xfId="21372"/>
    <cellStyle name="20% - Accent3 2 2 3 2 2 2 2" xfId="21373"/>
    <cellStyle name="20% - Accent3 2 2 3 2 2 3" xfId="21374"/>
    <cellStyle name="20% - Accent3 2 2 3 2 2 3 2" xfId="21375"/>
    <cellStyle name="20% - Accent3 2 2 3 2 2 4" xfId="21376"/>
    <cellStyle name="20% - Accent3 2 2 3 2 2 5" xfId="21377"/>
    <cellStyle name="20% - Accent3 2 2 3 2 2 6" xfId="21378"/>
    <cellStyle name="20% - Accent3 2 2 3 2 2 7" xfId="21379"/>
    <cellStyle name="20% - Accent3 2 2 3 2 3" xfId="21380"/>
    <cellStyle name="20% - Accent3 2 2 3 2 3 2" xfId="21381"/>
    <cellStyle name="20% - Accent3 2 2 3 2 3 2 2" xfId="21382"/>
    <cellStyle name="20% - Accent3 2 2 3 2 3 3" xfId="21383"/>
    <cellStyle name="20% - Accent3 2 2 3 2 3 3 2" xfId="21384"/>
    <cellStyle name="20% - Accent3 2 2 3 2 3 4" xfId="21385"/>
    <cellStyle name="20% - Accent3 2 2 3 2 3 5" xfId="21386"/>
    <cellStyle name="20% - Accent3 2 2 3 2 3 6" xfId="21387"/>
    <cellStyle name="20% - Accent3 2 2 3 2 3 7" xfId="21388"/>
    <cellStyle name="20% - Accent3 2 2 3 2 4" xfId="21389"/>
    <cellStyle name="20% - Accent3 2 2 3 2 4 2" xfId="21390"/>
    <cellStyle name="20% - Accent3 2 2 3 2 4 2 2" xfId="21391"/>
    <cellStyle name="20% - Accent3 2 2 3 2 4 3" xfId="21392"/>
    <cellStyle name="20% - Accent3 2 2 3 2 4 3 2" xfId="21393"/>
    <cellStyle name="20% - Accent3 2 2 3 2 4 4" xfId="21394"/>
    <cellStyle name="20% - Accent3 2 2 3 2 4 5" xfId="21395"/>
    <cellStyle name="20% - Accent3 2 2 3 2 4 6" xfId="21396"/>
    <cellStyle name="20% - Accent3 2 2 3 2 4 7" xfId="21397"/>
    <cellStyle name="20% - Accent3 2 2 3 2 5" xfId="21398"/>
    <cellStyle name="20% - Accent3 2 2 3 2 5 2" xfId="21399"/>
    <cellStyle name="20% - Accent3 2 2 3 2 6" xfId="21400"/>
    <cellStyle name="20% - Accent3 2 2 3 2 6 2" xfId="21401"/>
    <cellStyle name="20% - Accent3 2 2 3 2 7" xfId="21402"/>
    <cellStyle name="20% - Accent3 2 2 3 2 8" xfId="21403"/>
    <cellStyle name="20% - Accent3 2 2 3 2 9" xfId="21404"/>
    <cellStyle name="20% - Accent3 2 2 3 3" xfId="21405"/>
    <cellStyle name="20% - Accent3 2 2 3 3 2" xfId="21406"/>
    <cellStyle name="20% - Accent3 2 2 3 3 2 2" xfId="21407"/>
    <cellStyle name="20% - Accent3 2 2 3 3 3" xfId="21408"/>
    <cellStyle name="20% - Accent3 2 2 3 3 3 2" xfId="21409"/>
    <cellStyle name="20% - Accent3 2 2 3 3 4" xfId="21410"/>
    <cellStyle name="20% - Accent3 2 2 3 3 5" xfId="21411"/>
    <cellStyle name="20% - Accent3 2 2 3 3 6" xfId="21412"/>
    <cellStyle name="20% - Accent3 2 2 3 3 7" xfId="21413"/>
    <cellStyle name="20% - Accent3 2 2 3 4" xfId="21414"/>
    <cellStyle name="20% - Accent3 2 2 3 4 2" xfId="21415"/>
    <cellStyle name="20% - Accent3 2 2 3 4 2 2" xfId="21416"/>
    <cellStyle name="20% - Accent3 2 2 3 4 3" xfId="21417"/>
    <cellStyle name="20% - Accent3 2 2 3 4 3 2" xfId="21418"/>
    <cellStyle name="20% - Accent3 2 2 3 4 4" xfId="21419"/>
    <cellStyle name="20% - Accent3 2 2 3 4 5" xfId="21420"/>
    <cellStyle name="20% - Accent3 2 2 3 4 6" xfId="21421"/>
    <cellStyle name="20% - Accent3 2 2 3 4 7" xfId="21422"/>
    <cellStyle name="20% - Accent3 2 2 3 5" xfId="21423"/>
    <cellStyle name="20% - Accent3 2 2 3 5 2" xfId="21424"/>
    <cellStyle name="20% - Accent3 2 2 3 5 2 2" xfId="21425"/>
    <cellStyle name="20% - Accent3 2 2 3 5 3" xfId="21426"/>
    <cellStyle name="20% - Accent3 2 2 3 5 3 2" xfId="21427"/>
    <cellStyle name="20% - Accent3 2 2 3 5 4" xfId="21428"/>
    <cellStyle name="20% - Accent3 2 2 3 5 5" xfId="21429"/>
    <cellStyle name="20% - Accent3 2 2 3 5 6" xfId="21430"/>
    <cellStyle name="20% - Accent3 2 2 3 5 7" xfId="21431"/>
    <cellStyle name="20% - Accent3 2 2 3 6" xfId="21432"/>
    <cellStyle name="20% - Accent3 2 2 3 6 2" xfId="21433"/>
    <cellStyle name="20% - Accent3 2 2 3 7" xfId="21434"/>
    <cellStyle name="20% - Accent3 2 2 3 7 2" xfId="21435"/>
    <cellStyle name="20% - Accent3 2 2 3 8" xfId="21436"/>
    <cellStyle name="20% - Accent3 2 2 3 9" xfId="21437"/>
    <cellStyle name="20% - Accent3 2 2 4" xfId="21438"/>
    <cellStyle name="20% - Accent3 2 2 4 10" xfId="21439"/>
    <cellStyle name="20% - Accent3 2 2 4 2" xfId="21440"/>
    <cellStyle name="20% - Accent3 2 2 4 2 2" xfId="21441"/>
    <cellStyle name="20% - Accent3 2 2 4 2 2 2" xfId="21442"/>
    <cellStyle name="20% - Accent3 2 2 4 2 3" xfId="21443"/>
    <cellStyle name="20% - Accent3 2 2 4 2 3 2" xfId="21444"/>
    <cellStyle name="20% - Accent3 2 2 4 2 4" xfId="21445"/>
    <cellStyle name="20% - Accent3 2 2 4 2 5" xfId="21446"/>
    <cellStyle name="20% - Accent3 2 2 4 2 6" xfId="21447"/>
    <cellStyle name="20% - Accent3 2 2 4 2 7" xfId="21448"/>
    <cellStyle name="20% - Accent3 2 2 4 3" xfId="21449"/>
    <cellStyle name="20% - Accent3 2 2 4 3 2" xfId="21450"/>
    <cellStyle name="20% - Accent3 2 2 4 3 2 2" xfId="21451"/>
    <cellStyle name="20% - Accent3 2 2 4 3 3" xfId="21452"/>
    <cellStyle name="20% - Accent3 2 2 4 3 3 2" xfId="21453"/>
    <cellStyle name="20% - Accent3 2 2 4 3 4" xfId="21454"/>
    <cellStyle name="20% - Accent3 2 2 4 3 5" xfId="21455"/>
    <cellStyle name="20% - Accent3 2 2 4 3 6" xfId="21456"/>
    <cellStyle name="20% - Accent3 2 2 4 3 7" xfId="21457"/>
    <cellStyle name="20% - Accent3 2 2 4 4" xfId="21458"/>
    <cellStyle name="20% - Accent3 2 2 4 4 2" xfId="21459"/>
    <cellStyle name="20% - Accent3 2 2 4 4 2 2" xfId="21460"/>
    <cellStyle name="20% - Accent3 2 2 4 4 3" xfId="21461"/>
    <cellStyle name="20% - Accent3 2 2 4 4 3 2" xfId="21462"/>
    <cellStyle name="20% - Accent3 2 2 4 4 4" xfId="21463"/>
    <cellStyle name="20% - Accent3 2 2 4 4 5" xfId="21464"/>
    <cellStyle name="20% - Accent3 2 2 4 4 6" xfId="21465"/>
    <cellStyle name="20% - Accent3 2 2 4 4 7" xfId="21466"/>
    <cellStyle name="20% - Accent3 2 2 4 5" xfId="21467"/>
    <cellStyle name="20% - Accent3 2 2 4 5 2" xfId="21468"/>
    <cellStyle name="20% - Accent3 2 2 4 6" xfId="21469"/>
    <cellStyle name="20% - Accent3 2 2 4 6 2" xfId="21470"/>
    <cellStyle name="20% - Accent3 2 2 4 7" xfId="21471"/>
    <cellStyle name="20% - Accent3 2 2 4 8" xfId="21472"/>
    <cellStyle name="20% - Accent3 2 2 4 9" xfId="21473"/>
    <cellStyle name="20% - Accent3 2 2 5" xfId="21474"/>
    <cellStyle name="20% - Accent3 2 2 5 2" xfId="21475"/>
    <cellStyle name="20% - Accent3 2 2 5 2 2" xfId="21476"/>
    <cellStyle name="20% - Accent3 2 2 5 3" xfId="21477"/>
    <cellStyle name="20% - Accent3 2 2 5 3 2" xfId="21478"/>
    <cellStyle name="20% - Accent3 2 2 5 4" xfId="21479"/>
    <cellStyle name="20% - Accent3 2 2 5 5" xfId="21480"/>
    <cellStyle name="20% - Accent3 2 2 5 6" xfId="21481"/>
    <cellStyle name="20% - Accent3 2 2 5 7" xfId="21482"/>
    <cellStyle name="20% - Accent3 2 2 6" xfId="21483"/>
    <cellStyle name="20% - Accent3 2 2 6 2" xfId="21484"/>
    <cellStyle name="20% - Accent3 2 2 6 2 2" xfId="21485"/>
    <cellStyle name="20% - Accent3 2 2 6 3" xfId="21486"/>
    <cellStyle name="20% - Accent3 2 2 6 3 2" xfId="21487"/>
    <cellStyle name="20% - Accent3 2 2 6 4" xfId="21488"/>
    <cellStyle name="20% - Accent3 2 2 6 5" xfId="21489"/>
    <cellStyle name="20% - Accent3 2 2 6 6" xfId="21490"/>
    <cellStyle name="20% - Accent3 2 2 6 7" xfId="21491"/>
    <cellStyle name="20% - Accent3 2 2 7" xfId="21492"/>
    <cellStyle name="20% - Accent3 2 2 7 2" xfId="21493"/>
    <cellStyle name="20% - Accent3 2 2 7 2 2" xfId="21494"/>
    <cellStyle name="20% - Accent3 2 2 7 3" xfId="21495"/>
    <cellStyle name="20% - Accent3 2 2 7 3 2" xfId="21496"/>
    <cellStyle name="20% - Accent3 2 2 7 4" xfId="21497"/>
    <cellStyle name="20% - Accent3 2 2 7 5" xfId="21498"/>
    <cellStyle name="20% - Accent3 2 2 7 6" xfId="21499"/>
    <cellStyle name="20% - Accent3 2 2 7 7" xfId="21500"/>
    <cellStyle name="20% - Accent3 2 2 8" xfId="21501"/>
    <cellStyle name="20% - Accent3 2 2 8 2" xfId="21502"/>
    <cellStyle name="20% - Accent3 2 2 9" xfId="21503"/>
    <cellStyle name="20% - Accent3 2 2 9 2" xfId="21504"/>
    <cellStyle name="20% - Accent3 2 3" xfId="128"/>
    <cellStyle name="20% - Accent3 2 3 10" xfId="21505"/>
    <cellStyle name="20% - Accent3 2 3 11" xfId="21506"/>
    <cellStyle name="20% - Accent3 2 3 12" xfId="21507"/>
    <cellStyle name="20% - Accent3 2 3 13" xfId="21508"/>
    <cellStyle name="20% - Accent3 2 3 2" xfId="21509"/>
    <cellStyle name="20% - Accent3 2 3 2 10" xfId="21510"/>
    <cellStyle name="20% - Accent3 2 3 2 11" xfId="21511"/>
    <cellStyle name="20% - Accent3 2 3 2 2" xfId="21512"/>
    <cellStyle name="20% - Accent3 2 3 2 2 10" xfId="21513"/>
    <cellStyle name="20% - Accent3 2 3 2 2 2" xfId="21514"/>
    <cellStyle name="20% - Accent3 2 3 2 2 2 2" xfId="21515"/>
    <cellStyle name="20% - Accent3 2 3 2 2 2 2 2" xfId="21516"/>
    <cellStyle name="20% - Accent3 2 3 2 2 2 3" xfId="21517"/>
    <cellStyle name="20% - Accent3 2 3 2 2 2 3 2" xfId="21518"/>
    <cellStyle name="20% - Accent3 2 3 2 2 2 4" xfId="21519"/>
    <cellStyle name="20% - Accent3 2 3 2 2 2 5" xfId="21520"/>
    <cellStyle name="20% - Accent3 2 3 2 2 2 6" xfId="21521"/>
    <cellStyle name="20% - Accent3 2 3 2 2 2 7" xfId="21522"/>
    <cellStyle name="20% - Accent3 2 3 2 2 3" xfId="21523"/>
    <cellStyle name="20% - Accent3 2 3 2 2 3 2" xfId="21524"/>
    <cellStyle name="20% - Accent3 2 3 2 2 3 2 2" xfId="21525"/>
    <cellStyle name="20% - Accent3 2 3 2 2 3 3" xfId="21526"/>
    <cellStyle name="20% - Accent3 2 3 2 2 3 3 2" xfId="21527"/>
    <cellStyle name="20% - Accent3 2 3 2 2 3 4" xfId="21528"/>
    <cellStyle name="20% - Accent3 2 3 2 2 3 5" xfId="21529"/>
    <cellStyle name="20% - Accent3 2 3 2 2 3 6" xfId="21530"/>
    <cellStyle name="20% - Accent3 2 3 2 2 3 7" xfId="21531"/>
    <cellStyle name="20% - Accent3 2 3 2 2 4" xfId="21532"/>
    <cellStyle name="20% - Accent3 2 3 2 2 4 2" xfId="21533"/>
    <cellStyle name="20% - Accent3 2 3 2 2 4 2 2" xfId="21534"/>
    <cellStyle name="20% - Accent3 2 3 2 2 4 3" xfId="21535"/>
    <cellStyle name="20% - Accent3 2 3 2 2 4 3 2" xfId="21536"/>
    <cellStyle name="20% - Accent3 2 3 2 2 4 4" xfId="21537"/>
    <cellStyle name="20% - Accent3 2 3 2 2 4 5" xfId="21538"/>
    <cellStyle name="20% - Accent3 2 3 2 2 4 6" xfId="21539"/>
    <cellStyle name="20% - Accent3 2 3 2 2 4 7" xfId="21540"/>
    <cellStyle name="20% - Accent3 2 3 2 2 5" xfId="21541"/>
    <cellStyle name="20% - Accent3 2 3 2 2 5 2" xfId="21542"/>
    <cellStyle name="20% - Accent3 2 3 2 2 6" xfId="21543"/>
    <cellStyle name="20% - Accent3 2 3 2 2 6 2" xfId="21544"/>
    <cellStyle name="20% - Accent3 2 3 2 2 7" xfId="21545"/>
    <cellStyle name="20% - Accent3 2 3 2 2 8" xfId="21546"/>
    <cellStyle name="20% - Accent3 2 3 2 2 9" xfId="21547"/>
    <cellStyle name="20% - Accent3 2 3 2 3" xfId="21548"/>
    <cellStyle name="20% - Accent3 2 3 2 3 2" xfId="21549"/>
    <cellStyle name="20% - Accent3 2 3 2 3 2 2" xfId="21550"/>
    <cellStyle name="20% - Accent3 2 3 2 3 3" xfId="21551"/>
    <cellStyle name="20% - Accent3 2 3 2 3 3 2" xfId="21552"/>
    <cellStyle name="20% - Accent3 2 3 2 3 4" xfId="21553"/>
    <cellStyle name="20% - Accent3 2 3 2 3 5" xfId="21554"/>
    <cellStyle name="20% - Accent3 2 3 2 3 6" xfId="21555"/>
    <cellStyle name="20% - Accent3 2 3 2 3 7" xfId="21556"/>
    <cellStyle name="20% - Accent3 2 3 2 4" xfId="21557"/>
    <cellStyle name="20% - Accent3 2 3 2 4 2" xfId="21558"/>
    <cellStyle name="20% - Accent3 2 3 2 4 2 2" xfId="21559"/>
    <cellStyle name="20% - Accent3 2 3 2 4 3" xfId="21560"/>
    <cellStyle name="20% - Accent3 2 3 2 4 3 2" xfId="21561"/>
    <cellStyle name="20% - Accent3 2 3 2 4 4" xfId="21562"/>
    <cellStyle name="20% - Accent3 2 3 2 4 5" xfId="21563"/>
    <cellStyle name="20% - Accent3 2 3 2 4 6" xfId="21564"/>
    <cellStyle name="20% - Accent3 2 3 2 4 7" xfId="21565"/>
    <cellStyle name="20% - Accent3 2 3 2 5" xfId="21566"/>
    <cellStyle name="20% - Accent3 2 3 2 5 2" xfId="21567"/>
    <cellStyle name="20% - Accent3 2 3 2 5 2 2" xfId="21568"/>
    <cellStyle name="20% - Accent3 2 3 2 5 3" xfId="21569"/>
    <cellStyle name="20% - Accent3 2 3 2 5 3 2" xfId="21570"/>
    <cellStyle name="20% - Accent3 2 3 2 5 4" xfId="21571"/>
    <cellStyle name="20% - Accent3 2 3 2 5 5" xfId="21572"/>
    <cellStyle name="20% - Accent3 2 3 2 5 6" xfId="21573"/>
    <cellStyle name="20% - Accent3 2 3 2 5 7" xfId="21574"/>
    <cellStyle name="20% - Accent3 2 3 2 6" xfId="21575"/>
    <cellStyle name="20% - Accent3 2 3 2 6 2" xfId="21576"/>
    <cellStyle name="20% - Accent3 2 3 2 7" xfId="21577"/>
    <cellStyle name="20% - Accent3 2 3 2 7 2" xfId="21578"/>
    <cellStyle name="20% - Accent3 2 3 2 8" xfId="21579"/>
    <cellStyle name="20% - Accent3 2 3 2 9" xfId="21580"/>
    <cellStyle name="20% - Accent3 2 3 3" xfId="21581"/>
    <cellStyle name="20% - Accent3 2 3 3 10" xfId="21582"/>
    <cellStyle name="20% - Accent3 2 3 3 11" xfId="21583"/>
    <cellStyle name="20% - Accent3 2 3 3 2" xfId="21584"/>
    <cellStyle name="20% - Accent3 2 3 3 2 10" xfId="21585"/>
    <cellStyle name="20% - Accent3 2 3 3 2 2" xfId="21586"/>
    <cellStyle name="20% - Accent3 2 3 3 2 2 2" xfId="21587"/>
    <cellStyle name="20% - Accent3 2 3 3 2 2 2 2" xfId="21588"/>
    <cellStyle name="20% - Accent3 2 3 3 2 2 3" xfId="21589"/>
    <cellStyle name="20% - Accent3 2 3 3 2 2 3 2" xfId="21590"/>
    <cellStyle name="20% - Accent3 2 3 3 2 2 4" xfId="21591"/>
    <cellStyle name="20% - Accent3 2 3 3 2 2 5" xfId="21592"/>
    <cellStyle name="20% - Accent3 2 3 3 2 2 6" xfId="21593"/>
    <cellStyle name="20% - Accent3 2 3 3 2 2 7" xfId="21594"/>
    <cellStyle name="20% - Accent3 2 3 3 2 3" xfId="21595"/>
    <cellStyle name="20% - Accent3 2 3 3 2 3 2" xfId="21596"/>
    <cellStyle name="20% - Accent3 2 3 3 2 3 2 2" xfId="21597"/>
    <cellStyle name="20% - Accent3 2 3 3 2 3 3" xfId="21598"/>
    <cellStyle name="20% - Accent3 2 3 3 2 3 3 2" xfId="21599"/>
    <cellStyle name="20% - Accent3 2 3 3 2 3 4" xfId="21600"/>
    <cellStyle name="20% - Accent3 2 3 3 2 3 5" xfId="21601"/>
    <cellStyle name="20% - Accent3 2 3 3 2 3 6" xfId="21602"/>
    <cellStyle name="20% - Accent3 2 3 3 2 3 7" xfId="21603"/>
    <cellStyle name="20% - Accent3 2 3 3 2 4" xfId="21604"/>
    <cellStyle name="20% - Accent3 2 3 3 2 4 2" xfId="21605"/>
    <cellStyle name="20% - Accent3 2 3 3 2 4 2 2" xfId="21606"/>
    <cellStyle name="20% - Accent3 2 3 3 2 4 3" xfId="21607"/>
    <cellStyle name="20% - Accent3 2 3 3 2 4 3 2" xfId="21608"/>
    <cellStyle name="20% - Accent3 2 3 3 2 4 4" xfId="21609"/>
    <cellStyle name="20% - Accent3 2 3 3 2 4 5" xfId="21610"/>
    <cellStyle name="20% - Accent3 2 3 3 2 4 6" xfId="21611"/>
    <cellStyle name="20% - Accent3 2 3 3 2 4 7" xfId="21612"/>
    <cellStyle name="20% - Accent3 2 3 3 2 5" xfId="21613"/>
    <cellStyle name="20% - Accent3 2 3 3 2 5 2" xfId="21614"/>
    <cellStyle name="20% - Accent3 2 3 3 2 6" xfId="21615"/>
    <cellStyle name="20% - Accent3 2 3 3 2 6 2" xfId="21616"/>
    <cellStyle name="20% - Accent3 2 3 3 2 7" xfId="21617"/>
    <cellStyle name="20% - Accent3 2 3 3 2 8" xfId="21618"/>
    <cellStyle name="20% - Accent3 2 3 3 2 9" xfId="21619"/>
    <cellStyle name="20% - Accent3 2 3 3 3" xfId="21620"/>
    <cellStyle name="20% - Accent3 2 3 3 3 2" xfId="21621"/>
    <cellStyle name="20% - Accent3 2 3 3 3 2 2" xfId="21622"/>
    <cellStyle name="20% - Accent3 2 3 3 3 3" xfId="21623"/>
    <cellStyle name="20% - Accent3 2 3 3 3 3 2" xfId="21624"/>
    <cellStyle name="20% - Accent3 2 3 3 3 4" xfId="21625"/>
    <cellStyle name="20% - Accent3 2 3 3 3 5" xfId="21626"/>
    <cellStyle name="20% - Accent3 2 3 3 3 6" xfId="21627"/>
    <cellStyle name="20% - Accent3 2 3 3 3 7" xfId="21628"/>
    <cellStyle name="20% - Accent3 2 3 3 4" xfId="21629"/>
    <cellStyle name="20% - Accent3 2 3 3 4 2" xfId="21630"/>
    <cellStyle name="20% - Accent3 2 3 3 4 2 2" xfId="21631"/>
    <cellStyle name="20% - Accent3 2 3 3 4 3" xfId="21632"/>
    <cellStyle name="20% - Accent3 2 3 3 4 3 2" xfId="21633"/>
    <cellStyle name="20% - Accent3 2 3 3 4 4" xfId="21634"/>
    <cellStyle name="20% - Accent3 2 3 3 4 5" xfId="21635"/>
    <cellStyle name="20% - Accent3 2 3 3 4 6" xfId="21636"/>
    <cellStyle name="20% - Accent3 2 3 3 4 7" xfId="21637"/>
    <cellStyle name="20% - Accent3 2 3 3 5" xfId="21638"/>
    <cellStyle name="20% - Accent3 2 3 3 5 2" xfId="21639"/>
    <cellStyle name="20% - Accent3 2 3 3 5 2 2" xfId="21640"/>
    <cellStyle name="20% - Accent3 2 3 3 5 3" xfId="21641"/>
    <cellStyle name="20% - Accent3 2 3 3 5 3 2" xfId="21642"/>
    <cellStyle name="20% - Accent3 2 3 3 5 4" xfId="21643"/>
    <cellStyle name="20% - Accent3 2 3 3 5 5" xfId="21644"/>
    <cellStyle name="20% - Accent3 2 3 3 5 6" xfId="21645"/>
    <cellStyle name="20% - Accent3 2 3 3 5 7" xfId="21646"/>
    <cellStyle name="20% - Accent3 2 3 3 6" xfId="21647"/>
    <cellStyle name="20% - Accent3 2 3 3 6 2" xfId="21648"/>
    <cellStyle name="20% - Accent3 2 3 3 7" xfId="21649"/>
    <cellStyle name="20% - Accent3 2 3 3 7 2" xfId="21650"/>
    <cellStyle name="20% - Accent3 2 3 3 8" xfId="21651"/>
    <cellStyle name="20% - Accent3 2 3 3 9" xfId="21652"/>
    <cellStyle name="20% - Accent3 2 3 4" xfId="21653"/>
    <cellStyle name="20% - Accent3 2 3 4 10" xfId="21654"/>
    <cellStyle name="20% - Accent3 2 3 4 2" xfId="21655"/>
    <cellStyle name="20% - Accent3 2 3 4 2 2" xfId="21656"/>
    <cellStyle name="20% - Accent3 2 3 4 2 2 2" xfId="21657"/>
    <cellStyle name="20% - Accent3 2 3 4 2 3" xfId="21658"/>
    <cellStyle name="20% - Accent3 2 3 4 2 3 2" xfId="21659"/>
    <cellStyle name="20% - Accent3 2 3 4 2 4" xfId="21660"/>
    <cellStyle name="20% - Accent3 2 3 4 2 5" xfId="21661"/>
    <cellStyle name="20% - Accent3 2 3 4 2 6" xfId="21662"/>
    <cellStyle name="20% - Accent3 2 3 4 2 7" xfId="21663"/>
    <cellStyle name="20% - Accent3 2 3 4 3" xfId="21664"/>
    <cellStyle name="20% - Accent3 2 3 4 3 2" xfId="21665"/>
    <cellStyle name="20% - Accent3 2 3 4 3 2 2" xfId="21666"/>
    <cellStyle name="20% - Accent3 2 3 4 3 3" xfId="21667"/>
    <cellStyle name="20% - Accent3 2 3 4 3 3 2" xfId="21668"/>
    <cellStyle name="20% - Accent3 2 3 4 3 4" xfId="21669"/>
    <cellStyle name="20% - Accent3 2 3 4 3 5" xfId="21670"/>
    <cellStyle name="20% - Accent3 2 3 4 3 6" xfId="21671"/>
    <cellStyle name="20% - Accent3 2 3 4 3 7" xfId="21672"/>
    <cellStyle name="20% - Accent3 2 3 4 4" xfId="21673"/>
    <cellStyle name="20% - Accent3 2 3 4 4 2" xfId="21674"/>
    <cellStyle name="20% - Accent3 2 3 4 4 2 2" xfId="21675"/>
    <cellStyle name="20% - Accent3 2 3 4 4 3" xfId="21676"/>
    <cellStyle name="20% - Accent3 2 3 4 4 3 2" xfId="21677"/>
    <cellStyle name="20% - Accent3 2 3 4 4 4" xfId="21678"/>
    <cellStyle name="20% - Accent3 2 3 4 4 5" xfId="21679"/>
    <cellStyle name="20% - Accent3 2 3 4 4 6" xfId="21680"/>
    <cellStyle name="20% - Accent3 2 3 4 4 7" xfId="21681"/>
    <cellStyle name="20% - Accent3 2 3 4 5" xfId="21682"/>
    <cellStyle name="20% - Accent3 2 3 4 5 2" xfId="21683"/>
    <cellStyle name="20% - Accent3 2 3 4 6" xfId="21684"/>
    <cellStyle name="20% - Accent3 2 3 4 6 2" xfId="21685"/>
    <cellStyle name="20% - Accent3 2 3 4 7" xfId="21686"/>
    <cellStyle name="20% - Accent3 2 3 4 8" xfId="21687"/>
    <cellStyle name="20% - Accent3 2 3 4 9" xfId="21688"/>
    <cellStyle name="20% - Accent3 2 3 5" xfId="21689"/>
    <cellStyle name="20% - Accent3 2 3 5 2" xfId="21690"/>
    <cellStyle name="20% - Accent3 2 3 5 2 2" xfId="21691"/>
    <cellStyle name="20% - Accent3 2 3 5 3" xfId="21692"/>
    <cellStyle name="20% - Accent3 2 3 5 3 2" xfId="21693"/>
    <cellStyle name="20% - Accent3 2 3 5 4" xfId="21694"/>
    <cellStyle name="20% - Accent3 2 3 5 5" xfId="21695"/>
    <cellStyle name="20% - Accent3 2 3 5 6" xfId="21696"/>
    <cellStyle name="20% - Accent3 2 3 5 7" xfId="21697"/>
    <cellStyle name="20% - Accent3 2 3 6" xfId="21698"/>
    <cellStyle name="20% - Accent3 2 3 6 2" xfId="21699"/>
    <cellStyle name="20% - Accent3 2 3 6 2 2" xfId="21700"/>
    <cellStyle name="20% - Accent3 2 3 6 3" xfId="21701"/>
    <cellStyle name="20% - Accent3 2 3 6 3 2" xfId="21702"/>
    <cellStyle name="20% - Accent3 2 3 6 4" xfId="21703"/>
    <cellStyle name="20% - Accent3 2 3 6 5" xfId="21704"/>
    <cellStyle name="20% - Accent3 2 3 6 6" xfId="21705"/>
    <cellStyle name="20% - Accent3 2 3 6 7" xfId="21706"/>
    <cellStyle name="20% - Accent3 2 3 7" xfId="21707"/>
    <cellStyle name="20% - Accent3 2 3 7 2" xfId="21708"/>
    <cellStyle name="20% - Accent3 2 3 7 2 2" xfId="21709"/>
    <cellStyle name="20% - Accent3 2 3 7 3" xfId="21710"/>
    <cellStyle name="20% - Accent3 2 3 7 3 2" xfId="21711"/>
    <cellStyle name="20% - Accent3 2 3 7 4" xfId="21712"/>
    <cellStyle name="20% - Accent3 2 3 7 5" xfId="21713"/>
    <cellStyle name="20% - Accent3 2 3 7 6" xfId="21714"/>
    <cellStyle name="20% - Accent3 2 3 7 7" xfId="21715"/>
    <cellStyle name="20% - Accent3 2 3 8" xfId="21716"/>
    <cellStyle name="20% - Accent3 2 3 8 2" xfId="21717"/>
    <cellStyle name="20% - Accent3 2 3 9" xfId="21718"/>
    <cellStyle name="20% - Accent3 2 3 9 2" xfId="21719"/>
    <cellStyle name="20% - Accent3 2 4" xfId="21720"/>
    <cellStyle name="20% - Accent3 2 4 10" xfId="21721"/>
    <cellStyle name="20% - Accent3 2 4 11" xfId="21722"/>
    <cellStyle name="20% - Accent3 2 4 12" xfId="21723"/>
    <cellStyle name="20% - Accent3 2 4 13" xfId="21724"/>
    <cellStyle name="20% - Accent3 2 4 2" xfId="21725"/>
    <cellStyle name="20% - Accent3 2 4 2 10" xfId="21726"/>
    <cellStyle name="20% - Accent3 2 4 2 11" xfId="21727"/>
    <cellStyle name="20% - Accent3 2 4 2 2" xfId="21728"/>
    <cellStyle name="20% - Accent3 2 4 2 2 10" xfId="21729"/>
    <cellStyle name="20% - Accent3 2 4 2 2 2" xfId="21730"/>
    <cellStyle name="20% - Accent3 2 4 2 2 2 2" xfId="21731"/>
    <cellStyle name="20% - Accent3 2 4 2 2 2 2 2" xfId="21732"/>
    <cellStyle name="20% - Accent3 2 4 2 2 2 3" xfId="21733"/>
    <cellStyle name="20% - Accent3 2 4 2 2 2 3 2" xfId="21734"/>
    <cellStyle name="20% - Accent3 2 4 2 2 2 4" xfId="21735"/>
    <cellStyle name="20% - Accent3 2 4 2 2 2 5" xfId="21736"/>
    <cellStyle name="20% - Accent3 2 4 2 2 2 6" xfId="21737"/>
    <cellStyle name="20% - Accent3 2 4 2 2 2 7" xfId="21738"/>
    <cellStyle name="20% - Accent3 2 4 2 2 3" xfId="21739"/>
    <cellStyle name="20% - Accent3 2 4 2 2 3 2" xfId="21740"/>
    <cellStyle name="20% - Accent3 2 4 2 2 3 2 2" xfId="21741"/>
    <cellStyle name="20% - Accent3 2 4 2 2 3 3" xfId="21742"/>
    <cellStyle name="20% - Accent3 2 4 2 2 3 3 2" xfId="21743"/>
    <cellStyle name="20% - Accent3 2 4 2 2 3 4" xfId="21744"/>
    <cellStyle name="20% - Accent3 2 4 2 2 3 5" xfId="21745"/>
    <cellStyle name="20% - Accent3 2 4 2 2 3 6" xfId="21746"/>
    <cellStyle name="20% - Accent3 2 4 2 2 3 7" xfId="21747"/>
    <cellStyle name="20% - Accent3 2 4 2 2 4" xfId="21748"/>
    <cellStyle name="20% - Accent3 2 4 2 2 4 2" xfId="21749"/>
    <cellStyle name="20% - Accent3 2 4 2 2 4 2 2" xfId="21750"/>
    <cellStyle name="20% - Accent3 2 4 2 2 4 3" xfId="21751"/>
    <cellStyle name="20% - Accent3 2 4 2 2 4 3 2" xfId="21752"/>
    <cellStyle name="20% - Accent3 2 4 2 2 4 4" xfId="21753"/>
    <cellStyle name="20% - Accent3 2 4 2 2 4 5" xfId="21754"/>
    <cellStyle name="20% - Accent3 2 4 2 2 4 6" xfId="21755"/>
    <cellStyle name="20% - Accent3 2 4 2 2 4 7" xfId="21756"/>
    <cellStyle name="20% - Accent3 2 4 2 2 5" xfId="21757"/>
    <cellStyle name="20% - Accent3 2 4 2 2 5 2" xfId="21758"/>
    <cellStyle name="20% - Accent3 2 4 2 2 6" xfId="21759"/>
    <cellStyle name="20% - Accent3 2 4 2 2 6 2" xfId="21760"/>
    <cellStyle name="20% - Accent3 2 4 2 2 7" xfId="21761"/>
    <cellStyle name="20% - Accent3 2 4 2 2 8" xfId="21762"/>
    <cellStyle name="20% - Accent3 2 4 2 2 9" xfId="21763"/>
    <cellStyle name="20% - Accent3 2 4 2 3" xfId="21764"/>
    <cellStyle name="20% - Accent3 2 4 2 3 2" xfId="21765"/>
    <cellStyle name="20% - Accent3 2 4 2 3 2 2" xfId="21766"/>
    <cellStyle name="20% - Accent3 2 4 2 3 3" xfId="21767"/>
    <cellStyle name="20% - Accent3 2 4 2 3 3 2" xfId="21768"/>
    <cellStyle name="20% - Accent3 2 4 2 3 4" xfId="21769"/>
    <cellStyle name="20% - Accent3 2 4 2 3 5" xfId="21770"/>
    <cellStyle name="20% - Accent3 2 4 2 3 6" xfId="21771"/>
    <cellStyle name="20% - Accent3 2 4 2 3 7" xfId="21772"/>
    <cellStyle name="20% - Accent3 2 4 2 4" xfId="21773"/>
    <cellStyle name="20% - Accent3 2 4 2 4 2" xfId="21774"/>
    <cellStyle name="20% - Accent3 2 4 2 4 2 2" xfId="21775"/>
    <cellStyle name="20% - Accent3 2 4 2 4 3" xfId="21776"/>
    <cellStyle name="20% - Accent3 2 4 2 4 3 2" xfId="21777"/>
    <cellStyle name="20% - Accent3 2 4 2 4 4" xfId="21778"/>
    <cellStyle name="20% - Accent3 2 4 2 4 5" xfId="21779"/>
    <cellStyle name="20% - Accent3 2 4 2 4 6" xfId="21780"/>
    <cellStyle name="20% - Accent3 2 4 2 4 7" xfId="21781"/>
    <cellStyle name="20% - Accent3 2 4 2 5" xfId="21782"/>
    <cellStyle name="20% - Accent3 2 4 2 5 2" xfId="21783"/>
    <cellStyle name="20% - Accent3 2 4 2 5 2 2" xfId="21784"/>
    <cellStyle name="20% - Accent3 2 4 2 5 3" xfId="21785"/>
    <cellStyle name="20% - Accent3 2 4 2 5 3 2" xfId="21786"/>
    <cellStyle name="20% - Accent3 2 4 2 5 4" xfId="21787"/>
    <cellStyle name="20% - Accent3 2 4 2 5 5" xfId="21788"/>
    <cellStyle name="20% - Accent3 2 4 2 5 6" xfId="21789"/>
    <cellStyle name="20% - Accent3 2 4 2 5 7" xfId="21790"/>
    <cellStyle name="20% - Accent3 2 4 2 6" xfId="21791"/>
    <cellStyle name="20% - Accent3 2 4 2 6 2" xfId="21792"/>
    <cellStyle name="20% - Accent3 2 4 2 7" xfId="21793"/>
    <cellStyle name="20% - Accent3 2 4 2 7 2" xfId="21794"/>
    <cellStyle name="20% - Accent3 2 4 2 8" xfId="21795"/>
    <cellStyle name="20% - Accent3 2 4 2 9" xfId="21796"/>
    <cellStyle name="20% - Accent3 2 4 3" xfId="21797"/>
    <cellStyle name="20% - Accent3 2 4 3 10" xfId="21798"/>
    <cellStyle name="20% - Accent3 2 4 3 11" xfId="21799"/>
    <cellStyle name="20% - Accent3 2 4 3 2" xfId="21800"/>
    <cellStyle name="20% - Accent3 2 4 3 2 10" xfId="21801"/>
    <cellStyle name="20% - Accent3 2 4 3 2 2" xfId="21802"/>
    <cellStyle name="20% - Accent3 2 4 3 2 2 2" xfId="21803"/>
    <cellStyle name="20% - Accent3 2 4 3 2 2 2 2" xfId="21804"/>
    <cellStyle name="20% - Accent3 2 4 3 2 2 3" xfId="21805"/>
    <cellStyle name="20% - Accent3 2 4 3 2 2 3 2" xfId="21806"/>
    <cellStyle name="20% - Accent3 2 4 3 2 2 4" xfId="21807"/>
    <cellStyle name="20% - Accent3 2 4 3 2 2 5" xfId="21808"/>
    <cellStyle name="20% - Accent3 2 4 3 2 2 6" xfId="21809"/>
    <cellStyle name="20% - Accent3 2 4 3 2 2 7" xfId="21810"/>
    <cellStyle name="20% - Accent3 2 4 3 2 3" xfId="21811"/>
    <cellStyle name="20% - Accent3 2 4 3 2 3 2" xfId="21812"/>
    <cellStyle name="20% - Accent3 2 4 3 2 3 2 2" xfId="21813"/>
    <cellStyle name="20% - Accent3 2 4 3 2 3 3" xfId="21814"/>
    <cellStyle name="20% - Accent3 2 4 3 2 3 3 2" xfId="21815"/>
    <cellStyle name="20% - Accent3 2 4 3 2 3 4" xfId="21816"/>
    <cellStyle name="20% - Accent3 2 4 3 2 3 5" xfId="21817"/>
    <cellStyle name="20% - Accent3 2 4 3 2 3 6" xfId="21818"/>
    <cellStyle name="20% - Accent3 2 4 3 2 3 7" xfId="21819"/>
    <cellStyle name="20% - Accent3 2 4 3 2 4" xfId="21820"/>
    <cellStyle name="20% - Accent3 2 4 3 2 4 2" xfId="21821"/>
    <cellStyle name="20% - Accent3 2 4 3 2 4 2 2" xfId="21822"/>
    <cellStyle name="20% - Accent3 2 4 3 2 4 3" xfId="21823"/>
    <cellStyle name="20% - Accent3 2 4 3 2 4 3 2" xfId="21824"/>
    <cellStyle name="20% - Accent3 2 4 3 2 4 4" xfId="21825"/>
    <cellStyle name="20% - Accent3 2 4 3 2 4 5" xfId="21826"/>
    <cellStyle name="20% - Accent3 2 4 3 2 4 6" xfId="21827"/>
    <cellStyle name="20% - Accent3 2 4 3 2 4 7" xfId="21828"/>
    <cellStyle name="20% - Accent3 2 4 3 2 5" xfId="21829"/>
    <cellStyle name="20% - Accent3 2 4 3 2 5 2" xfId="21830"/>
    <cellStyle name="20% - Accent3 2 4 3 2 6" xfId="21831"/>
    <cellStyle name="20% - Accent3 2 4 3 2 6 2" xfId="21832"/>
    <cellStyle name="20% - Accent3 2 4 3 2 7" xfId="21833"/>
    <cellStyle name="20% - Accent3 2 4 3 2 8" xfId="21834"/>
    <cellStyle name="20% - Accent3 2 4 3 2 9" xfId="21835"/>
    <cellStyle name="20% - Accent3 2 4 3 3" xfId="21836"/>
    <cellStyle name="20% - Accent3 2 4 3 3 2" xfId="21837"/>
    <cellStyle name="20% - Accent3 2 4 3 3 2 2" xfId="21838"/>
    <cellStyle name="20% - Accent3 2 4 3 3 3" xfId="21839"/>
    <cellStyle name="20% - Accent3 2 4 3 3 3 2" xfId="21840"/>
    <cellStyle name="20% - Accent3 2 4 3 3 4" xfId="21841"/>
    <cellStyle name="20% - Accent3 2 4 3 3 5" xfId="21842"/>
    <cellStyle name="20% - Accent3 2 4 3 3 6" xfId="21843"/>
    <cellStyle name="20% - Accent3 2 4 3 3 7" xfId="21844"/>
    <cellStyle name="20% - Accent3 2 4 3 4" xfId="21845"/>
    <cellStyle name="20% - Accent3 2 4 3 4 2" xfId="21846"/>
    <cellStyle name="20% - Accent3 2 4 3 4 2 2" xfId="21847"/>
    <cellStyle name="20% - Accent3 2 4 3 4 3" xfId="21848"/>
    <cellStyle name="20% - Accent3 2 4 3 4 3 2" xfId="21849"/>
    <cellStyle name="20% - Accent3 2 4 3 4 4" xfId="21850"/>
    <cellStyle name="20% - Accent3 2 4 3 4 5" xfId="21851"/>
    <cellStyle name="20% - Accent3 2 4 3 4 6" xfId="21852"/>
    <cellStyle name="20% - Accent3 2 4 3 4 7" xfId="21853"/>
    <cellStyle name="20% - Accent3 2 4 3 5" xfId="21854"/>
    <cellStyle name="20% - Accent3 2 4 3 5 2" xfId="21855"/>
    <cellStyle name="20% - Accent3 2 4 3 5 2 2" xfId="21856"/>
    <cellStyle name="20% - Accent3 2 4 3 5 3" xfId="21857"/>
    <cellStyle name="20% - Accent3 2 4 3 5 3 2" xfId="21858"/>
    <cellStyle name="20% - Accent3 2 4 3 5 4" xfId="21859"/>
    <cellStyle name="20% - Accent3 2 4 3 5 5" xfId="21860"/>
    <cellStyle name="20% - Accent3 2 4 3 5 6" xfId="21861"/>
    <cellStyle name="20% - Accent3 2 4 3 5 7" xfId="21862"/>
    <cellStyle name="20% - Accent3 2 4 3 6" xfId="21863"/>
    <cellStyle name="20% - Accent3 2 4 3 6 2" xfId="21864"/>
    <cellStyle name="20% - Accent3 2 4 3 7" xfId="21865"/>
    <cellStyle name="20% - Accent3 2 4 3 7 2" xfId="21866"/>
    <cellStyle name="20% - Accent3 2 4 3 8" xfId="21867"/>
    <cellStyle name="20% - Accent3 2 4 3 9" xfId="21868"/>
    <cellStyle name="20% - Accent3 2 4 4" xfId="21869"/>
    <cellStyle name="20% - Accent3 2 4 4 10" xfId="21870"/>
    <cellStyle name="20% - Accent3 2 4 4 2" xfId="21871"/>
    <cellStyle name="20% - Accent3 2 4 4 2 2" xfId="21872"/>
    <cellStyle name="20% - Accent3 2 4 4 2 2 2" xfId="21873"/>
    <cellStyle name="20% - Accent3 2 4 4 2 3" xfId="21874"/>
    <cellStyle name="20% - Accent3 2 4 4 2 3 2" xfId="21875"/>
    <cellStyle name="20% - Accent3 2 4 4 2 4" xfId="21876"/>
    <cellStyle name="20% - Accent3 2 4 4 2 5" xfId="21877"/>
    <cellStyle name="20% - Accent3 2 4 4 2 6" xfId="21878"/>
    <cellStyle name="20% - Accent3 2 4 4 2 7" xfId="21879"/>
    <cellStyle name="20% - Accent3 2 4 4 3" xfId="21880"/>
    <cellStyle name="20% - Accent3 2 4 4 3 2" xfId="21881"/>
    <cellStyle name="20% - Accent3 2 4 4 3 2 2" xfId="21882"/>
    <cellStyle name="20% - Accent3 2 4 4 3 3" xfId="21883"/>
    <cellStyle name="20% - Accent3 2 4 4 3 3 2" xfId="21884"/>
    <cellStyle name="20% - Accent3 2 4 4 3 4" xfId="21885"/>
    <cellStyle name="20% - Accent3 2 4 4 3 5" xfId="21886"/>
    <cellStyle name="20% - Accent3 2 4 4 3 6" xfId="21887"/>
    <cellStyle name="20% - Accent3 2 4 4 3 7" xfId="21888"/>
    <cellStyle name="20% - Accent3 2 4 4 4" xfId="21889"/>
    <cellStyle name="20% - Accent3 2 4 4 4 2" xfId="21890"/>
    <cellStyle name="20% - Accent3 2 4 4 4 2 2" xfId="21891"/>
    <cellStyle name="20% - Accent3 2 4 4 4 3" xfId="21892"/>
    <cellStyle name="20% - Accent3 2 4 4 4 3 2" xfId="21893"/>
    <cellStyle name="20% - Accent3 2 4 4 4 4" xfId="21894"/>
    <cellStyle name="20% - Accent3 2 4 4 4 5" xfId="21895"/>
    <cellStyle name="20% - Accent3 2 4 4 4 6" xfId="21896"/>
    <cellStyle name="20% - Accent3 2 4 4 4 7" xfId="21897"/>
    <cellStyle name="20% - Accent3 2 4 4 5" xfId="21898"/>
    <cellStyle name="20% - Accent3 2 4 4 5 2" xfId="21899"/>
    <cellStyle name="20% - Accent3 2 4 4 6" xfId="21900"/>
    <cellStyle name="20% - Accent3 2 4 4 6 2" xfId="21901"/>
    <cellStyle name="20% - Accent3 2 4 4 7" xfId="21902"/>
    <cellStyle name="20% - Accent3 2 4 4 8" xfId="21903"/>
    <cellStyle name="20% - Accent3 2 4 4 9" xfId="21904"/>
    <cellStyle name="20% - Accent3 2 4 5" xfId="21905"/>
    <cellStyle name="20% - Accent3 2 4 5 2" xfId="21906"/>
    <cellStyle name="20% - Accent3 2 4 5 2 2" xfId="21907"/>
    <cellStyle name="20% - Accent3 2 4 5 3" xfId="21908"/>
    <cellStyle name="20% - Accent3 2 4 5 3 2" xfId="21909"/>
    <cellStyle name="20% - Accent3 2 4 5 4" xfId="21910"/>
    <cellStyle name="20% - Accent3 2 4 5 5" xfId="21911"/>
    <cellStyle name="20% - Accent3 2 4 5 6" xfId="21912"/>
    <cellStyle name="20% - Accent3 2 4 5 7" xfId="21913"/>
    <cellStyle name="20% - Accent3 2 4 6" xfId="21914"/>
    <cellStyle name="20% - Accent3 2 4 6 2" xfId="21915"/>
    <cellStyle name="20% - Accent3 2 4 6 2 2" xfId="21916"/>
    <cellStyle name="20% - Accent3 2 4 6 3" xfId="21917"/>
    <cellStyle name="20% - Accent3 2 4 6 3 2" xfId="21918"/>
    <cellStyle name="20% - Accent3 2 4 6 4" xfId="21919"/>
    <cellStyle name="20% - Accent3 2 4 6 5" xfId="21920"/>
    <cellStyle name="20% - Accent3 2 4 6 6" xfId="21921"/>
    <cellStyle name="20% - Accent3 2 4 6 7" xfId="21922"/>
    <cellStyle name="20% - Accent3 2 4 7" xfId="21923"/>
    <cellStyle name="20% - Accent3 2 4 7 2" xfId="21924"/>
    <cellStyle name="20% - Accent3 2 4 7 2 2" xfId="21925"/>
    <cellStyle name="20% - Accent3 2 4 7 3" xfId="21926"/>
    <cellStyle name="20% - Accent3 2 4 7 3 2" xfId="21927"/>
    <cellStyle name="20% - Accent3 2 4 7 4" xfId="21928"/>
    <cellStyle name="20% - Accent3 2 4 7 5" xfId="21929"/>
    <cellStyle name="20% - Accent3 2 4 7 6" xfId="21930"/>
    <cellStyle name="20% - Accent3 2 4 7 7" xfId="21931"/>
    <cellStyle name="20% - Accent3 2 4 8" xfId="21932"/>
    <cellStyle name="20% - Accent3 2 4 8 2" xfId="21933"/>
    <cellStyle name="20% - Accent3 2 4 9" xfId="21934"/>
    <cellStyle name="20% - Accent3 2 4 9 2" xfId="21935"/>
    <cellStyle name="20% - Accent3 2 5" xfId="21936"/>
    <cellStyle name="20% - Accent3 2 5 10" xfId="21937"/>
    <cellStyle name="20% - Accent3 2 5 11" xfId="21938"/>
    <cellStyle name="20% - Accent3 2 5 12" xfId="21939"/>
    <cellStyle name="20% - Accent3 2 5 13" xfId="21940"/>
    <cellStyle name="20% - Accent3 2 5 2" xfId="21941"/>
    <cellStyle name="20% - Accent3 2 5 2 10" xfId="21942"/>
    <cellStyle name="20% - Accent3 2 5 2 11" xfId="21943"/>
    <cellStyle name="20% - Accent3 2 5 2 2" xfId="21944"/>
    <cellStyle name="20% - Accent3 2 5 2 2 10" xfId="21945"/>
    <cellStyle name="20% - Accent3 2 5 2 2 2" xfId="21946"/>
    <cellStyle name="20% - Accent3 2 5 2 2 2 2" xfId="21947"/>
    <cellStyle name="20% - Accent3 2 5 2 2 2 2 2" xfId="21948"/>
    <cellStyle name="20% - Accent3 2 5 2 2 2 3" xfId="21949"/>
    <cellStyle name="20% - Accent3 2 5 2 2 2 3 2" xfId="21950"/>
    <cellStyle name="20% - Accent3 2 5 2 2 2 4" xfId="21951"/>
    <cellStyle name="20% - Accent3 2 5 2 2 2 5" xfId="21952"/>
    <cellStyle name="20% - Accent3 2 5 2 2 2 6" xfId="21953"/>
    <cellStyle name="20% - Accent3 2 5 2 2 2 7" xfId="21954"/>
    <cellStyle name="20% - Accent3 2 5 2 2 3" xfId="21955"/>
    <cellStyle name="20% - Accent3 2 5 2 2 3 2" xfId="21956"/>
    <cellStyle name="20% - Accent3 2 5 2 2 3 2 2" xfId="21957"/>
    <cellStyle name="20% - Accent3 2 5 2 2 3 3" xfId="21958"/>
    <cellStyle name="20% - Accent3 2 5 2 2 3 3 2" xfId="21959"/>
    <cellStyle name="20% - Accent3 2 5 2 2 3 4" xfId="21960"/>
    <cellStyle name="20% - Accent3 2 5 2 2 3 5" xfId="21961"/>
    <cellStyle name="20% - Accent3 2 5 2 2 3 6" xfId="21962"/>
    <cellStyle name="20% - Accent3 2 5 2 2 3 7" xfId="21963"/>
    <cellStyle name="20% - Accent3 2 5 2 2 4" xfId="21964"/>
    <cellStyle name="20% - Accent3 2 5 2 2 4 2" xfId="21965"/>
    <cellStyle name="20% - Accent3 2 5 2 2 4 2 2" xfId="21966"/>
    <cellStyle name="20% - Accent3 2 5 2 2 4 3" xfId="21967"/>
    <cellStyle name="20% - Accent3 2 5 2 2 4 3 2" xfId="21968"/>
    <cellStyle name="20% - Accent3 2 5 2 2 4 4" xfId="21969"/>
    <cellStyle name="20% - Accent3 2 5 2 2 4 5" xfId="21970"/>
    <cellStyle name="20% - Accent3 2 5 2 2 4 6" xfId="21971"/>
    <cellStyle name="20% - Accent3 2 5 2 2 4 7" xfId="21972"/>
    <cellStyle name="20% - Accent3 2 5 2 2 5" xfId="21973"/>
    <cellStyle name="20% - Accent3 2 5 2 2 5 2" xfId="21974"/>
    <cellStyle name="20% - Accent3 2 5 2 2 6" xfId="21975"/>
    <cellStyle name="20% - Accent3 2 5 2 2 6 2" xfId="21976"/>
    <cellStyle name="20% - Accent3 2 5 2 2 7" xfId="21977"/>
    <cellStyle name="20% - Accent3 2 5 2 2 8" xfId="21978"/>
    <cellStyle name="20% - Accent3 2 5 2 2 9" xfId="21979"/>
    <cellStyle name="20% - Accent3 2 5 2 3" xfId="21980"/>
    <cellStyle name="20% - Accent3 2 5 2 3 2" xfId="21981"/>
    <cellStyle name="20% - Accent3 2 5 2 3 2 2" xfId="21982"/>
    <cellStyle name="20% - Accent3 2 5 2 3 3" xfId="21983"/>
    <cellStyle name="20% - Accent3 2 5 2 3 3 2" xfId="21984"/>
    <cellStyle name="20% - Accent3 2 5 2 3 4" xfId="21985"/>
    <cellStyle name="20% - Accent3 2 5 2 3 5" xfId="21986"/>
    <cellStyle name="20% - Accent3 2 5 2 3 6" xfId="21987"/>
    <cellStyle name="20% - Accent3 2 5 2 3 7" xfId="21988"/>
    <cellStyle name="20% - Accent3 2 5 2 4" xfId="21989"/>
    <cellStyle name="20% - Accent3 2 5 2 4 2" xfId="21990"/>
    <cellStyle name="20% - Accent3 2 5 2 4 2 2" xfId="21991"/>
    <cellStyle name="20% - Accent3 2 5 2 4 3" xfId="21992"/>
    <cellStyle name="20% - Accent3 2 5 2 4 3 2" xfId="21993"/>
    <cellStyle name="20% - Accent3 2 5 2 4 4" xfId="21994"/>
    <cellStyle name="20% - Accent3 2 5 2 4 5" xfId="21995"/>
    <cellStyle name="20% - Accent3 2 5 2 4 6" xfId="21996"/>
    <cellStyle name="20% - Accent3 2 5 2 4 7" xfId="21997"/>
    <cellStyle name="20% - Accent3 2 5 2 5" xfId="21998"/>
    <cellStyle name="20% - Accent3 2 5 2 5 2" xfId="21999"/>
    <cellStyle name="20% - Accent3 2 5 2 5 2 2" xfId="22000"/>
    <cellStyle name="20% - Accent3 2 5 2 5 3" xfId="22001"/>
    <cellStyle name="20% - Accent3 2 5 2 5 3 2" xfId="22002"/>
    <cellStyle name="20% - Accent3 2 5 2 5 4" xfId="22003"/>
    <cellStyle name="20% - Accent3 2 5 2 5 5" xfId="22004"/>
    <cellStyle name="20% - Accent3 2 5 2 5 6" xfId="22005"/>
    <cellStyle name="20% - Accent3 2 5 2 5 7" xfId="22006"/>
    <cellStyle name="20% - Accent3 2 5 2 6" xfId="22007"/>
    <cellStyle name="20% - Accent3 2 5 2 6 2" xfId="22008"/>
    <cellStyle name="20% - Accent3 2 5 2 7" xfId="22009"/>
    <cellStyle name="20% - Accent3 2 5 2 7 2" xfId="22010"/>
    <cellStyle name="20% - Accent3 2 5 2 8" xfId="22011"/>
    <cellStyle name="20% - Accent3 2 5 2 9" xfId="22012"/>
    <cellStyle name="20% - Accent3 2 5 3" xfId="22013"/>
    <cellStyle name="20% - Accent3 2 5 3 10" xfId="22014"/>
    <cellStyle name="20% - Accent3 2 5 3 11" xfId="22015"/>
    <cellStyle name="20% - Accent3 2 5 3 2" xfId="22016"/>
    <cellStyle name="20% - Accent3 2 5 3 2 10" xfId="22017"/>
    <cellStyle name="20% - Accent3 2 5 3 2 2" xfId="22018"/>
    <cellStyle name="20% - Accent3 2 5 3 2 2 2" xfId="22019"/>
    <cellStyle name="20% - Accent3 2 5 3 2 2 2 2" xfId="22020"/>
    <cellStyle name="20% - Accent3 2 5 3 2 2 3" xfId="22021"/>
    <cellStyle name="20% - Accent3 2 5 3 2 2 3 2" xfId="22022"/>
    <cellStyle name="20% - Accent3 2 5 3 2 2 4" xfId="22023"/>
    <cellStyle name="20% - Accent3 2 5 3 2 2 5" xfId="22024"/>
    <cellStyle name="20% - Accent3 2 5 3 2 2 6" xfId="22025"/>
    <cellStyle name="20% - Accent3 2 5 3 2 2 7" xfId="22026"/>
    <cellStyle name="20% - Accent3 2 5 3 2 3" xfId="22027"/>
    <cellStyle name="20% - Accent3 2 5 3 2 3 2" xfId="22028"/>
    <cellStyle name="20% - Accent3 2 5 3 2 3 2 2" xfId="22029"/>
    <cellStyle name="20% - Accent3 2 5 3 2 3 3" xfId="22030"/>
    <cellStyle name="20% - Accent3 2 5 3 2 3 3 2" xfId="22031"/>
    <cellStyle name="20% - Accent3 2 5 3 2 3 4" xfId="22032"/>
    <cellStyle name="20% - Accent3 2 5 3 2 3 5" xfId="22033"/>
    <cellStyle name="20% - Accent3 2 5 3 2 3 6" xfId="22034"/>
    <cellStyle name="20% - Accent3 2 5 3 2 3 7" xfId="22035"/>
    <cellStyle name="20% - Accent3 2 5 3 2 4" xfId="22036"/>
    <cellStyle name="20% - Accent3 2 5 3 2 4 2" xfId="22037"/>
    <cellStyle name="20% - Accent3 2 5 3 2 4 2 2" xfId="22038"/>
    <cellStyle name="20% - Accent3 2 5 3 2 4 3" xfId="22039"/>
    <cellStyle name="20% - Accent3 2 5 3 2 4 3 2" xfId="22040"/>
    <cellStyle name="20% - Accent3 2 5 3 2 4 4" xfId="22041"/>
    <cellStyle name="20% - Accent3 2 5 3 2 4 5" xfId="22042"/>
    <cellStyle name="20% - Accent3 2 5 3 2 4 6" xfId="22043"/>
    <cellStyle name="20% - Accent3 2 5 3 2 4 7" xfId="22044"/>
    <cellStyle name="20% - Accent3 2 5 3 2 5" xfId="22045"/>
    <cellStyle name="20% - Accent3 2 5 3 2 5 2" xfId="22046"/>
    <cellStyle name="20% - Accent3 2 5 3 2 6" xfId="22047"/>
    <cellStyle name="20% - Accent3 2 5 3 2 6 2" xfId="22048"/>
    <cellStyle name="20% - Accent3 2 5 3 2 7" xfId="22049"/>
    <cellStyle name="20% - Accent3 2 5 3 2 8" xfId="22050"/>
    <cellStyle name="20% - Accent3 2 5 3 2 9" xfId="22051"/>
    <cellStyle name="20% - Accent3 2 5 3 3" xfId="22052"/>
    <cellStyle name="20% - Accent3 2 5 3 3 2" xfId="22053"/>
    <cellStyle name="20% - Accent3 2 5 3 3 2 2" xfId="22054"/>
    <cellStyle name="20% - Accent3 2 5 3 3 3" xfId="22055"/>
    <cellStyle name="20% - Accent3 2 5 3 3 3 2" xfId="22056"/>
    <cellStyle name="20% - Accent3 2 5 3 3 4" xfId="22057"/>
    <cellStyle name="20% - Accent3 2 5 3 3 5" xfId="22058"/>
    <cellStyle name="20% - Accent3 2 5 3 3 6" xfId="22059"/>
    <cellStyle name="20% - Accent3 2 5 3 3 7" xfId="22060"/>
    <cellStyle name="20% - Accent3 2 5 3 4" xfId="22061"/>
    <cellStyle name="20% - Accent3 2 5 3 4 2" xfId="22062"/>
    <cellStyle name="20% - Accent3 2 5 3 4 2 2" xfId="22063"/>
    <cellStyle name="20% - Accent3 2 5 3 4 3" xfId="22064"/>
    <cellStyle name="20% - Accent3 2 5 3 4 3 2" xfId="22065"/>
    <cellStyle name="20% - Accent3 2 5 3 4 4" xfId="22066"/>
    <cellStyle name="20% - Accent3 2 5 3 4 5" xfId="22067"/>
    <cellStyle name="20% - Accent3 2 5 3 4 6" xfId="22068"/>
    <cellStyle name="20% - Accent3 2 5 3 4 7" xfId="22069"/>
    <cellStyle name="20% - Accent3 2 5 3 5" xfId="22070"/>
    <cellStyle name="20% - Accent3 2 5 3 5 2" xfId="22071"/>
    <cellStyle name="20% - Accent3 2 5 3 5 2 2" xfId="22072"/>
    <cellStyle name="20% - Accent3 2 5 3 5 3" xfId="22073"/>
    <cellStyle name="20% - Accent3 2 5 3 5 3 2" xfId="22074"/>
    <cellStyle name="20% - Accent3 2 5 3 5 4" xfId="22075"/>
    <cellStyle name="20% - Accent3 2 5 3 5 5" xfId="22076"/>
    <cellStyle name="20% - Accent3 2 5 3 5 6" xfId="22077"/>
    <cellStyle name="20% - Accent3 2 5 3 5 7" xfId="22078"/>
    <cellStyle name="20% - Accent3 2 5 3 6" xfId="22079"/>
    <cellStyle name="20% - Accent3 2 5 3 6 2" xfId="22080"/>
    <cellStyle name="20% - Accent3 2 5 3 7" xfId="22081"/>
    <cellStyle name="20% - Accent3 2 5 3 7 2" xfId="22082"/>
    <cellStyle name="20% - Accent3 2 5 3 8" xfId="22083"/>
    <cellStyle name="20% - Accent3 2 5 3 9" xfId="22084"/>
    <cellStyle name="20% - Accent3 2 5 4" xfId="22085"/>
    <cellStyle name="20% - Accent3 2 5 4 10" xfId="22086"/>
    <cellStyle name="20% - Accent3 2 5 4 2" xfId="22087"/>
    <cellStyle name="20% - Accent3 2 5 4 2 2" xfId="22088"/>
    <cellStyle name="20% - Accent3 2 5 4 2 2 2" xfId="22089"/>
    <cellStyle name="20% - Accent3 2 5 4 2 3" xfId="22090"/>
    <cellStyle name="20% - Accent3 2 5 4 2 3 2" xfId="22091"/>
    <cellStyle name="20% - Accent3 2 5 4 2 4" xfId="22092"/>
    <cellStyle name="20% - Accent3 2 5 4 2 5" xfId="22093"/>
    <cellStyle name="20% - Accent3 2 5 4 2 6" xfId="22094"/>
    <cellStyle name="20% - Accent3 2 5 4 2 7" xfId="22095"/>
    <cellStyle name="20% - Accent3 2 5 4 3" xfId="22096"/>
    <cellStyle name="20% - Accent3 2 5 4 3 2" xfId="22097"/>
    <cellStyle name="20% - Accent3 2 5 4 3 2 2" xfId="22098"/>
    <cellStyle name="20% - Accent3 2 5 4 3 3" xfId="22099"/>
    <cellStyle name="20% - Accent3 2 5 4 3 3 2" xfId="22100"/>
    <cellStyle name="20% - Accent3 2 5 4 3 4" xfId="22101"/>
    <cellStyle name="20% - Accent3 2 5 4 3 5" xfId="22102"/>
    <cellStyle name="20% - Accent3 2 5 4 3 6" xfId="22103"/>
    <cellStyle name="20% - Accent3 2 5 4 3 7" xfId="22104"/>
    <cellStyle name="20% - Accent3 2 5 4 4" xfId="22105"/>
    <cellStyle name="20% - Accent3 2 5 4 4 2" xfId="22106"/>
    <cellStyle name="20% - Accent3 2 5 4 4 2 2" xfId="22107"/>
    <cellStyle name="20% - Accent3 2 5 4 4 3" xfId="22108"/>
    <cellStyle name="20% - Accent3 2 5 4 4 3 2" xfId="22109"/>
    <cellStyle name="20% - Accent3 2 5 4 4 4" xfId="22110"/>
    <cellStyle name="20% - Accent3 2 5 4 4 5" xfId="22111"/>
    <cellStyle name="20% - Accent3 2 5 4 4 6" xfId="22112"/>
    <cellStyle name="20% - Accent3 2 5 4 4 7" xfId="22113"/>
    <cellStyle name="20% - Accent3 2 5 4 5" xfId="22114"/>
    <cellStyle name="20% - Accent3 2 5 4 5 2" xfId="22115"/>
    <cellStyle name="20% - Accent3 2 5 4 6" xfId="22116"/>
    <cellStyle name="20% - Accent3 2 5 4 6 2" xfId="22117"/>
    <cellStyle name="20% - Accent3 2 5 4 7" xfId="22118"/>
    <cellStyle name="20% - Accent3 2 5 4 8" xfId="22119"/>
    <cellStyle name="20% - Accent3 2 5 4 9" xfId="22120"/>
    <cellStyle name="20% - Accent3 2 5 5" xfId="22121"/>
    <cellStyle name="20% - Accent3 2 5 5 2" xfId="22122"/>
    <cellStyle name="20% - Accent3 2 5 5 2 2" xfId="22123"/>
    <cellStyle name="20% - Accent3 2 5 5 3" xfId="22124"/>
    <cellStyle name="20% - Accent3 2 5 5 3 2" xfId="22125"/>
    <cellStyle name="20% - Accent3 2 5 5 4" xfId="22126"/>
    <cellStyle name="20% - Accent3 2 5 5 5" xfId="22127"/>
    <cellStyle name="20% - Accent3 2 5 5 6" xfId="22128"/>
    <cellStyle name="20% - Accent3 2 5 5 7" xfId="22129"/>
    <cellStyle name="20% - Accent3 2 5 6" xfId="22130"/>
    <cellStyle name="20% - Accent3 2 5 6 2" xfId="22131"/>
    <cellStyle name="20% - Accent3 2 5 6 2 2" xfId="22132"/>
    <cellStyle name="20% - Accent3 2 5 6 3" xfId="22133"/>
    <cellStyle name="20% - Accent3 2 5 6 3 2" xfId="22134"/>
    <cellStyle name="20% - Accent3 2 5 6 4" xfId="22135"/>
    <cellStyle name="20% - Accent3 2 5 6 5" xfId="22136"/>
    <cellStyle name="20% - Accent3 2 5 6 6" xfId="22137"/>
    <cellStyle name="20% - Accent3 2 5 6 7" xfId="22138"/>
    <cellStyle name="20% - Accent3 2 5 7" xfId="22139"/>
    <cellStyle name="20% - Accent3 2 5 7 2" xfId="22140"/>
    <cellStyle name="20% - Accent3 2 5 7 2 2" xfId="22141"/>
    <cellStyle name="20% - Accent3 2 5 7 3" xfId="22142"/>
    <cellStyle name="20% - Accent3 2 5 7 3 2" xfId="22143"/>
    <cellStyle name="20% - Accent3 2 5 7 4" xfId="22144"/>
    <cellStyle name="20% - Accent3 2 5 7 5" xfId="22145"/>
    <cellStyle name="20% - Accent3 2 5 7 6" xfId="22146"/>
    <cellStyle name="20% - Accent3 2 5 7 7" xfId="22147"/>
    <cellStyle name="20% - Accent3 2 5 8" xfId="22148"/>
    <cellStyle name="20% - Accent3 2 5 8 2" xfId="22149"/>
    <cellStyle name="20% - Accent3 2 5 9" xfId="22150"/>
    <cellStyle name="20% - Accent3 2 5 9 2" xfId="22151"/>
    <cellStyle name="20% - Accent3 2 6" xfId="22152"/>
    <cellStyle name="20% - Accent3 2 6 10" xfId="22153"/>
    <cellStyle name="20% - Accent3 2 6 11" xfId="22154"/>
    <cellStyle name="20% - Accent3 2 6 12" xfId="22155"/>
    <cellStyle name="20% - Accent3 2 6 13" xfId="22156"/>
    <cellStyle name="20% - Accent3 2 6 2" xfId="22157"/>
    <cellStyle name="20% - Accent3 2 6 2 10" xfId="22158"/>
    <cellStyle name="20% - Accent3 2 6 2 11" xfId="22159"/>
    <cellStyle name="20% - Accent3 2 6 2 2" xfId="22160"/>
    <cellStyle name="20% - Accent3 2 6 2 2 10" xfId="22161"/>
    <cellStyle name="20% - Accent3 2 6 2 2 2" xfId="22162"/>
    <cellStyle name="20% - Accent3 2 6 2 2 2 2" xfId="22163"/>
    <cellStyle name="20% - Accent3 2 6 2 2 2 2 2" xfId="22164"/>
    <cellStyle name="20% - Accent3 2 6 2 2 2 3" xfId="22165"/>
    <cellStyle name="20% - Accent3 2 6 2 2 2 3 2" xfId="22166"/>
    <cellStyle name="20% - Accent3 2 6 2 2 2 4" xfId="22167"/>
    <cellStyle name="20% - Accent3 2 6 2 2 2 5" xfId="22168"/>
    <cellStyle name="20% - Accent3 2 6 2 2 2 6" xfId="22169"/>
    <cellStyle name="20% - Accent3 2 6 2 2 2 7" xfId="22170"/>
    <cellStyle name="20% - Accent3 2 6 2 2 3" xfId="22171"/>
    <cellStyle name="20% - Accent3 2 6 2 2 3 2" xfId="22172"/>
    <cellStyle name="20% - Accent3 2 6 2 2 3 2 2" xfId="22173"/>
    <cellStyle name="20% - Accent3 2 6 2 2 3 3" xfId="22174"/>
    <cellStyle name="20% - Accent3 2 6 2 2 3 3 2" xfId="22175"/>
    <cellStyle name="20% - Accent3 2 6 2 2 3 4" xfId="22176"/>
    <cellStyle name="20% - Accent3 2 6 2 2 3 5" xfId="22177"/>
    <cellStyle name="20% - Accent3 2 6 2 2 3 6" xfId="22178"/>
    <cellStyle name="20% - Accent3 2 6 2 2 3 7" xfId="22179"/>
    <cellStyle name="20% - Accent3 2 6 2 2 4" xfId="22180"/>
    <cellStyle name="20% - Accent3 2 6 2 2 4 2" xfId="22181"/>
    <cellStyle name="20% - Accent3 2 6 2 2 4 2 2" xfId="22182"/>
    <cellStyle name="20% - Accent3 2 6 2 2 4 3" xfId="22183"/>
    <cellStyle name="20% - Accent3 2 6 2 2 4 3 2" xfId="22184"/>
    <cellStyle name="20% - Accent3 2 6 2 2 4 4" xfId="22185"/>
    <cellStyle name="20% - Accent3 2 6 2 2 4 5" xfId="22186"/>
    <cellStyle name="20% - Accent3 2 6 2 2 4 6" xfId="22187"/>
    <cellStyle name="20% - Accent3 2 6 2 2 4 7" xfId="22188"/>
    <cellStyle name="20% - Accent3 2 6 2 2 5" xfId="22189"/>
    <cellStyle name="20% - Accent3 2 6 2 2 5 2" xfId="22190"/>
    <cellStyle name="20% - Accent3 2 6 2 2 6" xfId="22191"/>
    <cellStyle name="20% - Accent3 2 6 2 2 6 2" xfId="22192"/>
    <cellStyle name="20% - Accent3 2 6 2 2 7" xfId="22193"/>
    <cellStyle name="20% - Accent3 2 6 2 2 8" xfId="22194"/>
    <cellStyle name="20% - Accent3 2 6 2 2 9" xfId="22195"/>
    <cellStyle name="20% - Accent3 2 6 2 3" xfId="22196"/>
    <cellStyle name="20% - Accent3 2 6 2 3 2" xfId="22197"/>
    <cellStyle name="20% - Accent3 2 6 2 3 2 2" xfId="22198"/>
    <cellStyle name="20% - Accent3 2 6 2 3 3" xfId="22199"/>
    <cellStyle name="20% - Accent3 2 6 2 3 3 2" xfId="22200"/>
    <cellStyle name="20% - Accent3 2 6 2 3 4" xfId="22201"/>
    <cellStyle name="20% - Accent3 2 6 2 3 5" xfId="22202"/>
    <cellStyle name="20% - Accent3 2 6 2 3 6" xfId="22203"/>
    <cellStyle name="20% - Accent3 2 6 2 3 7" xfId="22204"/>
    <cellStyle name="20% - Accent3 2 6 2 4" xfId="22205"/>
    <cellStyle name="20% - Accent3 2 6 2 4 2" xfId="22206"/>
    <cellStyle name="20% - Accent3 2 6 2 4 2 2" xfId="22207"/>
    <cellStyle name="20% - Accent3 2 6 2 4 3" xfId="22208"/>
    <cellStyle name="20% - Accent3 2 6 2 4 3 2" xfId="22209"/>
    <cellStyle name="20% - Accent3 2 6 2 4 4" xfId="22210"/>
    <cellStyle name="20% - Accent3 2 6 2 4 5" xfId="22211"/>
    <cellStyle name="20% - Accent3 2 6 2 4 6" xfId="22212"/>
    <cellStyle name="20% - Accent3 2 6 2 4 7" xfId="22213"/>
    <cellStyle name="20% - Accent3 2 6 2 5" xfId="22214"/>
    <cellStyle name="20% - Accent3 2 6 2 5 2" xfId="22215"/>
    <cellStyle name="20% - Accent3 2 6 2 5 2 2" xfId="22216"/>
    <cellStyle name="20% - Accent3 2 6 2 5 3" xfId="22217"/>
    <cellStyle name="20% - Accent3 2 6 2 5 3 2" xfId="22218"/>
    <cellStyle name="20% - Accent3 2 6 2 5 4" xfId="22219"/>
    <cellStyle name="20% - Accent3 2 6 2 5 5" xfId="22220"/>
    <cellStyle name="20% - Accent3 2 6 2 5 6" xfId="22221"/>
    <cellStyle name="20% - Accent3 2 6 2 5 7" xfId="22222"/>
    <cellStyle name="20% - Accent3 2 6 2 6" xfId="22223"/>
    <cellStyle name="20% - Accent3 2 6 2 6 2" xfId="22224"/>
    <cellStyle name="20% - Accent3 2 6 2 7" xfId="22225"/>
    <cellStyle name="20% - Accent3 2 6 2 7 2" xfId="22226"/>
    <cellStyle name="20% - Accent3 2 6 2 8" xfId="22227"/>
    <cellStyle name="20% - Accent3 2 6 2 9" xfId="22228"/>
    <cellStyle name="20% - Accent3 2 6 3" xfId="22229"/>
    <cellStyle name="20% - Accent3 2 6 3 10" xfId="22230"/>
    <cellStyle name="20% - Accent3 2 6 3 11" xfId="22231"/>
    <cellStyle name="20% - Accent3 2 6 3 2" xfId="22232"/>
    <cellStyle name="20% - Accent3 2 6 3 2 10" xfId="22233"/>
    <cellStyle name="20% - Accent3 2 6 3 2 2" xfId="22234"/>
    <cellStyle name="20% - Accent3 2 6 3 2 2 2" xfId="22235"/>
    <cellStyle name="20% - Accent3 2 6 3 2 2 2 2" xfId="22236"/>
    <cellStyle name="20% - Accent3 2 6 3 2 2 3" xfId="22237"/>
    <cellStyle name="20% - Accent3 2 6 3 2 2 3 2" xfId="22238"/>
    <cellStyle name="20% - Accent3 2 6 3 2 2 4" xfId="22239"/>
    <cellStyle name="20% - Accent3 2 6 3 2 2 5" xfId="22240"/>
    <cellStyle name="20% - Accent3 2 6 3 2 2 6" xfId="22241"/>
    <cellStyle name="20% - Accent3 2 6 3 2 2 7" xfId="22242"/>
    <cellStyle name="20% - Accent3 2 6 3 2 3" xfId="22243"/>
    <cellStyle name="20% - Accent3 2 6 3 2 3 2" xfId="22244"/>
    <cellStyle name="20% - Accent3 2 6 3 2 3 2 2" xfId="22245"/>
    <cellStyle name="20% - Accent3 2 6 3 2 3 3" xfId="22246"/>
    <cellStyle name="20% - Accent3 2 6 3 2 3 3 2" xfId="22247"/>
    <cellStyle name="20% - Accent3 2 6 3 2 3 4" xfId="22248"/>
    <cellStyle name="20% - Accent3 2 6 3 2 3 5" xfId="22249"/>
    <cellStyle name="20% - Accent3 2 6 3 2 3 6" xfId="22250"/>
    <cellStyle name="20% - Accent3 2 6 3 2 3 7" xfId="22251"/>
    <cellStyle name="20% - Accent3 2 6 3 2 4" xfId="22252"/>
    <cellStyle name="20% - Accent3 2 6 3 2 4 2" xfId="22253"/>
    <cellStyle name="20% - Accent3 2 6 3 2 4 2 2" xfId="22254"/>
    <cellStyle name="20% - Accent3 2 6 3 2 4 3" xfId="22255"/>
    <cellStyle name="20% - Accent3 2 6 3 2 4 3 2" xfId="22256"/>
    <cellStyle name="20% - Accent3 2 6 3 2 4 4" xfId="22257"/>
    <cellStyle name="20% - Accent3 2 6 3 2 4 5" xfId="22258"/>
    <cellStyle name="20% - Accent3 2 6 3 2 4 6" xfId="22259"/>
    <cellStyle name="20% - Accent3 2 6 3 2 4 7" xfId="22260"/>
    <cellStyle name="20% - Accent3 2 6 3 2 5" xfId="22261"/>
    <cellStyle name="20% - Accent3 2 6 3 2 5 2" xfId="22262"/>
    <cellStyle name="20% - Accent3 2 6 3 2 6" xfId="22263"/>
    <cellStyle name="20% - Accent3 2 6 3 2 6 2" xfId="22264"/>
    <cellStyle name="20% - Accent3 2 6 3 2 7" xfId="22265"/>
    <cellStyle name="20% - Accent3 2 6 3 2 8" xfId="22266"/>
    <cellStyle name="20% - Accent3 2 6 3 2 9" xfId="22267"/>
    <cellStyle name="20% - Accent3 2 6 3 3" xfId="22268"/>
    <cellStyle name="20% - Accent3 2 6 3 3 2" xfId="22269"/>
    <cellStyle name="20% - Accent3 2 6 3 3 2 2" xfId="22270"/>
    <cellStyle name="20% - Accent3 2 6 3 3 3" xfId="22271"/>
    <cellStyle name="20% - Accent3 2 6 3 3 3 2" xfId="22272"/>
    <cellStyle name="20% - Accent3 2 6 3 3 4" xfId="22273"/>
    <cellStyle name="20% - Accent3 2 6 3 3 5" xfId="22274"/>
    <cellStyle name="20% - Accent3 2 6 3 3 6" xfId="22275"/>
    <cellStyle name="20% - Accent3 2 6 3 3 7" xfId="22276"/>
    <cellStyle name="20% - Accent3 2 6 3 4" xfId="22277"/>
    <cellStyle name="20% - Accent3 2 6 3 4 2" xfId="22278"/>
    <cellStyle name="20% - Accent3 2 6 3 4 2 2" xfId="22279"/>
    <cellStyle name="20% - Accent3 2 6 3 4 3" xfId="22280"/>
    <cellStyle name="20% - Accent3 2 6 3 4 3 2" xfId="22281"/>
    <cellStyle name="20% - Accent3 2 6 3 4 4" xfId="22282"/>
    <cellStyle name="20% - Accent3 2 6 3 4 5" xfId="22283"/>
    <cellStyle name="20% - Accent3 2 6 3 4 6" xfId="22284"/>
    <cellStyle name="20% - Accent3 2 6 3 4 7" xfId="22285"/>
    <cellStyle name="20% - Accent3 2 6 3 5" xfId="22286"/>
    <cellStyle name="20% - Accent3 2 6 3 5 2" xfId="22287"/>
    <cellStyle name="20% - Accent3 2 6 3 5 2 2" xfId="22288"/>
    <cellStyle name="20% - Accent3 2 6 3 5 3" xfId="22289"/>
    <cellStyle name="20% - Accent3 2 6 3 5 3 2" xfId="22290"/>
    <cellStyle name="20% - Accent3 2 6 3 5 4" xfId="22291"/>
    <cellStyle name="20% - Accent3 2 6 3 5 5" xfId="22292"/>
    <cellStyle name="20% - Accent3 2 6 3 5 6" xfId="22293"/>
    <cellStyle name="20% - Accent3 2 6 3 5 7" xfId="22294"/>
    <cellStyle name="20% - Accent3 2 6 3 6" xfId="22295"/>
    <cellStyle name="20% - Accent3 2 6 3 6 2" xfId="22296"/>
    <cellStyle name="20% - Accent3 2 6 3 7" xfId="22297"/>
    <cellStyle name="20% - Accent3 2 6 3 7 2" xfId="22298"/>
    <cellStyle name="20% - Accent3 2 6 3 8" xfId="22299"/>
    <cellStyle name="20% - Accent3 2 6 3 9" xfId="22300"/>
    <cellStyle name="20% - Accent3 2 6 4" xfId="22301"/>
    <cellStyle name="20% - Accent3 2 6 4 10" xfId="22302"/>
    <cellStyle name="20% - Accent3 2 6 4 2" xfId="22303"/>
    <cellStyle name="20% - Accent3 2 6 4 2 2" xfId="22304"/>
    <cellStyle name="20% - Accent3 2 6 4 2 2 2" xfId="22305"/>
    <cellStyle name="20% - Accent3 2 6 4 2 3" xfId="22306"/>
    <cellStyle name="20% - Accent3 2 6 4 2 3 2" xfId="22307"/>
    <cellStyle name="20% - Accent3 2 6 4 2 4" xfId="22308"/>
    <cellStyle name="20% - Accent3 2 6 4 2 5" xfId="22309"/>
    <cellStyle name="20% - Accent3 2 6 4 2 6" xfId="22310"/>
    <cellStyle name="20% - Accent3 2 6 4 2 7" xfId="22311"/>
    <cellStyle name="20% - Accent3 2 6 4 3" xfId="22312"/>
    <cellStyle name="20% - Accent3 2 6 4 3 2" xfId="22313"/>
    <cellStyle name="20% - Accent3 2 6 4 3 2 2" xfId="22314"/>
    <cellStyle name="20% - Accent3 2 6 4 3 3" xfId="22315"/>
    <cellStyle name="20% - Accent3 2 6 4 3 3 2" xfId="22316"/>
    <cellStyle name="20% - Accent3 2 6 4 3 4" xfId="22317"/>
    <cellStyle name="20% - Accent3 2 6 4 3 5" xfId="22318"/>
    <cellStyle name="20% - Accent3 2 6 4 3 6" xfId="22319"/>
    <cellStyle name="20% - Accent3 2 6 4 3 7" xfId="22320"/>
    <cellStyle name="20% - Accent3 2 6 4 4" xfId="22321"/>
    <cellStyle name="20% - Accent3 2 6 4 4 2" xfId="22322"/>
    <cellStyle name="20% - Accent3 2 6 4 4 2 2" xfId="22323"/>
    <cellStyle name="20% - Accent3 2 6 4 4 3" xfId="22324"/>
    <cellStyle name="20% - Accent3 2 6 4 4 3 2" xfId="22325"/>
    <cellStyle name="20% - Accent3 2 6 4 4 4" xfId="22326"/>
    <cellStyle name="20% - Accent3 2 6 4 4 5" xfId="22327"/>
    <cellStyle name="20% - Accent3 2 6 4 4 6" xfId="22328"/>
    <cellStyle name="20% - Accent3 2 6 4 4 7" xfId="22329"/>
    <cellStyle name="20% - Accent3 2 6 4 5" xfId="22330"/>
    <cellStyle name="20% - Accent3 2 6 4 5 2" xfId="22331"/>
    <cellStyle name="20% - Accent3 2 6 4 6" xfId="22332"/>
    <cellStyle name="20% - Accent3 2 6 4 6 2" xfId="22333"/>
    <cellStyle name="20% - Accent3 2 6 4 7" xfId="22334"/>
    <cellStyle name="20% - Accent3 2 6 4 8" xfId="22335"/>
    <cellStyle name="20% - Accent3 2 6 4 9" xfId="22336"/>
    <cellStyle name="20% - Accent3 2 6 5" xfId="22337"/>
    <cellStyle name="20% - Accent3 2 6 5 2" xfId="22338"/>
    <cellStyle name="20% - Accent3 2 6 5 2 2" xfId="22339"/>
    <cellStyle name="20% - Accent3 2 6 5 3" xfId="22340"/>
    <cellStyle name="20% - Accent3 2 6 5 3 2" xfId="22341"/>
    <cellStyle name="20% - Accent3 2 6 5 4" xfId="22342"/>
    <cellStyle name="20% - Accent3 2 6 5 5" xfId="22343"/>
    <cellStyle name="20% - Accent3 2 6 5 6" xfId="22344"/>
    <cellStyle name="20% - Accent3 2 6 5 7" xfId="22345"/>
    <cellStyle name="20% - Accent3 2 6 6" xfId="22346"/>
    <cellStyle name="20% - Accent3 2 6 6 2" xfId="22347"/>
    <cellStyle name="20% - Accent3 2 6 6 2 2" xfId="22348"/>
    <cellStyle name="20% - Accent3 2 6 6 3" xfId="22349"/>
    <cellStyle name="20% - Accent3 2 6 6 3 2" xfId="22350"/>
    <cellStyle name="20% - Accent3 2 6 6 4" xfId="22351"/>
    <cellStyle name="20% - Accent3 2 6 6 5" xfId="22352"/>
    <cellStyle name="20% - Accent3 2 6 6 6" xfId="22353"/>
    <cellStyle name="20% - Accent3 2 6 6 7" xfId="22354"/>
    <cellStyle name="20% - Accent3 2 6 7" xfId="22355"/>
    <cellStyle name="20% - Accent3 2 6 7 2" xfId="22356"/>
    <cellStyle name="20% - Accent3 2 6 7 2 2" xfId="22357"/>
    <cellStyle name="20% - Accent3 2 6 7 3" xfId="22358"/>
    <cellStyle name="20% - Accent3 2 6 7 3 2" xfId="22359"/>
    <cellStyle name="20% - Accent3 2 6 7 4" xfId="22360"/>
    <cellStyle name="20% - Accent3 2 6 7 5" xfId="22361"/>
    <cellStyle name="20% - Accent3 2 6 7 6" xfId="22362"/>
    <cellStyle name="20% - Accent3 2 6 7 7" xfId="22363"/>
    <cellStyle name="20% - Accent3 2 6 8" xfId="22364"/>
    <cellStyle name="20% - Accent3 2 6 8 2" xfId="22365"/>
    <cellStyle name="20% - Accent3 2 6 9" xfId="22366"/>
    <cellStyle name="20% - Accent3 2 6 9 2" xfId="22367"/>
    <cellStyle name="20% - Accent3 2 7" xfId="22368"/>
    <cellStyle name="20% - Accent3 2 7 10" xfId="22369"/>
    <cellStyle name="20% - Accent3 2 7 11" xfId="22370"/>
    <cellStyle name="20% - Accent3 2 7 2" xfId="22371"/>
    <cellStyle name="20% - Accent3 2 7 2 10" xfId="22372"/>
    <cellStyle name="20% - Accent3 2 7 2 2" xfId="22373"/>
    <cellStyle name="20% - Accent3 2 7 2 2 2" xfId="22374"/>
    <cellStyle name="20% - Accent3 2 7 2 2 2 2" xfId="22375"/>
    <cellStyle name="20% - Accent3 2 7 2 2 3" xfId="22376"/>
    <cellStyle name="20% - Accent3 2 7 2 2 3 2" xfId="22377"/>
    <cellStyle name="20% - Accent3 2 7 2 2 4" xfId="22378"/>
    <cellStyle name="20% - Accent3 2 7 2 2 5" xfId="22379"/>
    <cellStyle name="20% - Accent3 2 7 2 2 6" xfId="22380"/>
    <cellStyle name="20% - Accent3 2 7 2 2 7" xfId="22381"/>
    <cellStyle name="20% - Accent3 2 7 2 3" xfId="22382"/>
    <cellStyle name="20% - Accent3 2 7 2 3 2" xfId="22383"/>
    <cellStyle name="20% - Accent3 2 7 2 3 2 2" xfId="22384"/>
    <cellStyle name="20% - Accent3 2 7 2 3 3" xfId="22385"/>
    <cellStyle name="20% - Accent3 2 7 2 3 3 2" xfId="22386"/>
    <cellStyle name="20% - Accent3 2 7 2 3 4" xfId="22387"/>
    <cellStyle name="20% - Accent3 2 7 2 3 5" xfId="22388"/>
    <cellStyle name="20% - Accent3 2 7 2 3 6" xfId="22389"/>
    <cellStyle name="20% - Accent3 2 7 2 3 7" xfId="22390"/>
    <cellStyle name="20% - Accent3 2 7 2 4" xfId="22391"/>
    <cellStyle name="20% - Accent3 2 7 2 4 2" xfId="22392"/>
    <cellStyle name="20% - Accent3 2 7 2 4 2 2" xfId="22393"/>
    <cellStyle name="20% - Accent3 2 7 2 4 3" xfId="22394"/>
    <cellStyle name="20% - Accent3 2 7 2 4 3 2" xfId="22395"/>
    <cellStyle name="20% - Accent3 2 7 2 4 4" xfId="22396"/>
    <cellStyle name="20% - Accent3 2 7 2 4 5" xfId="22397"/>
    <cellStyle name="20% - Accent3 2 7 2 4 6" xfId="22398"/>
    <cellStyle name="20% - Accent3 2 7 2 4 7" xfId="22399"/>
    <cellStyle name="20% - Accent3 2 7 2 5" xfId="22400"/>
    <cellStyle name="20% - Accent3 2 7 2 5 2" xfId="22401"/>
    <cellStyle name="20% - Accent3 2 7 2 6" xfId="22402"/>
    <cellStyle name="20% - Accent3 2 7 2 6 2" xfId="22403"/>
    <cellStyle name="20% - Accent3 2 7 2 7" xfId="22404"/>
    <cellStyle name="20% - Accent3 2 7 2 8" xfId="22405"/>
    <cellStyle name="20% - Accent3 2 7 2 9" xfId="22406"/>
    <cellStyle name="20% - Accent3 2 7 3" xfId="22407"/>
    <cellStyle name="20% - Accent3 2 7 3 2" xfId="22408"/>
    <cellStyle name="20% - Accent3 2 7 3 2 2" xfId="22409"/>
    <cellStyle name="20% - Accent3 2 7 3 3" xfId="22410"/>
    <cellStyle name="20% - Accent3 2 7 3 3 2" xfId="22411"/>
    <cellStyle name="20% - Accent3 2 7 3 4" xfId="22412"/>
    <cellStyle name="20% - Accent3 2 7 3 5" xfId="22413"/>
    <cellStyle name="20% - Accent3 2 7 3 6" xfId="22414"/>
    <cellStyle name="20% - Accent3 2 7 3 7" xfId="22415"/>
    <cellStyle name="20% - Accent3 2 7 4" xfId="22416"/>
    <cellStyle name="20% - Accent3 2 7 4 2" xfId="22417"/>
    <cellStyle name="20% - Accent3 2 7 4 2 2" xfId="22418"/>
    <cellStyle name="20% - Accent3 2 7 4 3" xfId="22419"/>
    <cellStyle name="20% - Accent3 2 7 4 3 2" xfId="22420"/>
    <cellStyle name="20% - Accent3 2 7 4 4" xfId="22421"/>
    <cellStyle name="20% - Accent3 2 7 4 5" xfId="22422"/>
    <cellStyle name="20% - Accent3 2 7 4 6" xfId="22423"/>
    <cellStyle name="20% - Accent3 2 7 4 7" xfId="22424"/>
    <cellStyle name="20% - Accent3 2 7 5" xfId="22425"/>
    <cellStyle name="20% - Accent3 2 7 5 2" xfId="22426"/>
    <cellStyle name="20% - Accent3 2 7 5 2 2" xfId="22427"/>
    <cellStyle name="20% - Accent3 2 7 5 3" xfId="22428"/>
    <cellStyle name="20% - Accent3 2 7 5 3 2" xfId="22429"/>
    <cellStyle name="20% - Accent3 2 7 5 4" xfId="22430"/>
    <cellStyle name="20% - Accent3 2 7 5 5" xfId="22431"/>
    <cellStyle name="20% - Accent3 2 7 5 6" xfId="22432"/>
    <cellStyle name="20% - Accent3 2 7 5 7" xfId="22433"/>
    <cellStyle name="20% - Accent3 2 7 6" xfId="22434"/>
    <cellStyle name="20% - Accent3 2 7 6 2" xfId="22435"/>
    <cellStyle name="20% - Accent3 2 7 7" xfId="22436"/>
    <cellStyle name="20% - Accent3 2 7 7 2" xfId="22437"/>
    <cellStyle name="20% - Accent3 2 7 8" xfId="22438"/>
    <cellStyle name="20% - Accent3 2 7 9" xfId="22439"/>
    <cellStyle name="20% - Accent3 2 8" xfId="22440"/>
    <cellStyle name="20% - Accent3 2 8 10" xfId="22441"/>
    <cellStyle name="20% - Accent3 2 8 11" xfId="22442"/>
    <cellStyle name="20% - Accent3 2 8 2" xfId="22443"/>
    <cellStyle name="20% - Accent3 2 8 2 10" xfId="22444"/>
    <cellStyle name="20% - Accent3 2 8 2 2" xfId="22445"/>
    <cellStyle name="20% - Accent3 2 8 2 2 2" xfId="22446"/>
    <cellStyle name="20% - Accent3 2 8 2 2 2 2" xfId="22447"/>
    <cellStyle name="20% - Accent3 2 8 2 2 3" xfId="22448"/>
    <cellStyle name="20% - Accent3 2 8 2 2 3 2" xfId="22449"/>
    <cellStyle name="20% - Accent3 2 8 2 2 4" xfId="22450"/>
    <cellStyle name="20% - Accent3 2 8 2 2 5" xfId="22451"/>
    <cellStyle name="20% - Accent3 2 8 2 2 6" xfId="22452"/>
    <cellStyle name="20% - Accent3 2 8 2 2 7" xfId="22453"/>
    <cellStyle name="20% - Accent3 2 8 2 3" xfId="22454"/>
    <cellStyle name="20% - Accent3 2 8 2 3 2" xfId="22455"/>
    <cellStyle name="20% - Accent3 2 8 2 3 2 2" xfId="22456"/>
    <cellStyle name="20% - Accent3 2 8 2 3 3" xfId="22457"/>
    <cellStyle name="20% - Accent3 2 8 2 3 3 2" xfId="22458"/>
    <cellStyle name="20% - Accent3 2 8 2 3 4" xfId="22459"/>
    <cellStyle name="20% - Accent3 2 8 2 3 5" xfId="22460"/>
    <cellStyle name="20% - Accent3 2 8 2 3 6" xfId="22461"/>
    <cellStyle name="20% - Accent3 2 8 2 3 7" xfId="22462"/>
    <cellStyle name="20% - Accent3 2 8 2 4" xfId="22463"/>
    <cellStyle name="20% - Accent3 2 8 2 4 2" xfId="22464"/>
    <cellStyle name="20% - Accent3 2 8 2 4 2 2" xfId="22465"/>
    <cellStyle name="20% - Accent3 2 8 2 4 3" xfId="22466"/>
    <cellStyle name="20% - Accent3 2 8 2 4 3 2" xfId="22467"/>
    <cellStyle name="20% - Accent3 2 8 2 4 4" xfId="22468"/>
    <cellStyle name="20% - Accent3 2 8 2 4 5" xfId="22469"/>
    <cellStyle name="20% - Accent3 2 8 2 4 6" xfId="22470"/>
    <cellStyle name="20% - Accent3 2 8 2 4 7" xfId="22471"/>
    <cellStyle name="20% - Accent3 2 8 2 5" xfId="22472"/>
    <cellStyle name="20% - Accent3 2 8 2 5 2" xfId="22473"/>
    <cellStyle name="20% - Accent3 2 8 2 6" xfId="22474"/>
    <cellStyle name="20% - Accent3 2 8 2 6 2" xfId="22475"/>
    <cellStyle name="20% - Accent3 2 8 2 7" xfId="22476"/>
    <cellStyle name="20% - Accent3 2 8 2 8" xfId="22477"/>
    <cellStyle name="20% - Accent3 2 8 2 9" xfId="22478"/>
    <cellStyle name="20% - Accent3 2 8 3" xfId="22479"/>
    <cellStyle name="20% - Accent3 2 8 3 2" xfId="22480"/>
    <cellStyle name="20% - Accent3 2 8 3 2 2" xfId="22481"/>
    <cellStyle name="20% - Accent3 2 8 3 3" xfId="22482"/>
    <cellStyle name="20% - Accent3 2 8 3 3 2" xfId="22483"/>
    <cellStyle name="20% - Accent3 2 8 3 4" xfId="22484"/>
    <cellStyle name="20% - Accent3 2 8 3 5" xfId="22485"/>
    <cellStyle name="20% - Accent3 2 8 3 6" xfId="22486"/>
    <cellStyle name="20% - Accent3 2 8 3 7" xfId="22487"/>
    <cellStyle name="20% - Accent3 2 8 4" xfId="22488"/>
    <cellStyle name="20% - Accent3 2 8 4 2" xfId="22489"/>
    <cellStyle name="20% - Accent3 2 8 4 2 2" xfId="22490"/>
    <cellStyle name="20% - Accent3 2 8 4 3" xfId="22491"/>
    <cellStyle name="20% - Accent3 2 8 4 3 2" xfId="22492"/>
    <cellStyle name="20% - Accent3 2 8 4 4" xfId="22493"/>
    <cellStyle name="20% - Accent3 2 8 4 5" xfId="22494"/>
    <cellStyle name="20% - Accent3 2 8 4 6" xfId="22495"/>
    <cellStyle name="20% - Accent3 2 8 4 7" xfId="22496"/>
    <cellStyle name="20% - Accent3 2 8 5" xfId="22497"/>
    <cellStyle name="20% - Accent3 2 8 5 2" xfId="22498"/>
    <cellStyle name="20% - Accent3 2 8 5 2 2" xfId="22499"/>
    <cellStyle name="20% - Accent3 2 8 5 3" xfId="22500"/>
    <cellStyle name="20% - Accent3 2 8 5 3 2" xfId="22501"/>
    <cellStyle name="20% - Accent3 2 8 5 4" xfId="22502"/>
    <cellStyle name="20% - Accent3 2 8 5 5" xfId="22503"/>
    <cellStyle name="20% - Accent3 2 8 5 6" xfId="22504"/>
    <cellStyle name="20% - Accent3 2 8 5 7" xfId="22505"/>
    <cellStyle name="20% - Accent3 2 8 6" xfId="22506"/>
    <cellStyle name="20% - Accent3 2 8 6 2" xfId="22507"/>
    <cellStyle name="20% - Accent3 2 8 7" xfId="22508"/>
    <cellStyle name="20% - Accent3 2 8 7 2" xfId="22509"/>
    <cellStyle name="20% - Accent3 2 8 8" xfId="22510"/>
    <cellStyle name="20% - Accent3 2 8 9" xfId="22511"/>
    <cellStyle name="20% - Accent3 2 9" xfId="22512"/>
    <cellStyle name="20% - Accent3 2 9 10" xfId="22513"/>
    <cellStyle name="20% - Accent3 2 9 2" xfId="22514"/>
    <cellStyle name="20% - Accent3 2 9 2 2" xfId="22515"/>
    <cellStyle name="20% - Accent3 2 9 2 2 2" xfId="22516"/>
    <cellStyle name="20% - Accent3 2 9 2 3" xfId="22517"/>
    <cellStyle name="20% - Accent3 2 9 2 3 2" xfId="22518"/>
    <cellStyle name="20% - Accent3 2 9 2 4" xfId="22519"/>
    <cellStyle name="20% - Accent3 2 9 2 5" xfId="22520"/>
    <cellStyle name="20% - Accent3 2 9 2 6" xfId="22521"/>
    <cellStyle name="20% - Accent3 2 9 2 7" xfId="22522"/>
    <cellStyle name="20% - Accent3 2 9 3" xfId="22523"/>
    <cellStyle name="20% - Accent3 2 9 3 2" xfId="22524"/>
    <cellStyle name="20% - Accent3 2 9 3 2 2" xfId="22525"/>
    <cellStyle name="20% - Accent3 2 9 3 3" xfId="22526"/>
    <cellStyle name="20% - Accent3 2 9 3 3 2" xfId="22527"/>
    <cellStyle name="20% - Accent3 2 9 3 4" xfId="22528"/>
    <cellStyle name="20% - Accent3 2 9 3 5" xfId="22529"/>
    <cellStyle name="20% - Accent3 2 9 3 6" xfId="22530"/>
    <cellStyle name="20% - Accent3 2 9 3 7" xfId="22531"/>
    <cellStyle name="20% - Accent3 2 9 4" xfId="22532"/>
    <cellStyle name="20% - Accent3 2 9 4 2" xfId="22533"/>
    <cellStyle name="20% - Accent3 2 9 4 2 2" xfId="22534"/>
    <cellStyle name="20% - Accent3 2 9 4 3" xfId="22535"/>
    <cellStyle name="20% - Accent3 2 9 4 3 2" xfId="22536"/>
    <cellStyle name="20% - Accent3 2 9 4 4" xfId="22537"/>
    <cellStyle name="20% - Accent3 2 9 4 5" xfId="22538"/>
    <cellStyle name="20% - Accent3 2 9 4 6" xfId="22539"/>
    <cellStyle name="20% - Accent3 2 9 4 7" xfId="22540"/>
    <cellStyle name="20% - Accent3 2 9 5" xfId="22541"/>
    <cellStyle name="20% - Accent3 2 9 5 2" xfId="22542"/>
    <cellStyle name="20% - Accent3 2 9 6" xfId="22543"/>
    <cellStyle name="20% - Accent3 2 9 6 2" xfId="22544"/>
    <cellStyle name="20% - Accent3 2 9 7" xfId="22545"/>
    <cellStyle name="20% - Accent3 2 9 8" xfId="22546"/>
    <cellStyle name="20% - Accent3 2 9 9" xfId="22547"/>
    <cellStyle name="20% - Accent3 2_10-15-10-Stmt AU - Period I - Working 1 0" xfId="129"/>
    <cellStyle name="20% - Accent3 3" xfId="130"/>
    <cellStyle name="20% - Accent3 3 10" xfId="22548"/>
    <cellStyle name="20% - Accent3 3 10 2" xfId="22549"/>
    <cellStyle name="20% - Accent3 3 10 2 2" xfId="22550"/>
    <cellStyle name="20% - Accent3 3 10 3" xfId="22551"/>
    <cellStyle name="20% - Accent3 3 10 3 2" xfId="22552"/>
    <cellStyle name="20% - Accent3 3 10 4" xfId="22553"/>
    <cellStyle name="20% - Accent3 3 10 5" xfId="22554"/>
    <cellStyle name="20% - Accent3 3 10 6" xfId="22555"/>
    <cellStyle name="20% - Accent3 3 10 7" xfId="22556"/>
    <cellStyle name="20% - Accent3 3 11" xfId="22557"/>
    <cellStyle name="20% - Accent3 3 11 2" xfId="22558"/>
    <cellStyle name="20% - Accent3 3 11 2 2" xfId="22559"/>
    <cellStyle name="20% - Accent3 3 11 3" xfId="22560"/>
    <cellStyle name="20% - Accent3 3 11 3 2" xfId="22561"/>
    <cellStyle name="20% - Accent3 3 11 4" xfId="22562"/>
    <cellStyle name="20% - Accent3 3 11 5" xfId="22563"/>
    <cellStyle name="20% - Accent3 3 11 6" xfId="22564"/>
    <cellStyle name="20% - Accent3 3 11 7" xfId="22565"/>
    <cellStyle name="20% - Accent3 3 12" xfId="22566"/>
    <cellStyle name="20% - Accent3 3 12 2" xfId="22567"/>
    <cellStyle name="20% - Accent3 3 12 2 2" xfId="22568"/>
    <cellStyle name="20% - Accent3 3 12 3" xfId="22569"/>
    <cellStyle name="20% - Accent3 3 12 3 2" xfId="22570"/>
    <cellStyle name="20% - Accent3 3 12 4" xfId="22571"/>
    <cellStyle name="20% - Accent3 3 12 5" xfId="22572"/>
    <cellStyle name="20% - Accent3 3 12 6" xfId="22573"/>
    <cellStyle name="20% - Accent3 3 12 7" xfId="22574"/>
    <cellStyle name="20% - Accent3 3 13" xfId="22575"/>
    <cellStyle name="20% - Accent3 3 13 2" xfId="22576"/>
    <cellStyle name="20% - Accent3 3 14" xfId="22577"/>
    <cellStyle name="20% - Accent3 3 14 2" xfId="22578"/>
    <cellStyle name="20% - Accent3 3 15" xfId="22579"/>
    <cellStyle name="20% - Accent3 3 16" xfId="22580"/>
    <cellStyle name="20% - Accent3 3 17" xfId="22581"/>
    <cellStyle name="20% - Accent3 3 18" xfId="22582"/>
    <cellStyle name="20% - Accent3 3 2" xfId="131"/>
    <cellStyle name="20% - Accent3 3 2 10" xfId="22583"/>
    <cellStyle name="20% - Accent3 3 2 11" xfId="22584"/>
    <cellStyle name="20% - Accent3 3 2 12" xfId="22585"/>
    <cellStyle name="20% - Accent3 3 2 13" xfId="22586"/>
    <cellStyle name="20% - Accent3 3 2 2" xfId="22587"/>
    <cellStyle name="20% - Accent3 3 2 2 10" xfId="22588"/>
    <cellStyle name="20% - Accent3 3 2 2 11" xfId="22589"/>
    <cellStyle name="20% - Accent3 3 2 2 2" xfId="22590"/>
    <cellStyle name="20% - Accent3 3 2 2 2 10" xfId="22591"/>
    <cellStyle name="20% - Accent3 3 2 2 2 2" xfId="22592"/>
    <cellStyle name="20% - Accent3 3 2 2 2 2 2" xfId="22593"/>
    <cellStyle name="20% - Accent3 3 2 2 2 2 2 2" xfId="22594"/>
    <cellStyle name="20% - Accent3 3 2 2 2 2 3" xfId="22595"/>
    <cellStyle name="20% - Accent3 3 2 2 2 2 3 2" xfId="22596"/>
    <cellStyle name="20% - Accent3 3 2 2 2 2 4" xfId="22597"/>
    <cellStyle name="20% - Accent3 3 2 2 2 2 5" xfId="22598"/>
    <cellStyle name="20% - Accent3 3 2 2 2 2 6" xfId="22599"/>
    <cellStyle name="20% - Accent3 3 2 2 2 2 7" xfId="22600"/>
    <cellStyle name="20% - Accent3 3 2 2 2 3" xfId="22601"/>
    <cellStyle name="20% - Accent3 3 2 2 2 3 2" xfId="22602"/>
    <cellStyle name="20% - Accent3 3 2 2 2 3 2 2" xfId="22603"/>
    <cellStyle name="20% - Accent3 3 2 2 2 3 3" xfId="22604"/>
    <cellStyle name="20% - Accent3 3 2 2 2 3 3 2" xfId="22605"/>
    <cellStyle name="20% - Accent3 3 2 2 2 3 4" xfId="22606"/>
    <cellStyle name="20% - Accent3 3 2 2 2 3 5" xfId="22607"/>
    <cellStyle name="20% - Accent3 3 2 2 2 3 6" xfId="22608"/>
    <cellStyle name="20% - Accent3 3 2 2 2 3 7" xfId="22609"/>
    <cellStyle name="20% - Accent3 3 2 2 2 4" xfId="22610"/>
    <cellStyle name="20% - Accent3 3 2 2 2 4 2" xfId="22611"/>
    <cellStyle name="20% - Accent3 3 2 2 2 4 2 2" xfId="22612"/>
    <cellStyle name="20% - Accent3 3 2 2 2 4 3" xfId="22613"/>
    <cellStyle name="20% - Accent3 3 2 2 2 4 3 2" xfId="22614"/>
    <cellStyle name="20% - Accent3 3 2 2 2 4 4" xfId="22615"/>
    <cellStyle name="20% - Accent3 3 2 2 2 4 5" xfId="22616"/>
    <cellStyle name="20% - Accent3 3 2 2 2 4 6" xfId="22617"/>
    <cellStyle name="20% - Accent3 3 2 2 2 4 7" xfId="22618"/>
    <cellStyle name="20% - Accent3 3 2 2 2 5" xfId="22619"/>
    <cellStyle name="20% - Accent3 3 2 2 2 5 2" xfId="22620"/>
    <cellStyle name="20% - Accent3 3 2 2 2 6" xfId="22621"/>
    <cellStyle name="20% - Accent3 3 2 2 2 6 2" xfId="22622"/>
    <cellStyle name="20% - Accent3 3 2 2 2 7" xfId="22623"/>
    <cellStyle name="20% - Accent3 3 2 2 2 8" xfId="22624"/>
    <cellStyle name="20% - Accent3 3 2 2 2 9" xfId="22625"/>
    <cellStyle name="20% - Accent3 3 2 2 3" xfId="22626"/>
    <cellStyle name="20% - Accent3 3 2 2 3 2" xfId="22627"/>
    <cellStyle name="20% - Accent3 3 2 2 3 2 2" xfId="22628"/>
    <cellStyle name="20% - Accent3 3 2 2 3 3" xfId="22629"/>
    <cellStyle name="20% - Accent3 3 2 2 3 3 2" xfId="22630"/>
    <cellStyle name="20% - Accent3 3 2 2 3 4" xfId="22631"/>
    <cellStyle name="20% - Accent3 3 2 2 3 5" xfId="22632"/>
    <cellStyle name="20% - Accent3 3 2 2 3 6" xfId="22633"/>
    <cellStyle name="20% - Accent3 3 2 2 3 7" xfId="22634"/>
    <cellStyle name="20% - Accent3 3 2 2 4" xfId="22635"/>
    <cellStyle name="20% - Accent3 3 2 2 4 2" xfId="22636"/>
    <cellStyle name="20% - Accent3 3 2 2 4 2 2" xfId="22637"/>
    <cellStyle name="20% - Accent3 3 2 2 4 3" xfId="22638"/>
    <cellStyle name="20% - Accent3 3 2 2 4 3 2" xfId="22639"/>
    <cellStyle name="20% - Accent3 3 2 2 4 4" xfId="22640"/>
    <cellStyle name="20% - Accent3 3 2 2 4 5" xfId="22641"/>
    <cellStyle name="20% - Accent3 3 2 2 4 6" xfId="22642"/>
    <cellStyle name="20% - Accent3 3 2 2 4 7" xfId="22643"/>
    <cellStyle name="20% - Accent3 3 2 2 5" xfId="22644"/>
    <cellStyle name="20% - Accent3 3 2 2 5 2" xfId="22645"/>
    <cellStyle name="20% - Accent3 3 2 2 5 2 2" xfId="22646"/>
    <cellStyle name="20% - Accent3 3 2 2 5 3" xfId="22647"/>
    <cellStyle name="20% - Accent3 3 2 2 5 3 2" xfId="22648"/>
    <cellStyle name="20% - Accent3 3 2 2 5 4" xfId="22649"/>
    <cellStyle name="20% - Accent3 3 2 2 5 5" xfId="22650"/>
    <cellStyle name="20% - Accent3 3 2 2 5 6" xfId="22651"/>
    <cellStyle name="20% - Accent3 3 2 2 5 7" xfId="22652"/>
    <cellStyle name="20% - Accent3 3 2 2 6" xfId="22653"/>
    <cellStyle name="20% - Accent3 3 2 2 6 2" xfId="22654"/>
    <cellStyle name="20% - Accent3 3 2 2 7" xfId="22655"/>
    <cellStyle name="20% - Accent3 3 2 2 7 2" xfId="22656"/>
    <cellStyle name="20% - Accent3 3 2 2 8" xfId="22657"/>
    <cellStyle name="20% - Accent3 3 2 2 9" xfId="22658"/>
    <cellStyle name="20% - Accent3 3 2 3" xfId="22659"/>
    <cellStyle name="20% - Accent3 3 2 3 10" xfId="22660"/>
    <cellStyle name="20% - Accent3 3 2 3 11" xfId="22661"/>
    <cellStyle name="20% - Accent3 3 2 3 2" xfId="22662"/>
    <cellStyle name="20% - Accent3 3 2 3 2 10" xfId="22663"/>
    <cellStyle name="20% - Accent3 3 2 3 2 2" xfId="22664"/>
    <cellStyle name="20% - Accent3 3 2 3 2 2 2" xfId="22665"/>
    <cellStyle name="20% - Accent3 3 2 3 2 2 2 2" xfId="22666"/>
    <cellStyle name="20% - Accent3 3 2 3 2 2 3" xfId="22667"/>
    <cellStyle name="20% - Accent3 3 2 3 2 2 3 2" xfId="22668"/>
    <cellStyle name="20% - Accent3 3 2 3 2 2 4" xfId="22669"/>
    <cellStyle name="20% - Accent3 3 2 3 2 2 5" xfId="22670"/>
    <cellStyle name="20% - Accent3 3 2 3 2 2 6" xfId="22671"/>
    <cellStyle name="20% - Accent3 3 2 3 2 2 7" xfId="22672"/>
    <cellStyle name="20% - Accent3 3 2 3 2 3" xfId="22673"/>
    <cellStyle name="20% - Accent3 3 2 3 2 3 2" xfId="22674"/>
    <cellStyle name="20% - Accent3 3 2 3 2 3 2 2" xfId="22675"/>
    <cellStyle name="20% - Accent3 3 2 3 2 3 3" xfId="22676"/>
    <cellStyle name="20% - Accent3 3 2 3 2 3 3 2" xfId="22677"/>
    <cellStyle name="20% - Accent3 3 2 3 2 3 4" xfId="22678"/>
    <cellStyle name="20% - Accent3 3 2 3 2 3 5" xfId="22679"/>
    <cellStyle name="20% - Accent3 3 2 3 2 3 6" xfId="22680"/>
    <cellStyle name="20% - Accent3 3 2 3 2 3 7" xfId="22681"/>
    <cellStyle name="20% - Accent3 3 2 3 2 4" xfId="22682"/>
    <cellStyle name="20% - Accent3 3 2 3 2 4 2" xfId="22683"/>
    <cellStyle name="20% - Accent3 3 2 3 2 4 2 2" xfId="22684"/>
    <cellStyle name="20% - Accent3 3 2 3 2 4 3" xfId="22685"/>
    <cellStyle name="20% - Accent3 3 2 3 2 4 3 2" xfId="22686"/>
    <cellStyle name="20% - Accent3 3 2 3 2 4 4" xfId="22687"/>
    <cellStyle name="20% - Accent3 3 2 3 2 4 5" xfId="22688"/>
    <cellStyle name="20% - Accent3 3 2 3 2 4 6" xfId="22689"/>
    <cellStyle name="20% - Accent3 3 2 3 2 4 7" xfId="22690"/>
    <cellStyle name="20% - Accent3 3 2 3 2 5" xfId="22691"/>
    <cellStyle name="20% - Accent3 3 2 3 2 5 2" xfId="22692"/>
    <cellStyle name="20% - Accent3 3 2 3 2 6" xfId="22693"/>
    <cellStyle name="20% - Accent3 3 2 3 2 6 2" xfId="22694"/>
    <cellStyle name="20% - Accent3 3 2 3 2 7" xfId="22695"/>
    <cellStyle name="20% - Accent3 3 2 3 2 8" xfId="22696"/>
    <cellStyle name="20% - Accent3 3 2 3 2 9" xfId="22697"/>
    <cellStyle name="20% - Accent3 3 2 3 3" xfId="22698"/>
    <cellStyle name="20% - Accent3 3 2 3 3 2" xfId="22699"/>
    <cellStyle name="20% - Accent3 3 2 3 3 2 2" xfId="22700"/>
    <cellStyle name="20% - Accent3 3 2 3 3 3" xfId="22701"/>
    <cellStyle name="20% - Accent3 3 2 3 3 3 2" xfId="22702"/>
    <cellStyle name="20% - Accent3 3 2 3 3 4" xfId="22703"/>
    <cellStyle name="20% - Accent3 3 2 3 3 5" xfId="22704"/>
    <cellStyle name="20% - Accent3 3 2 3 3 6" xfId="22705"/>
    <cellStyle name="20% - Accent3 3 2 3 3 7" xfId="22706"/>
    <cellStyle name="20% - Accent3 3 2 3 4" xfId="22707"/>
    <cellStyle name="20% - Accent3 3 2 3 4 2" xfId="22708"/>
    <cellStyle name="20% - Accent3 3 2 3 4 2 2" xfId="22709"/>
    <cellStyle name="20% - Accent3 3 2 3 4 3" xfId="22710"/>
    <cellStyle name="20% - Accent3 3 2 3 4 3 2" xfId="22711"/>
    <cellStyle name="20% - Accent3 3 2 3 4 4" xfId="22712"/>
    <cellStyle name="20% - Accent3 3 2 3 4 5" xfId="22713"/>
    <cellStyle name="20% - Accent3 3 2 3 4 6" xfId="22714"/>
    <cellStyle name="20% - Accent3 3 2 3 4 7" xfId="22715"/>
    <cellStyle name="20% - Accent3 3 2 3 5" xfId="22716"/>
    <cellStyle name="20% - Accent3 3 2 3 5 2" xfId="22717"/>
    <cellStyle name="20% - Accent3 3 2 3 5 2 2" xfId="22718"/>
    <cellStyle name="20% - Accent3 3 2 3 5 3" xfId="22719"/>
    <cellStyle name="20% - Accent3 3 2 3 5 3 2" xfId="22720"/>
    <cellStyle name="20% - Accent3 3 2 3 5 4" xfId="22721"/>
    <cellStyle name="20% - Accent3 3 2 3 5 5" xfId="22722"/>
    <cellStyle name="20% - Accent3 3 2 3 5 6" xfId="22723"/>
    <cellStyle name="20% - Accent3 3 2 3 5 7" xfId="22724"/>
    <cellStyle name="20% - Accent3 3 2 3 6" xfId="22725"/>
    <cellStyle name="20% - Accent3 3 2 3 6 2" xfId="22726"/>
    <cellStyle name="20% - Accent3 3 2 3 7" xfId="22727"/>
    <cellStyle name="20% - Accent3 3 2 3 7 2" xfId="22728"/>
    <cellStyle name="20% - Accent3 3 2 3 8" xfId="22729"/>
    <cellStyle name="20% - Accent3 3 2 3 9" xfId="22730"/>
    <cellStyle name="20% - Accent3 3 2 4" xfId="22731"/>
    <cellStyle name="20% - Accent3 3 2 4 10" xfId="22732"/>
    <cellStyle name="20% - Accent3 3 2 4 2" xfId="22733"/>
    <cellStyle name="20% - Accent3 3 2 4 2 2" xfId="22734"/>
    <cellStyle name="20% - Accent3 3 2 4 2 2 2" xfId="22735"/>
    <cellStyle name="20% - Accent3 3 2 4 2 3" xfId="22736"/>
    <cellStyle name="20% - Accent3 3 2 4 2 3 2" xfId="22737"/>
    <cellStyle name="20% - Accent3 3 2 4 2 4" xfId="22738"/>
    <cellStyle name="20% - Accent3 3 2 4 2 5" xfId="22739"/>
    <cellStyle name="20% - Accent3 3 2 4 2 6" xfId="22740"/>
    <cellStyle name="20% - Accent3 3 2 4 2 7" xfId="22741"/>
    <cellStyle name="20% - Accent3 3 2 4 3" xfId="22742"/>
    <cellStyle name="20% - Accent3 3 2 4 3 2" xfId="22743"/>
    <cellStyle name="20% - Accent3 3 2 4 3 2 2" xfId="22744"/>
    <cellStyle name="20% - Accent3 3 2 4 3 3" xfId="22745"/>
    <cellStyle name="20% - Accent3 3 2 4 3 3 2" xfId="22746"/>
    <cellStyle name="20% - Accent3 3 2 4 3 4" xfId="22747"/>
    <cellStyle name="20% - Accent3 3 2 4 3 5" xfId="22748"/>
    <cellStyle name="20% - Accent3 3 2 4 3 6" xfId="22749"/>
    <cellStyle name="20% - Accent3 3 2 4 3 7" xfId="22750"/>
    <cellStyle name="20% - Accent3 3 2 4 4" xfId="22751"/>
    <cellStyle name="20% - Accent3 3 2 4 4 2" xfId="22752"/>
    <cellStyle name="20% - Accent3 3 2 4 4 2 2" xfId="22753"/>
    <cellStyle name="20% - Accent3 3 2 4 4 3" xfId="22754"/>
    <cellStyle name="20% - Accent3 3 2 4 4 3 2" xfId="22755"/>
    <cellStyle name="20% - Accent3 3 2 4 4 4" xfId="22756"/>
    <cellStyle name="20% - Accent3 3 2 4 4 5" xfId="22757"/>
    <cellStyle name="20% - Accent3 3 2 4 4 6" xfId="22758"/>
    <cellStyle name="20% - Accent3 3 2 4 4 7" xfId="22759"/>
    <cellStyle name="20% - Accent3 3 2 4 5" xfId="22760"/>
    <cellStyle name="20% - Accent3 3 2 4 5 2" xfId="22761"/>
    <cellStyle name="20% - Accent3 3 2 4 6" xfId="22762"/>
    <cellStyle name="20% - Accent3 3 2 4 6 2" xfId="22763"/>
    <cellStyle name="20% - Accent3 3 2 4 7" xfId="22764"/>
    <cellStyle name="20% - Accent3 3 2 4 8" xfId="22765"/>
    <cellStyle name="20% - Accent3 3 2 4 9" xfId="22766"/>
    <cellStyle name="20% - Accent3 3 2 5" xfId="22767"/>
    <cellStyle name="20% - Accent3 3 2 5 2" xfId="22768"/>
    <cellStyle name="20% - Accent3 3 2 5 2 2" xfId="22769"/>
    <cellStyle name="20% - Accent3 3 2 5 3" xfId="22770"/>
    <cellStyle name="20% - Accent3 3 2 5 3 2" xfId="22771"/>
    <cellStyle name="20% - Accent3 3 2 5 4" xfId="22772"/>
    <cellStyle name="20% - Accent3 3 2 5 5" xfId="22773"/>
    <cellStyle name="20% - Accent3 3 2 5 6" xfId="22774"/>
    <cellStyle name="20% - Accent3 3 2 5 7" xfId="22775"/>
    <cellStyle name="20% - Accent3 3 2 6" xfId="22776"/>
    <cellStyle name="20% - Accent3 3 2 6 2" xfId="22777"/>
    <cellStyle name="20% - Accent3 3 2 6 2 2" xfId="22778"/>
    <cellStyle name="20% - Accent3 3 2 6 3" xfId="22779"/>
    <cellStyle name="20% - Accent3 3 2 6 3 2" xfId="22780"/>
    <cellStyle name="20% - Accent3 3 2 6 4" xfId="22781"/>
    <cellStyle name="20% - Accent3 3 2 6 5" xfId="22782"/>
    <cellStyle name="20% - Accent3 3 2 6 6" xfId="22783"/>
    <cellStyle name="20% - Accent3 3 2 6 7" xfId="22784"/>
    <cellStyle name="20% - Accent3 3 2 7" xfId="22785"/>
    <cellStyle name="20% - Accent3 3 2 7 2" xfId="22786"/>
    <cellStyle name="20% - Accent3 3 2 7 2 2" xfId="22787"/>
    <cellStyle name="20% - Accent3 3 2 7 3" xfId="22788"/>
    <cellStyle name="20% - Accent3 3 2 7 3 2" xfId="22789"/>
    <cellStyle name="20% - Accent3 3 2 7 4" xfId="22790"/>
    <cellStyle name="20% - Accent3 3 2 7 5" xfId="22791"/>
    <cellStyle name="20% - Accent3 3 2 7 6" xfId="22792"/>
    <cellStyle name="20% - Accent3 3 2 7 7" xfId="22793"/>
    <cellStyle name="20% - Accent3 3 2 8" xfId="22794"/>
    <cellStyle name="20% - Accent3 3 2 8 2" xfId="22795"/>
    <cellStyle name="20% - Accent3 3 2 9" xfId="22796"/>
    <cellStyle name="20% - Accent3 3 2 9 2" xfId="22797"/>
    <cellStyle name="20% - Accent3 3 3" xfId="132"/>
    <cellStyle name="20% - Accent3 3 3 10" xfId="22798"/>
    <cellStyle name="20% - Accent3 3 3 11" xfId="22799"/>
    <cellStyle name="20% - Accent3 3 3 12" xfId="22800"/>
    <cellStyle name="20% - Accent3 3 3 13" xfId="22801"/>
    <cellStyle name="20% - Accent3 3 3 2" xfId="22802"/>
    <cellStyle name="20% - Accent3 3 3 2 10" xfId="22803"/>
    <cellStyle name="20% - Accent3 3 3 2 11" xfId="22804"/>
    <cellStyle name="20% - Accent3 3 3 2 2" xfId="22805"/>
    <cellStyle name="20% - Accent3 3 3 2 2 10" xfId="22806"/>
    <cellStyle name="20% - Accent3 3 3 2 2 2" xfId="22807"/>
    <cellStyle name="20% - Accent3 3 3 2 2 2 2" xfId="22808"/>
    <cellStyle name="20% - Accent3 3 3 2 2 2 2 2" xfId="22809"/>
    <cellStyle name="20% - Accent3 3 3 2 2 2 3" xfId="22810"/>
    <cellStyle name="20% - Accent3 3 3 2 2 2 3 2" xfId="22811"/>
    <cellStyle name="20% - Accent3 3 3 2 2 2 4" xfId="22812"/>
    <cellStyle name="20% - Accent3 3 3 2 2 2 5" xfId="22813"/>
    <cellStyle name="20% - Accent3 3 3 2 2 2 6" xfId="22814"/>
    <cellStyle name="20% - Accent3 3 3 2 2 2 7" xfId="22815"/>
    <cellStyle name="20% - Accent3 3 3 2 2 3" xfId="22816"/>
    <cellStyle name="20% - Accent3 3 3 2 2 3 2" xfId="22817"/>
    <cellStyle name="20% - Accent3 3 3 2 2 3 2 2" xfId="22818"/>
    <cellStyle name="20% - Accent3 3 3 2 2 3 3" xfId="22819"/>
    <cellStyle name="20% - Accent3 3 3 2 2 3 3 2" xfId="22820"/>
    <cellStyle name="20% - Accent3 3 3 2 2 3 4" xfId="22821"/>
    <cellStyle name="20% - Accent3 3 3 2 2 3 5" xfId="22822"/>
    <cellStyle name="20% - Accent3 3 3 2 2 3 6" xfId="22823"/>
    <cellStyle name="20% - Accent3 3 3 2 2 3 7" xfId="22824"/>
    <cellStyle name="20% - Accent3 3 3 2 2 4" xfId="22825"/>
    <cellStyle name="20% - Accent3 3 3 2 2 4 2" xfId="22826"/>
    <cellStyle name="20% - Accent3 3 3 2 2 4 2 2" xfId="22827"/>
    <cellStyle name="20% - Accent3 3 3 2 2 4 3" xfId="22828"/>
    <cellStyle name="20% - Accent3 3 3 2 2 4 3 2" xfId="22829"/>
    <cellStyle name="20% - Accent3 3 3 2 2 4 4" xfId="22830"/>
    <cellStyle name="20% - Accent3 3 3 2 2 4 5" xfId="22831"/>
    <cellStyle name="20% - Accent3 3 3 2 2 4 6" xfId="22832"/>
    <cellStyle name="20% - Accent3 3 3 2 2 4 7" xfId="22833"/>
    <cellStyle name="20% - Accent3 3 3 2 2 5" xfId="22834"/>
    <cellStyle name="20% - Accent3 3 3 2 2 5 2" xfId="22835"/>
    <cellStyle name="20% - Accent3 3 3 2 2 6" xfId="22836"/>
    <cellStyle name="20% - Accent3 3 3 2 2 6 2" xfId="22837"/>
    <cellStyle name="20% - Accent3 3 3 2 2 7" xfId="22838"/>
    <cellStyle name="20% - Accent3 3 3 2 2 8" xfId="22839"/>
    <cellStyle name="20% - Accent3 3 3 2 2 9" xfId="22840"/>
    <cellStyle name="20% - Accent3 3 3 2 3" xfId="22841"/>
    <cellStyle name="20% - Accent3 3 3 2 3 2" xfId="22842"/>
    <cellStyle name="20% - Accent3 3 3 2 3 2 2" xfId="22843"/>
    <cellStyle name="20% - Accent3 3 3 2 3 3" xfId="22844"/>
    <cellStyle name="20% - Accent3 3 3 2 3 3 2" xfId="22845"/>
    <cellStyle name="20% - Accent3 3 3 2 3 4" xfId="22846"/>
    <cellStyle name="20% - Accent3 3 3 2 3 5" xfId="22847"/>
    <cellStyle name="20% - Accent3 3 3 2 3 6" xfId="22848"/>
    <cellStyle name="20% - Accent3 3 3 2 3 7" xfId="22849"/>
    <cellStyle name="20% - Accent3 3 3 2 4" xfId="22850"/>
    <cellStyle name="20% - Accent3 3 3 2 4 2" xfId="22851"/>
    <cellStyle name="20% - Accent3 3 3 2 4 2 2" xfId="22852"/>
    <cellStyle name="20% - Accent3 3 3 2 4 3" xfId="22853"/>
    <cellStyle name="20% - Accent3 3 3 2 4 3 2" xfId="22854"/>
    <cellStyle name="20% - Accent3 3 3 2 4 4" xfId="22855"/>
    <cellStyle name="20% - Accent3 3 3 2 4 5" xfId="22856"/>
    <cellStyle name="20% - Accent3 3 3 2 4 6" xfId="22857"/>
    <cellStyle name="20% - Accent3 3 3 2 4 7" xfId="22858"/>
    <cellStyle name="20% - Accent3 3 3 2 5" xfId="22859"/>
    <cellStyle name="20% - Accent3 3 3 2 5 2" xfId="22860"/>
    <cellStyle name="20% - Accent3 3 3 2 5 2 2" xfId="22861"/>
    <cellStyle name="20% - Accent3 3 3 2 5 3" xfId="22862"/>
    <cellStyle name="20% - Accent3 3 3 2 5 3 2" xfId="22863"/>
    <cellStyle name="20% - Accent3 3 3 2 5 4" xfId="22864"/>
    <cellStyle name="20% - Accent3 3 3 2 5 5" xfId="22865"/>
    <cellStyle name="20% - Accent3 3 3 2 5 6" xfId="22866"/>
    <cellStyle name="20% - Accent3 3 3 2 5 7" xfId="22867"/>
    <cellStyle name="20% - Accent3 3 3 2 6" xfId="22868"/>
    <cellStyle name="20% - Accent3 3 3 2 6 2" xfId="22869"/>
    <cellStyle name="20% - Accent3 3 3 2 7" xfId="22870"/>
    <cellStyle name="20% - Accent3 3 3 2 7 2" xfId="22871"/>
    <cellStyle name="20% - Accent3 3 3 2 8" xfId="22872"/>
    <cellStyle name="20% - Accent3 3 3 2 9" xfId="22873"/>
    <cellStyle name="20% - Accent3 3 3 3" xfId="22874"/>
    <cellStyle name="20% - Accent3 3 3 3 10" xfId="22875"/>
    <cellStyle name="20% - Accent3 3 3 3 11" xfId="22876"/>
    <cellStyle name="20% - Accent3 3 3 3 2" xfId="22877"/>
    <cellStyle name="20% - Accent3 3 3 3 2 10" xfId="22878"/>
    <cellStyle name="20% - Accent3 3 3 3 2 2" xfId="22879"/>
    <cellStyle name="20% - Accent3 3 3 3 2 2 2" xfId="22880"/>
    <cellStyle name="20% - Accent3 3 3 3 2 2 2 2" xfId="22881"/>
    <cellStyle name="20% - Accent3 3 3 3 2 2 3" xfId="22882"/>
    <cellStyle name="20% - Accent3 3 3 3 2 2 3 2" xfId="22883"/>
    <cellStyle name="20% - Accent3 3 3 3 2 2 4" xfId="22884"/>
    <cellStyle name="20% - Accent3 3 3 3 2 2 5" xfId="22885"/>
    <cellStyle name="20% - Accent3 3 3 3 2 2 6" xfId="22886"/>
    <cellStyle name="20% - Accent3 3 3 3 2 2 7" xfId="22887"/>
    <cellStyle name="20% - Accent3 3 3 3 2 3" xfId="22888"/>
    <cellStyle name="20% - Accent3 3 3 3 2 3 2" xfId="22889"/>
    <cellStyle name="20% - Accent3 3 3 3 2 3 2 2" xfId="22890"/>
    <cellStyle name="20% - Accent3 3 3 3 2 3 3" xfId="22891"/>
    <cellStyle name="20% - Accent3 3 3 3 2 3 3 2" xfId="22892"/>
    <cellStyle name="20% - Accent3 3 3 3 2 3 4" xfId="22893"/>
    <cellStyle name="20% - Accent3 3 3 3 2 3 5" xfId="22894"/>
    <cellStyle name="20% - Accent3 3 3 3 2 3 6" xfId="22895"/>
    <cellStyle name="20% - Accent3 3 3 3 2 3 7" xfId="22896"/>
    <cellStyle name="20% - Accent3 3 3 3 2 4" xfId="22897"/>
    <cellStyle name="20% - Accent3 3 3 3 2 4 2" xfId="22898"/>
    <cellStyle name="20% - Accent3 3 3 3 2 4 2 2" xfId="22899"/>
    <cellStyle name="20% - Accent3 3 3 3 2 4 3" xfId="22900"/>
    <cellStyle name="20% - Accent3 3 3 3 2 4 3 2" xfId="22901"/>
    <cellStyle name="20% - Accent3 3 3 3 2 4 4" xfId="22902"/>
    <cellStyle name="20% - Accent3 3 3 3 2 4 5" xfId="22903"/>
    <cellStyle name="20% - Accent3 3 3 3 2 4 6" xfId="22904"/>
    <cellStyle name="20% - Accent3 3 3 3 2 4 7" xfId="22905"/>
    <cellStyle name="20% - Accent3 3 3 3 2 5" xfId="22906"/>
    <cellStyle name="20% - Accent3 3 3 3 2 5 2" xfId="22907"/>
    <cellStyle name="20% - Accent3 3 3 3 2 6" xfId="22908"/>
    <cellStyle name="20% - Accent3 3 3 3 2 6 2" xfId="22909"/>
    <cellStyle name="20% - Accent3 3 3 3 2 7" xfId="22910"/>
    <cellStyle name="20% - Accent3 3 3 3 2 8" xfId="22911"/>
    <cellStyle name="20% - Accent3 3 3 3 2 9" xfId="22912"/>
    <cellStyle name="20% - Accent3 3 3 3 3" xfId="22913"/>
    <cellStyle name="20% - Accent3 3 3 3 3 2" xfId="22914"/>
    <cellStyle name="20% - Accent3 3 3 3 3 2 2" xfId="22915"/>
    <cellStyle name="20% - Accent3 3 3 3 3 3" xfId="22916"/>
    <cellStyle name="20% - Accent3 3 3 3 3 3 2" xfId="22917"/>
    <cellStyle name="20% - Accent3 3 3 3 3 4" xfId="22918"/>
    <cellStyle name="20% - Accent3 3 3 3 3 5" xfId="22919"/>
    <cellStyle name="20% - Accent3 3 3 3 3 6" xfId="22920"/>
    <cellStyle name="20% - Accent3 3 3 3 3 7" xfId="22921"/>
    <cellStyle name="20% - Accent3 3 3 3 4" xfId="22922"/>
    <cellStyle name="20% - Accent3 3 3 3 4 2" xfId="22923"/>
    <cellStyle name="20% - Accent3 3 3 3 4 2 2" xfId="22924"/>
    <cellStyle name="20% - Accent3 3 3 3 4 3" xfId="22925"/>
    <cellStyle name="20% - Accent3 3 3 3 4 3 2" xfId="22926"/>
    <cellStyle name="20% - Accent3 3 3 3 4 4" xfId="22927"/>
    <cellStyle name="20% - Accent3 3 3 3 4 5" xfId="22928"/>
    <cellStyle name="20% - Accent3 3 3 3 4 6" xfId="22929"/>
    <cellStyle name="20% - Accent3 3 3 3 4 7" xfId="22930"/>
    <cellStyle name="20% - Accent3 3 3 3 5" xfId="22931"/>
    <cellStyle name="20% - Accent3 3 3 3 5 2" xfId="22932"/>
    <cellStyle name="20% - Accent3 3 3 3 5 2 2" xfId="22933"/>
    <cellStyle name="20% - Accent3 3 3 3 5 3" xfId="22934"/>
    <cellStyle name="20% - Accent3 3 3 3 5 3 2" xfId="22935"/>
    <cellStyle name="20% - Accent3 3 3 3 5 4" xfId="22936"/>
    <cellStyle name="20% - Accent3 3 3 3 5 5" xfId="22937"/>
    <cellStyle name="20% - Accent3 3 3 3 5 6" xfId="22938"/>
    <cellStyle name="20% - Accent3 3 3 3 5 7" xfId="22939"/>
    <cellStyle name="20% - Accent3 3 3 3 6" xfId="22940"/>
    <cellStyle name="20% - Accent3 3 3 3 6 2" xfId="22941"/>
    <cellStyle name="20% - Accent3 3 3 3 7" xfId="22942"/>
    <cellStyle name="20% - Accent3 3 3 3 7 2" xfId="22943"/>
    <cellStyle name="20% - Accent3 3 3 3 8" xfId="22944"/>
    <cellStyle name="20% - Accent3 3 3 3 9" xfId="22945"/>
    <cellStyle name="20% - Accent3 3 3 4" xfId="22946"/>
    <cellStyle name="20% - Accent3 3 3 4 10" xfId="22947"/>
    <cellStyle name="20% - Accent3 3 3 4 2" xfId="22948"/>
    <cellStyle name="20% - Accent3 3 3 4 2 2" xfId="22949"/>
    <cellStyle name="20% - Accent3 3 3 4 2 2 2" xfId="22950"/>
    <cellStyle name="20% - Accent3 3 3 4 2 3" xfId="22951"/>
    <cellStyle name="20% - Accent3 3 3 4 2 3 2" xfId="22952"/>
    <cellStyle name="20% - Accent3 3 3 4 2 4" xfId="22953"/>
    <cellStyle name="20% - Accent3 3 3 4 2 5" xfId="22954"/>
    <cellStyle name="20% - Accent3 3 3 4 2 6" xfId="22955"/>
    <cellStyle name="20% - Accent3 3 3 4 2 7" xfId="22956"/>
    <cellStyle name="20% - Accent3 3 3 4 3" xfId="22957"/>
    <cellStyle name="20% - Accent3 3 3 4 3 2" xfId="22958"/>
    <cellStyle name="20% - Accent3 3 3 4 3 2 2" xfId="22959"/>
    <cellStyle name="20% - Accent3 3 3 4 3 3" xfId="22960"/>
    <cellStyle name="20% - Accent3 3 3 4 3 3 2" xfId="22961"/>
    <cellStyle name="20% - Accent3 3 3 4 3 4" xfId="22962"/>
    <cellStyle name="20% - Accent3 3 3 4 3 5" xfId="22963"/>
    <cellStyle name="20% - Accent3 3 3 4 3 6" xfId="22964"/>
    <cellStyle name="20% - Accent3 3 3 4 3 7" xfId="22965"/>
    <cellStyle name="20% - Accent3 3 3 4 4" xfId="22966"/>
    <cellStyle name="20% - Accent3 3 3 4 4 2" xfId="22967"/>
    <cellStyle name="20% - Accent3 3 3 4 4 2 2" xfId="22968"/>
    <cellStyle name="20% - Accent3 3 3 4 4 3" xfId="22969"/>
    <cellStyle name="20% - Accent3 3 3 4 4 3 2" xfId="22970"/>
    <cellStyle name="20% - Accent3 3 3 4 4 4" xfId="22971"/>
    <cellStyle name="20% - Accent3 3 3 4 4 5" xfId="22972"/>
    <cellStyle name="20% - Accent3 3 3 4 4 6" xfId="22973"/>
    <cellStyle name="20% - Accent3 3 3 4 4 7" xfId="22974"/>
    <cellStyle name="20% - Accent3 3 3 4 5" xfId="22975"/>
    <cellStyle name="20% - Accent3 3 3 4 5 2" xfId="22976"/>
    <cellStyle name="20% - Accent3 3 3 4 6" xfId="22977"/>
    <cellStyle name="20% - Accent3 3 3 4 6 2" xfId="22978"/>
    <cellStyle name="20% - Accent3 3 3 4 7" xfId="22979"/>
    <cellStyle name="20% - Accent3 3 3 4 8" xfId="22980"/>
    <cellStyle name="20% - Accent3 3 3 4 9" xfId="22981"/>
    <cellStyle name="20% - Accent3 3 3 5" xfId="22982"/>
    <cellStyle name="20% - Accent3 3 3 5 2" xfId="22983"/>
    <cellStyle name="20% - Accent3 3 3 5 2 2" xfId="22984"/>
    <cellStyle name="20% - Accent3 3 3 5 3" xfId="22985"/>
    <cellStyle name="20% - Accent3 3 3 5 3 2" xfId="22986"/>
    <cellStyle name="20% - Accent3 3 3 5 4" xfId="22987"/>
    <cellStyle name="20% - Accent3 3 3 5 5" xfId="22988"/>
    <cellStyle name="20% - Accent3 3 3 5 6" xfId="22989"/>
    <cellStyle name="20% - Accent3 3 3 5 7" xfId="22990"/>
    <cellStyle name="20% - Accent3 3 3 6" xfId="22991"/>
    <cellStyle name="20% - Accent3 3 3 6 2" xfId="22992"/>
    <cellStyle name="20% - Accent3 3 3 6 2 2" xfId="22993"/>
    <cellStyle name="20% - Accent3 3 3 6 3" xfId="22994"/>
    <cellStyle name="20% - Accent3 3 3 6 3 2" xfId="22995"/>
    <cellStyle name="20% - Accent3 3 3 6 4" xfId="22996"/>
    <cellStyle name="20% - Accent3 3 3 6 5" xfId="22997"/>
    <cellStyle name="20% - Accent3 3 3 6 6" xfId="22998"/>
    <cellStyle name="20% - Accent3 3 3 6 7" xfId="22999"/>
    <cellStyle name="20% - Accent3 3 3 7" xfId="23000"/>
    <cellStyle name="20% - Accent3 3 3 7 2" xfId="23001"/>
    <cellStyle name="20% - Accent3 3 3 7 2 2" xfId="23002"/>
    <cellStyle name="20% - Accent3 3 3 7 3" xfId="23003"/>
    <cellStyle name="20% - Accent3 3 3 7 3 2" xfId="23004"/>
    <cellStyle name="20% - Accent3 3 3 7 4" xfId="23005"/>
    <cellStyle name="20% - Accent3 3 3 7 5" xfId="23006"/>
    <cellStyle name="20% - Accent3 3 3 7 6" xfId="23007"/>
    <cellStyle name="20% - Accent3 3 3 7 7" xfId="23008"/>
    <cellStyle name="20% - Accent3 3 3 8" xfId="23009"/>
    <cellStyle name="20% - Accent3 3 3 8 2" xfId="23010"/>
    <cellStyle name="20% - Accent3 3 3 9" xfId="23011"/>
    <cellStyle name="20% - Accent3 3 3 9 2" xfId="23012"/>
    <cellStyle name="20% - Accent3 3 4" xfId="23013"/>
    <cellStyle name="20% - Accent3 3 4 10" xfId="23014"/>
    <cellStyle name="20% - Accent3 3 4 11" xfId="23015"/>
    <cellStyle name="20% - Accent3 3 4 12" xfId="23016"/>
    <cellStyle name="20% - Accent3 3 4 13" xfId="23017"/>
    <cellStyle name="20% - Accent3 3 4 2" xfId="23018"/>
    <cellStyle name="20% - Accent3 3 4 2 10" xfId="23019"/>
    <cellStyle name="20% - Accent3 3 4 2 11" xfId="23020"/>
    <cellStyle name="20% - Accent3 3 4 2 2" xfId="23021"/>
    <cellStyle name="20% - Accent3 3 4 2 2 10" xfId="23022"/>
    <cellStyle name="20% - Accent3 3 4 2 2 2" xfId="23023"/>
    <cellStyle name="20% - Accent3 3 4 2 2 2 2" xfId="23024"/>
    <cellStyle name="20% - Accent3 3 4 2 2 2 2 2" xfId="23025"/>
    <cellStyle name="20% - Accent3 3 4 2 2 2 3" xfId="23026"/>
    <cellStyle name="20% - Accent3 3 4 2 2 2 3 2" xfId="23027"/>
    <cellStyle name="20% - Accent3 3 4 2 2 2 4" xfId="23028"/>
    <cellStyle name="20% - Accent3 3 4 2 2 2 5" xfId="23029"/>
    <cellStyle name="20% - Accent3 3 4 2 2 2 6" xfId="23030"/>
    <cellStyle name="20% - Accent3 3 4 2 2 2 7" xfId="23031"/>
    <cellStyle name="20% - Accent3 3 4 2 2 3" xfId="23032"/>
    <cellStyle name="20% - Accent3 3 4 2 2 3 2" xfId="23033"/>
    <cellStyle name="20% - Accent3 3 4 2 2 3 2 2" xfId="23034"/>
    <cellStyle name="20% - Accent3 3 4 2 2 3 3" xfId="23035"/>
    <cellStyle name="20% - Accent3 3 4 2 2 3 3 2" xfId="23036"/>
    <cellStyle name="20% - Accent3 3 4 2 2 3 4" xfId="23037"/>
    <cellStyle name="20% - Accent3 3 4 2 2 3 5" xfId="23038"/>
    <cellStyle name="20% - Accent3 3 4 2 2 3 6" xfId="23039"/>
    <cellStyle name="20% - Accent3 3 4 2 2 3 7" xfId="23040"/>
    <cellStyle name="20% - Accent3 3 4 2 2 4" xfId="23041"/>
    <cellStyle name="20% - Accent3 3 4 2 2 4 2" xfId="23042"/>
    <cellStyle name="20% - Accent3 3 4 2 2 4 2 2" xfId="23043"/>
    <cellStyle name="20% - Accent3 3 4 2 2 4 3" xfId="23044"/>
    <cellStyle name="20% - Accent3 3 4 2 2 4 3 2" xfId="23045"/>
    <cellStyle name="20% - Accent3 3 4 2 2 4 4" xfId="23046"/>
    <cellStyle name="20% - Accent3 3 4 2 2 4 5" xfId="23047"/>
    <cellStyle name="20% - Accent3 3 4 2 2 4 6" xfId="23048"/>
    <cellStyle name="20% - Accent3 3 4 2 2 4 7" xfId="23049"/>
    <cellStyle name="20% - Accent3 3 4 2 2 5" xfId="23050"/>
    <cellStyle name="20% - Accent3 3 4 2 2 5 2" xfId="23051"/>
    <cellStyle name="20% - Accent3 3 4 2 2 6" xfId="23052"/>
    <cellStyle name="20% - Accent3 3 4 2 2 6 2" xfId="23053"/>
    <cellStyle name="20% - Accent3 3 4 2 2 7" xfId="23054"/>
    <cellStyle name="20% - Accent3 3 4 2 2 8" xfId="23055"/>
    <cellStyle name="20% - Accent3 3 4 2 2 9" xfId="23056"/>
    <cellStyle name="20% - Accent3 3 4 2 3" xfId="23057"/>
    <cellStyle name="20% - Accent3 3 4 2 3 2" xfId="23058"/>
    <cellStyle name="20% - Accent3 3 4 2 3 2 2" xfId="23059"/>
    <cellStyle name="20% - Accent3 3 4 2 3 3" xfId="23060"/>
    <cellStyle name="20% - Accent3 3 4 2 3 3 2" xfId="23061"/>
    <cellStyle name="20% - Accent3 3 4 2 3 4" xfId="23062"/>
    <cellStyle name="20% - Accent3 3 4 2 3 5" xfId="23063"/>
    <cellStyle name="20% - Accent3 3 4 2 3 6" xfId="23064"/>
    <cellStyle name="20% - Accent3 3 4 2 3 7" xfId="23065"/>
    <cellStyle name="20% - Accent3 3 4 2 4" xfId="23066"/>
    <cellStyle name="20% - Accent3 3 4 2 4 2" xfId="23067"/>
    <cellStyle name="20% - Accent3 3 4 2 4 2 2" xfId="23068"/>
    <cellStyle name="20% - Accent3 3 4 2 4 3" xfId="23069"/>
    <cellStyle name="20% - Accent3 3 4 2 4 3 2" xfId="23070"/>
    <cellStyle name="20% - Accent3 3 4 2 4 4" xfId="23071"/>
    <cellStyle name="20% - Accent3 3 4 2 4 5" xfId="23072"/>
    <cellStyle name="20% - Accent3 3 4 2 4 6" xfId="23073"/>
    <cellStyle name="20% - Accent3 3 4 2 4 7" xfId="23074"/>
    <cellStyle name="20% - Accent3 3 4 2 5" xfId="23075"/>
    <cellStyle name="20% - Accent3 3 4 2 5 2" xfId="23076"/>
    <cellStyle name="20% - Accent3 3 4 2 5 2 2" xfId="23077"/>
    <cellStyle name="20% - Accent3 3 4 2 5 3" xfId="23078"/>
    <cellStyle name="20% - Accent3 3 4 2 5 3 2" xfId="23079"/>
    <cellStyle name="20% - Accent3 3 4 2 5 4" xfId="23080"/>
    <cellStyle name="20% - Accent3 3 4 2 5 5" xfId="23081"/>
    <cellStyle name="20% - Accent3 3 4 2 5 6" xfId="23082"/>
    <cellStyle name="20% - Accent3 3 4 2 5 7" xfId="23083"/>
    <cellStyle name="20% - Accent3 3 4 2 6" xfId="23084"/>
    <cellStyle name="20% - Accent3 3 4 2 6 2" xfId="23085"/>
    <cellStyle name="20% - Accent3 3 4 2 7" xfId="23086"/>
    <cellStyle name="20% - Accent3 3 4 2 7 2" xfId="23087"/>
    <cellStyle name="20% - Accent3 3 4 2 8" xfId="23088"/>
    <cellStyle name="20% - Accent3 3 4 2 9" xfId="23089"/>
    <cellStyle name="20% - Accent3 3 4 3" xfId="23090"/>
    <cellStyle name="20% - Accent3 3 4 3 10" xfId="23091"/>
    <cellStyle name="20% - Accent3 3 4 3 11" xfId="23092"/>
    <cellStyle name="20% - Accent3 3 4 3 2" xfId="23093"/>
    <cellStyle name="20% - Accent3 3 4 3 2 10" xfId="23094"/>
    <cellStyle name="20% - Accent3 3 4 3 2 2" xfId="23095"/>
    <cellStyle name="20% - Accent3 3 4 3 2 2 2" xfId="23096"/>
    <cellStyle name="20% - Accent3 3 4 3 2 2 2 2" xfId="23097"/>
    <cellStyle name="20% - Accent3 3 4 3 2 2 3" xfId="23098"/>
    <cellStyle name="20% - Accent3 3 4 3 2 2 3 2" xfId="23099"/>
    <cellStyle name="20% - Accent3 3 4 3 2 2 4" xfId="23100"/>
    <cellStyle name="20% - Accent3 3 4 3 2 2 5" xfId="23101"/>
    <cellStyle name="20% - Accent3 3 4 3 2 2 6" xfId="23102"/>
    <cellStyle name="20% - Accent3 3 4 3 2 2 7" xfId="23103"/>
    <cellStyle name="20% - Accent3 3 4 3 2 3" xfId="23104"/>
    <cellStyle name="20% - Accent3 3 4 3 2 3 2" xfId="23105"/>
    <cellStyle name="20% - Accent3 3 4 3 2 3 2 2" xfId="23106"/>
    <cellStyle name="20% - Accent3 3 4 3 2 3 3" xfId="23107"/>
    <cellStyle name="20% - Accent3 3 4 3 2 3 3 2" xfId="23108"/>
    <cellStyle name="20% - Accent3 3 4 3 2 3 4" xfId="23109"/>
    <cellStyle name="20% - Accent3 3 4 3 2 3 5" xfId="23110"/>
    <cellStyle name="20% - Accent3 3 4 3 2 3 6" xfId="23111"/>
    <cellStyle name="20% - Accent3 3 4 3 2 3 7" xfId="23112"/>
    <cellStyle name="20% - Accent3 3 4 3 2 4" xfId="23113"/>
    <cellStyle name="20% - Accent3 3 4 3 2 4 2" xfId="23114"/>
    <cellStyle name="20% - Accent3 3 4 3 2 4 2 2" xfId="23115"/>
    <cellStyle name="20% - Accent3 3 4 3 2 4 3" xfId="23116"/>
    <cellStyle name="20% - Accent3 3 4 3 2 4 3 2" xfId="23117"/>
    <cellStyle name="20% - Accent3 3 4 3 2 4 4" xfId="23118"/>
    <cellStyle name="20% - Accent3 3 4 3 2 4 5" xfId="23119"/>
    <cellStyle name="20% - Accent3 3 4 3 2 4 6" xfId="23120"/>
    <cellStyle name="20% - Accent3 3 4 3 2 4 7" xfId="23121"/>
    <cellStyle name="20% - Accent3 3 4 3 2 5" xfId="23122"/>
    <cellStyle name="20% - Accent3 3 4 3 2 5 2" xfId="23123"/>
    <cellStyle name="20% - Accent3 3 4 3 2 6" xfId="23124"/>
    <cellStyle name="20% - Accent3 3 4 3 2 6 2" xfId="23125"/>
    <cellStyle name="20% - Accent3 3 4 3 2 7" xfId="23126"/>
    <cellStyle name="20% - Accent3 3 4 3 2 8" xfId="23127"/>
    <cellStyle name="20% - Accent3 3 4 3 2 9" xfId="23128"/>
    <cellStyle name="20% - Accent3 3 4 3 3" xfId="23129"/>
    <cellStyle name="20% - Accent3 3 4 3 3 2" xfId="23130"/>
    <cellStyle name="20% - Accent3 3 4 3 3 2 2" xfId="23131"/>
    <cellStyle name="20% - Accent3 3 4 3 3 3" xfId="23132"/>
    <cellStyle name="20% - Accent3 3 4 3 3 3 2" xfId="23133"/>
    <cellStyle name="20% - Accent3 3 4 3 3 4" xfId="23134"/>
    <cellStyle name="20% - Accent3 3 4 3 3 5" xfId="23135"/>
    <cellStyle name="20% - Accent3 3 4 3 3 6" xfId="23136"/>
    <cellStyle name="20% - Accent3 3 4 3 3 7" xfId="23137"/>
    <cellStyle name="20% - Accent3 3 4 3 4" xfId="23138"/>
    <cellStyle name="20% - Accent3 3 4 3 4 2" xfId="23139"/>
    <cellStyle name="20% - Accent3 3 4 3 4 2 2" xfId="23140"/>
    <cellStyle name="20% - Accent3 3 4 3 4 3" xfId="23141"/>
    <cellStyle name="20% - Accent3 3 4 3 4 3 2" xfId="23142"/>
    <cellStyle name="20% - Accent3 3 4 3 4 4" xfId="23143"/>
    <cellStyle name="20% - Accent3 3 4 3 4 5" xfId="23144"/>
    <cellStyle name="20% - Accent3 3 4 3 4 6" xfId="23145"/>
    <cellStyle name="20% - Accent3 3 4 3 4 7" xfId="23146"/>
    <cellStyle name="20% - Accent3 3 4 3 5" xfId="23147"/>
    <cellStyle name="20% - Accent3 3 4 3 5 2" xfId="23148"/>
    <cellStyle name="20% - Accent3 3 4 3 5 2 2" xfId="23149"/>
    <cellStyle name="20% - Accent3 3 4 3 5 3" xfId="23150"/>
    <cellStyle name="20% - Accent3 3 4 3 5 3 2" xfId="23151"/>
    <cellStyle name="20% - Accent3 3 4 3 5 4" xfId="23152"/>
    <cellStyle name="20% - Accent3 3 4 3 5 5" xfId="23153"/>
    <cellStyle name="20% - Accent3 3 4 3 5 6" xfId="23154"/>
    <cellStyle name="20% - Accent3 3 4 3 5 7" xfId="23155"/>
    <cellStyle name="20% - Accent3 3 4 3 6" xfId="23156"/>
    <cellStyle name="20% - Accent3 3 4 3 6 2" xfId="23157"/>
    <cellStyle name="20% - Accent3 3 4 3 7" xfId="23158"/>
    <cellStyle name="20% - Accent3 3 4 3 7 2" xfId="23159"/>
    <cellStyle name="20% - Accent3 3 4 3 8" xfId="23160"/>
    <cellStyle name="20% - Accent3 3 4 3 9" xfId="23161"/>
    <cellStyle name="20% - Accent3 3 4 4" xfId="23162"/>
    <cellStyle name="20% - Accent3 3 4 4 10" xfId="23163"/>
    <cellStyle name="20% - Accent3 3 4 4 2" xfId="23164"/>
    <cellStyle name="20% - Accent3 3 4 4 2 2" xfId="23165"/>
    <cellStyle name="20% - Accent3 3 4 4 2 2 2" xfId="23166"/>
    <cellStyle name="20% - Accent3 3 4 4 2 3" xfId="23167"/>
    <cellStyle name="20% - Accent3 3 4 4 2 3 2" xfId="23168"/>
    <cellStyle name="20% - Accent3 3 4 4 2 4" xfId="23169"/>
    <cellStyle name="20% - Accent3 3 4 4 2 5" xfId="23170"/>
    <cellStyle name="20% - Accent3 3 4 4 2 6" xfId="23171"/>
    <cellStyle name="20% - Accent3 3 4 4 2 7" xfId="23172"/>
    <cellStyle name="20% - Accent3 3 4 4 3" xfId="23173"/>
    <cellStyle name="20% - Accent3 3 4 4 3 2" xfId="23174"/>
    <cellStyle name="20% - Accent3 3 4 4 3 2 2" xfId="23175"/>
    <cellStyle name="20% - Accent3 3 4 4 3 3" xfId="23176"/>
    <cellStyle name="20% - Accent3 3 4 4 3 3 2" xfId="23177"/>
    <cellStyle name="20% - Accent3 3 4 4 3 4" xfId="23178"/>
    <cellStyle name="20% - Accent3 3 4 4 3 5" xfId="23179"/>
    <cellStyle name="20% - Accent3 3 4 4 3 6" xfId="23180"/>
    <cellStyle name="20% - Accent3 3 4 4 3 7" xfId="23181"/>
    <cellStyle name="20% - Accent3 3 4 4 4" xfId="23182"/>
    <cellStyle name="20% - Accent3 3 4 4 4 2" xfId="23183"/>
    <cellStyle name="20% - Accent3 3 4 4 4 2 2" xfId="23184"/>
    <cellStyle name="20% - Accent3 3 4 4 4 3" xfId="23185"/>
    <cellStyle name="20% - Accent3 3 4 4 4 3 2" xfId="23186"/>
    <cellStyle name="20% - Accent3 3 4 4 4 4" xfId="23187"/>
    <cellStyle name="20% - Accent3 3 4 4 4 5" xfId="23188"/>
    <cellStyle name="20% - Accent3 3 4 4 4 6" xfId="23189"/>
    <cellStyle name="20% - Accent3 3 4 4 4 7" xfId="23190"/>
    <cellStyle name="20% - Accent3 3 4 4 5" xfId="23191"/>
    <cellStyle name="20% - Accent3 3 4 4 5 2" xfId="23192"/>
    <cellStyle name="20% - Accent3 3 4 4 6" xfId="23193"/>
    <cellStyle name="20% - Accent3 3 4 4 6 2" xfId="23194"/>
    <cellStyle name="20% - Accent3 3 4 4 7" xfId="23195"/>
    <cellStyle name="20% - Accent3 3 4 4 8" xfId="23196"/>
    <cellStyle name="20% - Accent3 3 4 4 9" xfId="23197"/>
    <cellStyle name="20% - Accent3 3 4 5" xfId="23198"/>
    <cellStyle name="20% - Accent3 3 4 5 2" xfId="23199"/>
    <cellStyle name="20% - Accent3 3 4 5 2 2" xfId="23200"/>
    <cellStyle name="20% - Accent3 3 4 5 3" xfId="23201"/>
    <cellStyle name="20% - Accent3 3 4 5 3 2" xfId="23202"/>
    <cellStyle name="20% - Accent3 3 4 5 4" xfId="23203"/>
    <cellStyle name="20% - Accent3 3 4 5 5" xfId="23204"/>
    <cellStyle name="20% - Accent3 3 4 5 6" xfId="23205"/>
    <cellStyle name="20% - Accent3 3 4 5 7" xfId="23206"/>
    <cellStyle name="20% - Accent3 3 4 6" xfId="23207"/>
    <cellStyle name="20% - Accent3 3 4 6 2" xfId="23208"/>
    <cellStyle name="20% - Accent3 3 4 6 2 2" xfId="23209"/>
    <cellStyle name="20% - Accent3 3 4 6 3" xfId="23210"/>
    <cellStyle name="20% - Accent3 3 4 6 3 2" xfId="23211"/>
    <cellStyle name="20% - Accent3 3 4 6 4" xfId="23212"/>
    <cellStyle name="20% - Accent3 3 4 6 5" xfId="23213"/>
    <cellStyle name="20% - Accent3 3 4 6 6" xfId="23214"/>
    <cellStyle name="20% - Accent3 3 4 6 7" xfId="23215"/>
    <cellStyle name="20% - Accent3 3 4 7" xfId="23216"/>
    <cellStyle name="20% - Accent3 3 4 7 2" xfId="23217"/>
    <cellStyle name="20% - Accent3 3 4 7 2 2" xfId="23218"/>
    <cellStyle name="20% - Accent3 3 4 7 3" xfId="23219"/>
    <cellStyle name="20% - Accent3 3 4 7 3 2" xfId="23220"/>
    <cellStyle name="20% - Accent3 3 4 7 4" xfId="23221"/>
    <cellStyle name="20% - Accent3 3 4 7 5" xfId="23222"/>
    <cellStyle name="20% - Accent3 3 4 7 6" xfId="23223"/>
    <cellStyle name="20% - Accent3 3 4 7 7" xfId="23224"/>
    <cellStyle name="20% - Accent3 3 4 8" xfId="23225"/>
    <cellStyle name="20% - Accent3 3 4 8 2" xfId="23226"/>
    <cellStyle name="20% - Accent3 3 4 9" xfId="23227"/>
    <cellStyle name="20% - Accent3 3 4 9 2" xfId="23228"/>
    <cellStyle name="20% - Accent3 3 5" xfId="23229"/>
    <cellStyle name="20% - Accent3 3 5 10" xfId="23230"/>
    <cellStyle name="20% - Accent3 3 5 11" xfId="23231"/>
    <cellStyle name="20% - Accent3 3 5 12" xfId="23232"/>
    <cellStyle name="20% - Accent3 3 5 13" xfId="23233"/>
    <cellStyle name="20% - Accent3 3 5 2" xfId="23234"/>
    <cellStyle name="20% - Accent3 3 5 2 10" xfId="23235"/>
    <cellStyle name="20% - Accent3 3 5 2 11" xfId="23236"/>
    <cellStyle name="20% - Accent3 3 5 2 2" xfId="23237"/>
    <cellStyle name="20% - Accent3 3 5 2 2 10" xfId="23238"/>
    <cellStyle name="20% - Accent3 3 5 2 2 2" xfId="23239"/>
    <cellStyle name="20% - Accent3 3 5 2 2 2 2" xfId="23240"/>
    <cellStyle name="20% - Accent3 3 5 2 2 2 2 2" xfId="23241"/>
    <cellStyle name="20% - Accent3 3 5 2 2 2 3" xfId="23242"/>
    <cellStyle name="20% - Accent3 3 5 2 2 2 3 2" xfId="23243"/>
    <cellStyle name="20% - Accent3 3 5 2 2 2 4" xfId="23244"/>
    <cellStyle name="20% - Accent3 3 5 2 2 2 5" xfId="23245"/>
    <cellStyle name="20% - Accent3 3 5 2 2 2 6" xfId="23246"/>
    <cellStyle name="20% - Accent3 3 5 2 2 2 7" xfId="23247"/>
    <cellStyle name="20% - Accent3 3 5 2 2 3" xfId="23248"/>
    <cellStyle name="20% - Accent3 3 5 2 2 3 2" xfId="23249"/>
    <cellStyle name="20% - Accent3 3 5 2 2 3 2 2" xfId="23250"/>
    <cellStyle name="20% - Accent3 3 5 2 2 3 3" xfId="23251"/>
    <cellStyle name="20% - Accent3 3 5 2 2 3 3 2" xfId="23252"/>
    <cellStyle name="20% - Accent3 3 5 2 2 3 4" xfId="23253"/>
    <cellStyle name="20% - Accent3 3 5 2 2 3 5" xfId="23254"/>
    <cellStyle name="20% - Accent3 3 5 2 2 3 6" xfId="23255"/>
    <cellStyle name="20% - Accent3 3 5 2 2 3 7" xfId="23256"/>
    <cellStyle name="20% - Accent3 3 5 2 2 4" xfId="23257"/>
    <cellStyle name="20% - Accent3 3 5 2 2 4 2" xfId="23258"/>
    <cellStyle name="20% - Accent3 3 5 2 2 4 2 2" xfId="23259"/>
    <cellStyle name="20% - Accent3 3 5 2 2 4 3" xfId="23260"/>
    <cellStyle name="20% - Accent3 3 5 2 2 4 3 2" xfId="23261"/>
    <cellStyle name="20% - Accent3 3 5 2 2 4 4" xfId="23262"/>
    <cellStyle name="20% - Accent3 3 5 2 2 4 5" xfId="23263"/>
    <cellStyle name="20% - Accent3 3 5 2 2 4 6" xfId="23264"/>
    <cellStyle name="20% - Accent3 3 5 2 2 4 7" xfId="23265"/>
    <cellStyle name="20% - Accent3 3 5 2 2 5" xfId="23266"/>
    <cellStyle name="20% - Accent3 3 5 2 2 5 2" xfId="23267"/>
    <cellStyle name="20% - Accent3 3 5 2 2 6" xfId="23268"/>
    <cellStyle name="20% - Accent3 3 5 2 2 6 2" xfId="23269"/>
    <cellStyle name="20% - Accent3 3 5 2 2 7" xfId="23270"/>
    <cellStyle name="20% - Accent3 3 5 2 2 8" xfId="23271"/>
    <cellStyle name="20% - Accent3 3 5 2 2 9" xfId="23272"/>
    <cellStyle name="20% - Accent3 3 5 2 3" xfId="23273"/>
    <cellStyle name="20% - Accent3 3 5 2 3 2" xfId="23274"/>
    <cellStyle name="20% - Accent3 3 5 2 3 2 2" xfId="23275"/>
    <cellStyle name="20% - Accent3 3 5 2 3 3" xfId="23276"/>
    <cellStyle name="20% - Accent3 3 5 2 3 3 2" xfId="23277"/>
    <cellStyle name="20% - Accent3 3 5 2 3 4" xfId="23278"/>
    <cellStyle name="20% - Accent3 3 5 2 3 5" xfId="23279"/>
    <cellStyle name="20% - Accent3 3 5 2 3 6" xfId="23280"/>
    <cellStyle name="20% - Accent3 3 5 2 3 7" xfId="23281"/>
    <cellStyle name="20% - Accent3 3 5 2 4" xfId="23282"/>
    <cellStyle name="20% - Accent3 3 5 2 4 2" xfId="23283"/>
    <cellStyle name="20% - Accent3 3 5 2 4 2 2" xfId="23284"/>
    <cellStyle name="20% - Accent3 3 5 2 4 3" xfId="23285"/>
    <cellStyle name="20% - Accent3 3 5 2 4 3 2" xfId="23286"/>
    <cellStyle name="20% - Accent3 3 5 2 4 4" xfId="23287"/>
    <cellStyle name="20% - Accent3 3 5 2 4 5" xfId="23288"/>
    <cellStyle name="20% - Accent3 3 5 2 4 6" xfId="23289"/>
    <cellStyle name="20% - Accent3 3 5 2 4 7" xfId="23290"/>
    <cellStyle name="20% - Accent3 3 5 2 5" xfId="23291"/>
    <cellStyle name="20% - Accent3 3 5 2 5 2" xfId="23292"/>
    <cellStyle name="20% - Accent3 3 5 2 5 2 2" xfId="23293"/>
    <cellStyle name="20% - Accent3 3 5 2 5 3" xfId="23294"/>
    <cellStyle name="20% - Accent3 3 5 2 5 3 2" xfId="23295"/>
    <cellStyle name="20% - Accent3 3 5 2 5 4" xfId="23296"/>
    <cellStyle name="20% - Accent3 3 5 2 5 5" xfId="23297"/>
    <cellStyle name="20% - Accent3 3 5 2 5 6" xfId="23298"/>
    <cellStyle name="20% - Accent3 3 5 2 5 7" xfId="23299"/>
    <cellStyle name="20% - Accent3 3 5 2 6" xfId="23300"/>
    <cellStyle name="20% - Accent3 3 5 2 6 2" xfId="23301"/>
    <cellStyle name="20% - Accent3 3 5 2 7" xfId="23302"/>
    <cellStyle name="20% - Accent3 3 5 2 7 2" xfId="23303"/>
    <cellStyle name="20% - Accent3 3 5 2 8" xfId="23304"/>
    <cellStyle name="20% - Accent3 3 5 2 9" xfId="23305"/>
    <cellStyle name="20% - Accent3 3 5 3" xfId="23306"/>
    <cellStyle name="20% - Accent3 3 5 3 10" xfId="23307"/>
    <cellStyle name="20% - Accent3 3 5 3 11" xfId="23308"/>
    <cellStyle name="20% - Accent3 3 5 3 2" xfId="23309"/>
    <cellStyle name="20% - Accent3 3 5 3 2 10" xfId="23310"/>
    <cellStyle name="20% - Accent3 3 5 3 2 2" xfId="23311"/>
    <cellStyle name="20% - Accent3 3 5 3 2 2 2" xfId="23312"/>
    <cellStyle name="20% - Accent3 3 5 3 2 2 2 2" xfId="23313"/>
    <cellStyle name="20% - Accent3 3 5 3 2 2 3" xfId="23314"/>
    <cellStyle name="20% - Accent3 3 5 3 2 2 3 2" xfId="23315"/>
    <cellStyle name="20% - Accent3 3 5 3 2 2 4" xfId="23316"/>
    <cellStyle name="20% - Accent3 3 5 3 2 2 5" xfId="23317"/>
    <cellStyle name="20% - Accent3 3 5 3 2 2 6" xfId="23318"/>
    <cellStyle name="20% - Accent3 3 5 3 2 2 7" xfId="23319"/>
    <cellStyle name="20% - Accent3 3 5 3 2 3" xfId="23320"/>
    <cellStyle name="20% - Accent3 3 5 3 2 3 2" xfId="23321"/>
    <cellStyle name="20% - Accent3 3 5 3 2 3 2 2" xfId="23322"/>
    <cellStyle name="20% - Accent3 3 5 3 2 3 3" xfId="23323"/>
    <cellStyle name="20% - Accent3 3 5 3 2 3 3 2" xfId="23324"/>
    <cellStyle name="20% - Accent3 3 5 3 2 3 4" xfId="23325"/>
    <cellStyle name="20% - Accent3 3 5 3 2 3 5" xfId="23326"/>
    <cellStyle name="20% - Accent3 3 5 3 2 3 6" xfId="23327"/>
    <cellStyle name="20% - Accent3 3 5 3 2 3 7" xfId="23328"/>
    <cellStyle name="20% - Accent3 3 5 3 2 4" xfId="23329"/>
    <cellStyle name="20% - Accent3 3 5 3 2 4 2" xfId="23330"/>
    <cellStyle name="20% - Accent3 3 5 3 2 4 2 2" xfId="23331"/>
    <cellStyle name="20% - Accent3 3 5 3 2 4 3" xfId="23332"/>
    <cellStyle name="20% - Accent3 3 5 3 2 4 3 2" xfId="23333"/>
    <cellStyle name="20% - Accent3 3 5 3 2 4 4" xfId="23334"/>
    <cellStyle name="20% - Accent3 3 5 3 2 4 5" xfId="23335"/>
    <cellStyle name="20% - Accent3 3 5 3 2 4 6" xfId="23336"/>
    <cellStyle name="20% - Accent3 3 5 3 2 4 7" xfId="23337"/>
    <cellStyle name="20% - Accent3 3 5 3 2 5" xfId="23338"/>
    <cellStyle name="20% - Accent3 3 5 3 2 5 2" xfId="23339"/>
    <cellStyle name="20% - Accent3 3 5 3 2 6" xfId="23340"/>
    <cellStyle name="20% - Accent3 3 5 3 2 6 2" xfId="23341"/>
    <cellStyle name="20% - Accent3 3 5 3 2 7" xfId="23342"/>
    <cellStyle name="20% - Accent3 3 5 3 2 8" xfId="23343"/>
    <cellStyle name="20% - Accent3 3 5 3 2 9" xfId="23344"/>
    <cellStyle name="20% - Accent3 3 5 3 3" xfId="23345"/>
    <cellStyle name="20% - Accent3 3 5 3 3 2" xfId="23346"/>
    <cellStyle name="20% - Accent3 3 5 3 3 2 2" xfId="23347"/>
    <cellStyle name="20% - Accent3 3 5 3 3 3" xfId="23348"/>
    <cellStyle name="20% - Accent3 3 5 3 3 3 2" xfId="23349"/>
    <cellStyle name="20% - Accent3 3 5 3 3 4" xfId="23350"/>
    <cellStyle name="20% - Accent3 3 5 3 3 5" xfId="23351"/>
    <cellStyle name="20% - Accent3 3 5 3 3 6" xfId="23352"/>
    <cellStyle name="20% - Accent3 3 5 3 3 7" xfId="23353"/>
    <cellStyle name="20% - Accent3 3 5 3 4" xfId="23354"/>
    <cellStyle name="20% - Accent3 3 5 3 4 2" xfId="23355"/>
    <cellStyle name="20% - Accent3 3 5 3 4 2 2" xfId="23356"/>
    <cellStyle name="20% - Accent3 3 5 3 4 3" xfId="23357"/>
    <cellStyle name="20% - Accent3 3 5 3 4 3 2" xfId="23358"/>
    <cellStyle name="20% - Accent3 3 5 3 4 4" xfId="23359"/>
    <cellStyle name="20% - Accent3 3 5 3 4 5" xfId="23360"/>
    <cellStyle name="20% - Accent3 3 5 3 4 6" xfId="23361"/>
    <cellStyle name="20% - Accent3 3 5 3 4 7" xfId="23362"/>
    <cellStyle name="20% - Accent3 3 5 3 5" xfId="23363"/>
    <cellStyle name="20% - Accent3 3 5 3 5 2" xfId="23364"/>
    <cellStyle name="20% - Accent3 3 5 3 5 2 2" xfId="23365"/>
    <cellStyle name="20% - Accent3 3 5 3 5 3" xfId="23366"/>
    <cellStyle name="20% - Accent3 3 5 3 5 3 2" xfId="23367"/>
    <cellStyle name="20% - Accent3 3 5 3 5 4" xfId="23368"/>
    <cellStyle name="20% - Accent3 3 5 3 5 5" xfId="23369"/>
    <cellStyle name="20% - Accent3 3 5 3 5 6" xfId="23370"/>
    <cellStyle name="20% - Accent3 3 5 3 5 7" xfId="23371"/>
    <cellStyle name="20% - Accent3 3 5 3 6" xfId="23372"/>
    <cellStyle name="20% - Accent3 3 5 3 6 2" xfId="23373"/>
    <cellStyle name="20% - Accent3 3 5 3 7" xfId="23374"/>
    <cellStyle name="20% - Accent3 3 5 3 7 2" xfId="23375"/>
    <cellStyle name="20% - Accent3 3 5 3 8" xfId="23376"/>
    <cellStyle name="20% - Accent3 3 5 3 9" xfId="23377"/>
    <cellStyle name="20% - Accent3 3 5 4" xfId="23378"/>
    <cellStyle name="20% - Accent3 3 5 4 10" xfId="23379"/>
    <cellStyle name="20% - Accent3 3 5 4 2" xfId="23380"/>
    <cellStyle name="20% - Accent3 3 5 4 2 2" xfId="23381"/>
    <cellStyle name="20% - Accent3 3 5 4 2 2 2" xfId="23382"/>
    <cellStyle name="20% - Accent3 3 5 4 2 3" xfId="23383"/>
    <cellStyle name="20% - Accent3 3 5 4 2 3 2" xfId="23384"/>
    <cellStyle name="20% - Accent3 3 5 4 2 4" xfId="23385"/>
    <cellStyle name="20% - Accent3 3 5 4 2 5" xfId="23386"/>
    <cellStyle name="20% - Accent3 3 5 4 2 6" xfId="23387"/>
    <cellStyle name="20% - Accent3 3 5 4 2 7" xfId="23388"/>
    <cellStyle name="20% - Accent3 3 5 4 3" xfId="23389"/>
    <cellStyle name="20% - Accent3 3 5 4 3 2" xfId="23390"/>
    <cellStyle name="20% - Accent3 3 5 4 3 2 2" xfId="23391"/>
    <cellStyle name="20% - Accent3 3 5 4 3 3" xfId="23392"/>
    <cellStyle name="20% - Accent3 3 5 4 3 3 2" xfId="23393"/>
    <cellStyle name="20% - Accent3 3 5 4 3 4" xfId="23394"/>
    <cellStyle name="20% - Accent3 3 5 4 3 5" xfId="23395"/>
    <cellStyle name="20% - Accent3 3 5 4 3 6" xfId="23396"/>
    <cellStyle name="20% - Accent3 3 5 4 3 7" xfId="23397"/>
    <cellStyle name="20% - Accent3 3 5 4 4" xfId="23398"/>
    <cellStyle name="20% - Accent3 3 5 4 4 2" xfId="23399"/>
    <cellStyle name="20% - Accent3 3 5 4 4 2 2" xfId="23400"/>
    <cellStyle name="20% - Accent3 3 5 4 4 3" xfId="23401"/>
    <cellStyle name="20% - Accent3 3 5 4 4 3 2" xfId="23402"/>
    <cellStyle name="20% - Accent3 3 5 4 4 4" xfId="23403"/>
    <cellStyle name="20% - Accent3 3 5 4 4 5" xfId="23404"/>
    <cellStyle name="20% - Accent3 3 5 4 4 6" xfId="23405"/>
    <cellStyle name="20% - Accent3 3 5 4 4 7" xfId="23406"/>
    <cellStyle name="20% - Accent3 3 5 4 5" xfId="23407"/>
    <cellStyle name="20% - Accent3 3 5 4 5 2" xfId="23408"/>
    <cellStyle name="20% - Accent3 3 5 4 6" xfId="23409"/>
    <cellStyle name="20% - Accent3 3 5 4 6 2" xfId="23410"/>
    <cellStyle name="20% - Accent3 3 5 4 7" xfId="23411"/>
    <cellStyle name="20% - Accent3 3 5 4 8" xfId="23412"/>
    <cellStyle name="20% - Accent3 3 5 4 9" xfId="23413"/>
    <cellStyle name="20% - Accent3 3 5 5" xfId="23414"/>
    <cellStyle name="20% - Accent3 3 5 5 2" xfId="23415"/>
    <cellStyle name="20% - Accent3 3 5 5 2 2" xfId="23416"/>
    <cellStyle name="20% - Accent3 3 5 5 3" xfId="23417"/>
    <cellStyle name="20% - Accent3 3 5 5 3 2" xfId="23418"/>
    <cellStyle name="20% - Accent3 3 5 5 4" xfId="23419"/>
    <cellStyle name="20% - Accent3 3 5 5 5" xfId="23420"/>
    <cellStyle name="20% - Accent3 3 5 5 6" xfId="23421"/>
    <cellStyle name="20% - Accent3 3 5 5 7" xfId="23422"/>
    <cellStyle name="20% - Accent3 3 5 6" xfId="23423"/>
    <cellStyle name="20% - Accent3 3 5 6 2" xfId="23424"/>
    <cellStyle name="20% - Accent3 3 5 6 2 2" xfId="23425"/>
    <cellStyle name="20% - Accent3 3 5 6 3" xfId="23426"/>
    <cellStyle name="20% - Accent3 3 5 6 3 2" xfId="23427"/>
    <cellStyle name="20% - Accent3 3 5 6 4" xfId="23428"/>
    <cellStyle name="20% - Accent3 3 5 6 5" xfId="23429"/>
    <cellStyle name="20% - Accent3 3 5 6 6" xfId="23430"/>
    <cellStyle name="20% - Accent3 3 5 6 7" xfId="23431"/>
    <cellStyle name="20% - Accent3 3 5 7" xfId="23432"/>
    <cellStyle name="20% - Accent3 3 5 7 2" xfId="23433"/>
    <cellStyle name="20% - Accent3 3 5 7 2 2" xfId="23434"/>
    <cellStyle name="20% - Accent3 3 5 7 3" xfId="23435"/>
    <cellStyle name="20% - Accent3 3 5 7 3 2" xfId="23436"/>
    <cellStyle name="20% - Accent3 3 5 7 4" xfId="23437"/>
    <cellStyle name="20% - Accent3 3 5 7 5" xfId="23438"/>
    <cellStyle name="20% - Accent3 3 5 7 6" xfId="23439"/>
    <cellStyle name="20% - Accent3 3 5 7 7" xfId="23440"/>
    <cellStyle name="20% - Accent3 3 5 8" xfId="23441"/>
    <cellStyle name="20% - Accent3 3 5 8 2" xfId="23442"/>
    <cellStyle name="20% - Accent3 3 5 9" xfId="23443"/>
    <cellStyle name="20% - Accent3 3 5 9 2" xfId="23444"/>
    <cellStyle name="20% - Accent3 3 6" xfId="23445"/>
    <cellStyle name="20% - Accent3 3 6 10" xfId="23446"/>
    <cellStyle name="20% - Accent3 3 6 11" xfId="23447"/>
    <cellStyle name="20% - Accent3 3 6 12" xfId="23448"/>
    <cellStyle name="20% - Accent3 3 6 13" xfId="23449"/>
    <cellStyle name="20% - Accent3 3 6 2" xfId="23450"/>
    <cellStyle name="20% - Accent3 3 6 2 10" xfId="23451"/>
    <cellStyle name="20% - Accent3 3 6 2 11" xfId="23452"/>
    <cellStyle name="20% - Accent3 3 6 2 2" xfId="23453"/>
    <cellStyle name="20% - Accent3 3 6 2 2 10" xfId="23454"/>
    <cellStyle name="20% - Accent3 3 6 2 2 2" xfId="23455"/>
    <cellStyle name="20% - Accent3 3 6 2 2 2 2" xfId="23456"/>
    <cellStyle name="20% - Accent3 3 6 2 2 2 2 2" xfId="23457"/>
    <cellStyle name="20% - Accent3 3 6 2 2 2 3" xfId="23458"/>
    <cellStyle name="20% - Accent3 3 6 2 2 2 3 2" xfId="23459"/>
    <cellStyle name="20% - Accent3 3 6 2 2 2 4" xfId="23460"/>
    <cellStyle name="20% - Accent3 3 6 2 2 2 5" xfId="23461"/>
    <cellStyle name="20% - Accent3 3 6 2 2 2 6" xfId="23462"/>
    <cellStyle name="20% - Accent3 3 6 2 2 2 7" xfId="23463"/>
    <cellStyle name="20% - Accent3 3 6 2 2 3" xfId="23464"/>
    <cellStyle name="20% - Accent3 3 6 2 2 3 2" xfId="23465"/>
    <cellStyle name="20% - Accent3 3 6 2 2 3 2 2" xfId="23466"/>
    <cellStyle name="20% - Accent3 3 6 2 2 3 3" xfId="23467"/>
    <cellStyle name="20% - Accent3 3 6 2 2 3 3 2" xfId="23468"/>
    <cellStyle name="20% - Accent3 3 6 2 2 3 4" xfId="23469"/>
    <cellStyle name="20% - Accent3 3 6 2 2 3 5" xfId="23470"/>
    <cellStyle name="20% - Accent3 3 6 2 2 3 6" xfId="23471"/>
    <cellStyle name="20% - Accent3 3 6 2 2 3 7" xfId="23472"/>
    <cellStyle name="20% - Accent3 3 6 2 2 4" xfId="23473"/>
    <cellStyle name="20% - Accent3 3 6 2 2 4 2" xfId="23474"/>
    <cellStyle name="20% - Accent3 3 6 2 2 4 2 2" xfId="23475"/>
    <cellStyle name="20% - Accent3 3 6 2 2 4 3" xfId="23476"/>
    <cellStyle name="20% - Accent3 3 6 2 2 4 3 2" xfId="23477"/>
    <cellStyle name="20% - Accent3 3 6 2 2 4 4" xfId="23478"/>
    <cellStyle name="20% - Accent3 3 6 2 2 4 5" xfId="23479"/>
    <cellStyle name="20% - Accent3 3 6 2 2 4 6" xfId="23480"/>
    <cellStyle name="20% - Accent3 3 6 2 2 4 7" xfId="23481"/>
    <cellStyle name="20% - Accent3 3 6 2 2 5" xfId="23482"/>
    <cellStyle name="20% - Accent3 3 6 2 2 5 2" xfId="23483"/>
    <cellStyle name="20% - Accent3 3 6 2 2 6" xfId="23484"/>
    <cellStyle name="20% - Accent3 3 6 2 2 6 2" xfId="23485"/>
    <cellStyle name="20% - Accent3 3 6 2 2 7" xfId="23486"/>
    <cellStyle name="20% - Accent3 3 6 2 2 8" xfId="23487"/>
    <cellStyle name="20% - Accent3 3 6 2 2 9" xfId="23488"/>
    <cellStyle name="20% - Accent3 3 6 2 3" xfId="23489"/>
    <cellStyle name="20% - Accent3 3 6 2 3 2" xfId="23490"/>
    <cellStyle name="20% - Accent3 3 6 2 3 2 2" xfId="23491"/>
    <cellStyle name="20% - Accent3 3 6 2 3 3" xfId="23492"/>
    <cellStyle name="20% - Accent3 3 6 2 3 3 2" xfId="23493"/>
    <cellStyle name="20% - Accent3 3 6 2 3 4" xfId="23494"/>
    <cellStyle name="20% - Accent3 3 6 2 3 5" xfId="23495"/>
    <cellStyle name="20% - Accent3 3 6 2 3 6" xfId="23496"/>
    <cellStyle name="20% - Accent3 3 6 2 3 7" xfId="23497"/>
    <cellStyle name="20% - Accent3 3 6 2 4" xfId="23498"/>
    <cellStyle name="20% - Accent3 3 6 2 4 2" xfId="23499"/>
    <cellStyle name="20% - Accent3 3 6 2 4 2 2" xfId="23500"/>
    <cellStyle name="20% - Accent3 3 6 2 4 3" xfId="23501"/>
    <cellStyle name="20% - Accent3 3 6 2 4 3 2" xfId="23502"/>
    <cellStyle name="20% - Accent3 3 6 2 4 4" xfId="23503"/>
    <cellStyle name="20% - Accent3 3 6 2 4 5" xfId="23504"/>
    <cellStyle name="20% - Accent3 3 6 2 4 6" xfId="23505"/>
    <cellStyle name="20% - Accent3 3 6 2 4 7" xfId="23506"/>
    <cellStyle name="20% - Accent3 3 6 2 5" xfId="23507"/>
    <cellStyle name="20% - Accent3 3 6 2 5 2" xfId="23508"/>
    <cellStyle name="20% - Accent3 3 6 2 5 2 2" xfId="23509"/>
    <cellStyle name="20% - Accent3 3 6 2 5 3" xfId="23510"/>
    <cellStyle name="20% - Accent3 3 6 2 5 3 2" xfId="23511"/>
    <cellStyle name="20% - Accent3 3 6 2 5 4" xfId="23512"/>
    <cellStyle name="20% - Accent3 3 6 2 5 5" xfId="23513"/>
    <cellStyle name="20% - Accent3 3 6 2 5 6" xfId="23514"/>
    <cellStyle name="20% - Accent3 3 6 2 5 7" xfId="23515"/>
    <cellStyle name="20% - Accent3 3 6 2 6" xfId="23516"/>
    <cellStyle name="20% - Accent3 3 6 2 6 2" xfId="23517"/>
    <cellStyle name="20% - Accent3 3 6 2 7" xfId="23518"/>
    <cellStyle name="20% - Accent3 3 6 2 7 2" xfId="23519"/>
    <cellStyle name="20% - Accent3 3 6 2 8" xfId="23520"/>
    <cellStyle name="20% - Accent3 3 6 2 9" xfId="23521"/>
    <cellStyle name="20% - Accent3 3 6 3" xfId="23522"/>
    <cellStyle name="20% - Accent3 3 6 3 10" xfId="23523"/>
    <cellStyle name="20% - Accent3 3 6 3 11" xfId="23524"/>
    <cellStyle name="20% - Accent3 3 6 3 2" xfId="23525"/>
    <cellStyle name="20% - Accent3 3 6 3 2 10" xfId="23526"/>
    <cellStyle name="20% - Accent3 3 6 3 2 2" xfId="23527"/>
    <cellStyle name="20% - Accent3 3 6 3 2 2 2" xfId="23528"/>
    <cellStyle name="20% - Accent3 3 6 3 2 2 2 2" xfId="23529"/>
    <cellStyle name="20% - Accent3 3 6 3 2 2 3" xfId="23530"/>
    <cellStyle name="20% - Accent3 3 6 3 2 2 3 2" xfId="23531"/>
    <cellStyle name="20% - Accent3 3 6 3 2 2 4" xfId="23532"/>
    <cellStyle name="20% - Accent3 3 6 3 2 2 5" xfId="23533"/>
    <cellStyle name="20% - Accent3 3 6 3 2 2 6" xfId="23534"/>
    <cellStyle name="20% - Accent3 3 6 3 2 2 7" xfId="23535"/>
    <cellStyle name="20% - Accent3 3 6 3 2 3" xfId="23536"/>
    <cellStyle name="20% - Accent3 3 6 3 2 3 2" xfId="23537"/>
    <cellStyle name="20% - Accent3 3 6 3 2 3 2 2" xfId="23538"/>
    <cellStyle name="20% - Accent3 3 6 3 2 3 3" xfId="23539"/>
    <cellStyle name="20% - Accent3 3 6 3 2 3 3 2" xfId="23540"/>
    <cellStyle name="20% - Accent3 3 6 3 2 3 4" xfId="23541"/>
    <cellStyle name="20% - Accent3 3 6 3 2 3 5" xfId="23542"/>
    <cellStyle name="20% - Accent3 3 6 3 2 3 6" xfId="23543"/>
    <cellStyle name="20% - Accent3 3 6 3 2 3 7" xfId="23544"/>
    <cellStyle name="20% - Accent3 3 6 3 2 4" xfId="23545"/>
    <cellStyle name="20% - Accent3 3 6 3 2 4 2" xfId="23546"/>
    <cellStyle name="20% - Accent3 3 6 3 2 4 2 2" xfId="23547"/>
    <cellStyle name="20% - Accent3 3 6 3 2 4 3" xfId="23548"/>
    <cellStyle name="20% - Accent3 3 6 3 2 4 3 2" xfId="23549"/>
    <cellStyle name="20% - Accent3 3 6 3 2 4 4" xfId="23550"/>
    <cellStyle name="20% - Accent3 3 6 3 2 4 5" xfId="23551"/>
    <cellStyle name="20% - Accent3 3 6 3 2 4 6" xfId="23552"/>
    <cellStyle name="20% - Accent3 3 6 3 2 4 7" xfId="23553"/>
    <cellStyle name="20% - Accent3 3 6 3 2 5" xfId="23554"/>
    <cellStyle name="20% - Accent3 3 6 3 2 5 2" xfId="23555"/>
    <cellStyle name="20% - Accent3 3 6 3 2 6" xfId="23556"/>
    <cellStyle name="20% - Accent3 3 6 3 2 6 2" xfId="23557"/>
    <cellStyle name="20% - Accent3 3 6 3 2 7" xfId="23558"/>
    <cellStyle name="20% - Accent3 3 6 3 2 8" xfId="23559"/>
    <cellStyle name="20% - Accent3 3 6 3 2 9" xfId="23560"/>
    <cellStyle name="20% - Accent3 3 6 3 3" xfId="23561"/>
    <cellStyle name="20% - Accent3 3 6 3 3 2" xfId="23562"/>
    <cellStyle name="20% - Accent3 3 6 3 3 2 2" xfId="23563"/>
    <cellStyle name="20% - Accent3 3 6 3 3 3" xfId="23564"/>
    <cellStyle name="20% - Accent3 3 6 3 3 3 2" xfId="23565"/>
    <cellStyle name="20% - Accent3 3 6 3 3 4" xfId="23566"/>
    <cellStyle name="20% - Accent3 3 6 3 3 5" xfId="23567"/>
    <cellStyle name="20% - Accent3 3 6 3 3 6" xfId="23568"/>
    <cellStyle name="20% - Accent3 3 6 3 3 7" xfId="23569"/>
    <cellStyle name="20% - Accent3 3 6 3 4" xfId="23570"/>
    <cellStyle name="20% - Accent3 3 6 3 4 2" xfId="23571"/>
    <cellStyle name="20% - Accent3 3 6 3 4 2 2" xfId="23572"/>
    <cellStyle name="20% - Accent3 3 6 3 4 3" xfId="23573"/>
    <cellStyle name="20% - Accent3 3 6 3 4 3 2" xfId="23574"/>
    <cellStyle name="20% - Accent3 3 6 3 4 4" xfId="23575"/>
    <cellStyle name="20% - Accent3 3 6 3 4 5" xfId="23576"/>
    <cellStyle name="20% - Accent3 3 6 3 4 6" xfId="23577"/>
    <cellStyle name="20% - Accent3 3 6 3 4 7" xfId="23578"/>
    <cellStyle name="20% - Accent3 3 6 3 5" xfId="23579"/>
    <cellStyle name="20% - Accent3 3 6 3 5 2" xfId="23580"/>
    <cellStyle name="20% - Accent3 3 6 3 5 2 2" xfId="23581"/>
    <cellStyle name="20% - Accent3 3 6 3 5 3" xfId="23582"/>
    <cellStyle name="20% - Accent3 3 6 3 5 3 2" xfId="23583"/>
    <cellStyle name="20% - Accent3 3 6 3 5 4" xfId="23584"/>
    <cellStyle name="20% - Accent3 3 6 3 5 5" xfId="23585"/>
    <cellStyle name="20% - Accent3 3 6 3 5 6" xfId="23586"/>
    <cellStyle name="20% - Accent3 3 6 3 5 7" xfId="23587"/>
    <cellStyle name="20% - Accent3 3 6 3 6" xfId="23588"/>
    <cellStyle name="20% - Accent3 3 6 3 6 2" xfId="23589"/>
    <cellStyle name="20% - Accent3 3 6 3 7" xfId="23590"/>
    <cellStyle name="20% - Accent3 3 6 3 7 2" xfId="23591"/>
    <cellStyle name="20% - Accent3 3 6 3 8" xfId="23592"/>
    <cellStyle name="20% - Accent3 3 6 3 9" xfId="23593"/>
    <cellStyle name="20% - Accent3 3 6 4" xfId="23594"/>
    <cellStyle name="20% - Accent3 3 6 4 10" xfId="23595"/>
    <cellStyle name="20% - Accent3 3 6 4 2" xfId="23596"/>
    <cellStyle name="20% - Accent3 3 6 4 2 2" xfId="23597"/>
    <cellStyle name="20% - Accent3 3 6 4 2 2 2" xfId="23598"/>
    <cellStyle name="20% - Accent3 3 6 4 2 3" xfId="23599"/>
    <cellStyle name="20% - Accent3 3 6 4 2 3 2" xfId="23600"/>
    <cellStyle name="20% - Accent3 3 6 4 2 4" xfId="23601"/>
    <cellStyle name="20% - Accent3 3 6 4 2 5" xfId="23602"/>
    <cellStyle name="20% - Accent3 3 6 4 2 6" xfId="23603"/>
    <cellStyle name="20% - Accent3 3 6 4 2 7" xfId="23604"/>
    <cellStyle name="20% - Accent3 3 6 4 3" xfId="23605"/>
    <cellStyle name="20% - Accent3 3 6 4 3 2" xfId="23606"/>
    <cellStyle name="20% - Accent3 3 6 4 3 2 2" xfId="23607"/>
    <cellStyle name="20% - Accent3 3 6 4 3 3" xfId="23608"/>
    <cellStyle name="20% - Accent3 3 6 4 3 3 2" xfId="23609"/>
    <cellStyle name="20% - Accent3 3 6 4 3 4" xfId="23610"/>
    <cellStyle name="20% - Accent3 3 6 4 3 5" xfId="23611"/>
    <cellStyle name="20% - Accent3 3 6 4 3 6" xfId="23612"/>
    <cellStyle name="20% - Accent3 3 6 4 3 7" xfId="23613"/>
    <cellStyle name="20% - Accent3 3 6 4 4" xfId="23614"/>
    <cellStyle name="20% - Accent3 3 6 4 4 2" xfId="23615"/>
    <cellStyle name="20% - Accent3 3 6 4 4 2 2" xfId="23616"/>
    <cellStyle name="20% - Accent3 3 6 4 4 3" xfId="23617"/>
    <cellStyle name="20% - Accent3 3 6 4 4 3 2" xfId="23618"/>
    <cellStyle name="20% - Accent3 3 6 4 4 4" xfId="23619"/>
    <cellStyle name="20% - Accent3 3 6 4 4 5" xfId="23620"/>
    <cellStyle name="20% - Accent3 3 6 4 4 6" xfId="23621"/>
    <cellStyle name="20% - Accent3 3 6 4 4 7" xfId="23622"/>
    <cellStyle name="20% - Accent3 3 6 4 5" xfId="23623"/>
    <cellStyle name="20% - Accent3 3 6 4 5 2" xfId="23624"/>
    <cellStyle name="20% - Accent3 3 6 4 6" xfId="23625"/>
    <cellStyle name="20% - Accent3 3 6 4 6 2" xfId="23626"/>
    <cellStyle name="20% - Accent3 3 6 4 7" xfId="23627"/>
    <cellStyle name="20% - Accent3 3 6 4 8" xfId="23628"/>
    <cellStyle name="20% - Accent3 3 6 4 9" xfId="23629"/>
    <cellStyle name="20% - Accent3 3 6 5" xfId="23630"/>
    <cellStyle name="20% - Accent3 3 6 5 2" xfId="23631"/>
    <cellStyle name="20% - Accent3 3 6 5 2 2" xfId="23632"/>
    <cellStyle name="20% - Accent3 3 6 5 3" xfId="23633"/>
    <cellStyle name="20% - Accent3 3 6 5 3 2" xfId="23634"/>
    <cellStyle name="20% - Accent3 3 6 5 4" xfId="23635"/>
    <cellStyle name="20% - Accent3 3 6 5 5" xfId="23636"/>
    <cellStyle name="20% - Accent3 3 6 5 6" xfId="23637"/>
    <cellStyle name="20% - Accent3 3 6 5 7" xfId="23638"/>
    <cellStyle name="20% - Accent3 3 6 6" xfId="23639"/>
    <cellStyle name="20% - Accent3 3 6 6 2" xfId="23640"/>
    <cellStyle name="20% - Accent3 3 6 6 2 2" xfId="23641"/>
    <cellStyle name="20% - Accent3 3 6 6 3" xfId="23642"/>
    <cellStyle name="20% - Accent3 3 6 6 3 2" xfId="23643"/>
    <cellStyle name="20% - Accent3 3 6 6 4" xfId="23644"/>
    <cellStyle name="20% - Accent3 3 6 6 5" xfId="23645"/>
    <cellStyle name="20% - Accent3 3 6 6 6" xfId="23646"/>
    <cellStyle name="20% - Accent3 3 6 6 7" xfId="23647"/>
    <cellStyle name="20% - Accent3 3 6 7" xfId="23648"/>
    <cellStyle name="20% - Accent3 3 6 7 2" xfId="23649"/>
    <cellStyle name="20% - Accent3 3 6 7 2 2" xfId="23650"/>
    <cellStyle name="20% - Accent3 3 6 7 3" xfId="23651"/>
    <cellStyle name="20% - Accent3 3 6 7 3 2" xfId="23652"/>
    <cellStyle name="20% - Accent3 3 6 7 4" xfId="23653"/>
    <cellStyle name="20% - Accent3 3 6 7 5" xfId="23654"/>
    <cellStyle name="20% - Accent3 3 6 7 6" xfId="23655"/>
    <cellStyle name="20% - Accent3 3 6 7 7" xfId="23656"/>
    <cellStyle name="20% - Accent3 3 6 8" xfId="23657"/>
    <cellStyle name="20% - Accent3 3 6 8 2" xfId="23658"/>
    <cellStyle name="20% - Accent3 3 6 9" xfId="23659"/>
    <cellStyle name="20% - Accent3 3 6 9 2" xfId="23660"/>
    <cellStyle name="20% - Accent3 3 7" xfId="23661"/>
    <cellStyle name="20% - Accent3 3 7 10" xfId="23662"/>
    <cellStyle name="20% - Accent3 3 7 11" xfId="23663"/>
    <cellStyle name="20% - Accent3 3 7 2" xfId="23664"/>
    <cellStyle name="20% - Accent3 3 7 2 10" xfId="23665"/>
    <cellStyle name="20% - Accent3 3 7 2 2" xfId="23666"/>
    <cellStyle name="20% - Accent3 3 7 2 2 2" xfId="23667"/>
    <cellStyle name="20% - Accent3 3 7 2 2 2 2" xfId="23668"/>
    <cellStyle name="20% - Accent3 3 7 2 2 3" xfId="23669"/>
    <cellStyle name="20% - Accent3 3 7 2 2 3 2" xfId="23670"/>
    <cellStyle name="20% - Accent3 3 7 2 2 4" xfId="23671"/>
    <cellStyle name="20% - Accent3 3 7 2 2 5" xfId="23672"/>
    <cellStyle name="20% - Accent3 3 7 2 2 6" xfId="23673"/>
    <cellStyle name="20% - Accent3 3 7 2 2 7" xfId="23674"/>
    <cellStyle name="20% - Accent3 3 7 2 3" xfId="23675"/>
    <cellStyle name="20% - Accent3 3 7 2 3 2" xfId="23676"/>
    <cellStyle name="20% - Accent3 3 7 2 3 2 2" xfId="23677"/>
    <cellStyle name="20% - Accent3 3 7 2 3 3" xfId="23678"/>
    <cellStyle name="20% - Accent3 3 7 2 3 3 2" xfId="23679"/>
    <cellStyle name="20% - Accent3 3 7 2 3 4" xfId="23680"/>
    <cellStyle name="20% - Accent3 3 7 2 3 5" xfId="23681"/>
    <cellStyle name="20% - Accent3 3 7 2 3 6" xfId="23682"/>
    <cellStyle name="20% - Accent3 3 7 2 3 7" xfId="23683"/>
    <cellStyle name="20% - Accent3 3 7 2 4" xfId="23684"/>
    <cellStyle name="20% - Accent3 3 7 2 4 2" xfId="23685"/>
    <cellStyle name="20% - Accent3 3 7 2 4 2 2" xfId="23686"/>
    <cellStyle name="20% - Accent3 3 7 2 4 3" xfId="23687"/>
    <cellStyle name="20% - Accent3 3 7 2 4 3 2" xfId="23688"/>
    <cellStyle name="20% - Accent3 3 7 2 4 4" xfId="23689"/>
    <cellStyle name="20% - Accent3 3 7 2 4 5" xfId="23690"/>
    <cellStyle name="20% - Accent3 3 7 2 4 6" xfId="23691"/>
    <cellStyle name="20% - Accent3 3 7 2 4 7" xfId="23692"/>
    <cellStyle name="20% - Accent3 3 7 2 5" xfId="23693"/>
    <cellStyle name="20% - Accent3 3 7 2 5 2" xfId="23694"/>
    <cellStyle name="20% - Accent3 3 7 2 6" xfId="23695"/>
    <cellStyle name="20% - Accent3 3 7 2 6 2" xfId="23696"/>
    <cellStyle name="20% - Accent3 3 7 2 7" xfId="23697"/>
    <cellStyle name="20% - Accent3 3 7 2 8" xfId="23698"/>
    <cellStyle name="20% - Accent3 3 7 2 9" xfId="23699"/>
    <cellStyle name="20% - Accent3 3 7 3" xfId="23700"/>
    <cellStyle name="20% - Accent3 3 7 3 2" xfId="23701"/>
    <cellStyle name="20% - Accent3 3 7 3 2 2" xfId="23702"/>
    <cellStyle name="20% - Accent3 3 7 3 3" xfId="23703"/>
    <cellStyle name="20% - Accent3 3 7 3 3 2" xfId="23704"/>
    <cellStyle name="20% - Accent3 3 7 3 4" xfId="23705"/>
    <cellStyle name="20% - Accent3 3 7 3 5" xfId="23706"/>
    <cellStyle name="20% - Accent3 3 7 3 6" xfId="23707"/>
    <cellStyle name="20% - Accent3 3 7 3 7" xfId="23708"/>
    <cellStyle name="20% - Accent3 3 7 4" xfId="23709"/>
    <cellStyle name="20% - Accent3 3 7 4 2" xfId="23710"/>
    <cellStyle name="20% - Accent3 3 7 4 2 2" xfId="23711"/>
    <cellStyle name="20% - Accent3 3 7 4 3" xfId="23712"/>
    <cellStyle name="20% - Accent3 3 7 4 3 2" xfId="23713"/>
    <cellStyle name="20% - Accent3 3 7 4 4" xfId="23714"/>
    <cellStyle name="20% - Accent3 3 7 4 5" xfId="23715"/>
    <cellStyle name="20% - Accent3 3 7 4 6" xfId="23716"/>
    <cellStyle name="20% - Accent3 3 7 4 7" xfId="23717"/>
    <cellStyle name="20% - Accent3 3 7 5" xfId="23718"/>
    <cellStyle name="20% - Accent3 3 7 5 2" xfId="23719"/>
    <cellStyle name="20% - Accent3 3 7 5 2 2" xfId="23720"/>
    <cellStyle name="20% - Accent3 3 7 5 3" xfId="23721"/>
    <cellStyle name="20% - Accent3 3 7 5 3 2" xfId="23722"/>
    <cellStyle name="20% - Accent3 3 7 5 4" xfId="23723"/>
    <cellStyle name="20% - Accent3 3 7 5 5" xfId="23724"/>
    <cellStyle name="20% - Accent3 3 7 5 6" xfId="23725"/>
    <cellStyle name="20% - Accent3 3 7 5 7" xfId="23726"/>
    <cellStyle name="20% - Accent3 3 7 6" xfId="23727"/>
    <cellStyle name="20% - Accent3 3 7 6 2" xfId="23728"/>
    <cellStyle name="20% - Accent3 3 7 7" xfId="23729"/>
    <cellStyle name="20% - Accent3 3 7 7 2" xfId="23730"/>
    <cellStyle name="20% - Accent3 3 7 8" xfId="23731"/>
    <cellStyle name="20% - Accent3 3 7 9" xfId="23732"/>
    <cellStyle name="20% - Accent3 3 8" xfId="23733"/>
    <cellStyle name="20% - Accent3 3 8 10" xfId="23734"/>
    <cellStyle name="20% - Accent3 3 8 11" xfId="23735"/>
    <cellStyle name="20% - Accent3 3 8 2" xfId="23736"/>
    <cellStyle name="20% - Accent3 3 8 2 10" xfId="23737"/>
    <cellStyle name="20% - Accent3 3 8 2 2" xfId="23738"/>
    <cellStyle name="20% - Accent3 3 8 2 2 2" xfId="23739"/>
    <cellStyle name="20% - Accent3 3 8 2 2 2 2" xfId="23740"/>
    <cellStyle name="20% - Accent3 3 8 2 2 3" xfId="23741"/>
    <cellStyle name="20% - Accent3 3 8 2 2 3 2" xfId="23742"/>
    <cellStyle name="20% - Accent3 3 8 2 2 4" xfId="23743"/>
    <cellStyle name="20% - Accent3 3 8 2 2 5" xfId="23744"/>
    <cellStyle name="20% - Accent3 3 8 2 2 6" xfId="23745"/>
    <cellStyle name="20% - Accent3 3 8 2 2 7" xfId="23746"/>
    <cellStyle name="20% - Accent3 3 8 2 3" xfId="23747"/>
    <cellStyle name="20% - Accent3 3 8 2 3 2" xfId="23748"/>
    <cellStyle name="20% - Accent3 3 8 2 3 2 2" xfId="23749"/>
    <cellStyle name="20% - Accent3 3 8 2 3 3" xfId="23750"/>
    <cellStyle name="20% - Accent3 3 8 2 3 3 2" xfId="23751"/>
    <cellStyle name="20% - Accent3 3 8 2 3 4" xfId="23752"/>
    <cellStyle name="20% - Accent3 3 8 2 3 5" xfId="23753"/>
    <cellStyle name="20% - Accent3 3 8 2 3 6" xfId="23754"/>
    <cellStyle name="20% - Accent3 3 8 2 3 7" xfId="23755"/>
    <cellStyle name="20% - Accent3 3 8 2 4" xfId="23756"/>
    <cellStyle name="20% - Accent3 3 8 2 4 2" xfId="23757"/>
    <cellStyle name="20% - Accent3 3 8 2 4 2 2" xfId="23758"/>
    <cellStyle name="20% - Accent3 3 8 2 4 3" xfId="23759"/>
    <cellStyle name="20% - Accent3 3 8 2 4 3 2" xfId="23760"/>
    <cellStyle name="20% - Accent3 3 8 2 4 4" xfId="23761"/>
    <cellStyle name="20% - Accent3 3 8 2 4 5" xfId="23762"/>
    <cellStyle name="20% - Accent3 3 8 2 4 6" xfId="23763"/>
    <cellStyle name="20% - Accent3 3 8 2 4 7" xfId="23764"/>
    <cellStyle name="20% - Accent3 3 8 2 5" xfId="23765"/>
    <cellStyle name="20% - Accent3 3 8 2 5 2" xfId="23766"/>
    <cellStyle name="20% - Accent3 3 8 2 6" xfId="23767"/>
    <cellStyle name="20% - Accent3 3 8 2 6 2" xfId="23768"/>
    <cellStyle name="20% - Accent3 3 8 2 7" xfId="23769"/>
    <cellStyle name="20% - Accent3 3 8 2 8" xfId="23770"/>
    <cellStyle name="20% - Accent3 3 8 2 9" xfId="23771"/>
    <cellStyle name="20% - Accent3 3 8 3" xfId="23772"/>
    <cellStyle name="20% - Accent3 3 8 3 2" xfId="23773"/>
    <cellStyle name="20% - Accent3 3 8 3 2 2" xfId="23774"/>
    <cellStyle name="20% - Accent3 3 8 3 3" xfId="23775"/>
    <cellStyle name="20% - Accent3 3 8 3 3 2" xfId="23776"/>
    <cellStyle name="20% - Accent3 3 8 3 4" xfId="23777"/>
    <cellStyle name="20% - Accent3 3 8 3 5" xfId="23778"/>
    <cellStyle name="20% - Accent3 3 8 3 6" xfId="23779"/>
    <cellStyle name="20% - Accent3 3 8 3 7" xfId="23780"/>
    <cellStyle name="20% - Accent3 3 8 4" xfId="23781"/>
    <cellStyle name="20% - Accent3 3 8 4 2" xfId="23782"/>
    <cellStyle name="20% - Accent3 3 8 4 2 2" xfId="23783"/>
    <cellStyle name="20% - Accent3 3 8 4 3" xfId="23784"/>
    <cellStyle name="20% - Accent3 3 8 4 3 2" xfId="23785"/>
    <cellStyle name="20% - Accent3 3 8 4 4" xfId="23786"/>
    <cellStyle name="20% - Accent3 3 8 4 5" xfId="23787"/>
    <cellStyle name="20% - Accent3 3 8 4 6" xfId="23788"/>
    <cellStyle name="20% - Accent3 3 8 4 7" xfId="23789"/>
    <cellStyle name="20% - Accent3 3 8 5" xfId="23790"/>
    <cellStyle name="20% - Accent3 3 8 5 2" xfId="23791"/>
    <cellStyle name="20% - Accent3 3 8 5 2 2" xfId="23792"/>
    <cellStyle name="20% - Accent3 3 8 5 3" xfId="23793"/>
    <cellStyle name="20% - Accent3 3 8 5 3 2" xfId="23794"/>
    <cellStyle name="20% - Accent3 3 8 5 4" xfId="23795"/>
    <cellStyle name="20% - Accent3 3 8 5 5" xfId="23796"/>
    <cellStyle name="20% - Accent3 3 8 5 6" xfId="23797"/>
    <cellStyle name="20% - Accent3 3 8 5 7" xfId="23798"/>
    <cellStyle name="20% - Accent3 3 8 6" xfId="23799"/>
    <cellStyle name="20% - Accent3 3 8 6 2" xfId="23800"/>
    <cellStyle name="20% - Accent3 3 8 7" xfId="23801"/>
    <cellStyle name="20% - Accent3 3 8 7 2" xfId="23802"/>
    <cellStyle name="20% - Accent3 3 8 8" xfId="23803"/>
    <cellStyle name="20% - Accent3 3 8 9" xfId="23804"/>
    <cellStyle name="20% - Accent3 3 9" xfId="23805"/>
    <cellStyle name="20% - Accent3 3 9 10" xfId="23806"/>
    <cellStyle name="20% - Accent3 3 9 2" xfId="23807"/>
    <cellStyle name="20% - Accent3 3 9 2 2" xfId="23808"/>
    <cellStyle name="20% - Accent3 3 9 2 2 2" xfId="23809"/>
    <cellStyle name="20% - Accent3 3 9 2 3" xfId="23810"/>
    <cellStyle name="20% - Accent3 3 9 2 3 2" xfId="23811"/>
    <cellStyle name="20% - Accent3 3 9 2 4" xfId="23812"/>
    <cellStyle name="20% - Accent3 3 9 2 5" xfId="23813"/>
    <cellStyle name="20% - Accent3 3 9 2 6" xfId="23814"/>
    <cellStyle name="20% - Accent3 3 9 2 7" xfId="23815"/>
    <cellStyle name="20% - Accent3 3 9 3" xfId="23816"/>
    <cellStyle name="20% - Accent3 3 9 3 2" xfId="23817"/>
    <cellStyle name="20% - Accent3 3 9 3 2 2" xfId="23818"/>
    <cellStyle name="20% - Accent3 3 9 3 3" xfId="23819"/>
    <cellStyle name="20% - Accent3 3 9 3 3 2" xfId="23820"/>
    <cellStyle name="20% - Accent3 3 9 3 4" xfId="23821"/>
    <cellStyle name="20% - Accent3 3 9 3 5" xfId="23822"/>
    <cellStyle name="20% - Accent3 3 9 3 6" xfId="23823"/>
    <cellStyle name="20% - Accent3 3 9 3 7" xfId="23824"/>
    <cellStyle name="20% - Accent3 3 9 4" xfId="23825"/>
    <cellStyle name="20% - Accent3 3 9 4 2" xfId="23826"/>
    <cellStyle name="20% - Accent3 3 9 4 2 2" xfId="23827"/>
    <cellStyle name="20% - Accent3 3 9 4 3" xfId="23828"/>
    <cellStyle name="20% - Accent3 3 9 4 3 2" xfId="23829"/>
    <cellStyle name="20% - Accent3 3 9 4 4" xfId="23830"/>
    <cellStyle name="20% - Accent3 3 9 4 5" xfId="23831"/>
    <cellStyle name="20% - Accent3 3 9 4 6" xfId="23832"/>
    <cellStyle name="20% - Accent3 3 9 4 7" xfId="23833"/>
    <cellStyle name="20% - Accent3 3 9 5" xfId="23834"/>
    <cellStyle name="20% - Accent3 3 9 5 2" xfId="23835"/>
    <cellStyle name="20% - Accent3 3 9 6" xfId="23836"/>
    <cellStyle name="20% - Accent3 3 9 6 2" xfId="23837"/>
    <cellStyle name="20% - Accent3 3 9 7" xfId="23838"/>
    <cellStyle name="20% - Accent3 3 9 8" xfId="23839"/>
    <cellStyle name="20% - Accent3 3 9 9" xfId="23840"/>
    <cellStyle name="20% - Accent3 3_10-15-10-Stmt AU - Period I - Working 1 0" xfId="133"/>
    <cellStyle name="20% - Accent3 4" xfId="134"/>
    <cellStyle name="20% - Accent3 4 2" xfId="135"/>
    <cellStyle name="20% - Accent3 4 3" xfId="136"/>
    <cellStyle name="20% - Accent3 4_10-15-10-Stmt AU - Period I - Working 1 0" xfId="137"/>
    <cellStyle name="20% - Accent3 5" xfId="138"/>
    <cellStyle name="20% - Accent3 5 2" xfId="139"/>
    <cellStyle name="20% - Accent3 5 3" xfId="140"/>
    <cellStyle name="20% - Accent3 5_10-15-10-Stmt AU - Period I - Working 1 0" xfId="141"/>
    <cellStyle name="20% - Accent3 6" xfId="142"/>
    <cellStyle name="20% - Accent3 6 2" xfId="143"/>
    <cellStyle name="20% - Accent3 6 3" xfId="144"/>
    <cellStyle name="20% - Accent3 6_10-15-10-Stmt AU - Period I - Working 1 0" xfId="145"/>
    <cellStyle name="20% - Accent3 7" xfId="146"/>
    <cellStyle name="20% - Accent3 7 2" xfId="147"/>
    <cellStyle name="20% - Accent3 7 3" xfId="148"/>
    <cellStyle name="20% - Accent3 7_10-15-10-Stmt AU - Period I - Working 1 0" xfId="149"/>
    <cellStyle name="20% - Accent3 8" xfId="150"/>
    <cellStyle name="20% - Accent3 9" xfId="151"/>
    <cellStyle name="20% - Accent4 10" xfId="152"/>
    <cellStyle name="20% - Accent4 11" xfId="153"/>
    <cellStyle name="20% - Accent4 12" xfId="154"/>
    <cellStyle name="20% - Accent4 13" xfId="155"/>
    <cellStyle name="20% - Accent4 2" xfId="156"/>
    <cellStyle name="20% - Accent4 2 10" xfId="23841"/>
    <cellStyle name="20% - Accent4 2 10 2" xfId="23842"/>
    <cellStyle name="20% - Accent4 2 10 2 2" xfId="23843"/>
    <cellStyle name="20% - Accent4 2 10 3" xfId="23844"/>
    <cellStyle name="20% - Accent4 2 10 3 2" xfId="23845"/>
    <cellStyle name="20% - Accent4 2 10 4" xfId="23846"/>
    <cellStyle name="20% - Accent4 2 10 5" xfId="23847"/>
    <cellStyle name="20% - Accent4 2 10 6" xfId="23848"/>
    <cellStyle name="20% - Accent4 2 10 7" xfId="23849"/>
    <cellStyle name="20% - Accent4 2 11" xfId="23850"/>
    <cellStyle name="20% - Accent4 2 11 2" xfId="23851"/>
    <cellStyle name="20% - Accent4 2 11 2 2" xfId="23852"/>
    <cellStyle name="20% - Accent4 2 11 3" xfId="23853"/>
    <cellStyle name="20% - Accent4 2 11 3 2" xfId="23854"/>
    <cellStyle name="20% - Accent4 2 11 4" xfId="23855"/>
    <cellStyle name="20% - Accent4 2 11 5" xfId="23856"/>
    <cellStyle name="20% - Accent4 2 11 6" xfId="23857"/>
    <cellStyle name="20% - Accent4 2 11 7" xfId="23858"/>
    <cellStyle name="20% - Accent4 2 12" xfId="23859"/>
    <cellStyle name="20% - Accent4 2 12 2" xfId="23860"/>
    <cellStyle name="20% - Accent4 2 12 2 2" xfId="23861"/>
    <cellStyle name="20% - Accent4 2 12 3" xfId="23862"/>
    <cellStyle name="20% - Accent4 2 12 3 2" xfId="23863"/>
    <cellStyle name="20% - Accent4 2 12 4" xfId="23864"/>
    <cellStyle name="20% - Accent4 2 12 5" xfId="23865"/>
    <cellStyle name="20% - Accent4 2 12 6" xfId="23866"/>
    <cellStyle name="20% - Accent4 2 12 7" xfId="23867"/>
    <cellStyle name="20% - Accent4 2 13" xfId="23868"/>
    <cellStyle name="20% - Accent4 2 13 2" xfId="23869"/>
    <cellStyle name="20% - Accent4 2 14" xfId="23870"/>
    <cellStyle name="20% - Accent4 2 15" xfId="23871"/>
    <cellStyle name="20% - Accent4 2 16" xfId="23872"/>
    <cellStyle name="20% - Accent4 2 17" xfId="23873"/>
    <cellStyle name="20% - Accent4 2 18" xfId="23874"/>
    <cellStyle name="20% - Accent4 2 2" xfId="157"/>
    <cellStyle name="20% - Accent4 2 2 10" xfId="23875"/>
    <cellStyle name="20% - Accent4 2 2 11" xfId="23876"/>
    <cellStyle name="20% - Accent4 2 2 12" xfId="23877"/>
    <cellStyle name="20% - Accent4 2 2 13" xfId="23878"/>
    <cellStyle name="20% - Accent4 2 2 2" xfId="23879"/>
    <cellStyle name="20% - Accent4 2 2 2 10" xfId="23880"/>
    <cellStyle name="20% - Accent4 2 2 2 11" xfId="23881"/>
    <cellStyle name="20% - Accent4 2 2 2 2" xfId="23882"/>
    <cellStyle name="20% - Accent4 2 2 2 2 10" xfId="23883"/>
    <cellStyle name="20% - Accent4 2 2 2 2 2" xfId="23884"/>
    <cellStyle name="20% - Accent4 2 2 2 2 2 2" xfId="23885"/>
    <cellStyle name="20% - Accent4 2 2 2 2 2 2 2" xfId="23886"/>
    <cellStyle name="20% - Accent4 2 2 2 2 2 3" xfId="23887"/>
    <cellStyle name="20% - Accent4 2 2 2 2 2 3 2" xfId="23888"/>
    <cellStyle name="20% - Accent4 2 2 2 2 2 4" xfId="23889"/>
    <cellStyle name="20% - Accent4 2 2 2 2 2 5" xfId="23890"/>
    <cellStyle name="20% - Accent4 2 2 2 2 2 6" xfId="23891"/>
    <cellStyle name="20% - Accent4 2 2 2 2 2 7" xfId="23892"/>
    <cellStyle name="20% - Accent4 2 2 2 2 3" xfId="23893"/>
    <cellStyle name="20% - Accent4 2 2 2 2 3 2" xfId="23894"/>
    <cellStyle name="20% - Accent4 2 2 2 2 3 2 2" xfId="23895"/>
    <cellStyle name="20% - Accent4 2 2 2 2 3 3" xfId="23896"/>
    <cellStyle name="20% - Accent4 2 2 2 2 3 3 2" xfId="23897"/>
    <cellStyle name="20% - Accent4 2 2 2 2 3 4" xfId="23898"/>
    <cellStyle name="20% - Accent4 2 2 2 2 3 5" xfId="23899"/>
    <cellStyle name="20% - Accent4 2 2 2 2 3 6" xfId="23900"/>
    <cellStyle name="20% - Accent4 2 2 2 2 3 7" xfId="23901"/>
    <cellStyle name="20% - Accent4 2 2 2 2 4" xfId="23902"/>
    <cellStyle name="20% - Accent4 2 2 2 2 4 2" xfId="23903"/>
    <cellStyle name="20% - Accent4 2 2 2 2 4 2 2" xfId="23904"/>
    <cellStyle name="20% - Accent4 2 2 2 2 4 3" xfId="23905"/>
    <cellStyle name="20% - Accent4 2 2 2 2 4 3 2" xfId="23906"/>
    <cellStyle name="20% - Accent4 2 2 2 2 4 4" xfId="23907"/>
    <cellStyle name="20% - Accent4 2 2 2 2 4 5" xfId="23908"/>
    <cellStyle name="20% - Accent4 2 2 2 2 4 6" xfId="23909"/>
    <cellStyle name="20% - Accent4 2 2 2 2 4 7" xfId="23910"/>
    <cellStyle name="20% - Accent4 2 2 2 2 5" xfId="23911"/>
    <cellStyle name="20% - Accent4 2 2 2 2 5 2" xfId="23912"/>
    <cellStyle name="20% - Accent4 2 2 2 2 6" xfId="23913"/>
    <cellStyle name="20% - Accent4 2 2 2 2 6 2" xfId="23914"/>
    <cellStyle name="20% - Accent4 2 2 2 2 7" xfId="23915"/>
    <cellStyle name="20% - Accent4 2 2 2 2 8" xfId="23916"/>
    <cellStyle name="20% - Accent4 2 2 2 2 9" xfId="23917"/>
    <cellStyle name="20% - Accent4 2 2 2 3" xfId="23918"/>
    <cellStyle name="20% - Accent4 2 2 2 3 2" xfId="23919"/>
    <cellStyle name="20% - Accent4 2 2 2 3 2 2" xfId="23920"/>
    <cellStyle name="20% - Accent4 2 2 2 3 3" xfId="23921"/>
    <cellStyle name="20% - Accent4 2 2 2 3 3 2" xfId="23922"/>
    <cellStyle name="20% - Accent4 2 2 2 3 4" xfId="23923"/>
    <cellStyle name="20% - Accent4 2 2 2 3 5" xfId="23924"/>
    <cellStyle name="20% - Accent4 2 2 2 3 6" xfId="23925"/>
    <cellStyle name="20% - Accent4 2 2 2 3 7" xfId="23926"/>
    <cellStyle name="20% - Accent4 2 2 2 4" xfId="23927"/>
    <cellStyle name="20% - Accent4 2 2 2 4 2" xfId="23928"/>
    <cellStyle name="20% - Accent4 2 2 2 4 2 2" xfId="23929"/>
    <cellStyle name="20% - Accent4 2 2 2 4 3" xfId="23930"/>
    <cellStyle name="20% - Accent4 2 2 2 4 3 2" xfId="23931"/>
    <cellStyle name="20% - Accent4 2 2 2 4 4" xfId="23932"/>
    <cellStyle name="20% - Accent4 2 2 2 4 5" xfId="23933"/>
    <cellStyle name="20% - Accent4 2 2 2 4 6" xfId="23934"/>
    <cellStyle name="20% - Accent4 2 2 2 4 7" xfId="23935"/>
    <cellStyle name="20% - Accent4 2 2 2 5" xfId="23936"/>
    <cellStyle name="20% - Accent4 2 2 2 5 2" xfId="23937"/>
    <cellStyle name="20% - Accent4 2 2 2 5 2 2" xfId="23938"/>
    <cellStyle name="20% - Accent4 2 2 2 5 3" xfId="23939"/>
    <cellStyle name="20% - Accent4 2 2 2 5 3 2" xfId="23940"/>
    <cellStyle name="20% - Accent4 2 2 2 5 4" xfId="23941"/>
    <cellStyle name="20% - Accent4 2 2 2 5 5" xfId="23942"/>
    <cellStyle name="20% - Accent4 2 2 2 5 6" xfId="23943"/>
    <cellStyle name="20% - Accent4 2 2 2 5 7" xfId="23944"/>
    <cellStyle name="20% - Accent4 2 2 2 6" xfId="23945"/>
    <cellStyle name="20% - Accent4 2 2 2 6 2" xfId="23946"/>
    <cellStyle name="20% - Accent4 2 2 2 7" xfId="23947"/>
    <cellStyle name="20% - Accent4 2 2 2 7 2" xfId="23948"/>
    <cellStyle name="20% - Accent4 2 2 2 8" xfId="23949"/>
    <cellStyle name="20% - Accent4 2 2 2 9" xfId="23950"/>
    <cellStyle name="20% - Accent4 2 2 3" xfId="23951"/>
    <cellStyle name="20% - Accent4 2 2 3 10" xfId="23952"/>
    <cellStyle name="20% - Accent4 2 2 3 11" xfId="23953"/>
    <cellStyle name="20% - Accent4 2 2 3 2" xfId="23954"/>
    <cellStyle name="20% - Accent4 2 2 3 2 10" xfId="23955"/>
    <cellStyle name="20% - Accent4 2 2 3 2 2" xfId="23956"/>
    <cellStyle name="20% - Accent4 2 2 3 2 2 2" xfId="23957"/>
    <cellStyle name="20% - Accent4 2 2 3 2 2 2 2" xfId="23958"/>
    <cellStyle name="20% - Accent4 2 2 3 2 2 3" xfId="23959"/>
    <cellStyle name="20% - Accent4 2 2 3 2 2 3 2" xfId="23960"/>
    <cellStyle name="20% - Accent4 2 2 3 2 2 4" xfId="23961"/>
    <cellStyle name="20% - Accent4 2 2 3 2 2 5" xfId="23962"/>
    <cellStyle name="20% - Accent4 2 2 3 2 2 6" xfId="23963"/>
    <cellStyle name="20% - Accent4 2 2 3 2 2 7" xfId="23964"/>
    <cellStyle name="20% - Accent4 2 2 3 2 3" xfId="23965"/>
    <cellStyle name="20% - Accent4 2 2 3 2 3 2" xfId="23966"/>
    <cellStyle name="20% - Accent4 2 2 3 2 3 2 2" xfId="23967"/>
    <cellStyle name="20% - Accent4 2 2 3 2 3 3" xfId="23968"/>
    <cellStyle name="20% - Accent4 2 2 3 2 3 3 2" xfId="23969"/>
    <cellStyle name="20% - Accent4 2 2 3 2 3 4" xfId="23970"/>
    <cellStyle name="20% - Accent4 2 2 3 2 3 5" xfId="23971"/>
    <cellStyle name="20% - Accent4 2 2 3 2 3 6" xfId="23972"/>
    <cellStyle name="20% - Accent4 2 2 3 2 3 7" xfId="23973"/>
    <cellStyle name="20% - Accent4 2 2 3 2 4" xfId="23974"/>
    <cellStyle name="20% - Accent4 2 2 3 2 4 2" xfId="23975"/>
    <cellStyle name="20% - Accent4 2 2 3 2 4 2 2" xfId="23976"/>
    <cellStyle name="20% - Accent4 2 2 3 2 4 3" xfId="23977"/>
    <cellStyle name="20% - Accent4 2 2 3 2 4 3 2" xfId="23978"/>
    <cellStyle name="20% - Accent4 2 2 3 2 4 4" xfId="23979"/>
    <cellStyle name="20% - Accent4 2 2 3 2 4 5" xfId="23980"/>
    <cellStyle name="20% - Accent4 2 2 3 2 4 6" xfId="23981"/>
    <cellStyle name="20% - Accent4 2 2 3 2 4 7" xfId="23982"/>
    <cellStyle name="20% - Accent4 2 2 3 2 5" xfId="23983"/>
    <cellStyle name="20% - Accent4 2 2 3 2 5 2" xfId="23984"/>
    <cellStyle name="20% - Accent4 2 2 3 2 6" xfId="23985"/>
    <cellStyle name="20% - Accent4 2 2 3 2 6 2" xfId="23986"/>
    <cellStyle name="20% - Accent4 2 2 3 2 7" xfId="23987"/>
    <cellStyle name="20% - Accent4 2 2 3 2 8" xfId="23988"/>
    <cellStyle name="20% - Accent4 2 2 3 2 9" xfId="23989"/>
    <cellStyle name="20% - Accent4 2 2 3 3" xfId="23990"/>
    <cellStyle name="20% - Accent4 2 2 3 3 2" xfId="23991"/>
    <cellStyle name="20% - Accent4 2 2 3 3 2 2" xfId="23992"/>
    <cellStyle name="20% - Accent4 2 2 3 3 3" xfId="23993"/>
    <cellStyle name="20% - Accent4 2 2 3 3 3 2" xfId="23994"/>
    <cellStyle name="20% - Accent4 2 2 3 3 4" xfId="23995"/>
    <cellStyle name="20% - Accent4 2 2 3 3 5" xfId="23996"/>
    <cellStyle name="20% - Accent4 2 2 3 3 6" xfId="23997"/>
    <cellStyle name="20% - Accent4 2 2 3 3 7" xfId="23998"/>
    <cellStyle name="20% - Accent4 2 2 3 4" xfId="23999"/>
    <cellStyle name="20% - Accent4 2 2 3 4 2" xfId="24000"/>
    <cellStyle name="20% - Accent4 2 2 3 4 2 2" xfId="24001"/>
    <cellStyle name="20% - Accent4 2 2 3 4 3" xfId="24002"/>
    <cellStyle name="20% - Accent4 2 2 3 4 3 2" xfId="24003"/>
    <cellStyle name="20% - Accent4 2 2 3 4 4" xfId="24004"/>
    <cellStyle name="20% - Accent4 2 2 3 4 5" xfId="24005"/>
    <cellStyle name="20% - Accent4 2 2 3 4 6" xfId="24006"/>
    <cellStyle name="20% - Accent4 2 2 3 4 7" xfId="24007"/>
    <cellStyle name="20% - Accent4 2 2 3 5" xfId="24008"/>
    <cellStyle name="20% - Accent4 2 2 3 5 2" xfId="24009"/>
    <cellStyle name="20% - Accent4 2 2 3 5 2 2" xfId="24010"/>
    <cellStyle name="20% - Accent4 2 2 3 5 3" xfId="24011"/>
    <cellStyle name="20% - Accent4 2 2 3 5 3 2" xfId="24012"/>
    <cellStyle name="20% - Accent4 2 2 3 5 4" xfId="24013"/>
    <cellStyle name="20% - Accent4 2 2 3 5 5" xfId="24014"/>
    <cellStyle name="20% - Accent4 2 2 3 5 6" xfId="24015"/>
    <cellStyle name="20% - Accent4 2 2 3 5 7" xfId="24016"/>
    <cellStyle name="20% - Accent4 2 2 3 6" xfId="24017"/>
    <cellStyle name="20% - Accent4 2 2 3 6 2" xfId="24018"/>
    <cellStyle name="20% - Accent4 2 2 3 7" xfId="24019"/>
    <cellStyle name="20% - Accent4 2 2 3 7 2" xfId="24020"/>
    <cellStyle name="20% - Accent4 2 2 3 8" xfId="24021"/>
    <cellStyle name="20% - Accent4 2 2 3 9" xfId="24022"/>
    <cellStyle name="20% - Accent4 2 2 4" xfId="24023"/>
    <cellStyle name="20% - Accent4 2 2 4 10" xfId="24024"/>
    <cellStyle name="20% - Accent4 2 2 4 2" xfId="24025"/>
    <cellStyle name="20% - Accent4 2 2 4 2 2" xfId="24026"/>
    <cellStyle name="20% - Accent4 2 2 4 2 2 2" xfId="24027"/>
    <cellStyle name="20% - Accent4 2 2 4 2 3" xfId="24028"/>
    <cellStyle name="20% - Accent4 2 2 4 2 3 2" xfId="24029"/>
    <cellStyle name="20% - Accent4 2 2 4 2 4" xfId="24030"/>
    <cellStyle name="20% - Accent4 2 2 4 2 5" xfId="24031"/>
    <cellStyle name="20% - Accent4 2 2 4 2 6" xfId="24032"/>
    <cellStyle name="20% - Accent4 2 2 4 2 7" xfId="24033"/>
    <cellStyle name="20% - Accent4 2 2 4 3" xfId="24034"/>
    <cellStyle name="20% - Accent4 2 2 4 3 2" xfId="24035"/>
    <cellStyle name="20% - Accent4 2 2 4 3 2 2" xfId="24036"/>
    <cellStyle name="20% - Accent4 2 2 4 3 3" xfId="24037"/>
    <cellStyle name="20% - Accent4 2 2 4 3 3 2" xfId="24038"/>
    <cellStyle name="20% - Accent4 2 2 4 3 4" xfId="24039"/>
    <cellStyle name="20% - Accent4 2 2 4 3 5" xfId="24040"/>
    <cellStyle name="20% - Accent4 2 2 4 3 6" xfId="24041"/>
    <cellStyle name="20% - Accent4 2 2 4 3 7" xfId="24042"/>
    <cellStyle name="20% - Accent4 2 2 4 4" xfId="24043"/>
    <cellStyle name="20% - Accent4 2 2 4 4 2" xfId="24044"/>
    <cellStyle name="20% - Accent4 2 2 4 4 2 2" xfId="24045"/>
    <cellStyle name="20% - Accent4 2 2 4 4 3" xfId="24046"/>
    <cellStyle name="20% - Accent4 2 2 4 4 3 2" xfId="24047"/>
    <cellStyle name="20% - Accent4 2 2 4 4 4" xfId="24048"/>
    <cellStyle name="20% - Accent4 2 2 4 4 5" xfId="24049"/>
    <cellStyle name="20% - Accent4 2 2 4 4 6" xfId="24050"/>
    <cellStyle name="20% - Accent4 2 2 4 4 7" xfId="24051"/>
    <cellStyle name="20% - Accent4 2 2 4 5" xfId="24052"/>
    <cellStyle name="20% - Accent4 2 2 4 5 2" xfId="24053"/>
    <cellStyle name="20% - Accent4 2 2 4 6" xfId="24054"/>
    <cellStyle name="20% - Accent4 2 2 4 6 2" xfId="24055"/>
    <cellStyle name="20% - Accent4 2 2 4 7" xfId="24056"/>
    <cellStyle name="20% - Accent4 2 2 4 8" xfId="24057"/>
    <cellStyle name="20% - Accent4 2 2 4 9" xfId="24058"/>
    <cellStyle name="20% - Accent4 2 2 5" xfId="24059"/>
    <cellStyle name="20% - Accent4 2 2 5 2" xfId="24060"/>
    <cellStyle name="20% - Accent4 2 2 5 2 2" xfId="24061"/>
    <cellStyle name="20% - Accent4 2 2 5 3" xfId="24062"/>
    <cellStyle name="20% - Accent4 2 2 5 3 2" xfId="24063"/>
    <cellStyle name="20% - Accent4 2 2 5 4" xfId="24064"/>
    <cellStyle name="20% - Accent4 2 2 5 5" xfId="24065"/>
    <cellStyle name="20% - Accent4 2 2 5 6" xfId="24066"/>
    <cellStyle name="20% - Accent4 2 2 5 7" xfId="24067"/>
    <cellStyle name="20% - Accent4 2 2 6" xfId="24068"/>
    <cellStyle name="20% - Accent4 2 2 6 2" xfId="24069"/>
    <cellStyle name="20% - Accent4 2 2 6 2 2" xfId="24070"/>
    <cellStyle name="20% - Accent4 2 2 6 3" xfId="24071"/>
    <cellStyle name="20% - Accent4 2 2 6 3 2" xfId="24072"/>
    <cellStyle name="20% - Accent4 2 2 6 4" xfId="24073"/>
    <cellStyle name="20% - Accent4 2 2 6 5" xfId="24074"/>
    <cellStyle name="20% - Accent4 2 2 6 6" xfId="24075"/>
    <cellStyle name="20% - Accent4 2 2 6 7" xfId="24076"/>
    <cellStyle name="20% - Accent4 2 2 7" xfId="24077"/>
    <cellStyle name="20% - Accent4 2 2 7 2" xfId="24078"/>
    <cellStyle name="20% - Accent4 2 2 7 2 2" xfId="24079"/>
    <cellStyle name="20% - Accent4 2 2 7 3" xfId="24080"/>
    <cellStyle name="20% - Accent4 2 2 7 3 2" xfId="24081"/>
    <cellStyle name="20% - Accent4 2 2 7 4" xfId="24082"/>
    <cellStyle name="20% - Accent4 2 2 7 5" xfId="24083"/>
    <cellStyle name="20% - Accent4 2 2 7 6" xfId="24084"/>
    <cellStyle name="20% - Accent4 2 2 7 7" xfId="24085"/>
    <cellStyle name="20% - Accent4 2 2 8" xfId="24086"/>
    <cellStyle name="20% - Accent4 2 2 8 2" xfId="24087"/>
    <cellStyle name="20% - Accent4 2 2 9" xfId="24088"/>
    <cellStyle name="20% - Accent4 2 2 9 2" xfId="24089"/>
    <cellStyle name="20% - Accent4 2 3" xfId="158"/>
    <cellStyle name="20% - Accent4 2 3 10" xfId="24090"/>
    <cellStyle name="20% - Accent4 2 3 11" xfId="24091"/>
    <cellStyle name="20% - Accent4 2 3 12" xfId="24092"/>
    <cellStyle name="20% - Accent4 2 3 13" xfId="24093"/>
    <cellStyle name="20% - Accent4 2 3 2" xfId="24094"/>
    <cellStyle name="20% - Accent4 2 3 2 10" xfId="24095"/>
    <cellStyle name="20% - Accent4 2 3 2 11" xfId="24096"/>
    <cellStyle name="20% - Accent4 2 3 2 2" xfId="24097"/>
    <cellStyle name="20% - Accent4 2 3 2 2 10" xfId="24098"/>
    <cellStyle name="20% - Accent4 2 3 2 2 2" xfId="24099"/>
    <cellStyle name="20% - Accent4 2 3 2 2 2 2" xfId="24100"/>
    <cellStyle name="20% - Accent4 2 3 2 2 2 2 2" xfId="24101"/>
    <cellStyle name="20% - Accent4 2 3 2 2 2 3" xfId="24102"/>
    <cellStyle name="20% - Accent4 2 3 2 2 2 3 2" xfId="24103"/>
    <cellStyle name="20% - Accent4 2 3 2 2 2 4" xfId="24104"/>
    <cellStyle name="20% - Accent4 2 3 2 2 2 5" xfId="24105"/>
    <cellStyle name="20% - Accent4 2 3 2 2 2 6" xfId="24106"/>
    <cellStyle name="20% - Accent4 2 3 2 2 2 7" xfId="24107"/>
    <cellStyle name="20% - Accent4 2 3 2 2 3" xfId="24108"/>
    <cellStyle name="20% - Accent4 2 3 2 2 3 2" xfId="24109"/>
    <cellStyle name="20% - Accent4 2 3 2 2 3 2 2" xfId="24110"/>
    <cellStyle name="20% - Accent4 2 3 2 2 3 3" xfId="24111"/>
    <cellStyle name="20% - Accent4 2 3 2 2 3 3 2" xfId="24112"/>
    <cellStyle name="20% - Accent4 2 3 2 2 3 4" xfId="24113"/>
    <cellStyle name="20% - Accent4 2 3 2 2 3 5" xfId="24114"/>
    <cellStyle name="20% - Accent4 2 3 2 2 3 6" xfId="24115"/>
    <cellStyle name="20% - Accent4 2 3 2 2 3 7" xfId="24116"/>
    <cellStyle name="20% - Accent4 2 3 2 2 4" xfId="24117"/>
    <cellStyle name="20% - Accent4 2 3 2 2 4 2" xfId="24118"/>
    <cellStyle name="20% - Accent4 2 3 2 2 4 2 2" xfId="24119"/>
    <cellStyle name="20% - Accent4 2 3 2 2 4 3" xfId="24120"/>
    <cellStyle name="20% - Accent4 2 3 2 2 4 3 2" xfId="24121"/>
    <cellStyle name="20% - Accent4 2 3 2 2 4 4" xfId="24122"/>
    <cellStyle name="20% - Accent4 2 3 2 2 4 5" xfId="24123"/>
    <cellStyle name="20% - Accent4 2 3 2 2 4 6" xfId="24124"/>
    <cellStyle name="20% - Accent4 2 3 2 2 4 7" xfId="24125"/>
    <cellStyle name="20% - Accent4 2 3 2 2 5" xfId="24126"/>
    <cellStyle name="20% - Accent4 2 3 2 2 5 2" xfId="24127"/>
    <cellStyle name="20% - Accent4 2 3 2 2 6" xfId="24128"/>
    <cellStyle name="20% - Accent4 2 3 2 2 6 2" xfId="24129"/>
    <cellStyle name="20% - Accent4 2 3 2 2 7" xfId="24130"/>
    <cellStyle name="20% - Accent4 2 3 2 2 8" xfId="24131"/>
    <cellStyle name="20% - Accent4 2 3 2 2 9" xfId="24132"/>
    <cellStyle name="20% - Accent4 2 3 2 3" xfId="24133"/>
    <cellStyle name="20% - Accent4 2 3 2 3 2" xfId="24134"/>
    <cellStyle name="20% - Accent4 2 3 2 3 2 2" xfId="24135"/>
    <cellStyle name="20% - Accent4 2 3 2 3 3" xfId="24136"/>
    <cellStyle name="20% - Accent4 2 3 2 3 3 2" xfId="24137"/>
    <cellStyle name="20% - Accent4 2 3 2 3 4" xfId="24138"/>
    <cellStyle name="20% - Accent4 2 3 2 3 5" xfId="24139"/>
    <cellStyle name="20% - Accent4 2 3 2 3 6" xfId="24140"/>
    <cellStyle name="20% - Accent4 2 3 2 3 7" xfId="24141"/>
    <cellStyle name="20% - Accent4 2 3 2 4" xfId="24142"/>
    <cellStyle name="20% - Accent4 2 3 2 4 2" xfId="24143"/>
    <cellStyle name="20% - Accent4 2 3 2 4 2 2" xfId="24144"/>
    <cellStyle name="20% - Accent4 2 3 2 4 3" xfId="24145"/>
    <cellStyle name="20% - Accent4 2 3 2 4 3 2" xfId="24146"/>
    <cellStyle name="20% - Accent4 2 3 2 4 4" xfId="24147"/>
    <cellStyle name="20% - Accent4 2 3 2 4 5" xfId="24148"/>
    <cellStyle name="20% - Accent4 2 3 2 4 6" xfId="24149"/>
    <cellStyle name="20% - Accent4 2 3 2 4 7" xfId="24150"/>
    <cellStyle name="20% - Accent4 2 3 2 5" xfId="24151"/>
    <cellStyle name="20% - Accent4 2 3 2 5 2" xfId="24152"/>
    <cellStyle name="20% - Accent4 2 3 2 5 2 2" xfId="24153"/>
    <cellStyle name="20% - Accent4 2 3 2 5 3" xfId="24154"/>
    <cellStyle name="20% - Accent4 2 3 2 5 3 2" xfId="24155"/>
    <cellStyle name="20% - Accent4 2 3 2 5 4" xfId="24156"/>
    <cellStyle name="20% - Accent4 2 3 2 5 5" xfId="24157"/>
    <cellStyle name="20% - Accent4 2 3 2 5 6" xfId="24158"/>
    <cellStyle name="20% - Accent4 2 3 2 5 7" xfId="24159"/>
    <cellStyle name="20% - Accent4 2 3 2 6" xfId="24160"/>
    <cellStyle name="20% - Accent4 2 3 2 6 2" xfId="24161"/>
    <cellStyle name="20% - Accent4 2 3 2 7" xfId="24162"/>
    <cellStyle name="20% - Accent4 2 3 2 7 2" xfId="24163"/>
    <cellStyle name="20% - Accent4 2 3 2 8" xfId="24164"/>
    <cellStyle name="20% - Accent4 2 3 2 9" xfId="24165"/>
    <cellStyle name="20% - Accent4 2 3 3" xfId="24166"/>
    <cellStyle name="20% - Accent4 2 3 3 10" xfId="24167"/>
    <cellStyle name="20% - Accent4 2 3 3 11" xfId="24168"/>
    <cellStyle name="20% - Accent4 2 3 3 2" xfId="24169"/>
    <cellStyle name="20% - Accent4 2 3 3 2 10" xfId="24170"/>
    <cellStyle name="20% - Accent4 2 3 3 2 2" xfId="24171"/>
    <cellStyle name="20% - Accent4 2 3 3 2 2 2" xfId="24172"/>
    <cellStyle name="20% - Accent4 2 3 3 2 2 2 2" xfId="24173"/>
    <cellStyle name="20% - Accent4 2 3 3 2 2 3" xfId="24174"/>
    <cellStyle name="20% - Accent4 2 3 3 2 2 3 2" xfId="24175"/>
    <cellStyle name="20% - Accent4 2 3 3 2 2 4" xfId="24176"/>
    <cellStyle name="20% - Accent4 2 3 3 2 2 5" xfId="24177"/>
    <cellStyle name="20% - Accent4 2 3 3 2 2 6" xfId="24178"/>
    <cellStyle name="20% - Accent4 2 3 3 2 2 7" xfId="24179"/>
    <cellStyle name="20% - Accent4 2 3 3 2 3" xfId="24180"/>
    <cellStyle name="20% - Accent4 2 3 3 2 3 2" xfId="24181"/>
    <cellStyle name="20% - Accent4 2 3 3 2 3 2 2" xfId="24182"/>
    <cellStyle name="20% - Accent4 2 3 3 2 3 3" xfId="24183"/>
    <cellStyle name="20% - Accent4 2 3 3 2 3 3 2" xfId="24184"/>
    <cellStyle name="20% - Accent4 2 3 3 2 3 4" xfId="24185"/>
    <cellStyle name="20% - Accent4 2 3 3 2 3 5" xfId="24186"/>
    <cellStyle name="20% - Accent4 2 3 3 2 3 6" xfId="24187"/>
    <cellStyle name="20% - Accent4 2 3 3 2 3 7" xfId="24188"/>
    <cellStyle name="20% - Accent4 2 3 3 2 4" xfId="24189"/>
    <cellStyle name="20% - Accent4 2 3 3 2 4 2" xfId="24190"/>
    <cellStyle name="20% - Accent4 2 3 3 2 4 2 2" xfId="24191"/>
    <cellStyle name="20% - Accent4 2 3 3 2 4 3" xfId="24192"/>
    <cellStyle name="20% - Accent4 2 3 3 2 4 3 2" xfId="24193"/>
    <cellStyle name="20% - Accent4 2 3 3 2 4 4" xfId="24194"/>
    <cellStyle name="20% - Accent4 2 3 3 2 4 5" xfId="24195"/>
    <cellStyle name="20% - Accent4 2 3 3 2 4 6" xfId="24196"/>
    <cellStyle name="20% - Accent4 2 3 3 2 4 7" xfId="24197"/>
    <cellStyle name="20% - Accent4 2 3 3 2 5" xfId="24198"/>
    <cellStyle name="20% - Accent4 2 3 3 2 5 2" xfId="24199"/>
    <cellStyle name="20% - Accent4 2 3 3 2 6" xfId="24200"/>
    <cellStyle name="20% - Accent4 2 3 3 2 6 2" xfId="24201"/>
    <cellStyle name="20% - Accent4 2 3 3 2 7" xfId="24202"/>
    <cellStyle name="20% - Accent4 2 3 3 2 8" xfId="24203"/>
    <cellStyle name="20% - Accent4 2 3 3 2 9" xfId="24204"/>
    <cellStyle name="20% - Accent4 2 3 3 3" xfId="24205"/>
    <cellStyle name="20% - Accent4 2 3 3 3 2" xfId="24206"/>
    <cellStyle name="20% - Accent4 2 3 3 3 2 2" xfId="24207"/>
    <cellStyle name="20% - Accent4 2 3 3 3 3" xfId="24208"/>
    <cellStyle name="20% - Accent4 2 3 3 3 3 2" xfId="24209"/>
    <cellStyle name="20% - Accent4 2 3 3 3 4" xfId="24210"/>
    <cellStyle name="20% - Accent4 2 3 3 3 5" xfId="24211"/>
    <cellStyle name="20% - Accent4 2 3 3 3 6" xfId="24212"/>
    <cellStyle name="20% - Accent4 2 3 3 3 7" xfId="24213"/>
    <cellStyle name="20% - Accent4 2 3 3 4" xfId="24214"/>
    <cellStyle name="20% - Accent4 2 3 3 4 2" xfId="24215"/>
    <cellStyle name="20% - Accent4 2 3 3 4 2 2" xfId="24216"/>
    <cellStyle name="20% - Accent4 2 3 3 4 3" xfId="24217"/>
    <cellStyle name="20% - Accent4 2 3 3 4 3 2" xfId="24218"/>
    <cellStyle name="20% - Accent4 2 3 3 4 4" xfId="24219"/>
    <cellStyle name="20% - Accent4 2 3 3 4 5" xfId="24220"/>
    <cellStyle name="20% - Accent4 2 3 3 4 6" xfId="24221"/>
    <cellStyle name="20% - Accent4 2 3 3 4 7" xfId="24222"/>
    <cellStyle name="20% - Accent4 2 3 3 5" xfId="24223"/>
    <cellStyle name="20% - Accent4 2 3 3 5 2" xfId="24224"/>
    <cellStyle name="20% - Accent4 2 3 3 5 2 2" xfId="24225"/>
    <cellStyle name="20% - Accent4 2 3 3 5 3" xfId="24226"/>
    <cellStyle name="20% - Accent4 2 3 3 5 3 2" xfId="24227"/>
    <cellStyle name="20% - Accent4 2 3 3 5 4" xfId="24228"/>
    <cellStyle name="20% - Accent4 2 3 3 5 5" xfId="24229"/>
    <cellStyle name="20% - Accent4 2 3 3 5 6" xfId="24230"/>
    <cellStyle name="20% - Accent4 2 3 3 5 7" xfId="24231"/>
    <cellStyle name="20% - Accent4 2 3 3 6" xfId="24232"/>
    <cellStyle name="20% - Accent4 2 3 3 6 2" xfId="24233"/>
    <cellStyle name="20% - Accent4 2 3 3 7" xfId="24234"/>
    <cellStyle name="20% - Accent4 2 3 3 7 2" xfId="24235"/>
    <cellStyle name="20% - Accent4 2 3 3 8" xfId="24236"/>
    <cellStyle name="20% - Accent4 2 3 3 9" xfId="24237"/>
    <cellStyle name="20% - Accent4 2 3 4" xfId="24238"/>
    <cellStyle name="20% - Accent4 2 3 4 10" xfId="24239"/>
    <cellStyle name="20% - Accent4 2 3 4 2" xfId="24240"/>
    <cellStyle name="20% - Accent4 2 3 4 2 2" xfId="24241"/>
    <cellStyle name="20% - Accent4 2 3 4 2 2 2" xfId="24242"/>
    <cellStyle name="20% - Accent4 2 3 4 2 3" xfId="24243"/>
    <cellStyle name="20% - Accent4 2 3 4 2 3 2" xfId="24244"/>
    <cellStyle name="20% - Accent4 2 3 4 2 4" xfId="24245"/>
    <cellStyle name="20% - Accent4 2 3 4 2 5" xfId="24246"/>
    <cellStyle name="20% - Accent4 2 3 4 2 6" xfId="24247"/>
    <cellStyle name="20% - Accent4 2 3 4 2 7" xfId="24248"/>
    <cellStyle name="20% - Accent4 2 3 4 3" xfId="24249"/>
    <cellStyle name="20% - Accent4 2 3 4 3 2" xfId="24250"/>
    <cellStyle name="20% - Accent4 2 3 4 3 2 2" xfId="24251"/>
    <cellStyle name="20% - Accent4 2 3 4 3 3" xfId="24252"/>
    <cellStyle name="20% - Accent4 2 3 4 3 3 2" xfId="24253"/>
    <cellStyle name="20% - Accent4 2 3 4 3 4" xfId="24254"/>
    <cellStyle name="20% - Accent4 2 3 4 3 5" xfId="24255"/>
    <cellStyle name="20% - Accent4 2 3 4 3 6" xfId="24256"/>
    <cellStyle name="20% - Accent4 2 3 4 3 7" xfId="24257"/>
    <cellStyle name="20% - Accent4 2 3 4 4" xfId="24258"/>
    <cellStyle name="20% - Accent4 2 3 4 4 2" xfId="24259"/>
    <cellStyle name="20% - Accent4 2 3 4 4 2 2" xfId="24260"/>
    <cellStyle name="20% - Accent4 2 3 4 4 3" xfId="24261"/>
    <cellStyle name="20% - Accent4 2 3 4 4 3 2" xfId="24262"/>
    <cellStyle name="20% - Accent4 2 3 4 4 4" xfId="24263"/>
    <cellStyle name="20% - Accent4 2 3 4 4 5" xfId="24264"/>
    <cellStyle name="20% - Accent4 2 3 4 4 6" xfId="24265"/>
    <cellStyle name="20% - Accent4 2 3 4 4 7" xfId="24266"/>
    <cellStyle name="20% - Accent4 2 3 4 5" xfId="24267"/>
    <cellStyle name="20% - Accent4 2 3 4 5 2" xfId="24268"/>
    <cellStyle name="20% - Accent4 2 3 4 6" xfId="24269"/>
    <cellStyle name="20% - Accent4 2 3 4 6 2" xfId="24270"/>
    <cellStyle name="20% - Accent4 2 3 4 7" xfId="24271"/>
    <cellStyle name="20% - Accent4 2 3 4 8" xfId="24272"/>
    <cellStyle name="20% - Accent4 2 3 4 9" xfId="24273"/>
    <cellStyle name="20% - Accent4 2 3 5" xfId="24274"/>
    <cellStyle name="20% - Accent4 2 3 5 2" xfId="24275"/>
    <cellStyle name="20% - Accent4 2 3 5 2 2" xfId="24276"/>
    <cellStyle name="20% - Accent4 2 3 5 3" xfId="24277"/>
    <cellStyle name="20% - Accent4 2 3 5 3 2" xfId="24278"/>
    <cellStyle name="20% - Accent4 2 3 5 4" xfId="24279"/>
    <cellStyle name="20% - Accent4 2 3 5 5" xfId="24280"/>
    <cellStyle name="20% - Accent4 2 3 5 6" xfId="24281"/>
    <cellStyle name="20% - Accent4 2 3 5 7" xfId="24282"/>
    <cellStyle name="20% - Accent4 2 3 6" xfId="24283"/>
    <cellStyle name="20% - Accent4 2 3 6 2" xfId="24284"/>
    <cellStyle name="20% - Accent4 2 3 6 2 2" xfId="24285"/>
    <cellStyle name="20% - Accent4 2 3 6 3" xfId="24286"/>
    <cellStyle name="20% - Accent4 2 3 6 3 2" xfId="24287"/>
    <cellStyle name="20% - Accent4 2 3 6 4" xfId="24288"/>
    <cellStyle name="20% - Accent4 2 3 6 5" xfId="24289"/>
    <cellStyle name="20% - Accent4 2 3 6 6" xfId="24290"/>
    <cellStyle name="20% - Accent4 2 3 6 7" xfId="24291"/>
    <cellStyle name="20% - Accent4 2 3 7" xfId="24292"/>
    <cellStyle name="20% - Accent4 2 3 7 2" xfId="24293"/>
    <cellStyle name="20% - Accent4 2 3 7 2 2" xfId="24294"/>
    <cellStyle name="20% - Accent4 2 3 7 3" xfId="24295"/>
    <cellStyle name="20% - Accent4 2 3 7 3 2" xfId="24296"/>
    <cellStyle name="20% - Accent4 2 3 7 4" xfId="24297"/>
    <cellStyle name="20% - Accent4 2 3 7 5" xfId="24298"/>
    <cellStyle name="20% - Accent4 2 3 7 6" xfId="24299"/>
    <cellStyle name="20% - Accent4 2 3 7 7" xfId="24300"/>
    <cellStyle name="20% - Accent4 2 3 8" xfId="24301"/>
    <cellStyle name="20% - Accent4 2 3 8 2" xfId="24302"/>
    <cellStyle name="20% - Accent4 2 3 9" xfId="24303"/>
    <cellStyle name="20% - Accent4 2 3 9 2" xfId="24304"/>
    <cellStyle name="20% - Accent4 2 4" xfId="24305"/>
    <cellStyle name="20% - Accent4 2 4 10" xfId="24306"/>
    <cellStyle name="20% - Accent4 2 4 11" xfId="24307"/>
    <cellStyle name="20% - Accent4 2 4 12" xfId="24308"/>
    <cellStyle name="20% - Accent4 2 4 13" xfId="24309"/>
    <cellStyle name="20% - Accent4 2 4 2" xfId="24310"/>
    <cellStyle name="20% - Accent4 2 4 2 10" xfId="24311"/>
    <cellStyle name="20% - Accent4 2 4 2 11" xfId="24312"/>
    <cellStyle name="20% - Accent4 2 4 2 2" xfId="24313"/>
    <cellStyle name="20% - Accent4 2 4 2 2 10" xfId="24314"/>
    <cellStyle name="20% - Accent4 2 4 2 2 2" xfId="24315"/>
    <cellStyle name="20% - Accent4 2 4 2 2 2 2" xfId="24316"/>
    <cellStyle name="20% - Accent4 2 4 2 2 2 2 2" xfId="24317"/>
    <cellStyle name="20% - Accent4 2 4 2 2 2 3" xfId="24318"/>
    <cellStyle name="20% - Accent4 2 4 2 2 2 3 2" xfId="24319"/>
    <cellStyle name="20% - Accent4 2 4 2 2 2 4" xfId="24320"/>
    <cellStyle name="20% - Accent4 2 4 2 2 2 5" xfId="24321"/>
    <cellStyle name="20% - Accent4 2 4 2 2 2 6" xfId="24322"/>
    <cellStyle name="20% - Accent4 2 4 2 2 2 7" xfId="24323"/>
    <cellStyle name="20% - Accent4 2 4 2 2 3" xfId="24324"/>
    <cellStyle name="20% - Accent4 2 4 2 2 3 2" xfId="24325"/>
    <cellStyle name="20% - Accent4 2 4 2 2 3 2 2" xfId="24326"/>
    <cellStyle name="20% - Accent4 2 4 2 2 3 3" xfId="24327"/>
    <cellStyle name="20% - Accent4 2 4 2 2 3 3 2" xfId="24328"/>
    <cellStyle name="20% - Accent4 2 4 2 2 3 4" xfId="24329"/>
    <cellStyle name="20% - Accent4 2 4 2 2 3 5" xfId="24330"/>
    <cellStyle name="20% - Accent4 2 4 2 2 3 6" xfId="24331"/>
    <cellStyle name="20% - Accent4 2 4 2 2 3 7" xfId="24332"/>
    <cellStyle name="20% - Accent4 2 4 2 2 4" xfId="24333"/>
    <cellStyle name="20% - Accent4 2 4 2 2 4 2" xfId="24334"/>
    <cellStyle name="20% - Accent4 2 4 2 2 4 2 2" xfId="24335"/>
    <cellStyle name="20% - Accent4 2 4 2 2 4 3" xfId="24336"/>
    <cellStyle name="20% - Accent4 2 4 2 2 4 3 2" xfId="24337"/>
    <cellStyle name="20% - Accent4 2 4 2 2 4 4" xfId="24338"/>
    <cellStyle name="20% - Accent4 2 4 2 2 4 5" xfId="24339"/>
    <cellStyle name="20% - Accent4 2 4 2 2 4 6" xfId="24340"/>
    <cellStyle name="20% - Accent4 2 4 2 2 4 7" xfId="24341"/>
    <cellStyle name="20% - Accent4 2 4 2 2 5" xfId="24342"/>
    <cellStyle name="20% - Accent4 2 4 2 2 5 2" xfId="24343"/>
    <cellStyle name="20% - Accent4 2 4 2 2 6" xfId="24344"/>
    <cellStyle name="20% - Accent4 2 4 2 2 6 2" xfId="24345"/>
    <cellStyle name="20% - Accent4 2 4 2 2 7" xfId="24346"/>
    <cellStyle name="20% - Accent4 2 4 2 2 8" xfId="24347"/>
    <cellStyle name="20% - Accent4 2 4 2 2 9" xfId="24348"/>
    <cellStyle name="20% - Accent4 2 4 2 3" xfId="24349"/>
    <cellStyle name="20% - Accent4 2 4 2 3 2" xfId="24350"/>
    <cellStyle name="20% - Accent4 2 4 2 3 2 2" xfId="24351"/>
    <cellStyle name="20% - Accent4 2 4 2 3 3" xfId="24352"/>
    <cellStyle name="20% - Accent4 2 4 2 3 3 2" xfId="24353"/>
    <cellStyle name="20% - Accent4 2 4 2 3 4" xfId="24354"/>
    <cellStyle name="20% - Accent4 2 4 2 3 5" xfId="24355"/>
    <cellStyle name="20% - Accent4 2 4 2 3 6" xfId="24356"/>
    <cellStyle name="20% - Accent4 2 4 2 3 7" xfId="24357"/>
    <cellStyle name="20% - Accent4 2 4 2 4" xfId="24358"/>
    <cellStyle name="20% - Accent4 2 4 2 4 2" xfId="24359"/>
    <cellStyle name="20% - Accent4 2 4 2 4 2 2" xfId="24360"/>
    <cellStyle name="20% - Accent4 2 4 2 4 3" xfId="24361"/>
    <cellStyle name="20% - Accent4 2 4 2 4 3 2" xfId="24362"/>
    <cellStyle name="20% - Accent4 2 4 2 4 4" xfId="24363"/>
    <cellStyle name="20% - Accent4 2 4 2 4 5" xfId="24364"/>
    <cellStyle name="20% - Accent4 2 4 2 4 6" xfId="24365"/>
    <cellStyle name="20% - Accent4 2 4 2 4 7" xfId="24366"/>
    <cellStyle name="20% - Accent4 2 4 2 5" xfId="24367"/>
    <cellStyle name="20% - Accent4 2 4 2 5 2" xfId="24368"/>
    <cellStyle name="20% - Accent4 2 4 2 5 2 2" xfId="24369"/>
    <cellStyle name="20% - Accent4 2 4 2 5 3" xfId="24370"/>
    <cellStyle name="20% - Accent4 2 4 2 5 3 2" xfId="24371"/>
    <cellStyle name="20% - Accent4 2 4 2 5 4" xfId="24372"/>
    <cellStyle name="20% - Accent4 2 4 2 5 5" xfId="24373"/>
    <cellStyle name="20% - Accent4 2 4 2 5 6" xfId="24374"/>
    <cellStyle name="20% - Accent4 2 4 2 5 7" xfId="24375"/>
    <cellStyle name="20% - Accent4 2 4 2 6" xfId="24376"/>
    <cellStyle name="20% - Accent4 2 4 2 6 2" xfId="24377"/>
    <cellStyle name="20% - Accent4 2 4 2 7" xfId="24378"/>
    <cellStyle name="20% - Accent4 2 4 2 7 2" xfId="24379"/>
    <cellStyle name="20% - Accent4 2 4 2 8" xfId="24380"/>
    <cellStyle name="20% - Accent4 2 4 2 9" xfId="24381"/>
    <cellStyle name="20% - Accent4 2 4 3" xfId="24382"/>
    <cellStyle name="20% - Accent4 2 4 3 10" xfId="24383"/>
    <cellStyle name="20% - Accent4 2 4 3 11" xfId="24384"/>
    <cellStyle name="20% - Accent4 2 4 3 2" xfId="24385"/>
    <cellStyle name="20% - Accent4 2 4 3 2 10" xfId="24386"/>
    <cellStyle name="20% - Accent4 2 4 3 2 2" xfId="24387"/>
    <cellStyle name="20% - Accent4 2 4 3 2 2 2" xfId="24388"/>
    <cellStyle name="20% - Accent4 2 4 3 2 2 2 2" xfId="24389"/>
    <cellStyle name="20% - Accent4 2 4 3 2 2 3" xfId="24390"/>
    <cellStyle name="20% - Accent4 2 4 3 2 2 3 2" xfId="24391"/>
    <cellStyle name="20% - Accent4 2 4 3 2 2 4" xfId="24392"/>
    <cellStyle name="20% - Accent4 2 4 3 2 2 5" xfId="24393"/>
    <cellStyle name="20% - Accent4 2 4 3 2 2 6" xfId="24394"/>
    <cellStyle name="20% - Accent4 2 4 3 2 2 7" xfId="24395"/>
    <cellStyle name="20% - Accent4 2 4 3 2 3" xfId="24396"/>
    <cellStyle name="20% - Accent4 2 4 3 2 3 2" xfId="24397"/>
    <cellStyle name="20% - Accent4 2 4 3 2 3 2 2" xfId="24398"/>
    <cellStyle name="20% - Accent4 2 4 3 2 3 3" xfId="24399"/>
    <cellStyle name="20% - Accent4 2 4 3 2 3 3 2" xfId="24400"/>
    <cellStyle name="20% - Accent4 2 4 3 2 3 4" xfId="24401"/>
    <cellStyle name="20% - Accent4 2 4 3 2 3 5" xfId="24402"/>
    <cellStyle name="20% - Accent4 2 4 3 2 3 6" xfId="24403"/>
    <cellStyle name="20% - Accent4 2 4 3 2 3 7" xfId="24404"/>
    <cellStyle name="20% - Accent4 2 4 3 2 4" xfId="24405"/>
    <cellStyle name="20% - Accent4 2 4 3 2 4 2" xfId="24406"/>
    <cellStyle name="20% - Accent4 2 4 3 2 4 2 2" xfId="24407"/>
    <cellStyle name="20% - Accent4 2 4 3 2 4 3" xfId="24408"/>
    <cellStyle name="20% - Accent4 2 4 3 2 4 3 2" xfId="24409"/>
    <cellStyle name="20% - Accent4 2 4 3 2 4 4" xfId="24410"/>
    <cellStyle name="20% - Accent4 2 4 3 2 4 5" xfId="24411"/>
    <cellStyle name="20% - Accent4 2 4 3 2 4 6" xfId="24412"/>
    <cellStyle name="20% - Accent4 2 4 3 2 4 7" xfId="24413"/>
    <cellStyle name="20% - Accent4 2 4 3 2 5" xfId="24414"/>
    <cellStyle name="20% - Accent4 2 4 3 2 5 2" xfId="24415"/>
    <cellStyle name="20% - Accent4 2 4 3 2 6" xfId="24416"/>
    <cellStyle name="20% - Accent4 2 4 3 2 6 2" xfId="24417"/>
    <cellStyle name="20% - Accent4 2 4 3 2 7" xfId="24418"/>
    <cellStyle name="20% - Accent4 2 4 3 2 8" xfId="24419"/>
    <cellStyle name="20% - Accent4 2 4 3 2 9" xfId="24420"/>
    <cellStyle name="20% - Accent4 2 4 3 3" xfId="24421"/>
    <cellStyle name="20% - Accent4 2 4 3 3 2" xfId="24422"/>
    <cellStyle name="20% - Accent4 2 4 3 3 2 2" xfId="24423"/>
    <cellStyle name="20% - Accent4 2 4 3 3 3" xfId="24424"/>
    <cellStyle name="20% - Accent4 2 4 3 3 3 2" xfId="24425"/>
    <cellStyle name="20% - Accent4 2 4 3 3 4" xfId="24426"/>
    <cellStyle name="20% - Accent4 2 4 3 3 5" xfId="24427"/>
    <cellStyle name="20% - Accent4 2 4 3 3 6" xfId="24428"/>
    <cellStyle name="20% - Accent4 2 4 3 3 7" xfId="24429"/>
    <cellStyle name="20% - Accent4 2 4 3 4" xfId="24430"/>
    <cellStyle name="20% - Accent4 2 4 3 4 2" xfId="24431"/>
    <cellStyle name="20% - Accent4 2 4 3 4 2 2" xfId="24432"/>
    <cellStyle name="20% - Accent4 2 4 3 4 3" xfId="24433"/>
    <cellStyle name="20% - Accent4 2 4 3 4 3 2" xfId="24434"/>
    <cellStyle name="20% - Accent4 2 4 3 4 4" xfId="24435"/>
    <cellStyle name="20% - Accent4 2 4 3 4 5" xfId="24436"/>
    <cellStyle name="20% - Accent4 2 4 3 4 6" xfId="24437"/>
    <cellStyle name="20% - Accent4 2 4 3 4 7" xfId="24438"/>
    <cellStyle name="20% - Accent4 2 4 3 5" xfId="24439"/>
    <cellStyle name="20% - Accent4 2 4 3 5 2" xfId="24440"/>
    <cellStyle name="20% - Accent4 2 4 3 5 2 2" xfId="24441"/>
    <cellStyle name="20% - Accent4 2 4 3 5 3" xfId="24442"/>
    <cellStyle name="20% - Accent4 2 4 3 5 3 2" xfId="24443"/>
    <cellStyle name="20% - Accent4 2 4 3 5 4" xfId="24444"/>
    <cellStyle name="20% - Accent4 2 4 3 5 5" xfId="24445"/>
    <cellStyle name="20% - Accent4 2 4 3 5 6" xfId="24446"/>
    <cellStyle name="20% - Accent4 2 4 3 5 7" xfId="24447"/>
    <cellStyle name="20% - Accent4 2 4 3 6" xfId="24448"/>
    <cellStyle name="20% - Accent4 2 4 3 6 2" xfId="24449"/>
    <cellStyle name="20% - Accent4 2 4 3 7" xfId="24450"/>
    <cellStyle name="20% - Accent4 2 4 3 7 2" xfId="24451"/>
    <cellStyle name="20% - Accent4 2 4 3 8" xfId="24452"/>
    <cellStyle name="20% - Accent4 2 4 3 9" xfId="24453"/>
    <cellStyle name="20% - Accent4 2 4 4" xfId="24454"/>
    <cellStyle name="20% - Accent4 2 4 4 10" xfId="24455"/>
    <cellStyle name="20% - Accent4 2 4 4 2" xfId="24456"/>
    <cellStyle name="20% - Accent4 2 4 4 2 2" xfId="24457"/>
    <cellStyle name="20% - Accent4 2 4 4 2 2 2" xfId="24458"/>
    <cellStyle name="20% - Accent4 2 4 4 2 3" xfId="24459"/>
    <cellStyle name="20% - Accent4 2 4 4 2 3 2" xfId="24460"/>
    <cellStyle name="20% - Accent4 2 4 4 2 4" xfId="24461"/>
    <cellStyle name="20% - Accent4 2 4 4 2 5" xfId="24462"/>
    <cellStyle name="20% - Accent4 2 4 4 2 6" xfId="24463"/>
    <cellStyle name="20% - Accent4 2 4 4 2 7" xfId="24464"/>
    <cellStyle name="20% - Accent4 2 4 4 3" xfId="24465"/>
    <cellStyle name="20% - Accent4 2 4 4 3 2" xfId="24466"/>
    <cellStyle name="20% - Accent4 2 4 4 3 2 2" xfId="24467"/>
    <cellStyle name="20% - Accent4 2 4 4 3 3" xfId="24468"/>
    <cellStyle name="20% - Accent4 2 4 4 3 3 2" xfId="24469"/>
    <cellStyle name="20% - Accent4 2 4 4 3 4" xfId="24470"/>
    <cellStyle name="20% - Accent4 2 4 4 3 5" xfId="24471"/>
    <cellStyle name="20% - Accent4 2 4 4 3 6" xfId="24472"/>
    <cellStyle name="20% - Accent4 2 4 4 3 7" xfId="24473"/>
    <cellStyle name="20% - Accent4 2 4 4 4" xfId="24474"/>
    <cellStyle name="20% - Accent4 2 4 4 4 2" xfId="24475"/>
    <cellStyle name="20% - Accent4 2 4 4 4 2 2" xfId="24476"/>
    <cellStyle name="20% - Accent4 2 4 4 4 3" xfId="24477"/>
    <cellStyle name="20% - Accent4 2 4 4 4 3 2" xfId="24478"/>
    <cellStyle name="20% - Accent4 2 4 4 4 4" xfId="24479"/>
    <cellStyle name="20% - Accent4 2 4 4 4 5" xfId="24480"/>
    <cellStyle name="20% - Accent4 2 4 4 4 6" xfId="24481"/>
    <cellStyle name="20% - Accent4 2 4 4 4 7" xfId="24482"/>
    <cellStyle name="20% - Accent4 2 4 4 5" xfId="24483"/>
    <cellStyle name="20% - Accent4 2 4 4 5 2" xfId="24484"/>
    <cellStyle name="20% - Accent4 2 4 4 6" xfId="24485"/>
    <cellStyle name="20% - Accent4 2 4 4 6 2" xfId="24486"/>
    <cellStyle name="20% - Accent4 2 4 4 7" xfId="24487"/>
    <cellStyle name="20% - Accent4 2 4 4 8" xfId="24488"/>
    <cellStyle name="20% - Accent4 2 4 4 9" xfId="24489"/>
    <cellStyle name="20% - Accent4 2 4 5" xfId="24490"/>
    <cellStyle name="20% - Accent4 2 4 5 2" xfId="24491"/>
    <cellStyle name="20% - Accent4 2 4 5 2 2" xfId="24492"/>
    <cellStyle name="20% - Accent4 2 4 5 3" xfId="24493"/>
    <cellStyle name="20% - Accent4 2 4 5 3 2" xfId="24494"/>
    <cellStyle name="20% - Accent4 2 4 5 4" xfId="24495"/>
    <cellStyle name="20% - Accent4 2 4 5 5" xfId="24496"/>
    <cellStyle name="20% - Accent4 2 4 5 6" xfId="24497"/>
    <cellStyle name="20% - Accent4 2 4 5 7" xfId="24498"/>
    <cellStyle name="20% - Accent4 2 4 6" xfId="24499"/>
    <cellStyle name="20% - Accent4 2 4 6 2" xfId="24500"/>
    <cellStyle name="20% - Accent4 2 4 6 2 2" xfId="24501"/>
    <cellStyle name="20% - Accent4 2 4 6 3" xfId="24502"/>
    <cellStyle name="20% - Accent4 2 4 6 3 2" xfId="24503"/>
    <cellStyle name="20% - Accent4 2 4 6 4" xfId="24504"/>
    <cellStyle name="20% - Accent4 2 4 6 5" xfId="24505"/>
    <cellStyle name="20% - Accent4 2 4 6 6" xfId="24506"/>
    <cellStyle name="20% - Accent4 2 4 6 7" xfId="24507"/>
    <cellStyle name="20% - Accent4 2 4 7" xfId="24508"/>
    <cellStyle name="20% - Accent4 2 4 7 2" xfId="24509"/>
    <cellStyle name="20% - Accent4 2 4 7 2 2" xfId="24510"/>
    <cellStyle name="20% - Accent4 2 4 7 3" xfId="24511"/>
    <cellStyle name="20% - Accent4 2 4 7 3 2" xfId="24512"/>
    <cellStyle name="20% - Accent4 2 4 7 4" xfId="24513"/>
    <cellStyle name="20% - Accent4 2 4 7 5" xfId="24514"/>
    <cellStyle name="20% - Accent4 2 4 7 6" xfId="24515"/>
    <cellStyle name="20% - Accent4 2 4 7 7" xfId="24516"/>
    <cellStyle name="20% - Accent4 2 4 8" xfId="24517"/>
    <cellStyle name="20% - Accent4 2 4 8 2" xfId="24518"/>
    <cellStyle name="20% - Accent4 2 4 9" xfId="24519"/>
    <cellStyle name="20% - Accent4 2 4 9 2" xfId="24520"/>
    <cellStyle name="20% - Accent4 2 5" xfId="24521"/>
    <cellStyle name="20% - Accent4 2 5 10" xfId="24522"/>
    <cellStyle name="20% - Accent4 2 5 11" xfId="24523"/>
    <cellStyle name="20% - Accent4 2 5 12" xfId="24524"/>
    <cellStyle name="20% - Accent4 2 5 13" xfId="24525"/>
    <cellStyle name="20% - Accent4 2 5 2" xfId="24526"/>
    <cellStyle name="20% - Accent4 2 5 2 10" xfId="24527"/>
    <cellStyle name="20% - Accent4 2 5 2 11" xfId="24528"/>
    <cellStyle name="20% - Accent4 2 5 2 2" xfId="24529"/>
    <cellStyle name="20% - Accent4 2 5 2 2 10" xfId="24530"/>
    <cellStyle name="20% - Accent4 2 5 2 2 2" xfId="24531"/>
    <cellStyle name="20% - Accent4 2 5 2 2 2 2" xfId="24532"/>
    <cellStyle name="20% - Accent4 2 5 2 2 2 2 2" xfId="24533"/>
    <cellStyle name="20% - Accent4 2 5 2 2 2 3" xfId="24534"/>
    <cellStyle name="20% - Accent4 2 5 2 2 2 3 2" xfId="24535"/>
    <cellStyle name="20% - Accent4 2 5 2 2 2 4" xfId="24536"/>
    <cellStyle name="20% - Accent4 2 5 2 2 2 5" xfId="24537"/>
    <cellStyle name="20% - Accent4 2 5 2 2 2 6" xfId="24538"/>
    <cellStyle name="20% - Accent4 2 5 2 2 2 7" xfId="24539"/>
    <cellStyle name="20% - Accent4 2 5 2 2 3" xfId="24540"/>
    <cellStyle name="20% - Accent4 2 5 2 2 3 2" xfId="24541"/>
    <cellStyle name="20% - Accent4 2 5 2 2 3 2 2" xfId="24542"/>
    <cellStyle name="20% - Accent4 2 5 2 2 3 3" xfId="24543"/>
    <cellStyle name="20% - Accent4 2 5 2 2 3 3 2" xfId="24544"/>
    <cellStyle name="20% - Accent4 2 5 2 2 3 4" xfId="24545"/>
    <cellStyle name="20% - Accent4 2 5 2 2 3 5" xfId="24546"/>
    <cellStyle name="20% - Accent4 2 5 2 2 3 6" xfId="24547"/>
    <cellStyle name="20% - Accent4 2 5 2 2 3 7" xfId="24548"/>
    <cellStyle name="20% - Accent4 2 5 2 2 4" xfId="24549"/>
    <cellStyle name="20% - Accent4 2 5 2 2 4 2" xfId="24550"/>
    <cellStyle name="20% - Accent4 2 5 2 2 4 2 2" xfId="24551"/>
    <cellStyle name="20% - Accent4 2 5 2 2 4 3" xfId="24552"/>
    <cellStyle name="20% - Accent4 2 5 2 2 4 3 2" xfId="24553"/>
    <cellStyle name="20% - Accent4 2 5 2 2 4 4" xfId="24554"/>
    <cellStyle name="20% - Accent4 2 5 2 2 4 5" xfId="24555"/>
    <cellStyle name="20% - Accent4 2 5 2 2 4 6" xfId="24556"/>
    <cellStyle name="20% - Accent4 2 5 2 2 4 7" xfId="24557"/>
    <cellStyle name="20% - Accent4 2 5 2 2 5" xfId="24558"/>
    <cellStyle name="20% - Accent4 2 5 2 2 5 2" xfId="24559"/>
    <cellStyle name="20% - Accent4 2 5 2 2 6" xfId="24560"/>
    <cellStyle name="20% - Accent4 2 5 2 2 6 2" xfId="24561"/>
    <cellStyle name="20% - Accent4 2 5 2 2 7" xfId="24562"/>
    <cellStyle name="20% - Accent4 2 5 2 2 8" xfId="24563"/>
    <cellStyle name="20% - Accent4 2 5 2 2 9" xfId="24564"/>
    <cellStyle name="20% - Accent4 2 5 2 3" xfId="24565"/>
    <cellStyle name="20% - Accent4 2 5 2 3 2" xfId="24566"/>
    <cellStyle name="20% - Accent4 2 5 2 3 2 2" xfId="24567"/>
    <cellStyle name="20% - Accent4 2 5 2 3 3" xfId="24568"/>
    <cellStyle name="20% - Accent4 2 5 2 3 3 2" xfId="24569"/>
    <cellStyle name="20% - Accent4 2 5 2 3 4" xfId="24570"/>
    <cellStyle name="20% - Accent4 2 5 2 3 5" xfId="24571"/>
    <cellStyle name="20% - Accent4 2 5 2 3 6" xfId="24572"/>
    <cellStyle name="20% - Accent4 2 5 2 3 7" xfId="24573"/>
    <cellStyle name="20% - Accent4 2 5 2 4" xfId="24574"/>
    <cellStyle name="20% - Accent4 2 5 2 4 2" xfId="24575"/>
    <cellStyle name="20% - Accent4 2 5 2 4 2 2" xfId="24576"/>
    <cellStyle name="20% - Accent4 2 5 2 4 3" xfId="24577"/>
    <cellStyle name="20% - Accent4 2 5 2 4 3 2" xfId="24578"/>
    <cellStyle name="20% - Accent4 2 5 2 4 4" xfId="24579"/>
    <cellStyle name="20% - Accent4 2 5 2 4 5" xfId="24580"/>
    <cellStyle name="20% - Accent4 2 5 2 4 6" xfId="24581"/>
    <cellStyle name="20% - Accent4 2 5 2 4 7" xfId="24582"/>
    <cellStyle name="20% - Accent4 2 5 2 5" xfId="24583"/>
    <cellStyle name="20% - Accent4 2 5 2 5 2" xfId="24584"/>
    <cellStyle name="20% - Accent4 2 5 2 5 2 2" xfId="24585"/>
    <cellStyle name="20% - Accent4 2 5 2 5 3" xfId="24586"/>
    <cellStyle name="20% - Accent4 2 5 2 5 3 2" xfId="24587"/>
    <cellStyle name="20% - Accent4 2 5 2 5 4" xfId="24588"/>
    <cellStyle name="20% - Accent4 2 5 2 5 5" xfId="24589"/>
    <cellStyle name="20% - Accent4 2 5 2 5 6" xfId="24590"/>
    <cellStyle name="20% - Accent4 2 5 2 5 7" xfId="24591"/>
    <cellStyle name="20% - Accent4 2 5 2 6" xfId="24592"/>
    <cellStyle name="20% - Accent4 2 5 2 6 2" xfId="24593"/>
    <cellStyle name="20% - Accent4 2 5 2 7" xfId="24594"/>
    <cellStyle name="20% - Accent4 2 5 2 7 2" xfId="24595"/>
    <cellStyle name="20% - Accent4 2 5 2 8" xfId="24596"/>
    <cellStyle name="20% - Accent4 2 5 2 9" xfId="24597"/>
    <cellStyle name="20% - Accent4 2 5 3" xfId="24598"/>
    <cellStyle name="20% - Accent4 2 5 3 10" xfId="24599"/>
    <cellStyle name="20% - Accent4 2 5 3 11" xfId="24600"/>
    <cellStyle name="20% - Accent4 2 5 3 2" xfId="24601"/>
    <cellStyle name="20% - Accent4 2 5 3 2 10" xfId="24602"/>
    <cellStyle name="20% - Accent4 2 5 3 2 2" xfId="24603"/>
    <cellStyle name="20% - Accent4 2 5 3 2 2 2" xfId="24604"/>
    <cellStyle name="20% - Accent4 2 5 3 2 2 2 2" xfId="24605"/>
    <cellStyle name="20% - Accent4 2 5 3 2 2 3" xfId="24606"/>
    <cellStyle name="20% - Accent4 2 5 3 2 2 3 2" xfId="24607"/>
    <cellStyle name="20% - Accent4 2 5 3 2 2 4" xfId="24608"/>
    <cellStyle name="20% - Accent4 2 5 3 2 2 5" xfId="24609"/>
    <cellStyle name="20% - Accent4 2 5 3 2 2 6" xfId="24610"/>
    <cellStyle name="20% - Accent4 2 5 3 2 2 7" xfId="24611"/>
    <cellStyle name="20% - Accent4 2 5 3 2 3" xfId="24612"/>
    <cellStyle name="20% - Accent4 2 5 3 2 3 2" xfId="24613"/>
    <cellStyle name="20% - Accent4 2 5 3 2 3 2 2" xfId="24614"/>
    <cellStyle name="20% - Accent4 2 5 3 2 3 3" xfId="24615"/>
    <cellStyle name="20% - Accent4 2 5 3 2 3 3 2" xfId="24616"/>
    <cellStyle name="20% - Accent4 2 5 3 2 3 4" xfId="24617"/>
    <cellStyle name="20% - Accent4 2 5 3 2 3 5" xfId="24618"/>
    <cellStyle name="20% - Accent4 2 5 3 2 3 6" xfId="24619"/>
    <cellStyle name="20% - Accent4 2 5 3 2 3 7" xfId="24620"/>
    <cellStyle name="20% - Accent4 2 5 3 2 4" xfId="24621"/>
    <cellStyle name="20% - Accent4 2 5 3 2 4 2" xfId="24622"/>
    <cellStyle name="20% - Accent4 2 5 3 2 4 2 2" xfId="24623"/>
    <cellStyle name="20% - Accent4 2 5 3 2 4 3" xfId="24624"/>
    <cellStyle name="20% - Accent4 2 5 3 2 4 3 2" xfId="24625"/>
    <cellStyle name="20% - Accent4 2 5 3 2 4 4" xfId="24626"/>
    <cellStyle name="20% - Accent4 2 5 3 2 4 5" xfId="24627"/>
    <cellStyle name="20% - Accent4 2 5 3 2 4 6" xfId="24628"/>
    <cellStyle name="20% - Accent4 2 5 3 2 4 7" xfId="24629"/>
    <cellStyle name="20% - Accent4 2 5 3 2 5" xfId="24630"/>
    <cellStyle name="20% - Accent4 2 5 3 2 5 2" xfId="24631"/>
    <cellStyle name="20% - Accent4 2 5 3 2 6" xfId="24632"/>
    <cellStyle name="20% - Accent4 2 5 3 2 6 2" xfId="24633"/>
    <cellStyle name="20% - Accent4 2 5 3 2 7" xfId="24634"/>
    <cellStyle name="20% - Accent4 2 5 3 2 8" xfId="24635"/>
    <cellStyle name="20% - Accent4 2 5 3 2 9" xfId="24636"/>
    <cellStyle name="20% - Accent4 2 5 3 3" xfId="24637"/>
    <cellStyle name="20% - Accent4 2 5 3 3 2" xfId="24638"/>
    <cellStyle name="20% - Accent4 2 5 3 3 2 2" xfId="24639"/>
    <cellStyle name="20% - Accent4 2 5 3 3 3" xfId="24640"/>
    <cellStyle name="20% - Accent4 2 5 3 3 3 2" xfId="24641"/>
    <cellStyle name="20% - Accent4 2 5 3 3 4" xfId="24642"/>
    <cellStyle name="20% - Accent4 2 5 3 3 5" xfId="24643"/>
    <cellStyle name="20% - Accent4 2 5 3 3 6" xfId="24644"/>
    <cellStyle name="20% - Accent4 2 5 3 3 7" xfId="24645"/>
    <cellStyle name="20% - Accent4 2 5 3 4" xfId="24646"/>
    <cellStyle name="20% - Accent4 2 5 3 4 2" xfId="24647"/>
    <cellStyle name="20% - Accent4 2 5 3 4 2 2" xfId="24648"/>
    <cellStyle name="20% - Accent4 2 5 3 4 3" xfId="24649"/>
    <cellStyle name="20% - Accent4 2 5 3 4 3 2" xfId="24650"/>
    <cellStyle name="20% - Accent4 2 5 3 4 4" xfId="24651"/>
    <cellStyle name="20% - Accent4 2 5 3 4 5" xfId="24652"/>
    <cellStyle name="20% - Accent4 2 5 3 4 6" xfId="24653"/>
    <cellStyle name="20% - Accent4 2 5 3 4 7" xfId="24654"/>
    <cellStyle name="20% - Accent4 2 5 3 5" xfId="24655"/>
    <cellStyle name="20% - Accent4 2 5 3 5 2" xfId="24656"/>
    <cellStyle name="20% - Accent4 2 5 3 5 2 2" xfId="24657"/>
    <cellStyle name="20% - Accent4 2 5 3 5 3" xfId="24658"/>
    <cellStyle name="20% - Accent4 2 5 3 5 3 2" xfId="24659"/>
    <cellStyle name="20% - Accent4 2 5 3 5 4" xfId="24660"/>
    <cellStyle name="20% - Accent4 2 5 3 5 5" xfId="24661"/>
    <cellStyle name="20% - Accent4 2 5 3 5 6" xfId="24662"/>
    <cellStyle name="20% - Accent4 2 5 3 5 7" xfId="24663"/>
    <cellStyle name="20% - Accent4 2 5 3 6" xfId="24664"/>
    <cellStyle name="20% - Accent4 2 5 3 6 2" xfId="24665"/>
    <cellStyle name="20% - Accent4 2 5 3 7" xfId="24666"/>
    <cellStyle name="20% - Accent4 2 5 3 7 2" xfId="24667"/>
    <cellStyle name="20% - Accent4 2 5 3 8" xfId="24668"/>
    <cellStyle name="20% - Accent4 2 5 3 9" xfId="24669"/>
    <cellStyle name="20% - Accent4 2 5 4" xfId="24670"/>
    <cellStyle name="20% - Accent4 2 5 4 10" xfId="24671"/>
    <cellStyle name="20% - Accent4 2 5 4 2" xfId="24672"/>
    <cellStyle name="20% - Accent4 2 5 4 2 2" xfId="24673"/>
    <cellStyle name="20% - Accent4 2 5 4 2 2 2" xfId="24674"/>
    <cellStyle name="20% - Accent4 2 5 4 2 3" xfId="24675"/>
    <cellStyle name="20% - Accent4 2 5 4 2 3 2" xfId="24676"/>
    <cellStyle name="20% - Accent4 2 5 4 2 4" xfId="24677"/>
    <cellStyle name="20% - Accent4 2 5 4 2 5" xfId="24678"/>
    <cellStyle name="20% - Accent4 2 5 4 2 6" xfId="24679"/>
    <cellStyle name="20% - Accent4 2 5 4 2 7" xfId="24680"/>
    <cellStyle name="20% - Accent4 2 5 4 3" xfId="24681"/>
    <cellStyle name="20% - Accent4 2 5 4 3 2" xfId="24682"/>
    <cellStyle name="20% - Accent4 2 5 4 3 2 2" xfId="24683"/>
    <cellStyle name="20% - Accent4 2 5 4 3 3" xfId="24684"/>
    <cellStyle name="20% - Accent4 2 5 4 3 3 2" xfId="24685"/>
    <cellStyle name="20% - Accent4 2 5 4 3 4" xfId="24686"/>
    <cellStyle name="20% - Accent4 2 5 4 3 5" xfId="24687"/>
    <cellStyle name="20% - Accent4 2 5 4 3 6" xfId="24688"/>
    <cellStyle name="20% - Accent4 2 5 4 3 7" xfId="24689"/>
    <cellStyle name="20% - Accent4 2 5 4 4" xfId="24690"/>
    <cellStyle name="20% - Accent4 2 5 4 4 2" xfId="24691"/>
    <cellStyle name="20% - Accent4 2 5 4 4 2 2" xfId="24692"/>
    <cellStyle name="20% - Accent4 2 5 4 4 3" xfId="24693"/>
    <cellStyle name="20% - Accent4 2 5 4 4 3 2" xfId="24694"/>
    <cellStyle name="20% - Accent4 2 5 4 4 4" xfId="24695"/>
    <cellStyle name="20% - Accent4 2 5 4 4 5" xfId="24696"/>
    <cellStyle name="20% - Accent4 2 5 4 4 6" xfId="24697"/>
    <cellStyle name="20% - Accent4 2 5 4 4 7" xfId="24698"/>
    <cellStyle name="20% - Accent4 2 5 4 5" xfId="24699"/>
    <cellStyle name="20% - Accent4 2 5 4 5 2" xfId="24700"/>
    <cellStyle name="20% - Accent4 2 5 4 6" xfId="24701"/>
    <cellStyle name="20% - Accent4 2 5 4 6 2" xfId="24702"/>
    <cellStyle name="20% - Accent4 2 5 4 7" xfId="24703"/>
    <cellStyle name="20% - Accent4 2 5 4 8" xfId="24704"/>
    <cellStyle name="20% - Accent4 2 5 4 9" xfId="24705"/>
    <cellStyle name="20% - Accent4 2 5 5" xfId="24706"/>
    <cellStyle name="20% - Accent4 2 5 5 2" xfId="24707"/>
    <cellStyle name="20% - Accent4 2 5 5 2 2" xfId="24708"/>
    <cellStyle name="20% - Accent4 2 5 5 3" xfId="24709"/>
    <cellStyle name="20% - Accent4 2 5 5 3 2" xfId="24710"/>
    <cellStyle name="20% - Accent4 2 5 5 4" xfId="24711"/>
    <cellStyle name="20% - Accent4 2 5 5 5" xfId="24712"/>
    <cellStyle name="20% - Accent4 2 5 5 6" xfId="24713"/>
    <cellStyle name="20% - Accent4 2 5 5 7" xfId="24714"/>
    <cellStyle name="20% - Accent4 2 5 6" xfId="24715"/>
    <cellStyle name="20% - Accent4 2 5 6 2" xfId="24716"/>
    <cellStyle name="20% - Accent4 2 5 6 2 2" xfId="24717"/>
    <cellStyle name="20% - Accent4 2 5 6 3" xfId="24718"/>
    <cellStyle name="20% - Accent4 2 5 6 3 2" xfId="24719"/>
    <cellStyle name="20% - Accent4 2 5 6 4" xfId="24720"/>
    <cellStyle name="20% - Accent4 2 5 6 5" xfId="24721"/>
    <cellStyle name="20% - Accent4 2 5 6 6" xfId="24722"/>
    <cellStyle name="20% - Accent4 2 5 6 7" xfId="24723"/>
    <cellStyle name="20% - Accent4 2 5 7" xfId="24724"/>
    <cellStyle name="20% - Accent4 2 5 7 2" xfId="24725"/>
    <cellStyle name="20% - Accent4 2 5 7 2 2" xfId="24726"/>
    <cellStyle name="20% - Accent4 2 5 7 3" xfId="24727"/>
    <cellStyle name="20% - Accent4 2 5 7 3 2" xfId="24728"/>
    <cellStyle name="20% - Accent4 2 5 7 4" xfId="24729"/>
    <cellStyle name="20% - Accent4 2 5 7 5" xfId="24730"/>
    <cellStyle name="20% - Accent4 2 5 7 6" xfId="24731"/>
    <cellStyle name="20% - Accent4 2 5 7 7" xfId="24732"/>
    <cellStyle name="20% - Accent4 2 5 8" xfId="24733"/>
    <cellStyle name="20% - Accent4 2 5 8 2" xfId="24734"/>
    <cellStyle name="20% - Accent4 2 5 9" xfId="24735"/>
    <cellStyle name="20% - Accent4 2 5 9 2" xfId="24736"/>
    <cellStyle name="20% - Accent4 2 6" xfId="24737"/>
    <cellStyle name="20% - Accent4 2 6 10" xfId="24738"/>
    <cellStyle name="20% - Accent4 2 6 11" xfId="24739"/>
    <cellStyle name="20% - Accent4 2 6 12" xfId="24740"/>
    <cellStyle name="20% - Accent4 2 6 13" xfId="24741"/>
    <cellStyle name="20% - Accent4 2 6 2" xfId="24742"/>
    <cellStyle name="20% - Accent4 2 6 2 10" xfId="24743"/>
    <cellStyle name="20% - Accent4 2 6 2 11" xfId="24744"/>
    <cellStyle name="20% - Accent4 2 6 2 2" xfId="24745"/>
    <cellStyle name="20% - Accent4 2 6 2 2 10" xfId="24746"/>
    <cellStyle name="20% - Accent4 2 6 2 2 2" xfId="24747"/>
    <cellStyle name="20% - Accent4 2 6 2 2 2 2" xfId="24748"/>
    <cellStyle name="20% - Accent4 2 6 2 2 2 2 2" xfId="24749"/>
    <cellStyle name="20% - Accent4 2 6 2 2 2 3" xfId="24750"/>
    <cellStyle name="20% - Accent4 2 6 2 2 2 3 2" xfId="24751"/>
    <cellStyle name="20% - Accent4 2 6 2 2 2 4" xfId="24752"/>
    <cellStyle name="20% - Accent4 2 6 2 2 2 5" xfId="24753"/>
    <cellStyle name="20% - Accent4 2 6 2 2 2 6" xfId="24754"/>
    <cellStyle name="20% - Accent4 2 6 2 2 2 7" xfId="24755"/>
    <cellStyle name="20% - Accent4 2 6 2 2 3" xfId="24756"/>
    <cellStyle name="20% - Accent4 2 6 2 2 3 2" xfId="24757"/>
    <cellStyle name="20% - Accent4 2 6 2 2 3 2 2" xfId="24758"/>
    <cellStyle name="20% - Accent4 2 6 2 2 3 3" xfId="24759"/>
    <cellStyle name="20% - Accent4 2 6 2 2 3 3 2" xfId="24760"/>
    <cellStyle name="20% - Accent4 2 6 2 2 3 4" xfId="24761"/>
    <cellStyle name="20% - Accent4 2 6 2 2 3 5" xfId="24762"/>
    <cellStyle name="20% - Accent4 2 6 2 2 3 6" xfId="24763"/>
    <cellStyle name="20% - Accent4 2 6 2 2 3 7" xfId="24764"/>
    <cellStyle name="20% - Accent4 2 6 2 2 4" xfId="24765"/>
    <cellStyle name="20% - Accent4 2 6 2 2 4 2" xfId="24766"/>
    <cellStyle name="20% - Accent4 2 6 2 2 4 2 2" xfId="24767"/>
    <cellStyle name="20% - Accent4 2 6 2 2 4 3" xfId="24768"/>
    <cellStyle name="20% - Accent4 2 6 2 2 4 3 2" xfId="24769"/>
    <cellStyle name="20% - Accent4 2 6 2 2 4 4" xfId="24770"/>
    <cellStyle name="20% - Accent4 2 6 2 2 4 5" xfId="24771"/>
    <cellStyle name="20% - Accent4 2 6 2 2 4 6" xfId="24772"/>
    <cellStyle name="20% - Accent4 2 6 2 2 4 7" xfId="24773"/>
    <cellStyle name="20% - Accent4 2 6 2 2 5" xfId="24774"/>
    <cellStyle name="20% - Accent4 2 6 2 2 5 2" xfId="24775"/>
    <cellStyle name="20% - Accent4 2 6 2 2 6" xfId="24776"/>
    <cellStyle name="20% - Accent4 2 6 2 2 6 2" xfId="24777"/>
    <cellStyle name="20% - Accent4 2 6 2 2 7" xfId="24778"/>
    <cellStyle name="20% - Accent4 2 6 2 2 8" xfId="24779"/>
    <cellStyle name="20% - Accent4 2 6 2 2 9" xfId="24780"/>
    <cellStyle name="20% - Accent4 2 6 2 3" xfId="24781"/>
    <cellStyle name="20% - Accent4 2 6 2 3 2" xfId="24782"/>
    <cellStyle name="20% - Accent4 2 6 2 3 2 2" xfId="24783"/>
    <cellStyle name="20% - Accent4 2 6 2 3 3" xfId="24784"/>
    <cellStyle name="20% - Accent4 2 6 2 3 3 2" xfId="24785"/>
    <cellStyle name="20% - Accent4 2 6 2 3 4" xfId="24786"/>
    <cellStyle name="20% - Accent4 2 6 2 3 5" xfId="24787"/>
    <cellStyle name="20% - Accent4 2 6 2 3 6" xfId="24788"/>
    <cellStyle name="20% - Accent4 2 6 2 3 7" xfId="24789"/>
    <cellStyle name="20% - Accent4 2 6 2 4" xfId="24790"/>
    <cellStyle name="20% - Accent4 2 6 2 4 2" xfId="24791"/>
    <cellStyle name="20% - Accent4 2 6 2 4 2 2" xfId="24792"/>
    <cellStyle name="20% - Accent4 2 6 2 4 3" xfId="24793"/>
    <cellStyle name="20% - Accent4 2 6 2 4 3 2" xfId="24794"/>
    <cellStyle name="20% - Accent4 2 6 2 4 4" xfId="24795"/>
    <cellStyle name="20% - Accent4 2 6 2 4 5" xfId="24796"/>
    <cellStyle name="20% - Accent4 2 6 2 4 6" xfId="24797"/>
    <cellStyle name="20% - Accent4 2 6 2 4 7" xfId="24798"/>
    <cellStyle name="20% - Accent4 2 6 2 5" xfId="24799"/>
    <cellStyle name="20% - Accent4 2 6 2 5 2" xfId="24800"/>
    <cellStyle name="20% - Accent4 2 6 2 5 2 2" xfId="24801"/>
    <cellStyle name="20% - Accent4 2 6 2 5 3" xfId="24802"/>
    <cellStyle name="20% - Accent4 2 6 2 5 3 2" xfId="24803"/>
    <cellStyle name="20% - Accent4 2 6 2 5 4" xfId="24804"/>
    <cellStyle name="20% - Accent4 2 6 2 5 5" xfId="24805"/>
    <cellStyle name="20% - Accent4 2 6 2 5 6" xfId="24806"/>
    <cellStyle name="20% - Accent4 2 6 2 5 7" xfId="24807"/>
    <cellStyle name="20% - Accent4 2 6 2 6" xfId="24808"/>
    <cellStyle name="20% - Accent4 2 6 2 6 2" xfId="24809"/>
    <cellStyle name="20% - Accent4 2 6 2 7" xfId="24810"/>
    <cellStyle name="20% - Accent4 2 6 2 7 2" xfId="24811"/>
    <cellStyle name="20% - Accent4 2 6 2 8" xfId="24812"/>
    <cellStyle name="20% - Accent4 2 6 2 9" xfId="24813"/>
    <cellStyle name="20% - Accent4 2 6 3" xfId="24814"/>
    <cellStyle name="20% - Accent4 2 6 3 10" xfId="24815"/>
    <cellStyle name="20% - Accent4 2 6 3 11" xfId="24816"/>
    <cellStyle name="20% - Accent4 2 6 3 2" xfId="24817"/>
    <cellStyle name="20% - Accent4 2 6 3 2 10" xfId="24818"/>
    <cellStyle name="20% - Accent4 2 6 3 2 2" xfId="24819"/>
    <cellStyle name="20% - Accent4 2 6 3 2 2 2" xfId="24820"/>
    <cellStyle name="20% - Accent4 2 6 3 2 2 2 2" xfId="24821"/>
    <cellStyle name="20% - Accent4 2 6 3 2 2 3" xfId="24822"/>
    <cellStyle name="20% - Accent4 2 6 3 2 2 3 2" xfId="24823"/>
    <cellStyle name="20% - Accent4 2 6 3 2 2 4" xfId="24824"/>
    <cellStyle name="20% - Accent4 2 6 3 2 2 5" xfId="24825"/>
    <cellStyle name="20% - Accent4 2 6 3 2 2 6" xfId="24826"/>
    <cellStyle name="20% - Accent4 2 6 3 2 2 7" xfId="24827"/>
    <cellStyle name="20% - Accent4 2 6 3 2 3" xfId="24828"/>
    <cellStyle name="20% - Accent4 2 6 3 2 3 2" xfId="24829"/>
    <cellStyle name="20% - Accent4 2 6 3 2 3 2 2" xfId="24830"/>
    <cellStyle name="20% - Accent4 2 6 3 2 3 3" xfId="24831"/>
    <cellStyle name="20% - Accent4 2 6 3 2 3 3 2" xfId="24832"/>
    <cellStyle name="20% - Accent4 2 6 3 2 3 4" xfId="24833"/>
    <cellStyle name="20% - Accent4 2 6 3 2 3 5" xfId="24834"/>
    <cellStyle name="20% - Accent4 2 6 3 2 3 6" xfId="24835"/>
    <cellStyle name="20% - Accent4 2 6 3 2 3 7" xfId="24836"/>
    <cellStyle name="20% - Accent4 2 6 3 2 4" xfId="24837"/>
    <cellStyle name="20% - Accent4 2 6 3 2 4 2" xfId="24838"/>
    <cellStyle name="20% - Accent4 2 6 3 2 4 2 2" xfId="24839"/>
    <cellStyle name="20% - Accent4 2 6 3 2 4 3" xfId="24840"/>
    <cellStyle name="20% - Accent4 2 6 3 2 4 3 2" xfId="24841"/>
    <cellStyle name="20% - Accent4 2 6 3 2 4 4" xfId="24842"/>
    <cellStyle name="20% - Accent4 2 6 3 2 4 5" xfId="24843"/>
    <cellStyle name="20% - Accent4 2 6 3 2 4 6" xfId="24844"/>
    <cellStyle name="20% - Accent4 2 6 3 2 4 7" xfId="24845"/>
    <cellStyle name="20% - Accent4 2 6 3 2 5" xfId="24846"/>
    <cellStyle name="20% - Accent4 2 6 3 2 5 2" xfId="24847"/>
    <cellStyle name="20% - Accent4 2 6 3 2 6" xfId="24848"/>
    <cellStyle name="20% - Accent4 2 6 3 2 6 2" xfId="24849"/>
    <cellStyle name="20% - Accent4 2 6 3 2 7" xfId="24850"/>
    <cellStyle name="20% - Accent4 2 6 3 2 8" xfId="24851"/>
    <cellStyle name="20% - Accent4 2 6 3 2 9" xfId="24852"/>
    <cellStyle name="20% - Accent4 2 6 3 3" xfId="24853"/>
    <cellStyle name="20% - Accent4 2 6 3 3 2" xfId="24854"/>
    <cellStyle name="20% - Accent4 2 6 3 3 2 2" xfId="24855"/>
    <cellStyle name="20% - Accent4 2 6 3 3 3" xfId="24856"/>
    <cellStyle name="20% - Accent4 2 6 3 3 3 2" xfId="24857"/>
    <cellStyle name="20% - Accent4 2 6 3 3 4" xfId="24858"/>
    <cellStyle name="20% - Accent4 2 6 3 3 5" xfId="24859"/>
    <cellStyle name="20% - Accent4 2 6 3 3 6" xfId="24860"/>
    <cellStyle name="20% - Accent4 2 6 3 3 7" xfId="24861"/>
    <cellStyle name="20% - Accent4 2 6 3 4" xfId="24862"/>
    <cellStyle name="20% - Accent4 2 6 3 4 2" xfId="24863"/>
    <cellStyle name="20% - Accent4 2 6 3 4 2 2" xfId="24864"/>
    <cellStyle name="20% - Accent4 2 6 3 4 3" xfId="24865"/>
    <cellStyle name="20% - Accent4 2 6 3 4 3 2" xfId="24866"/>
    <cellStyle name="20% - Accent4 2 6 3 4 4" xfId="24867"/>
    <cellStyle name="20% - Accent4 2 6 3 4 5" xfId="24868"/>
    <cellStyle name="20% - Accent4 2 6 3 4 6" xfId="24869"/>
    <cellStyle name="20% - Accent4 2 6 3 4 7" xfId="24870"/>
    <cellStyle name="20% - Accent4 2 6 3 5" xfId="24871"/>
    <cellStyle name="20% - Accent4 2 6 3 5 2" xfId="24872"/>
    <cellStyle name="20% - Accent4 2 6 3 5 2 2" xfId="24873"/>
    <cellStyle name="20% - Accent4 2 6 3 5 3" xfId="24874"/>
    <cellStyle name="20% - Accent4 2 6 3 5 3 2" xfId="24875"/>
    <cellStyle name="20% - Accent4 2 6 3 5 4" xfId="24876"/>
    <cellStyle name="20% - Accent4 2 6 3 5 5" xfId="24877"/>
    <cellStyle name="20% - Accent4 2 6 3 5 6" xfId="24878"/>
    <cellStyle name="20% - Accent4 2 6 3 5 7" xfId="24879"/>
    <cellStyle name="20% - Accent4 2 6 3 6" xfId="24880"/>
    <cellStyle name="20% - Accent4 2 6 3 6 2" xfId="24881"/>
    <cellStyle name="20% - Accent4 2 6 3 7" xfId="24882"/>
    <cellStyle name="20% - Accent4 2 6 3 7 2" xfId="24883"/>
    <cellStyle name="20% - Accent4 2 6 3 8" xfId="24884"/>
    <cellStyle name="20% - Accent4 2 6 3 9" xfId="24885"/>
    <cellStyle name="20% - Accent4 2 6 4" xfId="24886"/>
    <cellStyle name="20% - Accent4 2 6 4 10" xfId="24887"/>
    <cellStyle name="20% - Accent4 2 6 4 2" xfId="24888"/>
    <cellStyle name="20% - Accent4 2 6 4 2 2" xfId="24889"/>
    <cellStyle name="20% - Accent4 2 6 4 2 2 2" xfId="24890"/>
    <cellStyle name="20% - Accent4 2 6 4 2 3" xfId="24891"/>
    <cellStyle name="20% - Accent4 2 6 4 2 3 2" xfId="24892"/>
    <cellStyle name="20% - Accent4 2 6 4 2 4" xfId="24893"/>
    <cellStyle name="20% - Accent4 2 6 4 2 5" xfId="24894"/>
    <cellStyle name="20% - Accent4 2 6 4 2 6" xfId="24895"/>
    <cellStyle name="20% - Accent4 2 6 4 2 7" xfId="24896"/>
    <cellStyle name="20% - Accent4 2 6 4 3" xfId="24897"/>
    <cellStyle name="20% - Accent4 2 6 4 3 2" xfId="24898"/>
    <cellStyle name="20% - Accent4 2 6 4 3 2 2" xfId="24899"/>
    <cellStyle name="20% - Accent4 2 6 4 3 3" xfId="24900"/>
    <cellStyle name="20% - Accent4 2 6 4 3 3 2" xfId="24901"/>
    <cellStyle name="20% - Accent4 2 6 4 3 4" xfId="24902"/>
    <cellStyle name="20% - Accent4 2 6 4 3 5" xfId="24903"/>
    <cellStyle name="20% - Accent4 2 6 4 3 6" xfId="24904"/>
    <cellStyle name="20% - Accent4 2 6 4 3 7" xfId="24905"/>
    <cellStyle name="20% - Accent4 2 6 4 4" xfId="24906"/>
    <cellStyle name="20% - Accent4 2 6 4 4 2" xfId="24907"/>
    <cellStyle name="20% - Accent4 2 6 4 4 2 2" xfId="24908"/>
    <cellStyle name="20% - Accent4 2 6 4 4 3" xfId="24909"/>
    <cellStyle name="20% - Accent4 2 6 4 4 3 2" xfId="24910"/>
    <cellStyle name="20% - Accent4 2 6 4 4 4" xfId="24911"/>
    <cellStyle name="20% - Accent4 2 6 4 4 5" xfId="24912"/>
    <cellStyle name="20% - Accent4 2 6 4 4 6" xfId="24913"/>
    <cellStyle name="20% - Accent4 2 6 4 4 7" xfId="24914"/>
    <cellStyle name="20% - Accent4 2 6 4 5" xfId="24915"/>
    <cellStyle name="20% - Accent4 2 6 4 5 2" xfId="24916"/>
    <cellStyle name="20% - Accent4 2 6 4 6" xfId="24917"/>
    <cellStyle name="20% - Accent4 2 6 4 6 2" xfId="24918"/>
    <cellStyle name="20% - Accent4 2 6 4 7" xfId="24919"/>
    <cellStyle name="20% - Accent4 2 6 4 8" xfId="24920"/>
    <cellStyle name="20% - Accent4 2 6 4 9" xfId="24921"/>
    <cellStyle name="20% - Accent4 2 6 5" xfId="24922"/>
    <cellStyle name="20% - Accent4 2 6 5 2" xfId="24923"/>
    <cellStyle name="20% - Accent4 2 6 5 2 2" xfId="24924"/>
    <cellStyle name="20% - Accent4 2 6 5 3" xfId="24925"/>
    <cellStyle name="20% - Accent4 2 6 5 3 2" xfId="24926"/>
    <cellStyle name="20% - Accent4 2 6 5 4" xfId="24927"/>
    <cellStyle name="20% - Accent4 2 6 5 5" xfId="24928"/>
    <cellStyle name="20% - Accent4 2 6 5 6" xfId="24929"/>
    <cellStyle name="20% - Accent4 2 6 5 7" xfId="24930"/>
    <cellStyle name="20% - Accent4 2 6 6" xfId="24931"/>
    <cellStyle name="20% - Accent4 2 6 6 2" xfId="24932"/>
    <cellStyle name="20% - Accent4 2 6 6 2 2" xfId="24933"/>
    <cellStyle name="20% - Accent4 2 6 6 3" xfId="24934"/>
    <cellStyle name="20% - Accent4 2 6 6 3 2" xfId="24935"/>
    <cellStyle name="20% - Accent4 2 6 6 4" xfId="24936"/>
    <cellStyle name="20% - Accent4 2 6 6 5" xfId="24937"/>
    <cellStyle name="20% - Accent4 2 6 6 6" xfId="24938"/>
    <cellStyle name="20% - Accent4 2 6 6 7" xfId="24939"/>
    <cellStyle name="20% - Accent4 2 6 7" xfId="24940"/>
    <cellStyle name="20% - Accent4 2 6 7 2" xfId="24941"/>
    <cellStyle name="20% - Accent4 2 6 7 2 2" xfId="24942"/>
    <cellStyle name="20% - Accent4 2 6 7 3" xfId="24943"/>
    <cellStyle name="20% - Accent4 2 6 7 3 2" xfId="24944"/>
    <cellStyle name="20% - Accent4 2 6 7 4" xfId="24945"/>
    <cellStyle name="20% - Accent4 2 6 7 5" xfId="24946"/>
    <cellStyle name="20% - Accent4 2 6 7 6" xfId="24947"/>
    <cellStyle name="20% - Accent4 2 6 7 7" xfId="24948"/>
    <cellStyle name="20% - Accent4 2 6 8" xfId="24949"/>
    <cellStyle name="20% - Accent4 2 6 8 2" xfId="24950"/>
    <cellStyle name="20% - Accent4 2 6 9" xfId="24951"/>
    <cellStyle name="20% - Accent4 2 6 9 2" xfId="24952"/>
    <cellStyle name="20% - Accent4 2 7" xfId="24953"/>
    <cellStyle name="20% - Accent4 2 7 10" xfId="24954"/>
    <cellStyle name="20% - Accent4 2 7 11" xfId="24955"/>
    <cellStyle name="20% - Accent4 2 7 2" xfId="24956"/>
    <cellStyle name="20% - Accent4 2 7 2 10" xfId="24957"/>
    <cellStyle name="20% - Accent4 2 7 2 2" xfId="24958"/>
    <cellStyle name="20% - Accent4 2 7 2 2 2" xfId="24959"/>
    <cellStyle name="20% - Accent4 2 7 2 2 2 2" xfId="24960"/>
    <cellStyle name="20% - Accent4 2 7 2 2 3" xfId="24961"/>
    <cellStyle name="20% - Accent4 2 7 2 2 3 2" xfId="24962"/>
    <cellStyle name="20% - Accent4 2 7 2 2 4" xfId="24963"/>
    <cellStyle name="20% - Accent4 2 7 2 2 5" xfId="24964"/>
    <cellStyle name="20% - Accent4 2 7 2 2 6" xfId="24965"/>
    <cellStyle name="20% - Accent4 2 7 2 2 7" xfId="24966"/>
    <cellStyle name="20% - Accent4 2 7 2 3" xfId="24967"/>
    <cellStyle name="20% - Accent4 2 7 2 3 2" xfId="24968"/>
    <cellStyle name="20% - Accent4 2 7 2 3 2 2" xfId="24969"/>
    <cellStyle name="20% - Accent4 2 7 2 3 3" xfId="24970"/>
    <cellStyle name="20% - Accent4 2 7 2 3 3 2" xfId="24971"/>
    <cellStyle name="20% - Accent4 2 7 2 3 4" xfId="24972"/>
    <cellStyle name="20% - Accent4 2 7 2 3 5" xfId="24973"/>
    <cellStyle name="20% - Accent4 2 7 2 3 6" xfId="24974"/>
    <cellStyle name="20% - Accent4 2 7 2 3 7" xfId="24975"/>
    <cellStyle name="20% - Accent4 2 7 2 4" xfId="24976"/>
    <cellStyle name="20% - Accent4 2 7 2 4 2" xfId="24977"/>
    <cellStyle name="20% - Accent4 2 7 2 4 2 2" xfId="24978"/>
    <cellStyle name="20% - Accent4 2 7 2 4 3" xfId="24979"/>
    <cellStyle name="20% - Accent4 2 7 2 4 3 2" xfId="24980"/>
    <cellStyle name="20% - Accent4 2 7 2 4 4" xfId="24981"/>
    <cellStyle name="20% - Accent4 2 7 2 4 5" xfId="24982"/>
    <cellStyle name="20% - Accent4 2 7 2 4 6" xfId="24983"/>
    <cellStyle name="20% - Accent4 2 7 2 4 7" xfId="24984"/>
    <cellStyle name="20% - Accent4 2 7 2 5" xfId="24985"/>
    <cellStyle name="20% - Accent4 2 7 2 5 2" xfId="24986"/>
    <cellStyle name="20% - Accent4 2 7 2 6" xfId="24987"/>
    <cellStyle name="20% - Accent4 2 7 2 6 2" xfId="24988"/>
    <cellStyle name="20% - Accent4 2 7 2 7" xfId="24989"/>
    <cellStyle name="20% - Accent4 2 7 2 8" xfId="24990"/>
    <cellStyle name="20% - Accent4 2 7 2 9" xfId="24991"/>
    <cellStyle name="20% - Accent4 2 7 3" xfId="24992"/>
    <cellStyle name="20% - Accent4 2 7 3 2" xfId="24993"/>
    <cellStyle name="20% - Accent4 2 7 3 2 2" xfId="24994"/>
    <cellStyle name="20% - Accent4 2 7 3 3" xfId="24995"/>
    <cellStyle name="20% - Accent4 2 7 3 3 2" xfId="24996"/>
    <cellStyle name="20% - Accent4 2 7 3 4" xfId="24997"/>
    <cellStyle name="20% - Accent4 2 7 3 5" xfId="24998"/>
    <cellStyle name="20% - Accent4 2 7 3 6" xfId="24999"/>
    <cellStyle name="20% - Accent4 2 7 3 7" xfId="25000"/>
    <cellStyle name="20% - Accent4 2 7 4" xfId="25001"/>
    <cellStyle name="20% - Accent4 2 7 4 2" xfId="25002"/>
    <cellStyle name="20% - Accent4 2 7 4 2 2" xfId="25003"/>
    <cellStyle name="20% - Accent4 2 7 4 3" xfId="25004"/>
    <cellStyle name="20% - Accent4 2 7 4 3 2" xfId="25005"/>
    <cellStyle name="20% - Accent4 2 7 4 4" xfId="25006"/>
    <cellStyle name="20% - Accent4 2 7 4 5" xfId="25007"/>
    <cellStyle name="20% - Accent4 2 7 4 6" xfId="25008"/>
    <cellStyle name="20% - Accent4 2 7 4 7" xfId="25009"/>
    <cellStyle name="20% - Accent4 2 7 5" xfId="25010"/>
    <cellStyle name="20% - Accent4 2 7 5 2" xfId="25011"/>
    <cellStyle name="20% - Accent4 2 7 5 2 2" xfId="25012"/>
    <cellStyle name="20% - Accent4 2 7 5 3" xfId="25013"/>
    <cellStyle name="20% - Accent4 2 7 5 3 2" xfId="25014"/>
    <cellStyle name="20% - Accent4 2 7 5 4" xfId="25015"/>
    <cellStyle name="20% - Accent4 2 7 5 5" xfId="25016"/>
    <cellStyle name="20% - Accent4 2 7 5 6" xfId="25017"/>
    <cellStyle name="20% - Accent4 2 7 5 7" xfId="25018"/>
    <cellStyle name="20% - Accent4 2 7 6" xfId="25019"/>
    <cellStyle name="20% - Accent4 2 7 6 2" xfId="25020"/>
    <cellStyle name="20% - Accent4 2 7 7" xfId="25021"/>
    <cellStyle name="20% - Accent4 2 7 7 2" xfId="25022"/>
    <cellStyle name="20% - Accent4 2 7 8" xfId="25023"/>
    <cellStyle name="20% - Accent4 2 7 9" xfId="25024"/>
    <cellStyle name="20% - Accent4 2 8" xfId="25025"/>
    <cellStyle name="20% - Accent4 2 8 10" xfId="25026"/>
    <cellStyle name="20% - Accent4 2 8 11" xfId="25027"/>
    <cellStyle name="20% - Accent4 2 8 2" xfId="25028"/>
    <cellStyle name="20% - Accent4 2 8 2 10" xfId="25029"/>
    <cellStyle name="20% - Accent4 2 8 2 2" xfId="25030"/>
    <cellStyle name="20% - Accent4 2 8 2 2 2" xfId="25031"/>
    <cellStyle name="20% - Accent4 2 8 2 2 2 2" xfId="25032"/>
    <cellStyle name="20% - Accent4 2 8 2 2 3" xfId="25033"/>
    <cellStyle name="20% - Accent4 2 8 2 2 3 2" xfId="25034"/>
    <cellStyle name="20% - Accent4 2 8 2 2 4" xfId="25035"/>
    <cellStyle name="20% - Accent4 2 8 2 2 5" xfId="25036"/>
    <cellStyle name="20% - Accent4 2 8 2 2 6" xfId="25037"/>
    <cellStyle name="20% - Accent4 2 8 2 2 7" xfId="25038"/>
    <cellStyle name="20% - Accent4 2 8 2 3" xfId="25039"/>
    <cellStyle name="20% - Accent4 2 8 2 3 2" xfId="25040"/>
    <cellStyle name="20% - Accent4 2 8 2 3 2 2" xfId="25041"/>
    <cellStyle name="20% - Accent4 2 8 2 3 3" xfId="25042"/>
    <cellStyle name="20% - Accent4 2 8 2 3 3 2" xfId="25043"/>
    <cellStyle name="20% - Accent4 2 8 2 3 4" xfId="25044"/>
    <cellStyle name="20% - Accent4 2 8 2 3 5" xfId="25045"/>
    <cellStyle name="20% - Accent4 2 8 2 3 6" xfId="25046"/>
    <cellStyle name="20% - Accent4 2 8 2 3 7" xfId="25047"/>
    <cellStyle name="20% - Accent4 2 8 2 4" xfId="25048"/>
    <cellStyle name="20% - Accent4 2 8 2 4 2" xfId="25049"/>
    <cellStyle name="20% - Accent4 2 8 2 4 2 2" xfId="25050"/>
    <cellStyle name="20% - Accent4 2 8 2 4 3" xfId="25051"/>
    <cellStyle name="20% - Accent4 2 8 2 4 3 2" xfId="25052"/>
    <cellStyle name="20% - Accent4 2 8 2 4 4" xfId="25053"/>
    <cellStyle name="20% - Accent4 2 8 2 4 5" xfId="25054"/>
    <cellStyle name="20% - Accent4 2 8 2 4 6" xfId="25055"/>
    <cellStyle name="20% - Accent4 2 8 2 4 7" xfId="25056"/>
    <cellStyle name="20% - Accent4 2 8 2 5" xfId="25057"/>
    <cellStyle name="20% - Accent4 2 8 2 5 2" xfId="25058"/>
    <cellStyle name="20% - Accent4 2 8 2 6" xfId="25059"/>
    <cellStyle name="20% - Accent4 2 8 2 6 2" xfId="25060"/>
    <cellStyle name="20% - Accent4 2 8 2 7" xfId="25061"/>
    <cellStyle name="20% - Accent4 2 8 2 8" xfId="25062"/>
    <cellStyle name="20% - Accent4 2 8 2 9" xfId="25063"/>
    <cellStyle name="20% - Accent4 2 8 3" xfId="25064"/>
    <cellStyle name="20% - Accent4 2 8 3 2" xfId="25065"/>
    <cellStyle name="20% - Accent4 2 8 3 2 2" xfId="25066"/>
    <cellStyle name="20% - Accent4 2 8 3 3" xfId="25067"/>
    <cellStyle name="20% - Accent4 2 8 3 3 2" xfId="25068"/>
    <cellStyle name="20% - Accent4 2 8 3 4" xfId="25069"/>
    <cellStyle name="20% - Accent4 2 8 3 5" xfId="25070"/>
    <cellStyle name="20% - Accent4 2 8 3 6" xfId="25071"/>
    <cellStyle name="20% - Accent4 2 8 3 7" xfId="25072"/>
    <cellStyle name="20% - Accent4 2 8 4" xfId="25073"/>
    <cellStyle name="20% - Accent4 2 8 4 2" xfId="25074"/>
    <cellStyle name="20% - Accent4 2 8 4 2 2" xfId="25075"/>
    <cellStyle name="20% - Accent4 2 8 4 3" xfId="25076"/>
    <cellStyle name="20% - Accent4 2 8 4 3 2" xfId="25077"/>
    <cellStyle name="20% - Accent4 2 8 4 4" xfId="25078"/>
    <cellStyle name="20% - Accent4 2 8 4 5" xfId="25079"/>
    <cellStyle name="20% - Accent4 2 8 4 6" xfId="25080"/>
    <cellStyle name="20% - Accent4 2 8 4 7" xfId="25081"/>
    <cellStyle name="20% - Accent4 2 8 5" xfId="25082"/>
    <cellStyle name="20% - Accent4 2 8 5 2" xfId="25083"/>
    <cellStyle name="20% - Accent4 2 8 5 2 2" xfId="25084"/>
    <cellStyle name="20% - Accent4 2 8 5 3" xfId="25085"/>
    <cellStyle name="20% - Accent4 2 8 5 3 2" xfId="25086"/>
    <cellStyle name="20% - Accent4 2 8 5 4" xfId="25087"/>
    <cellStyle name="20% - Accent4 2 8 5 5" xfId="25088"/>
    <cellStyle name="20% - Accent4 2 8 5 6" xfId="25089"/>
    <cellStyle name="20% - Accent4 2 8 5 7" xfId="25090"/>
    <cellStyle name="20% - Accent4 2 8 6" xfId="25091"/>
    <cellStyle name="20% - Accent4 2 8 6 2" xfId="25092"/>
    <cellStyle name="20% - Accent4 2 8 7" xfId="25093"/>
    <cellStyle name="20% - Accent4 2 8 7 2" xfId="25094"/>
    <cellStyle name="20% - Accent4 2 8 8" xfId="25095"/>
    <cellStyle name="20% - Accent4 2 8 9" xfId="25096"/>
    <cellStyle name="20% - Accent4 2 9" xfId="25097"/>
    <cellStyle name="20% - Accent4 2 9 10" xfId="25098"/>
    <cellStyle name="20% - Accent4 2 9 2" xfId="25099"/>
    <cellStyle name="20% - Accent4 2 9 2 2" xfId="25100"/>
    <cellStyle name="20% - Accent4 2 9 2 2 2" xfId="25101"/>
    <cellStyle name="20% - Accent4 2 9 2 3" xfId="25102"/>
    <cellStyle name="20% - Accent4 2 9 2 3 2" xfId="25103"/>
    <cellStyle name="20% - Accent4 2 9 2 4" xfId="25104"/>
    <cellStyle name="20% - Accent4 2 9 2 5" xfId="25105"/>
    <cellStyle name="20% - Accent4 2 9 2 6" xfId="25106"/>
    <cellStyle name="20% - Accent4 2 9 2 7" xfId="25107"/>
    <cellStyle name="20% - Accent4 2 9 3" xfId="25108"/>
    <cellStyle name="20% - Accent4 2 9 3 2" xfId="25109"/>
    <cellStyle name="20% - Accent4 2 9 3 2 2" xfId="25110"/>
    <cellStyle name="20% - Accent4 2 9 3 3" xfId="25111"/>
    <cellStyle name="20% - Accent4 2 9 3 3 2" xfId="25112"/>
    <cellStyle name="20% - Accent4 2 9 3 4" xfId="25113"/>
    <cellStyle name="20% - Accent4 2 9 3 5" xfId="25114"/>
    <cellStyle name="20% - Accent4 2 9 3 6" xfId="25115"/>
    <cellStyle name="20% - Accent4 2 9 3 7" xfId="25116"/>
    <cellStyle name="20% - Accent4 2 9 4" xfId="25117"/>
    <cellStyle name="20% - Accent4 2 9 4 2" xfId="25118"/>
    <cellStyle name="20% - Accent4 2 9 4 2 2" xfId="25119"/>
    <cellStyle name="20% - Accent4 2 9 4 3" xfId="25120"/>
    <cellStyle name="20% - Accent4 2 9 4 3 2" xfId="25121"/>
    <cellStyle name="20% - Accent4 2 9 4 4" xfId="25122"/>
    <cellStyle name="20% - Accent4 2 9 4 5" xfId="25123"/>
    <cellStyle name="20% - Accent4 2 9 4 6" xfId="25124"/>
    <cellStyle name="20% - Accent4 2 9 4 7" xfId="25125"/>
    <cellStyle name="20% - Accent4 2 9 5" xfId="25126"/>
    <cellStyle name="20% - Accent4 2 9 5 2" xfId="25127"/>
    <cellStyle name="20% - Accent4 2 9 6" xfId="25128"/>
    <cellStyle name="20% - Accent4 2 9 6 2" xfId="25129"/>
    <cellStyle name="20% - Accent4 2 9 7" xfId="25130"/>
    <cellStyle name="20% - Accent4 2 9 8" xfId="25131"/>
    <cellStyle name="20% - Accent4 2 9 9" xfId="25132"/>
    <cellStyle name="20% - Accent4 2_10-15-10-Stmt AU - Period I - Working 1 0" xfId="159"/>
    <cellStyle name="20% - Accent4 3" xfId="160"/>
    <cellStyle name="20% - Accent4 3 10" xfId="25133"/>
    <cellStyle name="20% - Accent4 3 10 2" xfId="25134"/>
    <cellStyle name="20% - Accent4 3 10 2 2" xfId="25135"/>
    <cellStyle name="20% - Accent4 3 10 3" xfId="25136"/>
    <cellStyle name="20% - Accent4 3 10 3 2" xfId="25137"/>
    <cellStyle name="20% - Accent4 3 10 4" xfId="25138"/>
    <cellStyle name="20% - Accent4 3 10 5" xfId="25139"/>
    <cellStyle name="20% - Accent4 3 10 6" xfId="25140"/>
    <cellStyle name="20% - Accent4 3 10 7" xfId="25141"/>
    <cellStyle name="20% - Accent4 3 11" xfId="25142"/>
    <cellStyle name="20% - Accent4 3 11 2" xfId="25143"/>
    <cellStyle name="20% - Accent4 3 11 2 2" xfId="25144"/>
    <cellStyle name="20% - Accent4 3 11 3" xfId="25145"/>
    <cellStyle name="20% - Accent4 3 11 3 2" xfId="25146"/>
    <cellStyle name="20% - Accent4 3 11 4" xfId="25147"/>
    <cellStyle name="20% - Accent4 3 11 5" xfId="25148"/>
    <cellStyle name="20% - Accent4 3 11 6" xfId="25149"/>
    <cellStyle name="20% - Accent4 3 11 7" xfId="25150"/>
    <cellStyle name="20% - Accent4 3 12" xfId="25151"/>
    <cellStyle name="20% - Accent4 3 12 2" xfId="25152"/>
    <cellStyle name="20% - Accent4 3 12 2 2" xfId="25153"/>
    <cellStyle name="20% - Accent4 3 12 3" xfId="25154"/>
    <cellStyle name="20% - Accent4 3 12 3 2" xfId="25155"/>
    <cellStyle name="20% - Accent4 3 12 4" xfId="25156"/>
    <cellStyle name="20% - Accent4 3 12 5" xfId="25157"/>
    <cellStyle name="20% - Accent4 3 12 6" xfId="25158"/>
    <cellStyle name="20% - Accent4 3 12 7" xfId="25159"/>
    <cellStyle name="20% - Accent4 3 13" xfId="25160"/>
    <cellStyle name="20% - Accent4 3 13 2" xfId="25161"/>
    <cellStyle name="20% - Accent4 3 14" xfId="25162"/>
    <cellStyle name="20% - Accent4 3 14 2" xfId="25163"/>
    <cellStyle name="20% - Accent4 3 15" xfId="25164"/>
    <cellStyle name="20% - Accent4 3 16" xfId="25165"/>
    <cellStyle name="20% - Accent4 3 17" xfId="25166"/>
    <cellStyle name="20% - Accent4 3 18" xfId="25167"/>
    <cellStyle name="20% - Accent4 3 2" xfId="161"/>
    <cellStyle name="20% - Accent4 3 2 10" xfId="25168"/>
    <cellStyle name="20% - Accent4 3 2 11" xfId="25169"/>
    <cellStyle name="20% - Accent4 3 2 12" xfId="25170"/>
    <cellStyle name="20% - Accent4 3 2 13" xfId="25171"/>
    <cellStyle name="20% - Accent4 3 2 2" xfId="25172"/>
    <cellStyle name="20% - Accent4 3 2 2 10" xfId="25173"/>
    <cellStyle name="20% - Accent4 3 2 2 11" xfId="25174"/>
    <cellStyle name="20% - Accent4 3 2 2 2" xfId="25175"/>
    <cellStyle name="20% - Accent4 3 2 2 2 10" xfId="25176"/>
    <cellStyle name="20% - Accent4 3 2 2 2 2" xfId="25177"/>
    <cellStyle name="20% - Accent4 3 2 2 2 2 2" xfId="25178"/>
    <cellStyle name="20% - Accent4 3 2 2 2 2 2 2" xfId="25179"/>
    <cellStyle name="20% - Accent4 3 2 2 2 2 3" xfId="25180"/>
    <cellStyle name="20% - Accent4 3 2 2 2 2 3 2" xfId="25181"/>
    <cellStyle name="20% - Accent4 3 2 2 2 2 4" xfId="25182"/>
    <cellStyle name="20% - Accent4 3 2 2 2 2 5" xfId="25183"/>
    <cellStyle name="20% - Accent4 3 2 2 2 2 6" xfId="25184"/>
    <cellStyle name="20% - Accent4 3 2 2 2 2 7" xfId="25185"/>
    <cellStyle name="20% - Accent4 3 2 2 2 3" xfId="25186"/>
    <cellStyle name="20% - Accent4 3 2 2 2 3 2" xfId="25187"/>
    <cellStyle name="20% - Accent4 3 2 2 2 3 2 2" xfId="25188"/>
    <cellStyle name="20% - Accent4 3 2 2 2 3 3" xfId="25189"/>
    <cellStyle name="20% - Accent4 3 2 2 2 3 3 2" xfId="25190"/>
    <cellStyle name="20% - Accent4 3 2 2 2 3 4" xfId="25191"/>
    <cellStyle name="20% - Accent4 3 2 2 2 3 5" xfId="25192"/>
    <cellStyle name="20% - Accent4 3 2 2 2 3 6" xfId="25193"/>
    <cellStyle name="20% - Accent4 3 2 2 2 3 7" xfId="25194"/>
    <cellStyle name="20% - Accent4 3 2 2 2 4" xfId="25195"/>
    <cellStyle name="20% - Accent4 3 2 2 2 4 2" xfId="25196"/>
    <cellStyle name="20% - Accent4 3 2 2 2 4 2 2" xfId="25197"/>
    <cellStyle name="20% - Accent4 3 2 2 2 4 3" xfId="25198"/>
    <cellStyle name="20% - Accent4 3 2 2 2 4 3 2" xfId="25199"/>
    <cellStyle name="20% - Accent4 3 2 2 2 4 4" xfId="25200"/>
    <cellStyle name="20% - Accent4 3 2 2 2 4 5" xfId="25201"/>
    <cellStyle name="20% - Accent4 3 2 2 2 4 6" xfId="25202"/>
    <cellStyle name="20% - Accent4 3 2 2 2 4 7" xfId="25203"/>
    <cellStyle name="20% - Accent4 3 2 2 2 5" xfId="25204"/>
    <cellStyle name="20% - Accent4 3 2 2 2 5 2" xfId="25205"/>
    <cellStyle name="20% - Accent4 3 2 2 2 6" xfId="25206"/>
    <cellStyle name="20% - Accent4 3 2 2 2 6 2" xfId="25207"/>
    <cellStyle name="20% - Accent4 3 2 2 2 7" xfId="25208"/>
    <cellStyle name="20% - Accent4 3 2 2 2 8" xfId="25209"/>
    <cellStyle name="20% - Accent4 3 2 2 2 9" xfId="25210"/>
    <cellStyle name="20% - Accent4 3 2 2 3" xfId="25211"/>
    <cellStyle name="20% - Accent4 3 2 2 3 2" xfId="25212"/>
    <cellStyle name="20% - Accent4 3 2 2 3 2 2" xfId="25213"/>
    <cellStyle name="20% - Accent4 3 2 2 3 3" xfId="25214"/>
    <cellStyle name="20% - Accent4 3 2 2 3 3 2" xfId="25215"/>
    <cellStyle name="20% - Accent4 3 2 2 3 4" xfId="25216"/>
    <cellStyle name="20% - Accent4 3 2 2 3 5" xfId="25217"/>
    <cellStyle name="20% - Accent4 3 2 2 3 6" xfId="25218"/>
    <cellStyle name="20% - Accent4 3 2 2 3 7" xfId="25219"/>
    <cellStyle name="20% - Accent4 3 2 2 4" xfId="25220"/>
    <cellStyle name="20% - Accent4 3 2 2 4 2" xfId="25221"/>
    <cellStyle name="20% - Accent4 3 2 2 4 2 2" xfId="25222"/>
    <cellStyle name="20% - Accent4 3 2 2 4 3" xfId="25223"/>
    <cellStyle name="20% - Accent4 3 2 2 4 3 2" xfId="25224"/>
    <cellStyle name="20% - Accent4 3 2 2 4 4" xfId="25225"/>
    <cellStyle name="20% - Accent4 3 2 2 4 5" xfId="25226"/>
    <cellStyle name="20% - Accent4 3 2 2 4 6" xfId="25227"/>
    <cellStyle name="20% - Accent4 3 2 2 4 7" xfId="25228"/>
    <cellStyle name="20% - Accent4 3 2 2 5" xfId="25229"/>
    <cellStyle name="20% - Accent4 3 2 2 5 2" xfId="25230"/>
    <cellStyle name="20% - Accent4 3 2 2 5 2 2" xfId="25231"/>
    <cellStyle name="20% - Accent4 3 2 2 5 3" xfId="25232"/>
    <cellStyle name="20% - Accent4 3 2 2 5 3 2" xfId="25233"/>
    <cellStyle name="20% - Accent4 3 2 2 5 4" xfId="25234"/>
    <cellStyle name="20% - Accent4 3 2 2 5 5" xfId="25235"/>
    <cellStyle name="20% - Accent4 3 2 2 5 6" xfId="25236"/>
    <cellStyle name="20% - Accent4 3 2 2 5 7" xfId="25237"/>
    <cellStyle name="20% - Accent4 3 2 2 6" xfId="25238"/>
    <cellStyle name="20% - Accent4 3 2 2 6 2" xfId="25239"/>
    <cellStyle name="20% - Accent4 3 2 2 7" xfId="25240"/>
    <cellStyle name="20% - Accent4 3 2 2 7 2" xfId="25241"/>
    <cellStyle name="20% - Accent4 3 2 2 8" xfId="25242"/>
    <cellStyle name="20% - Accent4 3 2 2 9" xfId="25243"/>
    <cellStyle name="20% - Accent4 3 2 3" xfId="25244"/>
    <cellStyle name="20% - Accent4 3 2 3 10" xfId="25245"/>
    <cellStyle name="20% - Accent4 3 2 3 11" xfId="25246"/>
    <cellStyle name="20% - Accent4 3 2 3 2" xfId="25247"/>
    <cellStyle name="20% - Accent4 3 2 3 2 10" xfId="25248"/>
    <cellStyle name="20% - Accent4 3 2 3 2 2" xfId="25249"/>
    <cellStyle name="20% - Accent4 3 2 3 2 2 2" xfId="25250"/>
    <cellStyle name="20% - Accent4 3 2 3 2 2 2 2" xfId="25251"/>
    <cellStyle name="20% - Accent4 3 2 3 2 2 3" xfId="25252"/>
    <cellStyle name="20% - Accent4 3 2 3 2 2 3 2" xfId="25253"/>
    <cellStyle name="20% - Accent4 3 2 3 2 2 4" xfId="25254"/>
    <cellStyle name="20% - Accent4 3 2 3 2 2 5" xfId="25255"/>
    <cellStyle name="20% - Accent4 3 2 3 2 2 6" xfId="25256"/>
    <cellStyle name="20% - Accent4 3 2 3 2 2 7" xfId="25257"/>
    <cellStyle name="20% - Accent4 3 2 3 2 3" xfId="25258"/>
    <cellStyle name="20% - Accent4 3 2 3 2 3 2" xfId="25259"/>
    <cellStyle name="20% - Accent4 3 2 3 2 3 2 2" xfId="25260"/>
    <cellStyle name="20% - Accent4 3 2 3 2 3 3" xfId="25261"/>
    <cellStyle name="20% - Accent4 3 2 3 2 3 3 2" xfId="25262"/>
    <cellStyle name="20% - Accent4 3 2 3 2 3 4" xfId="25263"/>
    <cellStyle name="20% - Accent4 3 2 3 2 3 5" xfId="25264"/>
    <cellStyle name="20% - Accent4 3 2 3 2 3 6" xfId="25265"/>
    <cellStyle name="20% - Accent4 3 2 3 2 3 7" xfId="25266"/>
    <cellStyle name="20% - Accent4 3 2 3 2 4" xfId="25267"/>
    <cellStyle name="20% - Accent4 3 2 3 2 4 2" xfId="25268"/>
    <cellStyle name="20% - Accent4 3 2 3 2 4 2 2" xfId="25269"/>
    <cellStyle name="20% - Accent4 3 2 3 2 4 3" xfId="25270"/>
    <cellStyle name="20% - Accent4 3 2 3 2 4 3 2" xfId="25271"/>
    <cellStyle name="20% - Accent4 3 2 3 2 4 4" xfId="25272"/>
    <cellStyle name="20% - Accent4 3 2 3 2 4 5" xfId="25273"/>
    <cellStyle name="20% - Accent4 3 2 3 2 4 6" xfId="25274"/>
    <cellStyle name="20% - Accent4 3 2 3 2 4 7" xfId="25275"/>
    <cellStyle name="20% - Accent4 3 2 3 2 5" xfId="25276"/>
    <cellStyle name="20% - Accent4 3 2 3 2 5 2" xfId="25277"/>
    <cellStyle name="20% - Accent4 3 2 3 2 6" xfId="25278"/>
    <cellStyle name="20% - Accent4 3 2 3 2 6 2" xfId="25279"/>
    <cellStyle name="20% - Accent4 3 2 3 2 7" xfId="25280"/>
    <cellStyle name="20% - Accent4 3 2 3 2 8" xfId="25281"/>
    <cellStyle name="20% - Accent4 3 2 3 2 9" xfId="25282"/>
    <cellStyle name="20% - Accent4 3 2 3 3" xfId="25283"/>
    <cellStyle name="20% - Accent4 3 2 3 3 2" xfId="25284"/>
    <cellStyle name="20% - Accent4 3 2 3 3 2 2" xfId="25285"/>
    <cellStyle name="20% - Accent4 3 2 3 3 3" xfId="25286"/>
    <cellStyle name="20% - Accent4 3 2 3 3 3 2" xfId="25287"/>
    <cellStyle name="20% - Accent4 3 2 3 3 4" xfId="25288"/>
    <cellStyle name="20% - Accent4 3 2 3 3 5" xfId="25289"/>
    <cellStyle name="20% - Accent4 3 2 3 3 6" xfId="25290"/>
    <cellStyle name="20% - Accent4 3 2 3 3 7" xfId="25291"/>
    <cellStyle name="20% - Accent4 3 2 3 4" xfId="25292"/>
    <cellStyle name="20% - Accent4 3 2 3 4 2" xfId="25293"/>
    <cellStyle name="20% - Accent4 3 2 3 4 2 2" xfId="25294"/>
    <cellStyle name="20% - Accent4 3 2 3 4 3" xfId="25295"/>
    <cellStyle name="20% - Accent4 3 2 3 4 3 2" xfId="25296"/>
    <cellStyle name="20% - Accent4 3 2 3 4 4" xfId="25297"/>
    <cellStyle name="20% - Accent4 3 2 3 4 5" xfId="25298"/>
    <cellStyle name="20% - Accent4 3 2 3 4 6" xfId="25299"/>
    <cellStyle name="20% - Accent4 3 2 3 4 7" xfId="25300"/>
    <cellStyle name="20% - Accent4 3 2 3 5" xfId="25301"/>
    <cellStyle name="20% - Accent4 3 2 3 5 2" xfId="25302"/>
    <cellStyle name="20% - Accent4 3 2 3 5 2 2" xfId="25303"/>
    <cellStyle name="20% - Accent4 3 2 3 5 3" xfId="25304"/>
    <cellStyle name="20% - Accent4 3 2 3 5 3 2" xfId="25305"/>
    <cellStyle name="20% - Accent4 3 2 3 5 4" xfId="25306"/>
    <cellStyle name="20% - Accent4 3 2 3 5 5" xfId="25307"/>
    <cellStyle name="20% - Accent4 3 2 3 5 6" xfId="25308"/>
    <cellStyle name="20% - Accent4 3 2 3 5 7" xfId="25309"/>
    <cellStyle name="20% - Accent4 3 2 3 6" xfId="25310"/>
    <cellStyle name="20% - Accent4 3 2 3 6 2" xfId="25311"/>
    <cellStyle name="20% - Accent4 3 2 3 7" xfId="25312"/>
    <cellStyle name="20% - Accent4 3 2 3 7 2" xfId="25313"/>
    <cellStyle name="20% - Accent4 3 2 3 8" xfId="25314"/>
    <cellStyle name="20% - Accent4 3 2 3 9" xfId="25315"/>
    <cellStyle name="20% - Accent4 3 2 4" xfId="25316"/>
    <cellStyle name="20% - Accent4 3 2 4 10" xfId="25317"/>
    <cellStyle name="20% - Accent4 3 2 4 2" xfId="25318"/>
    <cellStyle name="20% - Accent4 3 2 4 2 2" xfId="25319"/>
    <cellStyle name="20% - Accent4 3 2 4 2 2 2" xfId="25320"/>
    <cellStyle name="20% - Accent4 3 2 4 2 3" xfId="25321"/>
    <cellStyle name="20% - Accent4 3 2 4 2 3 2" xfId="25322"/>
    <cellStyle name="20% - Accent4 3 2 4 2 4" xfId="25323"/>
    <cellStyle name="20% - Accent4 3 2 4 2 5" xfId="25324"/>
    <cellStyle name="20% - Accent4 3 2 4 2 6" xfId="25325"/>
    <cellStyle name="20% - Accent4 3 2 4 2 7" xfId="25326"/>
    <cellStyle name="20% - Accent4 3 2 4 3" xfId="25327"/>
    <cellStyle name="20% - Accent4 3 2 4 3 2" xfId="25328"/>
    <cellStyle name="20% - Accent4 3 2 4 3 2 2" xfId="25329"/>
    <cellStyle name="20% - Accent4 3 2 4 3 3" xfId="25330"/>
    <cellStyle name="20% - Accent4 3 2 4 3 3 2" xfId="25331"/>
    <cellStyle name="20% - Accent4 3 2 4 3 4" xfId="25332"/>
    <cellStyle name="20% - Accent4 3 2 4 3 5" xfId="25333"/>
    <cellStyle name="20% - Accent4 3 2 4 3 6" xfId="25334"/>
    <cellStyle name="20% - Accent4 3 2 4 3 7" xfId="25335"/>
    <cellStyle name="20% - Accent4 3 2 4 4" xfId="25336"/>
    <cellStyle name="20% - Accent4 3 2 4 4 2" xfId="25337"/>
    <cellStyle name="20% - Accent4 3 2 4 4 2 2" xfId="25338"/>
    <cellStyle name="20% - Accent4 3 2 4 4 3" xfId="25339"/>
    <cellStyle name="20% - Accent4 3 2 4 4 3 2" xfId="25340"/>
    <cellStyle name="20% - Accent4 3 2 4 4 4" xfId="25341"/>
    <cellStyle name="20% - Accent4 3 2 4 4 5" xfId="25342"/>
    <cellStyle name="20% - Accent4 3 2 4 4 6" xfId="25343"/>
    <cellStyle name="20% - Accent4 3 2 4 4 7" xfId="25344"/>
    <cellStyle name="20% - Accent4 3 2 4 5" xfId="25345"/>
    <cellStyle name="20% - Accent4 3 2 4 5 2" xfId="25346"/>
    <cellStyle name="20% - Accent4 3 2 4 6" xfId="25347"/>
    <cellStyle name="20% - Accent4 3 2 4 6 2" xfId="25348"/>
    <cellStyle name="20% - Accent4 3 2 4 7" xfId="25349"/>
    <cellStyle name="20% - Accent4 3 2 4 8" xfId="25350"/>
    <cellStyle name="20% - Accent4 3 2 4 9" xfId="25351"/>
    <cellStyle name="20% - Accent4 3 2 5" xfId="25352"/>
    <cellStyle name="20% - Accent4 3 2 5 2" xfId="25353"/>
    <cellStyle name="20% - Accent4 3 2 5 2 2" xfId="25354"/>
    <cellStyle name="20% - Accent4 3 2 5 3" xfId="25355"/>
    <cellStyle name="20% - Accent4 3 2 5 3 2" xfId="25356"/>
    <cellStyle name="20% - Accent4 3 2 5 4" xfId="25357"/>
    <cellStyle name="20% - Accent4 3 2 5 5" xfId="25358"/>
    <cellStyle name="20% - Accent4 3 2 5 6" xfId="25359"/>
    <cellStyle name="20% - Accent4 3 2 5 7" xfId="25360"/>
    <cellStyle name="20% - Accent4 3 2 6" xfId="25361"/>
    <cellStyle name="20% - Accent4 3 2 6 2" xfId="25362"/>
    <cellStyle name="20% - Accent4 3 2 6 2 2" xfId="25363"/>
    <cellStyle name="20% - Accent4 3 2 6 3" xfId="25364"/>
    <cellStyle name="20% - Accent4 3 2 6 3 2" xfId="25365"/>
    <cellStyle name="20% - Accent4 3 2 6 4" xfId="25366"/>
    <cellStyle name="20% - Accent4 3 2 6 5" xfId="25367"/>
    <cellStyle name="20% - Accent4 3 2 6 6" xfId="25368"/>
    <cellStyle name="20% - Accent4 3 2 6 7" xfId="25369"/>
    <cellStyle name="20% - Accent4 3 2 7" xfId="25370"/>
    <cellStyle name="20% - Accent4 3 2 7 2" xfId="25371"/>
    <cellStyle name="20% - Accent4 3 2 7 2 2" xfId="25372"/>
    <cellStyle name="20% - Accent4 3 2 7 3" xfId="25373"/>
    <cellStyle name="20% - Accent4 3 2 7 3 2" xfId="25374"/>
    <cellStyle name="20% - Accent4 3 2 7 4" xfId="25375"/>
    <cellStyle name="20% - Accent4 3 2 7 5" xfId="25376"/>
    <cellStyle name="20% - Accent4 3 2 7 6" xfId="25377"/>
    <cellStyle name="20% - Accent4 3 2 7 7" xfId="25378"/>
    <cellStyle name="20% - Accent4 3 2 8" xfId="25379"/>
    <cellStyle name="20% - Accent4 3 2 8 2" xfId="25380"/>
    <cellStyle name="20% - Accent4 3 2 9" xfId="25381"/>
    <cellStyle name="20% - Accent4 3 2 9 2" xfId="25382"/>
    <cellStyle name="20% - Accent4 3 3" xfId="162"/>
    <cellStyle name="20% - Accent4 3 3 10" xfId="25383"/>
    <cellStyle name="20% - Accent4 3 3 11" xfId="25384"/>
    <cellStyle name="20% - Accent4 3 3 12" xfId="25385"/>
    <cellStyle name="20% - Accent4 3 3 13" xfId="25386"/>
    <cellStyle name="20% - Accent4 3 3 2" xfId="25387"/>
    <cellStyle name="20% - Accent4 3 3 2 10" xfId="25388"/>
    <cellStyle name="20% - Accent4 3 3 2 11" xfId="25389"/>
    <cellStyle name="20% - Accent4 3 3 2 2" xfId="25390"/>
    <cellStyle name="20% - Accent4 3 3 2 2 10" xfId="25391"/>
    <cellStyle name="20% - Accent4 3 3 2 2 2" xfId="25392"/>
    <cellStyle name="20% - Accent4 3 3 2 2 2 2" xfId="25393"/>
    <cellStyle name="20% - Accent4 3 3 2 2 2 2 2" xfId="25394"/>
    <cellStyle name="20% - Accent4 3 3 2 2 2 3" xfId="25395"/>
    <cellStyle name="20% - Accent4 3 3 2 2 2 3 2" xfId="25396"/>
    <cellStyle name="20% - Accent4 3 3 2 2 2 4" xfId="25397"/>
    <cellStyle name="20% - Accent4 3 3 2 2 2 5" xfId="25398"/>
    <cellStyle name="20% - Accent4 3 3 2 2 2 6" xfId="25399"/>
    <cellStyle name="20% - Accent4 3 3 2 2 2 7" xfId="25400"/>
    <cellStyle name="20% - Accent4 3 3 2 2 3" xfId="25401"/>
    <cellStyle name="20% - Accent4 3 3 2 2 3 2" xfId="25402"/>
    <cellStyle name="20% - Accent4 3 3 2 2 3 2 2" xfId="25403"/>
    <cellStyle name="20% - Accent4 3 3 2 2 3 3" xfId="25404"/>
    <cellStyle name="20% - Accent4 3 3 2 2 3 3 2" xfId="25405"/>
    <cellStyle name="20% - Accent4 3 3 2 2 3 4" xfId="25406"/>
    <cellStyle name="20% - Accent4 3 3 2 2 3 5" xfId="25407"/>
    <cellStyle name="20% - Accent4 3 3 2 2 3 6" xfId="25408"/>
    <cellStyle name="20% - Accent4 3 3 2 2 3 7" xfId="25409"/>
    <cellStyle name="20% - Accent4 3 3 2 2 4" xfId="25410"/>
    <cellStyle name="20% - Accent4 3 3 2 2 4 2" xfId="25411"/>
    <cellStyle name="20% - Accent4 3 3 2 2 4 2 2" xfId="25412"/>
    <cellStyle name="20% - Accent4 3 3 2 2 4 3" xfId="25413"/>
    <cellStyle name="20% - Accent4 3 3 2 2 4 3 2" xfId="25414"/>
    <cellStyle name="20% - Accent4 3 3 2 2 4 4" xfId="25415"/>
    <cellStyle name="20% - Accent4 3 3 2 2 4 5" xfId="25416"/>
    <cellStyle name="20% - Accent4 3 3 2 2 4 6" xfId="25417"/>
    <cellStyle name="20% - Accent4 3 3 2 2 4 7" xfId="25418"/>
    <cellStyle name="20% - Accent4 3 3 2 2 5" xfId="25419"/>
    <cellStyle name="20% - Accent4 3 3 2 2 5 2" xfId="25420"/>
    <cellStyle name="20% - Accent4 3 3 2 2 6" xfId="25421"/>
    <cellStyle name="20% - Accent4 3 3 2 2 6 2" xfId="25422"/>
    <cellStyle name="20% - Accent4 3 3 2 2 7" xfId="25423"/>
    <cellStyle name="20% - Accent4 3 3 2 2 8" xfId="25424"/>
    <cellStyle name="20% - Accent4 3 3 2 2 9" xfId="25425"/>
    <cellStyle name="20% - Accent4 3 3 2 3" xfId="25426"/>
    <cellStyle name="20% - Accent4 3 3 2 3 2" xfId="25427"/>
    <cellStyle name="20% - Accent4 3 3 2 3 2 2" xfId="25428"/>
    <cellStyle name="20% - Accent4 3 3 2 3 3" xfId="25429"/>
    <cellStyle name="20% - Accent4 3 3 2 3 3 2" xfId="25430"/>
    <cellStyle name="20% - Accent4 3 3 2 3 4" xfId="25431"/>
    <cellStyle name="20% - Accent4 3 3 2 3 5" xfId="25432"/>
    <cellStyle name="20% - Accent4 3 3 2 3 6" xfId="25433"/>
    <cellStyle name="20% - Accent4 3 3 2 3 7" xfId="25434"/>
    <cellStyle name="20% - Accent4 3 3 2 4" xfId="25435"/>
    <cellStyle name="20% - Accent4 3 3 2 4 2" xfId="25436"/>
    <cellStyle name="20% - Accent4 3 3 2 4 2 2" xfId="25437"/>
    <cellStyle name="20% - Accent4 3 3 2 4 3" xfId="25438"/>
    <cellStyle name="20% - Accent4 3 3 2 4 3 2" xfId="25439"/>
    <cellStyle name="20% - Accent4 3 3 2 4 4" xfId="25440"/>
    <cellStyle name="20% - Accent4 3 3 2 4 5" xfId="25441"/>
    <cellStyle name="20% - Accent4 3 3 2 4 6" xfId="25442"/>
    <cellStyle name="20% - Accent4 3 3 2 4 7" xfId="25443"/>
    <cellStyle name="20% - Accent4 3 3 2 5" xfId="25444"/>
    <cellStyle name="20% - Accent4 3 3 2 5 2" xfId="25445"/>
    <cellStyle name="20% - Accent4 3 3 2 5 2 2" xfId="25446"/>
    <cellStyle name="20% - Accent4 3 3 2 5 3" xfId="25447"/>
    <cellStyle name="20% - Accent4 3 3 2 5 3 2" xfId="25448"/>
    <cellStyle name="20% - Accent4 3 3 2 5 4" xfId="25449"/>
    <cellStyle name="20% - Accent4 3 3 2 5 5" xfId="25450"/>
    <cellStyle name="20% - Accent4 3 3 2 5 6" xfId="25451"/>
    <cellStyle name="20% - Accent4 3 3 2 5 7" xfId="25452"/>
    <cellStyle name="20% - Accent4 3 3 2 6" xfId="25453"/>
    <cellStyle name="20% - Accent4 3 3 2 6 2" xfId="25454"/>
    <cellStyle name="20% - Accent4 3 3 2 7" xfId="25455"/>
    <cellStyle name="20% - Accent4 3 3 2 7 2" xfId="25456"/>
    <cellStyle name="20% - Accent4 3 3 2 8" xfId="25457"/>
    <cellStyle name="20% - Accent4 3 3 2 9" xfId="25458"/>
    <cellStyle name="20% - Accent4 3 3 3" xfId="25459"/>
    <cellStyle name="20% - Accent4 3 3 3 10" xfId="25460"/>
    <cellStyle name="20% - Accent4 3 3 3 11" xfId="25461"/>
    <cellStyle name="20% - Accent4 3 3 3 2" xfId="25462"/>
    <cellStyle name="20% - Accent4 3 3 3 2 10" xfId="25463"/>
    <cellStyle name="20% - Accent4 3 3 3 2 2" xfId="25464"/>
    <cellStyle name="20% - Accent4 3 3 3 2 2 2" xfId="25465"/>
    <cellStyle name="20% - Accent4 3 3 3 2 2 2 2" xfId="25466"/>
    <cellStyle name="20% - Accent4 3 3 3 2 2 3" xfId="25467"/>
    <cellStyle name="20% - Accent4 3 3 3 2 2 3 2" xfId="25468"/>
    <cellStyle name="20% - Accent4 3 3 3 2 2 4" xfId="25469"/>
    <cellStyle name="20% - Accent4 3 3 3 2 2 5" xfId="25470"/>
    <cellStyle name="20% - Accent4 3 3 3 2 2 6" xfId="25471"/>
    <cellStyle name="20% - Accent4 3 3 3 2 2 7" xfId="25472"/>
    <cellStyle name="20% - Accent4 3 3 3 2 3" xfId="25473"/>
    <cellStyle name="20% - Accent4 3 3 3 2 3 2" xfId="25474"/>
    <cellStyle name="20% - Accent4 3 3 3 2 3 2 2" xfId="25475"/>
    <cellStyle name="20% - Accent4 3 3 3 2 3 3" xfId="25476"/>
    <cellStyle name="20% - Accent4 3 3 3 2 3 3 2" xfId="25477"/>
    <cellStyle name="20% - Accent4 3 3 3 2 3 4" xfId="25478"/>
    <cellStyle name="20% - Accent4 3 3 3 2 3 5" xfId="25479"/>
    <cellStyle name="20% - Accent4 3 3 3 2 3 6" xfId="25480"/>
    <cellStyle name="20% - Accent4 3 3 3 2 3 7" xfId="25481"/>
    <cellStyle name="20% - Accent4 3 3 3 2 4" xfId="25482"/>
    <cellStyle name="20% - Accent4 3 3 3 2 4 2" xfId="25483"/>
    <cellStyle name="20% - Accent4 3 3 3 2 4 2 2" xfId="25484"/>
    <cellStyle name="20% - Accent4 3 3 3 2 4 3" xfId="25485"/>
    <cellStyle name="20% - Accent4 3 3 3 2 4 3 2" xfId="25486"/>
    <cellStyle name="20% - Accent4 3 3 3 2 4 4" xfId="25487"/>
    <cellStyle name="20% - Accent4 3 3 3 2 4 5" xfId="25488"/>
    <cellStyle name="20% - Accent4 3 3 3 2 4 6" xfId="25489"/>
    <cellStyle name="20% - Accent4 3 3 3 2 4 7" xfId="25490"/>
    <cellStyle name="20% - Accent4 3 3 3 2 5" xfId="25491"/>
    <cellStyle name="20% - Accent4 3 3 3 2 5 2" xfId="25492"/>
    <cellStyle name="20% - Accent4 3 3 3 2 6" xfId="25493"/>
    <cellStyle name="20% - Accent4 3 3 3 2 6 2" xfId="25494"/>
    <cellStyle name="20% - Accent4 3 3 3 2 7" xfId="25495"/>
    <cellStyle name="20% - Accent4 3 3 3 2 8" xfId="25496"/>
    <cellStyle name="20% - Accent4 3 3 3 2 9" xfId="25497"/>
    <cellStyle name="20% - Accent4 3 3 3 3" xfId="25498"/>
    <cellStyle name="20% - Accent4 3 3 3 3 2" xfId="25499"/>
    <cellStyle name="20% - Accent4 3 3 3 3 2 2" xfId="25500"/>
    <cellStyle name="20% - Accent4 3 3 3 3 3" xfId="25501"/>
    <cellStyle name="20% - Accent4 3 3 3 3 3 2" xfId="25502"/>
    <cellStyle name="20% - Accent4 3 3 3 3 4" xfId="25503"/>
    <cellStyle name="20% - Accent4 3 3 3 3 5" xfId="25504"/>
    <cellStyle name="20% - Accent4 3 3 3 3 6" xfId="25505"/>
    <cellStyle name="20% - Accent4 3 3 3 3 7" xfId="25506"/>
    <cellStyle name="20% - Accent4 3 3 3 4" xfId="25507"/>
    <cellStyle name="20% - Accent4 3 3 3 4 2" xfId="25508"/>
    <cellStyle name="20% - Accent4 3 3 3 4 2 2" xfId="25509"/>
    <cellStyle name="20% - Accent4 3 3 3 4 3" xfId="25510"/>
    <cellStyle name="20% - Accent4 3 3 3 4 3 2" xfId="25511"/>
    <cellStyle name="20% - Accent4 3 3 3 4 4" xfId="25512"/>
    <cellStyle name="20% - Accent4 3 3 3 4 5" xfId="25513"/>
    <cellStyle name="20% - Accent4 3 3 3 4 6" xfId="25514"/>
    <cellStyle name="20% - Accent4 3 3 3 4 7" xfId="25515"/>
    <cellStyle name="20% - Accent4 3 3 3 5" xfId="25516"/>
    <cellStyle name="20% - Accent4 3 3 3 5 2" xfId="25517"/>
    <cellStyle name="20% - Accent4 3 3 3 5 2 2" xfId="25518"/>
    <cellStyle name="20% - Accent4 3 3 3 5 3" xfId="25519"/>
    <cellStyle name="20% - Accent4 3 3 3 5 3 2" xfId="25520"/>
    <cellStyle name="20% - Accent4 3 3 3 5 4" xfId="25521"/>
    <cellStyle name="20% - Accent4 3 3 3 5 5" xfId="25522"/>
    <cellStyle name="20% - Accent4 3 3 3 5 6" xfId="25523"/>
    <cellStyle name="20% - Accent4 3 3 3 5 7" xfId="25524"/>
    <cellStyle name="20% - Accent4 3 3 3 6" xfId="25525"/>
    <cellStyle name="20% - Accent4 3 3 3 6 2" xfId="25526"/>
    <cellStyle name="20% - Accent4 3 3 3 7" xfId="25527"/>
    <cellStyle name="20% - Accent4 3 3 3 7 2" xfId="25528"/>
    <cellStyle name="20% - Accent4 3 3 3 8" xfId="25529"/>
    <cellStyle name="20% - Accent4 3 3 3 9" xfId="25530"/>
    <cellStyle name="20% - Accent4 3 3 4" xfId="25531"/>
    <cellStyle name="20% - Accent4 3 3 4 10" xfId="25532"/>
    <cellStyle name="20% - Accent4 3 3 4 2" xfId="25533"/>
    <cellStyle name="20% - Accent4 3 3 4 2 2" xfId="25534"/>
    <cellStyle name="20% - Accent4 3 3 4 2 2 2" xfId="25535"/>
    <cellStyle name="20% - Accent4 3 3 4 2 3" xfId="25536"/>
    <cellStyle name="20% - Accent4 3 3 4 2 3 2" xfId="25537"/>
    <cellStyle name="20% - Accent4 3 3 4 2 4" xfId="25538"/>
    <cellStyle name="20% - Accent4 3 3 4 2 5" xfId="25539"/>
    <cellStyle name="20% - Accent4 3 3 4 2 6" xfId="25540"/>
    <cellStyle name="20% - Accent4 3 3 4 2 7" xfId="25541"/>
    <cellStyle name="20% - Accent4 3 3 4 3" xfId="25542"/>
    <cellStyle name="20% - Accent4 3 3 4 3 2" xfId="25543"/>
    <cellStyle name="20% - Accent4 3 3 4 3 2 2" xfId="25544"/>
    <cellStyle name="20% - Accent4 3 3 4 3 3" xfId="25545"/>
    <cellStyle name="20% - Accent4 3 3 4 3 3 2" xfId="25546"/>
    <cellStyle name="20% - Accent4 3 3 4 3 4" xfId="25547"/>
    <cellStyle name="20% - Accent4 3 3 4 3 5" xfId="25548"/>
    <cellStyle name="20% - Accent4 3 3 4 3 6" xfId="25549"/>
    <cellStyle name="20% - Accent4 3 3 4 3 7" xfId="25550"/>
    <cellStyle name="20% - Accent4 3 3 4 4" xfId="25551"/>
    <cellStyle name="20% - Accent4 3 3 4 4 2" xfId="25552"/>
    <cellStyle name="20% - Accent4 3 3 4 4 2 2" xfId="25553"/>
    <cellStyle name="20% - Accent4 3 3 4 4 3" xfId="25554"/>
    <cellStyle name="20% - Accent4 3 3 4 4 3 2" xfId="25555"/>
    <cellStyle name="20% - Accent4 3 3 4 4 4" xfId="25556"/>
    <cellStyle name="20% - Accent4 3 3 4 4 5" xfId="25557"/>
    <cellStyle name="20% - Accent4 3 3 4 4 6" xfId="25558"/>
    <cellStyle name="20% - Accent4 3 3 4 4 7" xfId="25559"/>
    <cellStyle name="20% - Accent4 3 3 4 5" xfId="25560"/>
    <cellStyle name="20% - Accent4 3 3 4 5 2" xfId="25561"/>
    <cellStyle name="20% - Accent4 3 3 4 6" xfId="25562"/>
    <cellStyle name="20% - Accent4 3 3 4 6 2" xfId="25563"/>
    <cellStyle name="20% - Accent4 3 3 4 7" xfId="25564"/>
    <cellStyle name="20% - Accent4 3 3 4 8" xfId="25565"/>
    <cellStyle name="20% - Accent4 3 3 4 9" xfId="25566"/>
    <cellStyle name="20% - Accent4 3 3 5" xfId="25567"/>
    <cellStyle name="20% - Accent4 3 3 5 2" xfId="25568"/>
    <cellStyle name="20% - Accent4 3 3 5 2 2" xfId="25569"/>
    <cellStyle name="20% - Accent4 3 3 5 3" xfId="25570"/>
    <cellStyle name="20% - Accent4 3 3 5 3 2" xfId="25571"/>
    <cellStyle name="20% - Accent4 3 3 5 4" xfId="25572"/>
    <cellStyle name="20% - Accent4 3 3 5 5" xfId="25573"/>
    <cellStyle name="20% - Accent4 3 3 5 6" xfId="25574"/>
    <cellStyle name="20% - Accent4 3 3 5 7" xfId="25575"/>
    <cellStyle name="20% - Accent4 3 3 6" xfId="25576"/>
    <cellStyle name="20% - Accent4 3 3 6 2" xfId="25577"/>
    <cellStyle name="20% - Accent4 3 3 6 2 2" xfId="25578"/>
    <cellStyle name="20% - Accent4 3 3 6 3" xfId="25579"/>
    <cellStyle name="20% - Accent4 3 3 6 3 2" xfId="25580"/>
    <cellStyle name="20% - Accent4 3 3 6 4" xfId="25581"/>
    <cellStyle name="20% - Accent4 3 3 6 5" xfId="25582"/>
    <cellStyle name="20% - Accent4 3 3 6 6" xfId="25583"/>
    <cellStyle name="20% - Accent4 3 3 6 7" xfId="25584"/>
    <cellStyle name="20% - Accent4 3 3 7" xfId="25585"/>
    <cellStyle name="20% - Accent4 3 3 7 2" xfId="25586"/>
    <cellStyle name="20% - Accent4 3 3 7 2 2" xfId="25587"/>
    <cellStyle name="20% - Accent4 3 3 7 3" xfId="25588"/>
    <cellStyle name="20% - Accent4 3 3 7 3 2" xfId="25589"/>
    <cellStyle name="20% - Accent4 3 3 7 4" xfId="25590"/>
    <cellStyle name="20% - Accent4 3 3 7 5" xfId="25591"/>
    <cellStyle name="20% - Accent4 3 3 7 6" xfId="25592"/>
    <cellStyle name="20% - Accent4 3 3 7 7" xfId="25593"/>
    <cellStyle name="20% - Accent4 3 3 8" xfId="25594"/>
    <cellStyle name="20% - Accent4 3 3 8 2" xfId="25595"/>
    <cellStyle name="20% - Accent4 3 3 9" xfId="25596"/>
    <cellStyle name="20% - Accent4 3 3 9 2" xfId="25597"/>
    <cellStyle name="20% - Accent4 3 4" xfId="25598"/>
    <cellStyle name="20% - Accent4 3 4 10" xfId="25599"/>
    <cellStyle name="20% - Accent4 3 4 11" xfId="25600"/>
    <cellStyle name="20% - Accent4 3 4 12" xfId="25601"/>
    <cellStyle name="20% - Accent4 3 4 13" xfId="25602"/>
    <cellStyle name="20% - Accent4 3 4 2" xfId="25603"/>
    <cellStyle name="20% - Accent4 3 4 2 10" xfId="25604"/>
    <cellStyle name="20% - Accent4 3 4 2 11" xfId="25605"/>
    <cellStyle name="20% - Accent4 3 4 2 2" xfId="25606"/>
    <cellStyle name="20% - Accent4 3 4 2 2 10" xfId="25607"/>
    <cellStyle name="20% - Accent4 3 4 2 2 2" xfId="25608"/>
    <cellStyle name="20% - Accent4 3 4 2 2 2 2" xfId="25609"/>
    <cellStyle name="20% - Accent4 3 4 2 2 2 2 2" xfId="25610"/>
    <cellStyle name="20% - Accent4 3 4 2 2 2 3" xfId="25611"/>
    <cellStyle name="20% - Accent4 3 4 2 2 2 3 2" xfId="25612"/>
    <cellStyle name="20% - Accent4 3 4 2 2 2 4" xfId="25613"/>
    <cellStyle name="20% - Accent4 3 4 2 2 2 5" xfId="25614"/>
    <cellStyle name="20% - Accent4 3 4 2 2 2 6" xfId="25615"/>
    <cellStyle name="20% - Accent4 3 4 2 2 2 7" xfId="25616"/>
    <cellStyle name="20% - Accent4 3 4 2 2 3" xfId="25617"/>
    <cellStyle name="20% - Accent4 3 4 2 2 3 2" xfId="25618"/>
    <cellStyle name="20% - Accent4 3 4 2 2 3 2 2" xfId="25619"/>
    <cellStyle name="20% - Accent4 3 4 2 2 3 3" xfId="25620"/>
    <cellStyle name="20% - Accent4 3 4 2 2 3 3 2" xfId="25621"/>
    <cellStyle name="20% - Accent4 3 4 2 2 3 4" xfId="25622"/>
    <cellStyle name="20% - Accent4 3 4 2 2 3 5" xfId="25623"/>
    <cellStyle name="20% - Accent4 3 4 2 2 3 6" xfId="25624"/>
    <cellStyle name="20% - Accent4 3 4 2 2 3 7" xfId="25625"/>
    <cellStyle name="20% - Accent4 3 4 2 2 4" xfId="25626"/>
    <cellStyle name="20% - Accent4 3 4 2 2 4 2" xfId="25627"/>
    <cellStyle name="20% - Accent4 3 4 2 2 4 2 2" xfId="25628"/>
    <cellStyle name="20% - Accent4 3 4 2 2 4 3" xfId="25629"/>
    <cellStyle name="20% - Accent4 3 4 2 2 4 3 2" xfId="25630"/>
    <cellStyle name="20% - Accent4 3 4 2 2 4 4" xfId="25631"/>
    <cellStyle name="20% - Accent4 3 4 2 2 4 5" xfId="25632"/>
    <cellStyle name="20% - Accent4 3 4 2 2 4 6" xfId="25633"/>
    <cellStyle name="20% - Accent4 3 4 2 2 4 7" xfId="25634"/>
    <cellStyle name="20% - Accent4 3 4 2 2 5" xfId="25635"/>
    <cellStyle name="20% - Accent4 3 4 2 2 5 2" xfId="25636"/>
    <cellStyle name="20% - Accent4 3 4 2 2 6" xfId="25637"/>
    <cellStyle name="20% - Accent4 3 4 2 2 6 2" xfId="25638"/>
    <cellStyle name="20% - Accent4 3 4 2 2 7" xfId="25639"/>
    <cellStyle name="20% - Accent4 3 4 2 2 8" xfId="25640"/>
    <cellStyle name="20% - Accent4 3 4 2 2 9" xfId="25641"/>
    <cellStyle name="20% - Accent4 3 4 2 3" xfId="25642"/>
    <cellStyle name="20% - Accent4 3 4 2 3 2" xfId="25643"/>
    <cellStyle name="20% - Accent4 3 4 2 3 2 2" xfId="25644"/>
    <cellStyle name="20% - Accent4 3 4 2 3 3" xfId="25645"/>
    <cellStyle name="20% - Accent4 3 4 2 3 3 2" xfId="25646"/>
    <cellStyle name="20% - Accent4 3 4 2 3 4" xfId="25647"/>
    <cellStyle name="20% - Accent4 3 4 2 3 5" xfId="25648"/>
    <cellStyle name="20% - Accent4 3 4 2 3 6" xfId="25649"/>
    <cellStyle name="20% - Accent4 3 4 2 3 7" xfId="25650"/>
    <cellStyle name="20% - Accent4 3 4 2 4" xfId="25651"/>
    <cellStyle name="20% - Accent4 3 4 2 4 2" xfId="25652"/>
    <cellStyle name="20% - Accent4 3 4 2 4 2 2" xfId="25653"/>
    <cellStyle name="20% - Accent4 3 4 2 4 3" xfId="25654"/>
    <cellStyle name="20% - Accent4 3 4 2 4 3 2" xfId="25655"/>
    <cellStyle name="20% - Accent4 3 4 2 4 4" xfId="25656"/>
    <cellStyle name="20% - Accent4 3 4 2 4 5" xfId="25657"/>
    <cellStyle name="20% - Accent4 3 4 2 4 6" xfId="25658"/>
    <cellStyle name="20% - Accent4 3 4 2 4 7" xfId="25659"/>
    <cellStyle name="20% - Accent4 3 4 2 5" xfId="25660"/>
    <cellStyle name="20% - Accent4 3 4 2 5 2" xfId="25661"/>
    <cellStyle name="20% - Accent4 3 4 2 5 2 2" xfId="25662"/>
    <cellStyle name="20% - Accent4 3 4 2 5 3" xfId="25663"/>
    <cellStyle name="20% - Accent4 3 4 2 5 3 2" xfId="25664"/>
    <cellStyle name="20% - Accent4 3 4 2 5 4" xfId="25665"/>
    <cellStyle name="20% - Accent4 3 4 2 5 5" xfId="25666"/>
    <cellStyle name="20% - Accent4 3 4 2 5 6" xfId="25667"/>
    <cellStyle name="20% - Accent4 3 4 2 5 7" xfId="25668"/>
    <cellStyle name="20% - Accent4 3 4 2 6" xfId="25669"/>
    <cellStyle name="20% - Accent4 3 4 2 6 2" xfId="25670"/>
    <cellStyle name="20% - Accent4 3 4 2 7" xfId="25671"/>
    <cellStyle name="20% - Accent4 3 4 2 7 2" xfId="25672"/>
    <cellStyle name="20% - Accent4 3 4 2 8" xfId="25673"/>
    <cellStyle name="20% - Accent4 3 4 2 9" xfId="25674"/>
    <cellStyle name="20% - Accent4 3 4 3" xfId="25675"/>
    <cellStyle name="20% - Accent4 3 4 3 10" xfId="25676"/>
    <cellStyle name="20% - Accent4 3 4 3 11" xfId="25677"/>
    <cellStyle name="20% - Accent4 3 4 3 2" xfId="25678"/>
    <cellStyle name="20% - Accent4 3 4 3 2 10" xfId="25679"/>
    <cellStyle name="20% - Accent4 3 4 3 2 2" xfId="25680"/>
    <cellStyle name="20% - Accent4 3 4 3 2 2 2" xfId="25681"/>
    <cellStyle name="20% - Accent4 3 4 3 2 2 2 2" xfId="25682"/>
    <cellStyle name="20% - Accent4 3 4 3 2 2 3" xfId="25683"/>
    <cellStyle name="20% - Accent4 3 4 3 2 2 3 2" xfId="25684"/>
    <cellStyle name="20% - Accent4 3 4 3 2 2 4" xfId="25685"/>
    <cellStyle name="20% - Accent4 3 4 3 2 2 5" xfId="25686"/>
    <cellStyle name="20% - Accent4 3 4 3 2 2 6" xfId="25687"/>
    <cellStyle name="20% - Accent4 3 4 3 2 2 7" xfId="25688"/>
    <cellStyle name="20% - Accent4 3 4 3 2 3" xfId="25689"/>
    <cellStyle name="20% - Accent4 3 4 3 2 3 2" xfId="25690"/>
    <cellStyle name="20% - Accent4 3 4 3 2 3 2 2" xfId="25691"/>
    <cellStyle name="20% - Accent4 3 4 3 2 3 3" xfId="25692"/>
    <cellStyle name="20% - Accent4 3 4 3 2 3 3 2" xfId="25693"/>
    <cellStyle name="20% - Accent4 3 4 3 2 3 4" xfId="25694"/>
    <cellStyle name="20% - Accent4 3 4 3 2 3 5" xfId="25695"/>
    <cellStyle name="20% - Accent4 3 4 3 2 3 6" xfId="25696"/>
    <cellStyle name="20% - Accent4 3 4 3 2 3 7" xfId="25697"/>
    <cellStyle name="20% - Accent4 3 4 3 2 4" xfId="25698"/>
    <cellStyle name="20% - Accent4 3 4 3 2 4 2" xfId="25699"/>
    <cellStyle name="20% - Accent4 3 4 3 2 4 2 2" xfId="25700"/>
    <cellStyle name="20% - Accent4 3 4 3 2 4 3" xfId="25701"/>
    <cellStyle name="20% - Accent4 3 4 3 2 4 3 2" xfId="25702"/>
    <cellStyle name="20% - Accent4 3 4 3 2 4 4" xfId="25703"/>
    <cellStyle name="20% - Accent4 3 4 3 2 4 5" xfId="25704"/>
    <cellStyle name="20% - Accent4 3 4 3 2 4 6" xfId="25705"/>
    <cellStyle name="20% - Accent4 3 4 3 2 4 7" xfId="25706"/>
    <cellStyle name="20% - Accent4 3 4 3 2 5" xfId="25707"/>
    <cellStyle name="20% - Accent4 3 4 3 2 5 2" xfId="25708"/>
    <cellStyle name="20% - Accent4 3 4 3 2 6" xfId="25709"/>
    <cellStyle name="20% - Accent4 3 4 3 2 6 2" xfId="25710"/>
    <cellStyle name="20% - Accent4 3 4 3 2 7" xfId="25711"/>
    <cellStyle name="20% - Accent4 3 4 3 2 8" xfId="25712"/>
    <cellStyle name="20% - Accent4 3 4 3 2 9" xfId="25713"/>
    <cellStyle name="20% - Accent4 3 4 3 3" xfId="25714"/>
    <cellStyle name="20% - Accent4 3 4 3 3 2" xfId="25715"/>
    <cellStyle name="20% - Accent4 3 4 3 3 2 2" xfId="25716"/>
    <cellStyle name="20% - Accent4 3 4 3 3 3" xfId="25717"/>
    <cellStyle name="20% - Accent4 3 4 3 3 3 2" xfId="25718"/>
    <cellStyle name="20% - Accent4 3 4 3 3 4" xfId="25719"/>
    <cellStyle name="20% - Accent4 3 4 3 3 5" xfId="25720"/>
    <cellStyle name="20% - Accent4 3 4 3 3 6" xfId="25721"/>
    <cellStyle name="20% - Accent4 3 4 3 3 7" xfId="25722"/>
    <cellStyle name="20% - Accent4 3 4 3 4" xfId="25723"/>
    <cellStyle name="20% - Accent4 3 4 3 4 2" xfId="25724"/>
    <cellStyle name="20% - Accent4 3 4 3 4 2 2" xfId="25725"/>
    <cellStyle name="20% - Accent4 3 4 3 4 3" xfId="25726"/>
    <cellStyle name="20% - Accent4 3 4 3 4 3 2" xfId="25727"/>
    <cellStyle name="20% - Accent4 3 4 3 4 4" xfId="25728"/>
    <cellStyle name="20% - Accent4 3 4 3 4 5" xfId="25729"/>
    <cellStyle name="20% - Accent4 3 4 3 4 6" xfId="25730"/>
    <cellStyle name="20% - Accent4 3 4 3 4 7" xfId="25731"/>
    <cellStyle name="20% - Accent4 3 4 3 5" xfId="25732"/>
    <cellStyle name="20% - Accent4 3 4 3 5 2" xfId="25733"/>
    <cellStyle name="20% - Accent4 3 4 3 5 2 2" xfId="25734"/>
    <cellStyle name="20% - Accent4 3 4 3 5 3" xfId="25735"/>
    <cellStyle name="20% - Accent4 3 4 3 5 3 2" xfId="25736"/>
    <cellStyle name="20% - Accent4 3 4 3 5 4" xfId="25737"/>
    <cellStyle name="20% - Accent4 3 4 3 5 5" xfId="25738"/>
    <cellStyle name="20% - Accent4 3 4 3 5 6" xfId="25739"/>
    <cellStyle name="20% - Accent4 3 4 3 5 7" xfId="25740"/>
    <cellStyle name="20% - Accent4 3 4 3 6" xfId="25741"/>
    <cellStyle name="20% - Accent4 3 4 3 6 2" xfId="25742"/>
    <cellStyle name="20% - Accent4 3 4 3 7" xfId="25743"/>
    <cellStyle name="20% - Accent4 3 4 3 7 2" xfId="25744"/>
    <cellStyle name="20% - Accent4 3 4 3 8" xfId="25745"/>
    <cellStyle name="20% - Accent4 3 4 3 9" xfId="25746"/>
    <cellStyle name="20% - Accent4 3 4 4" xfId="25747"/>
    <cellStyle name="20% - Accent4 3 4 4 10" xfId="25748"/>
    <cellStyle name="20% - Accent4 3 4 4 2" xfId="25749"/>
    <cellStyle name="20% - Accent4 3 4 4 2 2" xfId="25750"/>
    <cellStyle name="20% - Accent4 3 4 4 2 2 2" xfId="25751"/>
    <cellStyle name="20% - Accent4 3 4 4 2 3" xfId="25752"/>
    <cellStyle name="20% - Accent4 3 4 4 2 3 2" xfId="25753"/>
    <cellStyle name="20% - Accent4 3 4 4 2 4" xfId="25754"/>
    <cellStyle name="20% - Accent4 3 4 4 2 5" xfId="25755"/>
    <cellStyle name="20% - Accent4 3 4 4 2 6" xfId="25756"/>
    <cellStyle name="20% - Accent4 3 4 4 2 7" xfId="25757"/>
    <cellStyle name="20% - Accent4 3 4 4 3" xfId="25758"/>
    <cellStyle name="20% - Accent4 3 4 4 3 2" xfId="25759"/>
    <cellStyle name="20% - Accent4 3 4 4 3 2 2" xfId="25760"/>
    <cellStyle name="20% - Accent4 3 4 4 3 3" xfId="25761"/>
    <cellStyle name="20% - Accent4 3 4 4 3 3 2" xfId="25762"/>
    <cellStyle name="20% - Accent4 3 4 4 3 4" xfId="25763"/>
    <cellStyle name="20% - Accent4 3 4 4 3 5" xfId="25764"/>
    <cellStyle name="20% - Accent4 3 4 4 3 6" xfId="25765"/>
    <cellStyle name="20% - Accent4 3 4 4 3 7" xfId="25766"/>
    <cellStyle name="20% - Accent4 3 4 4 4" xfId="25767"/>
    <cellStyle name="20% - Accent4 3 4 4 4 2" xfId="25768"/>
    <cellStyle name="20% - Accent4 3 4 4 4 2 2" xfId="25769"/>
    <cellStyle name="20% - Accent4 3 4 4 4 3" xfId="25770"/>
    <cellStyle name="20% - Accent4 3 4 4 4 3 2" xfId="25771"/>
    <cellStyle name="20% - Accent4 3 4 4 4 4" xfId="25772"/>
    <cellStyle name="20% - Accent4 3 4 4 4 5" xfId="25773"/>
    <cellStyle name="20% - Accent4 3 4 4 4 6" xfId="25774"/>
    <cellStyle name="20% - Accent4 3 4 4 4 7" xfId="25775"/>
    <cellStyle name="20% - Accent4 3 4 4 5" xfId="25776"/>
    <cellStyle name="20% - Accent4 3 4 4 5 2" xfId="25777"/>
    <cellStyle name="20% - Accent4 3 4 4 6" xfId="25778"/>
    <cellStyle name="20% - Accent4 3 4 4 6 2" xfId="25779"/>
    <cellStyle name="20% - Accent4 3 4 4 7" xfId="25780"/>
    <cellStyle name="20% - Accent4 3 4 4 8" xfId="25781"/>
    <cellStyle name="20% - Accent4 3 4 4 9" xfId="25782"/>
    <cellStyle name="20% - Accent4 3 4 5" xfId="25783"/>
    <cellStyle name="20% - Accent4 3 4 5 2" xfId="25784"/>
    <cellStyle name="20% - Accent4 3 4 5 2 2" xfId="25785"/>
    <cellStyle name="20% - Accent4 3 4 5 3" xfId="25786"/>
    <cellStyle name="20% - Accent4 3 4 5 3 2" xfId="25787"/>
    <cellStyle name="20% - Accent4 3 4 5 4" xfId="25788"/>
    <cellStyle name="20% - Accent4 3 4 5 5" xfId="25789"/>
    <cellStyle name="20% - Accent4 3 4 5 6" xfId="25790"/>
    <cellStyle name="20% - Accent4 3 4 5 7" xfId="25791"/>
    <cellStyle name="20% - Accent4 3 4 6" xfId="25792"/>
    <cellStyle name="20% - Accent4 3 4 6 2" xfId="25793"/>
    <cellStyle name="20% - Accent4 3 4 6 2 2" xfId="25794"/>
    <cellStyle name="20% - Accent4 3 4 6 3" xfId="25795"/>
    <cellStyle name="20% - Accent4 3 4 6 3 2" xfId="25796"/>
    <cellStyle name="20% - Accent4 3 4 6 4" xfId="25797"/>
    <cellStyle name="20% - Accent4 3 4 6 5" xfId="25798"/>
    <cellStyle name="20% - Accent4 3 4 6 6" xfId="25799"/>
    <cellStyle name="20% - Accent4 3 4 6 7" xfId="25800"/>
    <cellStyle name="20% - Accent4 3 4 7" xfId="25801"/>
    <cellStyle name="20% - Accent4 3 4 7 2" xfId="25802"/>
    <cellStyle name="20% - Accent4 3 4 7 2 2" xfId="25803"/>
    <cellStyle name="20% - Accent4 3 4 7 3" xfId="25804"/>
    <cellStyle name="20% - Accent4 3 4 7 3 2" xfId="25805"/>
    <cellStyle name="20% - Accent4 3 4 7 4" xfId="25806"/>
    <cellStyle name="20% - Accent4 3 4 7 5" xfId="25807"/>
    <cellStyle name="20% - Accent4 3 4 7 6" xfId="25808"/>
    <cellStyle name="20% - Accent4 3 4 7 7" xfId="25809"/>
    <cellStyle name="20% - Accent4 3 4 8" xfId="25810"/>
    <cellStyle name="20% - Accent4 3 4 8 2" xfId="25811"/>
    <cellStyle name="20% - Accent4 3 4 9" xfId="25812"/>
    <cellStyle name="20% - Accent4 3 4 9 2" xfId="25813"/>
    <cellStyle name="20% - Accent4 3 5" xfId="25814"/>
    <cellStyle name="20% - Accent4 3 5 10" xfId="25815"/>
    <cellStyle name="20% - Accent4 3 5 11" xfId="25816"/>
    <cellStyle name="20% - Accent4 3 5 12" xfId="25817"/>
    <cellStyle name="20% - Accent4 3 5 13" xfId="25818"/>
    <cellStyle name="20% - Accent4 3 5 2" xfId="25819"/>
    <cellStyle name="20% - Accent4 3 5 2 10" xfId="25820"/>
    <cellStyle name="20% - Accent4 3 5 2 11" xfId="25821"/>
    <cellStyle name="20% - Accent4 3 5 2 2" xfId="25822"/>
    <cellStyle name="20% - Accent4 3 5 2 2 10" xfId="25823"/>
    <cellStyle name="20% - Accent4 3 5 2 2 2" xfId="25824"/>
    <cellStyle name="20% - Accent4 3 5 2 2 2 2" xfId="25825"/>
    <cellStyle name="20% - Accent4 3 5 2 2 2 2 2" xfId="25826"/>
    <cellStyle name="20% - Accent4 3 5 2 2 2 3" xfId="25827"/>
    <cellStyle name="20% - Accent4 3 5 2 2 2 3 2" xfId="25828"/>
    <cellStyle name="20% - Accent4 3 5 2 2 2 4" xfId="25829"/>
    <cellStyle name="20% - Accent4 3 5 2 2 2 5" xfId="25830"/>
    <cellStyle name="20% - Accent4 3 5 2 2 2 6" xfId="25831"/>
    <cellStyle name="20% - Accent4 3 5 2 2 2 7" xfId="25832"/>
    <cellStyle name="20% - Accent4 3 5 2 2 3" xfId="25833"/>
    <cellStyle name="20% - Accent4 3 5 2 2 3 2" xfId="25834"/>
    <cellStyle name="20% - Accent4 3 5 2 2 3 2 2" xfId="25835"/>
    <cellStyle name="20% - Accent4 3 5 2 2 3 3" xfId="25836"/>
    <cellStyle name="20% - Accent4 3 5 2 2 3 3 2" xfId="25837"/>
    <cellStyle name="20% - Accent4 3 5 2 2 3 4" xfId="25838"/>
    <cellStyle name="20% - Accent4 3 5 2 2 3 5" xfId="25839"/>
    <cellStyle name="20% - Accent4 3 5 2 2 3 6" xfId="25840"/>
    <cellStyle name="20% - Accent4 3 5 2 2 3 7" xfId="25841"/>
    <cellStyle name="20% - Accent4 3 5 2 2 4" xfId="25842"/>
    <cellStyle name="20% - Accent4 3 5 2 2 4 2" xfId="25843"/>
    <cellStyle name="20% - Accent4 3 5 2 2 4 2 2" xfId="25844"/>
    <cellStyle name="20% - Accent4 3 5 2 2 4 3" xfId="25845"/>
    <cellStyle name="20% - Accent4 3 5 2 2 4 3 2" xfId="25846"/>
    <cellStyle name="20% - Accent4 3 5 2 2 4 4" xfId="25847"/>
    <cellStyle name="20% - Accent4 3 5 2 2 4 5" xfId="25848"/>
    <cellStyle name="20% - Accent4 3 5 2 2 4 6" xfId="25849"/>
    <cellStyle name="20% - Accent4 3 5 2 2 4 7" xfId="25850"/>
    <cellStyle name="20% - Accent4 3 5 2 2 5" xfId="25851"/>
    <cellStyle name="20% - Accent4 3 5 2 2 5 2" xfId="25852"/>
    <cellStyle name="20% - Accent4 3 5 2 2 6" xfId="25853"/>
    <cellStyle name="20% - Accent4 3 5 2 2 6 2" xfId="25854"/>
    <cellStyle name="20% - Accent4 3 5 2 2 7" xfId="25855"/>
    <cellStyle name="20% - Accent4 3 5 2 2 8" xfId="25856"/>
    <cellStyle name="20% - Accent4 3 5 2 2 9" xfId="25857"/>
    <cellStyle name="20% - Accent4 3 5 2 3" xfId="25858"/>
    <cellStyle name="20% - Accent4 3 5 2 3 2" xfId="25859"/>
    <cellStyle name="20% - Accent4 3 5 2 3 2 2" xfId="25860"/>
    <cellStyle name="20% - Accent4 3 5 2 3 3" xfId="25861"/>
    <cellStyle name="20% - Accent4 3 5 2 3 3 2" xfId="25862"/>
    <cellStyle name="20% - Accent4 3 5 2 3 4" xfId="25863"/>
    <cellStyle name="20% - Accent4 3 5 2 3 5" xfId="25864"/>
    <cellStyle name="20% - Accent4 3 5 2 3 6" xfId="25865"/>
    <cellStyle name="20% - Accent4 3 5 2 3 7" xfId="25866"/>
    <cellStyle name="20% - Accent4 3 5 2 4" xfId="25867"/>
    <cellStyle name="20% - Accent4 3 5 2 4 2" xfId="25868"/>
    <cellStyle name="20% - Accent4 3 5 2 4 2 2" xfId="25869"/>
    <cellStyle name="20% - Accent4 3 5 2 4 3" xfId="25870"/>
    <cellStyle name="20% - Accent4 3 5 2 4 3 2" xfId="25871"/>
    <cellStyle name="20% - Accent4 3 5 2 4 4" xfId="25872"/>
    <cellStyle name="20% - Accent4 3 5 2 4 5" xfId="25873"/>
    <cellStyle name="20% - Accent4 3 5 2 4 6" xfId="25874"/>
    <cellStyle name="20% - Accent4 3 5 2 4 7" xfId="25875"/>
    <cellStyle name="20% - Accent4 3 5 2 5" xfId="25876"/>
    <cellStyle name="20% - Accent4 3 5 2 5 2" xfId="25877"/>
    <cellStyle name="20% - Accent4 3 5 2 5 2 2" xfId="25878"/>
    <cellStyle name="20% - Accent4 3 5 2 5 3" xfId="25879"/>
    <cellStyle name="20% - Accent4 3 5 2 5 3 2" xfId="25880"/>
    <cellStyle name="20% - Accent4 3 5 2 5 4" xfId="25881"/>
    <cellStyle name="20% - Accent4 3 5 2 5 5" xfId="25882"/>
    <cellStyle name="20% - Accent4 3 5 2 5 6" xfId="25883"/>
    <cellStyle name="20% - Accent4 3 5 2 5 7" xfId="25884"/>
    <cellStyle name="20% - Accent4 3 5 2 6" xfId="25885"/>
    <cellStyle name="20% - Accent4 3 5 2 6 2" xfId="25886"/>
    <cellStyle name="20% - Accent4 3 5 2 7" xfId="25887"/>
    <cellStyle name="20% - Accent4 3 5 2 7 2" xfId="25888"/>
    <cellStyle name="20% - Accent4 3 5 2 8" xfId="25889"/>
    <cellStyle name="20% - Accent4 3 5 2 9" xfId="25890"/>
    <cellStyle name="20% - Accent4 3 5 3" xfId="25891"/>
    <cellStyle name="20% - Accent4 3 5 3 10" xfId="25892"/>
    <cellStyle name="20% - Accent4 3 5 3 11" xfId="25893"/>
    <cellStyle name="20% - Accent4 3 5 3 2" xfId="25894"/>
    <cellStyle name="20% - Accent4 3 5 3 2 10" xfId="25895"/>
    <cellStyle name="20% - Accent4 3 5 3 2 2" xfId="25896"/>
    <cellStyle name="20% - Accent4 3 5 3 2 2 2" xfId="25897"/>
    <cellStyle name="20% - Accent4 3 5 3 2 2 2 2" xfId="25898"/>
    <cellStyle name="20% - Accent4 3 5 3 2 2 3" xfId="25899"/>
    <cellStyle name="20% - Accent4 3 5 3 2 2 3 2" xfId="25900"/>
    <cellStyle name="20% - Accent4 3 5 3 2 2 4" xfId="25901"/>
    <cellStyle name="20% - Accent4 3 5 3 2 2 5" xfId="25902"/>
    <cellStyle name="20% - Accent4 3 5 3 2 2 6" xfId="25903"/>
    <cellStyle name="20% - Accent4 3 5 3 2 2 7" xfId="25904"/>
    <cellStyle name="20% - Accent4 3 5 3 2 3" xfId="25905"/>
    <cellStyle name="20% - Accent4 3 5 3 2 3 2" xfId="25906"/>
    <cellStyle name="20% - Accent4 3 5 3 2 3 2 2" xfId="25907"/>
    <cellStyle name="20% - Accent4 3 5 3 2 3 3" xfId="25908"/>
    <cellStyle name="20% - Accent4 3 5 3 2 3 3 2" xfId="25909"/>
    <cellStyle name="20% - Accent4 3 5 3 2 3 4" xfId="25910"/>
    <cellStyle name="20% - Accent4 3 5 3 2 3 5" xfId="25911"/>
    <cellStyle name="20% - Accent4 3 5 3 2 3 6" xfId="25912"/>
    <cellStyle name="20% - Accent4 3 5 3 2 3 7" xfId="25913"/>
    <cellStyle name="20% - Accent4 3 5 3 2 4" xfId="25914"/>
    <cellStyle name="20% - Accent4 3 5 3 2 4 2" xfId="25915"/>
    <cellStyle name="20% - Accent4 3 5 3 2 4 2 2" xfId="25916"/>
    <cellStyle name="20% - Accent4 3 5 3 2 4 3" xfId="25917"/>
    <cellStyle name="20% - Accent4 3 5 3 2 4 3 2" xfId="25918"/>
    <cellStyle name="20% - Accent4 3 5 3 2 4 4" xfId="25919"/>
    <cellStyle name="20% - Accent4 3 5 3 2 4 5" xfId="25920"/>
    <cellStyle name="20% - Accent4 3 5 3 2 4 6" xfId="25921"/>
    <cellStyle name="20% - Accent4 3 5 3 2 4 7" xfId="25922"/>
    <cellStyle name="20% - Accent4 3 5 3 2 5" xfId="25923"/>
    <cellStyle name="20% - Accent4 3 5 3 2 5 2" xfId="25924"/>
    <cellStyle name="20% - Accent4 3 5 3 2 6" xfId="25925"/>
    <cellStyle name="20% - Accent4 3 5 3 2 6 2" xfId="25926"/>
    <cellStyle name="20% - Accent4 3 5 3 2 7" xfId="25927"/>
    <cellStyle name="20% - Accent4 3 5 3 2 8" xfId="25928"/>
    <cellStyle name="20% - Accent4 3 5 3 2 9" xfId="25929"/>
    <cellStyle name="20% - Accent4 3 5 3 3" xfId="25930"/>
    <cellStyle name="20% - Accent4 3 5 3 3 2" xfId="25931"/>
    <cellStyle name="20% - Accent4 3 5 3 3 2 2" xfId="25932"/>
    <cellStyle name="20% - Accent4 3 5 3 3 3" xfId="25933"/>
    <cellStyle name="20% - Accent4 3 5 3 3 3 2" xfId="25934"/>
    <cellStyle name="20% - Accent4 3 5 3 3 4" xfId="25935"/>
    <cellStyle name="20% - Accent4 3 5 3 3 5" xfId="25936"/>
    <cellStyle name="20% - Accent4 3 5 3 3 6" xfId="25937"/>
    <cellStyle name="20% - Accent4 3 5 3 3 7" xfId="25938"/>
    <cellStyle name="20% - Accent4 3 5 3 4" xfId="25939"/>
    <cellStyle name="20% - Accent4 3 5 3 4 2" xfId="25940"/>
    <cellStyle name="20% - Accent4 3 5 3 4 2 2" xfId="25941"/>
    <cellStyle name="20% - Accent4 3 5 3 4 3" xfId="25942"/>
    <cellStyle name="20% - Accent4 3 5 3 4 3 2" xfId="25943"/>
    <cellStyle name="20% - Accent4 3 5 3 4 4" xfId="25944"/>
    <cellStyle name="20% - Accent4 3 5 3 4 5" xfId="25945"/>
    <cellStyle name="20% - Accent4 3 5 3 4 6" xfId="25946"/>
    <cellStyle name="20% - Accent4 3 5 3 4 7" xfId="25947"/>
    <cellStyle name="20% - Accent4 3 5 3 5" xfId="25948"/>
    <cellStyle name="20% - Accent4 3 5 3 5 2" xfId="25949"/>
    <cellStyle name="20% - Accent4 3 5 3 5 2 2" xfId="25950"/>
    <cellStyle name="20% - Accent4 3 5 3 5 3" xfId="25951"/>
    <cellStyle name="20% - Accent4 3 5 3 5 3 2" xfId="25952"/>
    <cellStyle name="20% - Accent4 3 5 3 5 4" xfId="25953"/>
    <cellStyle name="20% - Accent4 3 5 3 5 5" xfId="25954"/>
    <cellStyle name="20% - Accent4 3 5 3 5 6" xfId="25955"/>
    <cellStyle name="20% - Accent4 3 5 3 5 7" xfId="25956"/>
    <cellStyle name="20% - Accent4 3 5 3 6" xfId="25957"/>
    <cellStyle name="20% - Accent4 3 5 3 6 2" xfId="25958"/>
    <cellStyle name="20% - Accent4 3 5 3 7" xfId="25959"/>
    <cellStyle name="20% - Accent4 3 5 3 7 2" xfId="25960"/>
    <cellStyle name="20% - Accent4 3 5 3 8" xfId="25961"/>
    <cellStyle name="20% - Accent4 3 5 3 9" xfId="25962"/>
    <cellStyle name="20% - Accent4 3 5 4" xfId="25963"/>
    <cellStyle name="20% - Accent4 3 5 4 10" xfId="25964"/>
    <cellStyle name="20% - Accent4 3 5 4 2" xfId="25965"/>
    <cellStyle name="20% - Accent4 3 5 4 2 2" xfId="25966"/>
    <cellStyle name="20% - Accent4 3 5 4 2 2 2" xfId="25967"/>
    <cellStyle name="20% - Accent4 3 5 4 2 3" xfId="25968"/>
    <cellStyle name="20% - Accent4 3 5 4 2 3 2" xfId="25969"/>
    <cellStyle name="20% - Accent4 3 5 4 2 4" xfId="25970"/>
    <cellStyle name="20% - Accent4 3 5 4 2 5" xfId="25971"/>
    <cellStyle name="20% - Accent4 3 5 4 2 6" xfId="25972"/>
    <cellStyle name="20% - Accent4 3 5 4 2 7" xfId="25973"/>
    <cellStyle name="20% - Accent4 3 5 4 3" xfId="25974"/>
    <cellStyle name="20% - Accent4 3 5 4 3 2" xfId="25975"/>
    <cellStyle name="20% - Accent4 3 5 4 3 2 2" xfId="25976"/>
    <cellStyle name="20% - Accent4 3 5 4 3 3" xfId="25977"/>
    <cellStyle name="20% - Accent4 3 5 4 3 3 2" xfId="25978"/>
    <cellStyle name="20% - Accent4 3 5 4 3 4" xfId="25979"/>
    <cellStyle name="20% - Accent4 3 5 4 3 5" xfId="25980"/>
    <cellStyle name="20% - Accent4 3 5 4 3 6" xfId="25981"/>
    <cellStyle name="20% - Accent4 3 5 4 3 7" xfId="25982"/>
    <cellStyle name="20% - Accent4 3 5 4 4" xfId="25983"/>
    <cellStyle name="20% - Accent4 3 5 4 4 2" xfId="25984"/>
    <cellStyle name="20% - Accent4 3 5 4 4 2 2" xfId="25985"/>
    <cellStyle name="20% - Accent4 3 5 4 4 3" xfId="25986"/>
    <cellStyle name="20% - Accent4 3 5 4 4 3 2" xfId="25987"/>
    <cellStyle name="20% - Accent4 3 5 4 4 4" xfId="25988"/>
    <cellStyle name="20% - Accent4 3 5 4 4 5" xfId="25989"/>
    <cellStyle name="20% - Accent4 3 5 4 4 6" xfId="25990"/>
    <cellStyle name="20% - Accent4 3 5 4 4 7" xfId="25991"/>
    <cellStyle name="20% - Accent4 3 5 4 5" xfId="25992"/>
    <cellStyle name="20% - Accent4 3 5 4 5 2" xfId="25993"/>
    <cellStyle name="20% - Accent4 3 5 4 6" xfId="25994"/>
    <cellStyle name="20% - Accent4 3 5 4 6 2" xfId="25995"/>
    <cellStyle name="20% - Accent4 3 5 4 7" xfId="25996"/>
    <cellStyle name="20% - Accent4 3 5 4 8" xfId="25997"/>
    <cellStyle name="20% - Accent4 3 5 4 9" xfId="25998"/>
    <cellStyle name="20% - Accent4 3 5 5" xfId="25999"/>
    <cellStyle name="20% - Accent4 3 5 5 2" xfId="26000"/>
    <cellStyle name="20% - Accent4 3 5 5 2 2" xfId="26001"/>
    <cellStyle name="20% - Accent4 3 5 5 3" xfId="26002"/>
    <cellStyle name="20% - Accent4 3 5 5 3 2" xfId="26003"/>
    <cellStyle name="20% - Accent4 3 5 5 4" xfId="26004"/>
    <cellStyle name="20% - Accent4 3 5 5 5" xfId="26005"/>
    <cellStyle name="20% - Accent4 3 5 5 6" xfId="26006"/>
    <cellStyle name="20% - Accent4 3 5 5 7" xfId="26007"/>
    <cellStyle name="20% - Accent4 3 5 6" xfId="26008"/>
    <cellStyle name="20% - Accent4 3 5 6 2" xfId="26009"/>
    <cellStyle name="20% - Accent4 3 5 6 2 2" xfId="26010"/>
    <cellStyle name="20% - Accent4 3 5 6 3" xfId="26011"/>
    <cellStyle name="20% - Accent4 3 5 6 3 2" xfId="26012"/>
    <cellStyle name="20% - Accent4 3 5 6 4" xfId="26013"/>
    <cellStyle name="20% - Accent4 3 5 6 5" xfId="26014"/>
    <cellStyle name="20% - Accent4 3 5 6 6" xfId="26015"/>
    <cellStyle name="20% - Accent4 3 5 6 7" xfId="26016"/>
    <cellStyle name="20% - Accent4 3 5 7" xfId="26017"/>
    <cellStyle name="20% - Accent4 3 5 7 2" xfId="26018"/>
    <cellStyle name="20% - Accent4 3 5 7 2 2" xfId="26019"/>
    <cellStyle name="20% - Accent4 3 5 7 3" xfId="26020"/>
    <cellStyle name="20% - Accent4 3 5 7 3 2" xfId="26021"/>
    <cellStyle name="20% - Accent4 3 5 7 4" xfId="26022"/>
    <cellStyle name="20% - Accent4 3 5 7 5" xfId="26023"/>
    <cellStyle name="20% - Accent4 3 5 7 6" xfId="26024"/>
    <cellStyle name="20% - Accent4 3 5 7 7" xfId="26025"/>
    <cellStyle name="20% - Accent4 3 5 8" xfId="26026"/>
    <cellStyle name="20% - Accent4 3 5 8 2" xfId="26027"/>
    <cellStyle name="20% - Accent4 3 5 9" xfId="26028"/>
    <cellStyle name="20% - Accent4 3 5 9 2" xfId="26029"/>
    <cellStyle name="20% - Accent4 3 6" xfId="26030"/>
    <cellStyle name="20% - Accent4 3 6 10" xfId="26031"/>
    <cellStyle name="20% - Accent4 3 6 11" xfId="26032"/>
    <cellStyle name="20% - Accent4 3 6 12" xfId="26033"/>
    <cellStyle name="20% - Accent4 3 6 13" xfId="26034"/>
    <cellStyle name="20% - Accent4 3 6 2" xfId="26035"/>
    <cellStyle name="20% - Accent4 3 6 2 10" xfId="26036"/>
    <cellStyle name="20% - Accent4 3 6 2 11" xfId="26037"/>
    <cellStyle name="20% - Accent4 3 6 2 2" xfId="26038"/>
    <cellStyle name="20% - Accent4 3 6 2 2 10" xfId="26039"/>
    <cellStyle name="20% - Accent4 3 6 2 2 2" xfId="26040"/>
    <cellStyle name="20% - Accent4 3 6 2 2 2 2" xfId="26041"/>
    <cellStyle name="20% - Accent4 3 6 2 2 2 2 2" xfId="26042"/>
    <cellStyle name="20% - Accent4 3 6 2 2 2 3" xfId="26043"/>
    <cellStyle name="20% - Accent4 3 6 2 2 2 3 2" xfId="26044"/>
    <cellStyle name="20% - Accent4 3 6 2 2 2 4" xfId="26045"/>
    <cellStyle name="20% - Accent4 3 6 2 2 2 5" xfId="26046"/>
    <cellStyle name="20% - Accent4 3 6 2 2 2 6" xfId="26047"/>
    <cellStyle name="20% - Accent4 3 6 2 2 2 7" xfId="26048"/>
    <cellStyle name="20% - Accent4 3 6 2 2 3" xfId="26049"/>
    <cellStyle name="20% - Accent4 3 6 2 2 3 2" xfId="26050"/>
    <cellStyle name="20% - Accent4 3 6 2 2 3 2 2" xfId="26051"/>
    <cellStyle name="20% - Accent4 3 6 2 2 3 3" xfId="26052"/>
    <cellStyle name="20% - Accent4 3 6 2 2 3 3 2" xfId="26053"/>
    <cellStyle name="20% - Accent4 3 6 2 2 3 4" xfId="26054"/>
    <cellStyle name="20% - Accent4 3 6 2 2 3 5" xfId="26055"/>
    <cellStyle name="20% - Accent4 3 6 2 2 3 6" xfId="26056"/>
    <cellStyle name="20% - Accent4 3 6 2 2 3 7" xfId="26057"/>
    <cellStyle name="20% - Accent4 3 6 2 2 4" xfId="26058"/>
    <cellStyle name="20% - Accent4 3 6 2 2 4 2" xfId="26059"/>
    <cellStyle name="20% - Accent4 3 6 2 2 4 2 2" xfId="26060"/>
    <cellStyle name="20% - Accent4 3 6 2 2 4 3" xfId="26061"/>
    <cellStyle name="20% - Accent4 3 6 2 2 4 3 2" xfId="26062"/>
    <cellStyle name="20% - Accent4 3 6 2 2 4 4" xfId="26063"/>
    <cellStyle name="20% - Accent4 3 6 2 2 4 5" xfId="26064"/>
    <cellStyle name="20% - Accent4 3 6 2 2 4 6" xfId="26065"/>
    <cellStyle name="20% - Accent4 3 6 2 2 4 7" xfId="26066"/>
    <cellStyle name="20% - Accent4 3 6 2 2 5" xfId="26067"/>
    <cellStyle name="20% - Accent4 3 6 2 2 5 2" xfId="26068"/>
    <cellStyle name="20% - Accent4 3 6 2 2 6" xfId="26069"/>
    <cellStyle name="20% - Accent4 3 6 2 2 6 2" xfId="26070"/>
    <cellStyle name="20% - Accent4 3 6 2 2 7" xfId="26071"/>
    <cellStyle name="20% - Accent4 3 6 2 2 8" xfId="26072"/>
    <cellStyle name="20% - Accent4 3 6 2 2 9" xfId="26073"/>
    <cellStyle name="20% - Accent4 3 6 2 3" xfId="26074"/>
    <cellStyle name="20% - Accent4 3 6 2 3 2" xfId="26075"/>
    <cellStyle name="20% - Accent4 3 6 2 3 2 2" xfId="26076"/>
    <cellStyle name="20% - Accent4 3 6 2 3 3" xfId="26077"/>
    <cellStyle name="20% - Accent4 3 6 2 3 3 2" xfId="26078"/>
    <cellStyle name="20% - Accent4 3 6 2 3 4" xfId="26079"/>
    <cellStyle name="20% - Accent4 3 6 2 3 5" xfId="26080"/>
    <cellStyle name="20% - Accent4 3 6 2 3 6" xfId="26081"/>
    <cellStyle name="20% - Accent4 3 6 2 3 7" xfId="26082"/>
    <cellStyle name="20% - Accent4 3 6 2 4" xfId="26083"/>
    <cellStyle name="20% - Accent4 3 6 2 4 2" xfId="26084"/>
    <cellStyle name="20% - Accent4 3 6 2 4 2 2" xfId="26085"/>
    <cellStyle name="20% - Accent4 3 6 2 4 3" xfId="26086"/>
    <cellStyle name="20% - Accent4 3 6 2 4 3 2" xfId="26087"/>
    <cellStyle name="20% - Accent4 3 6 2 4 4" xfId="26088"/>
    <cellStyle name="20% - Accent4 3 6 2 4 5" xfId="26089"/>
    <cellStyle name="20% - Accent4 3 6 2 4 6" xfId="26090"/>
    <cellStyle name="20% - Accent4 3 6 2 4 7" xfId="26091"/>
    <cellStyle name="20% - Accent4 3 6 2 5" xfId="26092"/>
    <cellStyle name="20% - Accent4 3 6 2 5 2" xfId="26093"/>
    <cellStyle name="20% - Accent4 3 6 2 5 2 2" xfId="26094"/>
    <cellStyle name="20% - Accent4 3 6 2 5 3" xfId="26095"/>
    <cellStyle name="20% - Accent4 3 6 2 5 3 2" xfId="26096"/>
    <cellStyle name="20% - Accent4 3 6 2 5 4" xfId="26097"/>
    <cellStyle name="20% - Accent4 3 6 2 5 5" xfId="26098"/>
    <cellStyle name="20% - Accent4 3 6 2 5 6" xfId="26099"/>
    <cellStyle name="20% - Accent4 3 6 2 5 7" xfId="26100"/>
    <cellStyle name="20% - Accent4 3 6 2 6" xfId="26101"/>
    <cellStyle name="20% - Accent4 3 6 2 6 2" xfId="26102"/>
    <cellStyle name="20% - Accent4 3 6 2 7" xfId="26103"/>
    <cellStyle name="20% - Accent4 3 6 2 7 2" xfId="26104"/>
    <cellStyle name="20% - Accent4 3 6 2 8" xfId="26105"/>
    <cellStyle name="20% - Accent4 3 6 2 9" xfId="26106"/>
    <cellStyle name="20% - Accent4 3 6 3" xfId="26107"/>
    <cellStyle name="20% - Accent4 3 6 3 10" xfId="26108"/>
    <cellStyle name="20% - Accent4 3 6 3 11" xfId="26109"/>
    <cellStyle name="20% - Accent4 3 6 3 2" xfId="26110"/>
    <cellStyle name="20% - Accent4 3 6 3 2 10" xfId="26111"/>
    <cellStyle name="20% - Accent4 3 6 3 2 2" xfId="26112"/>
    <cellStyle name="20% - Accent4 3 6 3 2 2 2" xfId="26113"/>
    <cellStyle name="20% - Accent4 3 6 3 2 2 2 2" xfId="26114"/>
    <cellStyle name="20% - Accent4 3 6 3 2 2 3" xfId="26115"/>
    <cellStyle name="20% - Accent4 3 6 3 2 2 3 2" xfId="26116"/>
    <cellStyle name="20% - Accent4 3 6 3 2 2 4" xfId="26117"/>
    <cellStyle name="20% - Accent4 3 6 3 2 2 5" xfId="26118"/>
    <cellStyle name="20% - Accent4 3 6 3 2 2 6" xfId="26119"/>
    <cellStyle name="20% - Accent4 3 6 3 2 2 7" xfId="26120"/>
    <cellStyle name="20% - Accent4 3 6 3 2 3" xfId="26121"/>
    <cellStyle name="20% - Accent4 3 6 3 2 3 2" xfId="26122"/>
    <cellStyle name="20% - Accent4 3 6 3 2 3 2 2" xfId="26123"/>
    <cellStyle name="20% - Accent4 3 6 3 2 3 3" xfId="26124"/>
    <cellStyle name="20% - Accent4 3 6 3 2 3 3 2" xfId="26125"/>
    <cellStyle name="20% - Accent4 3 6 3 2 3 4" xfId="26126"/>
    <cellStyle name="20% - Accent4 3 6 3 2 3 5" xfId="26127"/>
    <cellStyle name="20% - Accent4 3 6 3 2 3 6" xfId="26128"/>
    <cellStyle name="20% - Accent4 3 6 3 2 3 7" xfId="26129"/>
    <cellStyle name="20% - Accent4 3 6 3 2 4" xfId="26130"/>
    <cellStyle name="20% - Accent4 3 6 3 2 4 2" xfId="26131"/>
    <cellStyle name="20% - Accent4 3 6 3 2 4 2 2" xfId="26132"/>
    <cellStyle name="20% - Accent4 3 6 3 2 4 3" xfId="26133"/>
    <cellStyle name="20% - Accent4 3 6 3 2 4 3 2" xfId="26134"/>
    <cellStyle name="20% - Accent4 3 6 3 2 4 4" xfId="26135"/>
    <cellStyle name="20% - Accent4 3 6 3 2 4 5" xfId="26136"/>
    <cellStyle name="20% - Accent4 3 6 3 2 4 6" xfId="26137"/>
    <cellStyle name="20% - Accent4 3 6 3 2 4 7" xfId="26138"/>
    <cellStyle name="20% - Accent4 3 6 3 2 5" xfId="26139"/>
    <cellStyle name="20% - Accent4 3 6 3 2 5 2" xfId="26140"/>
    <cellStyle name="20% - Accent4 3 6 3 2 6" xfId="26141"/>
    <cellStyle name="20% - Accent4 3 6 3 2 6 2" xfId="26142"/>
    <cellStyle name="20% - Accent4 3 6 3 2 7" xfId="26143"/>
    <cellStyle name="20% - Accent4 3 6 3 2 8" xfId="26144"/>
    <cellStyle name="20% - Accent4 3 6 3 2 9" xfId="26145"/>
    <cellStyle name="20% - Accent4 3 6 3 3" xfId="26146"/>
    <cellStyle name="20% - Accent4 3 6 3 3 2" xfId="26147"/>
    <cellStyle name="20% - Accent4 3 6 3 3 2 2" xfId="26148"/>
    <cellStyle name="20% - Accent4 3 6 3 3 3" xfId="26149"/>
    <cellStyle name="20% - Accent4 3 6 3 3 3 2" xfId="26150"/>
    <cellStyle name="20% - Accent4 3 6 3 3 4" xfId="26151"/>
    <cellStyle name="20% - Accent4 3 6 3 3 5" xfId="26152"/>
    <cellStyle name="20% - Accent4 3 6 3 3 6" xfId="26153"/>
    <cellStyle name="20% - Accent4 3 6 3 3 7" xfId="26154"/>
    <cellStyle name="20% - Accent4 3 6 3 4" xfId="26155"/>
    <cellStyle name="20% - Accent4 3 6 3 4 2" xfId="26156"/>
    <cellStyle name="20% - Accent4 3 6 3 4 2 2" xfId="26157"/>
    <cellStyle name="20% - Accent4 3 6 3 4 3" xfId="26158"/>
    <cellStyle name="20% - Accent4 3 6 3 4 3 2" xfId="26159"/>
    <cellStyle name="20% - Accent4 3 6 3 4 4" xfId="26160"/>
    <cellStyle name="20% - Accent4 3 6 3 4 5" xfId="26161"/>
    <cellStyle name="20% - Accent4 3 6 3 4 6" xfId="26162"/>
    <cellStyle name="20% - Accent4 3 6 3 4 7" xfId="26163"/>
    <cellStyle name="20% - Accent4 3 6 3 5" xfId="26164"/>
    <cellStyle name="20% - Accent4 3 6 3 5 2" xfId="26165"/>
    <cellStyle name="20% - Accent4 3 6 3 5 2 2" xfId="26166"/>
    <cellStyle name="20% - Accent4 3 6 3 5 3" xfId="26167"/>
    <cellStyle name="20% - Accent4 3 6 3 5 3 2" xfId="26168"/>
    <cellStyle name="20% - Accent4 3 6 3 5 4" xfId="26169"/>
    <cellStyle name="20% - Accent4 3 6 3 5 5" xfId="26170"/>
    <cellStyle name="20% - Accent4 3 6 3 5 6" xfId="26171"/>
    <cellStyle name="20% - Accent4 3 6 3 5 7" xfId="26172"/>
    <cellStyle name="20% - Accent4 3 6 3 6" xfId="26173"/>
    <cellStyle name="20% - Accent4 3 6 3 6 2" xfId="26174"/>
    <cellStyle name="20% - Accent4 3 6 3 7" xfId="26175"/>
    <cellStyle name="20% - Accent4 3 6 3 7 2" xfId="26176"/>
    <cellStyle name="20% - Accent4 3 6 3 8" xfId="26177"/>
    <cellStyle name="20% - Accent4 3 6 3 9" xfId="26178"/>
    <cellStyle name="20% - Accent4 3 6 4" xfId="26179"/>
    <cellStyle name="20% - Accent4 3 6 4 10" xfId="26180"/>
    <cellStyle name="20% - Accent4 3 6 4 2" xfId="26181"/>
    <cellStyle name="20% - Accent4 3 6 4 2 2" xfId="26182"/>
    <cellStyle name="20% - Accent4 3 6 4 2 2 2" xfId="26183"/>
    <cellStyle name="20% - Accent4 3 6 4 2 3" xfId="26184"/>
    <cellStyle name="20% - Accent4 3 6 4 2 3 2" xfId="26185"/>
    <cellStyle name="20% - Accent4 3 6 4 2 4" xfId="26186"/>
    <cellStyle name="20% - Accent4 3 6 4 2 5" xfId="26187"/>
    <cellStyle name="20% - Accent4 3 6 4 2 6" xfId="26188"/>
    <cellStyle name="20% - Accent4 3 6 4 2 7" xfId="26189"/>
    <cellStyle name="20% - Accent4 3 6 4 3" xfId="26190"/>
    <cellStyle name="20% - Accent4 3 6 4 3 2" xfId="26191"/>
    <cellStyle name="20% - Accent4 3 6 4 3 2 2" xfId="26192"/>
    <cellStyle name="20% - Accent4 3 6 4 3 3" xfId="26193"/>
    <cellStyle name="20% - Accent4 3 6 4 3 3 2" xfId="26194"/>
    <cellStyle name="20% - Accent4 3 6 4 3 4" xfId="26195"/>
    <cellStyle name="20% - Accent4 3 6 4 3 5" xfId="26196"/>
    <cellStyle name="20% - Accent4 3 6 4 3 6" xfId="26197"/>
    <cellStyle name="20% - Accent4 3 6 4 3 7" xfId="26198"/>
    <cellStyle name="20% - Accent4 3 6 4 4" xfId="26199"/>
    <cellStyle name="20% - Accent4 3 6 4 4 2" xfId="26200"/>
    <cellStyle name="20% - Accent4 3 6 4 4 2 2" xfId="26201"/>
    <cellStyle name="20% - Accent4 3 6 4 4 3" xfId="26202"/>
    <cellStyle name="20% - Accent4 3 6 4 4 3 2" xfId="26203"/>
    <cellStyle name="20% - Accent4 3 6 4 4 4" xfId="26204"/>
    <cellStyle name="20% - Accent4 3 6 4 4 5" xfId="26205"/>
    <cellStyle name="20% - Accent4 3 6 4 4 6" xfId="26206"/>
    <cellStyle name="20% - Accent4 3 6 4 4 7" xfId="26207"/>
    <cellStyle name="20% - Accent4 3 6 4 5" xfId="26208"/>
    <cellStyle name="20% - Accent4 3 6 4 5 2" xfId="26209"/>
    <cellStyle name="20% - Accent4 3 6 4 6" xfId="26210"/>
    <cellStyle name="20% - Accent4 3 6 4 6 2" xfId="26211"/>
    <cellStyle name="20% - Accent4 3 6 4 7" xfId="26212"/>
    <cellStyle name="20% - Accent4 3 6 4 8" xfId="26213"/>
    <cellStyle name="20% - Accent4 3 6 4 9" xfId="26214"/>
    <cellStyle name="20% - Accent4 3 6 5" xfId="26215"/>
    <cellStyle name="20% - Accent4 3 6 5 2" xfId="26216"/>
    <cellStyle name="20% - Accent4 3 6 5 2 2" xfId="26217"/>
    <cellStyle name="20% - Accent4 3 6 5 3" xfId="26218"/>
    <cellStyle name="20% - Accent4 3 6 5 3 2" xfId="26219"/>
    <cellStyle name="20% - Accent4 3 6 5 4" xfId="26220"/>
    <cellStyle name="20% - Accent4 3 6 5 5" xfId="26221"/>
    <cellStyle name="20% - Accent4 3 6 5 6" xfId="26222"/>
    <cellStyle name="20% - Accent4 3 6 5 7" xfId="26223"/>
    <cellStyle name="20% - Accent4 3 6 6" xfId="26224"/>
    <cellStyle name="20% - Accent4 3 6 6 2" xfId="26225"/>
    <cellStyle name="20% - Accent4 3 6 6 2 2" xfId="26226"/>
    <cellStyle name="20% - Accent4 3 6 6 3" xfId="26227"/>
    <cellStyle name="20% - Accent4 3 6 6 3 2" xfId="26228"/>
    <cellStyle name="20% - Accent4 3 6 6 4" xfId="26229"/>
    <cellStyle name="20% - Accent4 3 6 6 5" xfId="26230"/>
    <cellStyle name="20% - Accent4 3 6 6 6" xfId="26231"/>
    <cellStyle name="20% - Accent4 3 6 6 7" xfId="26232"/>
    <cellStyle name="20% - Accent4 3 6 7" xfId="26233"/>
    <cellStyle name="20% - Accent4 3 6 7 2" xfId="26234"/>
    <cellStyle name="20% - Accent4 3 6 7 2 2" xfId="26235"/>
    <cellStyle name="20% - Accent4 3 6 7 3" xfId="26236"/>
    <cellStyle name="20% - Accent4 3 6 7 3 2" xfId="26237"/>
    <cellStyle name="20% - Accent4 3 6 7 4" xfId="26238"/>
    <cellStyle name="20% - Accent4 3 6 7 5" xfId="26239"/>
    <cellStyle name="20% - Accent4 3 6 7 6" xfId="26240"/>
    <cellStyle name="20% - Accent4 3 6 7 7" xfId="26241"/>
    <cellStyle name="20% - Accent4 3 6 8" xfId="26242"/>
    <cellStyle name="20% - Accent4 3 6 8 2" xfId="26243"/>
    <cellStyle name="20% - Accent4 3 6 9" xfId="26244"/>
    <cellStyle name="20% - Accent4 3 6 9 2" xfId="26245"/>
    <cellStyle name="20% - Accent4 3 7" xfId="26246"/>
    <cellStyle name="20% - Accent4 3 7 10" xfId="26247"/>
    <cellStyle name="20% - Accent4 3 7 11" xfId="26248"/>
    <cellStyle name="20% - Accent4 3 7 2" xfId="26249"/>
    <cellStyle name="20% - Accent4 3 7 2 10" xfId="26250"/>
    <cellStyle name="20% - Accent4 3 7 2 2" xfId="26251"/>
    <cellStyle name="20% - Accent4 3 7 2 2 2" xfId="26252"/>
    <cellStyle name="20% - Accent4 3 7 2 2 2 2" xfId="26253"/>
    <cellStyle name="20% - Accent4 3 7 2 2 3" xfId="26254"/>
    <cellStyle name="20% - Accent4 3 7 2 2 3 2" xfId="26255"/>
    <cellStyle name="20% - Accent4 3 7 2 2 4" xfId="26256"/>
    <cellStyle name="20% - Accent4 3 7 2 2 5" xfId="26257"/>
    <cellStyle name="20% - Accent4 3 7 2 2 6" xfId="26258"/>
    <cellStyle name="20% - Accent4 3 7 2 2 7" xfId="26259"/>
    <cellStyle name="20% - Accent4 3 7 2 3" xfId="26260"/>
    <cellStyle name="20% - Accent4 3 7 2 3 2" xfId="26261"/>
    <cellStyle name="20% - Accent4 3 7 2 3 2 2" xfId="26262"/>
    <cellStyle name="20% - Accent4 3 7 2 3 3" xfId="26263"/>
    <cellStyle name="20% - Accent4 3 7 2 3 3 2" xfId="26264"/>
    <cellStyle name="20% - Accent4 3 7 2 3 4" xfId="26265"/>
    <cellStyle name="20% - Accent4 3 7 2 3 5" xfId="26266"/>
    <cellStyle name="20% - Accent4 3 7 2 3 6" xfId="26267"/>
    <cellStyle name="20% - Accent4 3 7 2 3 7" xfId="26268"/>
    <cellStyle name="20% - Accent4 3 7 2 4" xfId="26269"/>
    <cellStyle name="20% - Accent4 3 7 2 4 2" xfId="26270"/>
    <cellStyle name="20% - Accent4 3 7 2 4 2 2" xfId="26271"/>
    <cellStyle name="20% - Accent4 3 7 2 4 3" xfId="26272"/>
    <cellStyle name="20% - Accent4 3 7 2 4 3 2" xfId="26273"/>
    <cellStyle name="20% - Accent4 3 7 2 4 4" xfId="26274"/>
    <cellStyle name="20% - Accent4 3 7 2 4 5" xfId="26275"/>
    <cellStyle name="20% - Accent4 3 7 2 4 6" xfId="26276"/>
    <cellStyle name="20% - Accent4 3 7 2 4 7" xfId="26277"/>
    <cellStyle name="20% - Accent4 3 7 2 5" xfId="26278"/>
    <cellStyle name="20% - Accent4 3 7 2 5 2" xfId="26279"/>
    <cellStyle name="20% - Accent4 3 7 2 6" xfId="26280"/>
    <cellStyle name="20% - Accent4 3 7 2 6 2" xfId="26281"/>
    <cellStyle name="20% - Accent4 3 7 2 7" xfId="26282"/>
    <cellStyle name="20% - Accent4 3 7 2 8" xfId="26283"/>
    <cellStyle name="20% - Accent4 3 7 2 9" xfId="26284"/>
    <cellStyle name="20% - Accent4 3 7 3" xfId="26285"/>
    <cellStyle name="20% - Accent4 3 7 3 2" xfId="26286"/>
    <cellStyle name="20% - Accent4 3 7 3 2 2" xfId="26287"/>
    <cellStyle name="20% - Accent4 3 7 3 3" xfId="26288"/>
    <cellStyle name="20% - Accent4 3 7 3 3 2" xfId="26289"/>
    <cellStyle name="20% - Accent4 3 7 3 4" xfId="26290"/>
    <cellStyle name="20% - Accent4 3 7 3 5" xfId="26291"/>
    <cellStyle name="20% - Accent4 3 7 3 6" xfId="26292"/>
    <cellStyle name="20% - Accent4 3 7 3 7" xfId="26293"/>
    <cellStyle name="20% - Accent4 3 7 4" xfId="26294"/>
    <cellStyle name="20% - Accent4 3 7 4 2" xfId="26295"/>
    <cellStyle name="20% - Accent4 3 7 4 2 2" xfId="26296"/>
    <cellStyle name="20% - Accent4 3 7 4 3" xfId="26297"/>
    <cellStyle name="20% - Accent4 3 7 4 3 2" xfId="26298"/>
    <cellStyle name="20% - Accent4 3 7 4 4" xfId="26299"/>
    <cellStyle name="20% - Accent4 3 7 4 5" xfId="26300"/>
    <cellStyle name="20% - Accent4 3 7 4 6" xfId="26301"/>
    <cellStyle name="20% - Accent4 3 7 4 7" xfId="26302"/>
    <cellStyle name="20% - Accent4 3 7 5" xfId="26303"/>
    <cellStyle name="20% - Accent4 3 7 5 2" xfId="26304"/>
    <cellStyle name="20% - Accent4 3 7 5 2 2" xfId="26305"/>
    <cellStyle name="20% - Accent4 3 7 5 3" xfId="26306"/>
    <cellStyle name="20% - Accent4 3 7 5 3 2" xfId="26307"/>
    <cellStyle name="20% - Accent4 3 7 5 4" xfId="26308"/>
    <cellStyle name="20% - Accent4 3 7 5 5" xfId="26309"/>
    <cellStyle name="20% - Accent4 3 7 5 6" xfId="26310"/>
    <cellStyle name="20% - Accent4 3 7 5 7" xfId="26311"/>
    <cellStyle name="20% - Accent4 3 7 6" xfId="26312"/>
    <cellStyle name="20% - Accent4 3 7 6 2" xfId="26313"/>
    <cellStyle name="20% - Accent4 3 7 7" xfId="26314"/>
    <cellStyle name="20% - Accent4 3 7 7 2" xfId="26315"/>
    <cellStyle name="20% - Accent4 3 7 8" xfId="26316"/>
    <cellStyle name="20% - Accent4 3 7 9" xfId="26317"/>
    <cellStyle name="20% - Accent4 3 8" xfId="26318"/>
    <cellStyle name="20% - Accent4 3 8 10" xfId="26319"/>
    <cellStyle name="20% - Accent4 3 8 11" xfId="26320"/>
    <cellStyle name="20% - Accent4 3 8 2" xfId="26321"/>
    <cellStyle name="20% - Accent4 3 8 2 10" xfId="26322"/>
    <cellStyle name="20% - Accent4 3 8 2 2" xfId="26323"/>
    <cellStyle name="20% - Accent4 3 8 2 2 2" xfId="26324"/>
    <cellStyle name="20% - Accent4 3 8 2 2 2 2" xfId="26325"/>
    <cellStyle name="20% - Accent4 3 8 2 2 3" xfId="26326"/>
    <cellStyle name="20% - Accent4 3 8 2 2 3 2" xfId="26327"/>
    <cellStyle name="20% - Accent4 3 8 2 2 4" xfId="26328"/>
    <cellStyle name="20% - Accent4 3 8 2 2 5" xfId="26329"/>
    <cellStyle name="20% - Accent4 3 8 2 2 6" xfId="26330"/>
    <cellStyle name="20% - Accent4 3 8 2 2 7" xfId="26331"/>
    <cellStyle name="20% - Accent4 3 8 2 3" xfId="26332"/>
    <cellStyle name="20% - Accent4 3 8 2 3 2" xfId="26333"/>
    <cellStyle name="20% - Accent4 3 8 2 3 2 2" xfId="26334"/>
    <cellStyle name="20% - Accent4 3 8 2 3 3" xfId="26335"/>
    <cellStyle name="20% - Accent4 3 8 2 3 3 2" xfId="26336"/>
    <cellStyle name="20% - Accent4 3 8 2 3 4" xfId="26337"/>
    <cellStyle name="20% - Accent4 3 8 2 3 5" xfId="26338"/>
    <cellStyle name="20% - Accent4 3 8 2 3 6" xfId="26339"/>
    <cellStyle name="20% - Accent4 3 8 2 3 7" xfId="26340"/>
    <cellStyle name="20% - Accent4 3 8 2 4" xfId="26341"/>
    <cellStyle name="20% - Accent4 3 8 2 4 2" xfId="26342"/>
    <cellStyle name="20% - Accent4 3 8 2 4 2 2" xfId="26343"/>
    <cellStyle name="20% - Accent4 3 8 2 4 3" xfId="26344"/>
    <cellStyle name="20% - Accent4 3 8 2 4 3 2" xfId="26345"/>
    <cellStyle name="20% - Accent4 3 8 2 4 4" xfId="26346"/>
    <cellStyle name="20% - Accent4 3 8 2 4 5" xfId="26347"/>
    <cellStyle name="20% - Accent4 3 8 2 4 6" xfId="26348"/>
    <cellStyle name="20% - Accent4 3 8 2 4 7" xfId="26349"/>
    <cellStyle name="20% - Accent4 3 8 2 5" xfId="26350"/>
    <cellStyle name="20% - Accent4 3 8 2 5 2" xfId="26351"/>
    <cellStyle name="20% - Accent4 3 8 2 6" xfId="26352"/>
    <cellStyle name="20% - Accent4 3 8 2 6 2" xfId="26353"/>
    <cellStyle name="20% - Accent4 3 8 2 7" xfId="26354"/>
    <cellStyle name="20% - Accent4 3 8 2 8" xfId="26355"/>
    <cellStyle name="20% - Accent4 3 8 2 9" xfId="26356"/>
    <cellStyle name="20% - Accent4 3 8 3" xfId="26357"/>
    <cellStyle name="20% - Accent4 3 8 3 2" xfId="26358"/>
    <cellStyle name="20% - Accent4 3 8 3 2 2" xfId="26359"/>
    <cellStyle name="20% - Accent4 3 8 3 3" xfId="26360"/>
    <cellStyle name="20% - Accent4 3 8 3 3 2" xfId="26361"/>
    <cellStyle name="20% - Accent4 3 8 3 4" xfId="26362"/>
    <cellStyle name="20% - Accent4 3 8 3 5" xfId="26363"/>
    <cellStyle name="20% - Accent4 3 8 3 6" xfId="26364"/>
    <cellStyle name="20% - Accent4 3 8 3 7" xfId="26365"/>
    <cellStyle name="20% - Accent4 3 8 4" xfId="26366"/>
    <cellStyle name="20% - Accent4 3 8 4 2" xfId="26367"/>
    <cellStyle name="20% - Accent4 3 8 4 2 2" xfId="26368"/>
    <cellStyle name="20% - Accent4 3 8 4 3" xfId="26369"/>
    <cellStyle name="20% - Accent4 3 8 4 3 2" xfId="26370"/>
    <cellStyle name="20% - Accent4 3 8 4 4" xfId="26371"/>
    <cellStyle name="20% - Accent4 3 8 4 5" xfId="26372"/>
    <cellStyle name="20% - Accent4 3 8 4 6" xfId="26373"/>
    <cellStyle name="20% - Accent4 3 8 4 7" xfId="26374"/>
    <cellStyle name="20% - Accent4 3 8 5" xfId="26375"/>
    <cellStyle name="20% - Accent4 3 8 5 2" xfId="26376"/>
    <cellStyle name="20% - Accent4 3 8 5 2 2" xfId="26377"/>
    <cellStyle name="20% - Accent4 3 8 5 3" xfId="26378"/>
    <cellStyle name="20% - Accent4 3 8 5 3 2" xfId="26379"/>
    <cellStyle name="20% - Accent4 3 8 5 4" xfId="26380"/>
    <cellStyle name="20% - Accent4 3 8 5 5" xfId="26381"/>
    <cellStyle name="20% - Accent4 3 8 5 6" xfId="26382"/>
    <cellStyle name="20% - Accent4 3 8 5 7" xfId="26383"/>
    <cellStyle name="20% - Accent4 3 8 6" xfId="26384"/>
    <cellStyle name="20% - Accent4 3 8 6 2" xfId="26385"/>
    <cellStyle name="20% - Accent4 3 8 7" xfId="26386"/>
    <cellStyle name="20% - Accent4 3 8 7 2" xfId="26387"/>
    <cellStyle name="20% - Accent4 3 8 8" xfId="26388"/>
    <cellStyle name="20% - Accent4 3 8 9" xfId="26389"/>
    <cellStyle name="20% - Accent4 3 9" xfId="26390"/>
    <cellStyle name="20% - Accent4 3 9 10" xfId="26391"/>
    <cellStyle name="20% - Accent4 3 9 2" xfId="26392"/>
    <cellStyle name="20% - Accent4 3 9 2 2" xfId="26393"/>
    <cellStyle name="20% - Accent4 3 9 2 2 2" xfId="26394"/>
    <cellStyle name="20% - Accent4 3 9 2 3" xfId="26395"/>
    <cellStyle name="20% - Accent4 3 9 2 3 2" xfId="26396"/>
    <cellStyle name="20% - Accent4 3 9 2 4" xfId="26397"/>
    <cellStyle name="20% - Accent4 3 9 2 5" xfId="26398"/>
    <cellStyle name="20% - Accent4 3 9 2 6" xfId="26399"/>
    <cellStyle name="20% - Accent4 3 9 2 7" xfId="26400"/>
    <cellStyle name="20% - Accent4 3 9 3" xfId="26401"/>
    <cellStyle name="20% - Accent4 3 9 3 2" xfId="26402"/>
    <cellStyle name="20% - Accent4 3 9 3 2 2" xfId="26403"/>
    <cellStyle name="20% - Accent4 3 9 3 3" xfId="26404"/>
    <cellStyle name="20% - Accent4 3 9 3 3 2" xfId="26405"/>
    <cellStyle name="20% - Accent4 3 9 3 4" xfId="26406"/>
    <cellStyle name="20% - Accent4 3 9 3 5" xfId="26407"/>
    <cellStyle name="20% - Accent4 3 9 3 6" xfId="26408"/>
    <cellStyle name="20% - Accent4 3 9 3 7" xfId="26409"/>
    <cellStyle name="20% - Accent4 3 9 4" xfId="26410"/>
    <cellStyle name="20% - Accent4 3 9 4 2" xfId="26411"/>
    <cellStyle name="20% - Accent4 3 9 4 2 2" xfId="26412"/>
    <cellStyle name="20% - Accent4 3 9 4 3" xfId="26413"/>
    <cellStyle name="20% - Accent4 3 9 4 3 2" xfId="26414"/>
    <cellStyle name="20% - Accent4 3 9 4 4" xfId="26415"/>
    <cellStyle name="20% - Accent4 3 9 4 5" xfId="26416"/>
    <cellStyle name="20% - Accent4 3 9 4 6" xfId="26417"/>
    <cellStyle name="20% - Accent4 3 9 4 7" xfId="26418"/>
    <cellStyle name="20% - Accent4 3 9 5" xfId="26419"/>
    <cellStyle name="20% - Accent4 3 9 5 2" xfId="26420"/>
    <cellStyle name="20% - Accent4 3 9 6" xfId="26421"/>
    <cellStyle name="20% - Accent4 3 9 6 2" xfId="26422"/>
    <cellStyle name="20% - Accent4 3 9 7" xfId="26423"/>
    <cellStyle name="20% - Accent4 3 9 8" xfId="26424"/>
    <cellStyle name="20% - Accent4 3 9 9" xfId="26425"/>
    <cellStyle name="20% - Accent4 3_10-15-10-Stmt AU - Period I - Working 1 0" xfId="163"/>
    <cellStyle name="20% - Accent4 4" xfId="164"/>
    <cellStyle name="20% - Accent4 4 2" xfId="165"/>
    <cellStyle name="20% - Accent4 4 3" xfId="166"/>
    <cellStyle name="20% - Accent4 4_10-15-10-Stmt AU - Period I - Working 1 0" xfId="167"/>
    <cellStyle name="20% - Accent4 5" xfId="168"/>
    <cellStyle name="20% - Accent4 5 2" xfId="169"/>
    <cellStyle name="20% - Accent4 5 3" xfId="170"/>
    <cellStyle name="20% - Accent4 5_10-15-10-Stmt AU - Period I - Working 1 0" xfId="171"/>
    <cellStyle name="20% - Accent4 6" xfId="172"/>
    <cellStyle name="20% - Accent4 6 2" xfId="173"/>
    <cellStyle name="20% - Accent4 6 3" xfId="174"/>
    <cellStyle name="20% - Accent4 6_10-15-10-Stmt AU - Period I - Working 1 0" xfId="175"/>
    <cellStyle name="20% - Accent4 7" xfId="176"/>
    <cellStyle name="20% - Accent4 7 2" xfId="177"/>
    <cellStyle name="20% - Accent4 7 3" xfId="178"/>
    <cellStyle name="20% - Accent4 7_10-15-10-Stmt AU - Period I - Working 1 0" xfId="179"/>
    <cellStyle name="20% - Accent4 8" xfId="180"/>
    <cellStyle name="20% - Accent4 9" xfId="181"/>
    <cellStyle name="20% - Accent5 10" xfId="182"/>
    <cellStyle name="20% - Accent5 11" xfId="183"/>
    <cellStyle name="20% - Accent5 12" xfId="184"/>
    <cellStyle name="20% - Accent5 13" xfId="185"/>
    <cellStyle name="20% - Accent5 2" xfId="186"/>
    <cellStyle name="20% - Accent5 2 10" xfId="26426"/>
    <cellStyle name="20% - Accent5 2 10 2" xfId="26427"/>
    <cellStyle name="20% - Accent5 2 10 2 2" xfId="26428"/>
    <cellStyle name="20% - Accent5 2 10 3" xfId="26429"/>
    <cellStyle name="20% - Accent5 2 10 3 2" xfId="26430"/>
    <cellStyle name="20% - Accent5 2 10 4" xfId="26431"/>
    <cellStyle name="20% - Accent5 2 10 5" xfId="26432"/>
    <cellStyle name="20% - Accent5 2 10 6" xfId="26433"/>
    <cellStyle name="20% - Accent5 2 10 7" xfId="26434"/>
    <cellStyle name="20% - Accent5 2 11" xfId="26435"/>
    <cellStyle name="20% - Accent5 2 11 2" xfId="26436"/>
    <cellStyle name="20% - Accent5 2 11 2 2" xfId="26437"/>
    <cellStyle name="20% - Accent5 2 11 3" xfId="26438"/>
    <cellStyle name="20% - Accent5 2 11 3 2" xfId="26439"/>
    <cellStyle name="20% - Accent5 2 11 4" xfId="26440"/>
    <cellStyle name="20% - Accent5 2 11 5" xfId="26441"/>
    <cellStyle name="20% - Accent5 2 11 6" xfId="26442"/>
    <cellStyle name="20% - Accent5 2 11 7" xfId="26443"/>
    <cellStyle name="20% - Accent5 2 12" xfId="26444"/>
    <cellStyle name="20% - Accent5 2 12 2" xfId="26445"/>
    <cellStyle name="20% - Accent5 2 12 2 2" xfId="26446"/>
    <cellStyle name="20% - Accent5 2 12 3" xfId="26447"/>
    <cellStyle name="20% - Accent5 2 12 3 2" xfId="26448"/>
    <cellStyle name="20% - Accent5 2 12 4" xfId="26449"/>
    <cellStyle name="20% - Accent5 2 12 5" xfId="26450"/>
    <cellStyle name="20% - Accent5 2 12 6" xfId="26451"/>
    <cellStyle name="20% - Accent5 2 12 7" xfId="26452"/>
    <cellStyle name="20% - Accent5 2 13" xfId="26453"/>
    <cellStyle name="20% - Accent5 2 13 2" xfId="26454"/>
    <cellStyle name="20% - Accent5 2 14" xfId="26455"/>
    <cellStyle name="20% - Accent5 2 14 2" xfId="26456"/>
    <cellStyle name="20% - Accent5 2 15" xfId="26457"/>
    <cellStyle name="20% - Accent5 2 16" xfId="26458"/>
    <cellStyle name="20% - Accent5 2 17" xfId="26459"/>
    <cellStyle name="20% - Accent5 2 18" xfId="26460"/>
    <cellStyle name="20% - Accent5 2 2" xfId="187"/>
    <cellStyle name="20% - Accent5 2 2 10" xfId="26461"/>
    <cellStyle name="20% - Accent5 2 2 11" xfId="26462"/>
    <cellStyle name="20% - Accent5 2 2 12" xfId="26463"/>
    <cellStyle name="20% - Accent5 2 2 13" xfId="26464"/>
    <cellStyle name="20% - Accent5 2 2 2" xfId="26465"/>
    <cellStyle name="20% - Accent5 2 2 2 10" xfId="26466"/>
    <cellStyle name="20% - Accent5 2 2 2 11" xfId="26467"/>
    <cellStyle name="20% - Accent5 2 2 2 2" xfId="26468"/>
    <cellStyle name="20% - Accent5 2 2 2 2 10" xfId="26469"/>
    <cellStyle name="20% - Accent5 2 2 2 2 2" xfId="26470"/>
    <cellStyle name="20% - Accent5 2 2 2 2 2 2" xfId="26471"/>
    <cellStyle name="20% - Accent5 2 2 2 2 2 2 2" xfId="26472"/>
    <cellStyle name="20% - Accent5 2 2 2 2 2 3" xfId="26473"/>
    <cellStyle name="20% - Accent5 2 2 2 2 2 3 2" xfId="26474"/>
    <cellStyle name="20% - Accent5 2 2 2 2 2 4" xfId="26475"/>
    <cellStyle name="20% - Accent5 2 2 2 2 2 5" xfId="26476"/>
    <cellStyle name="20% - Accent5 2 2 2 2 2 6" xfId="26477"/>
    <cellStyle name="20% - Accent5 2 2 2 2 2 7" xfId="26478"/>
    <cellStyle name="20% - Accent5 2 2 2 2 3" xfId="26479"/>
    <cellStyle name="20% - Accent5 2 2 2 2 3 2" xfId="26480"/>
    <cellStyle name="20% - Accent5 2 2 2 2 3 2 2" xfId="26481"/>
    <cellStyle name="20% - Accent5 2 2 2 2 3 3" xfId="26482"/>
    <cellStyle name="20% - Accent5 2 2 2 2 3 3 2" xfId="26483"/>
    <cellStyle name="20% - Accent5 2 2 2 2 3 4" xfId="26484"/>
    <cellStyle name="20% - Accent5 2 2 2 2 3 5" xfId="26485"/>
    <cellStyle name="20% - Accent5 2 2 2 2 3 6" xfId="26486"/>
    <cellStyle name="20% - Accent5 2 2 2 2 3 7" xfId="26487"/>
    <cellStyle name="20% - Accent5 2 2 2 2 4" xfId="26488"/>
    <cellStyle name="20% - Accent5 2 2 2 2 4 2" xfId="26489"/>
    <cellStyle name="20% - Accent5 2 2 2 2 4 2 2" xfId="26490"/>
    <cellStyle name="20% - Accent5 2 2 2 2 4 3" xfId="26491"/>
    <cellStyle name="20% - Accent5 2 2 2 2 4 3 2" xfId="26492"/>
    <cellStyle name="20% - Accent5 2 2 2 2 4 4" xfId="26493"/>
    <cellStyle name="20% - Accent5 2 2 2 2 4 5" xfId="26494"/>
    <cellStyle name="20% - Accent5 2 2 2 2 4 6" xfId="26495"/>
    <cellStyle name="20% - Accent5 2 2 2 2 4 7" xfId="26496"/>
    <cellStyle name="20% - Accent5 2 2 2 2 5" xfId="26497"/>
    <cellStyle name="20% - Accent5 2 2 2 2 5 2" xfId="26498"/>
    <cellStyle name="20% - Accent5 2 2 2 2 6" xfId="26499"/>
    <cellStyle name="20% - Accent5 2 2 2 2 6 2" xfId="26500"/>
    <cellStyle name="20% - Accent5 2 2 2 2 7" xfId="26501"/>
    <cellStyle name="20% - Accent5 2 2 2 2 8" xfId="26502"/>
    <cellStyle name="20% - Accent5 2 2 2 2 9" xfId="26503"/>
    <cellStyle name="20% - Accent5 2 2 2 3" xfId="26504"/>
    <cellStyle name="20% - Accent5 2 2 2 3 2" xfId="26505"/>
    <cellStyle name="20% - Accent5 2 2 2 3 2 2" xfId="26506"/>
    <cellStyle name="20% - Accent5 2 2 2 3 3" xfId="26507"/>
    <cellStyle name="20% - Accent5 2 2 2 3 3 2" xfId="26508"/>
    <cellStyle name="20% - Accent5 2 2 2 3 4" xfId="26509"/>
    <cellStyle name="20% - Accent5 2 2 2 3 5" xfId="26510"/>
    <cellStyle name="20% - Accent5 2 2 2 3 6" xfId="26511"/>
    <cellStyle name="20% - Accent5 2 2 2 3 7" xfId="26512"/>
    <cellStyle name="20% - Accent5 2 2 2 4" xfId="26513"/>
    <cellStyle name="20% - Accent5 2 2 2 4 2" xfId="26514"/>
    <cellStyle name="20% - Accent5 2 2 2 4 2 2" xfId="26515"/>
    <cellStyle name="20% - Accent5 2 2 2 4 3" xfId="26516"/>
    <cellStyle name="20% - Accent5 2 2 2 4 3 2" xfId="26517"/>
    <cellStyle name="20% - Accent5 2 2 2 4 4" xfId="26518"/>
    <cellStyle name="20% - Accent5 2 2 2 4 5" xfId="26519"/>
    <cellStyle name="20% - Accent5 2 2 2 4 6" xfId="26520"/>
    <cellStyle name="20% - Accent5 2 2 2 4 7" xfId="26521"/>
    <cellStyle name="20% - Accent5 2 2 2 5" xfId="26522"/>
    <cellStyle name="20% - Accent5 2 2 2 5 2" xfId="26523"/>
    <cellStyle name="20% - Accent5 2 2 2 5 2 2" xfId="26524"/>
    <cellStyle name="20% - Accent5 2 2 2 5 3" xfId="26525"/>
    <cellStyle name="20% - Accent5 2 2 2 5 3 2" xfId="26526"/>
    <cellStyle name="20% - Accent5 2 2 2 5 4" xfId="26527"/>
    <cellStyle name="20% - Accent5 2 2 2 5 5" xfId="26528"/>
    <cellStyle name="20% - Accent5 2 2 2 5 6" xfId="26529"/>
    <cellStyle name="20% - Accent5 2 2 2 5 7" xfId="26530"/>
    <cellStyle name="20% - Accent5 2 2 2 6" xfId="26531"/>
    <cellStyle name="20% - Accent5 2 2 2 6 2" xfId="26532"/>
    <cellStyle name="20% - Accent5 2 2 2 7" xfId="26533"/>
    <cellStyle name="20% - Accent5 2 2 2 7 2" xfId="26534"/>
    <cellStyle name="20% - Accent5 2 2 2 8" xfId="26535"/>
    <cellStyle name="20% - Accent5 2 2 2 9" xfId="26536"/>
    <cellStyle name="20% - Accent5 2 2 3" xfId="26537"/>
    <cellStyle name="20% - Accent5 2 2 3 10" xfId="26538"/>
    <cellStyle name="20% - Accent5 2 2 3 11" xfId="26539"/>
    <cellStyle name="20% - Accent5 2 2 3 2" xfId="26540"/>
    <cellStyle name="20% - Accent5 2 2 3 2 10" xfId="26541"/>
    <cellStyle name="20% - Accent5 2 2 3 2 2" xfId="26542"/>
    <cellStyle name="20% - Accent5 2 2 3 2 2 2" xfId="26543"/>
    <cellStyle name="20% - Accent5 2 2 3 2 2 2 2" xfId="26544"/>
    <cellStyle name="20% - Accent5 2 2 3 2 2 3" xfId="26545"/>
    <cellStyle name="20% - Accent5 2 2 3 2 2 3 2" xfId="26546"/>
    <cellStyle name="20% - Accent5 2 2 3 2 2 4" xfId="26547"/>
    <cellStyle name="20% - Accent5 2 2 3 2 2 5" xfId="26548"/>
    <cellStyle name="20% - Accent5 2 2 3 2 2 6" xfId="26549"/>
    <cellStyle name="20% - Accent5 2 2 3 2 2 7" xfId="26550"/>
    <cellStyle name="20% - Accent5 2 2 3 2 3" xfId="26551"/>
    <cellStyle name="20% - Accent5 2 2 3 2 3 2" xfId="26552"/>
    <cellStyle name="20% - Accent5 2 2 3 2 3 2 2" xfId="26553"/>
    <cellStyle name="20% - Accent5 2 2 3 2 3 3" xfId="26554"/>
    <cellStyle name="20% - Accent5 2 2 3 2 3 3 2" xfId="26555"/>
    <cellStyle name="20% - Accent5 2 2 3 2 3 4" xfId="26556"/>
    <cellStyle name="20% - Accent5 2 2 3 2 3 5" xfId="26557"/>
    <cellStyle name="20% - Accent5 2 2 3 2 3 6" xfId="26558"/>
    <cellStyle name="20% - Accent5 2 2 3 2 3 7" xfId="26559"/>
    <cellStyle name="20% - Accent5 2 2 3 2 4" xfId="26560"/>
    <cellStyle name="20% - Accent5 2 2 3 2 4 2" xfId="26561"/>
    <cellStyle name="20% - Accent5 2 2 3 2 4 2 2" xfId="26562"/>
    <cellStyle name="20% - Accent5 2 2 3 2 4 3" xfId="26563"/>
    <cellStyle name="20% - Accent5 2 2 3 2 4 3 2" xfId="26564"/>
    <cellStyle name="20% - Accent5 2 2 3 2 4 4" xfId="26565"/>
    <cellStyle name="20% - Accent5 2 2 3 2 4 5" xfId="26566"/>
    <cellStyle name="20% - Accent5 2 2 3 2 4 6" xfId="26567"/>
    <cellStyle name="20% - Accent5 2 2 3 2 4 7" xfId="26568"/>
    <cellStyle name="20% - Accent5 2 2 3 2 5" xfId="26569"/>
    <cellStyle name="20% - Accent5 2 2 3 2 5 2" xfId="26570"/>
    <cellStyle name="20% - Accent5 2 2 3 2 6" xfId="26571"/>
    <cellStyle name="20% - Accent5 2 2 3 2 6 2" xfId="26572"/>
    <cellStyle name="20% - Accent5 2 2 3 2 7" xfId="26573"/>
    <cellStyle name="20% - Accent5 2 2 3 2 8" xfId="26574"/>
    <cellStyle name="20% - Accent5 2 2 3 2 9" xfId="26575"/>
    <cellStyle name="20% - Accent5 2 2 3 3" xfId="26576"/>
    <cellStyle name="20% - Accent5 2 2 3 3 2" xfId="26577"/>
    <cellStyle name="20% - Accent5 2 2 3 3 2 2" xfId="26578"/>
    <cellStyle name="20% - Accent5 2 2 3 3 3" xfId="26579"/>
    <cellStyle name="20% - Accent5 2 2 3 3 3 2" xfId="26580"/>
    <cellStyle name="20% - Accent5 2 2 3 3 4" xfId="26581"/>
    <cellStyle name="20% - Accent5 2 2 3 3 5" xfId="26582"/>
    <cellStyle name="20% - Accent5 2 2 3 3 6" xfId="26583"/>
    <cellStyle name="20% - Accent5 2 2 3 3 7" xfId="26584"/>
    <cellStyle name="20% - Accent5 2 2 3 4" xfId="26585"/>
    <cellStyle name="20% - Accent5 2 2 3 4 2" xfId="26586"/>
    <cellStyle name="20% - Accent5 2 2 3 4 2 2" xfId="26587"/>
    <cellStyle name="20% - Accent5 2 2 3 4 3" xfId="26588"/>
    <cellStyle name="20% - Accent5 2 2 3 4 3 2" xfId="26589"/>
    <cellStyle name="20% - Accent5 2 2 3 4 4" xfId="26590"/>
    <cellStyle name="20% - Accent5 2 2 3 4 5" xfId="26591"/>
    <cellStyle name="20% - Accent5 2 2 3 4 6" xfId="26592"/>
    <cellStyle name="20% - Accent5 2 2 3 4 7" xfId="26593"/>
    <cellStyle name="20% - Accent5 2 2 3 5" xfId="26594"/>
    <cellStyle name="20% - Accent5 2 2 3 5 2" xfId="26595"/>
    <cellStyle name="20% - Accent5 2 2 3 5 2 2" xfId="26596"/>
    <cellStyle name="20% - Accent5 2 2 3 5 3" xfId="26597"/>
    <cellStyle name="20% - Accent5 2 2 3 5 3 2" xfId="26598"/>
    <cellStyle name="20% - Accent5 2 2 3 5 4" xfId="26599"/>
    <cellStyle name="20% - Accent5 2 2 3 5 5" xfId="26600"/>
    <cellStyle name="20% - Accent5 2 2 3 5 6" xfId="26601"/>
    <cellStyle name="20% - Accent5 2 2 3 5 7" xfId="26602"/>
    <cellStyle name="20% - Accent5 2 2 3 6" xfId="26603"/>
    <cellStyle name="20% - Accent5 2 2 3 6 2" xfId="26604"/>
    <cellStyle name="20% - Accent5 2 2 3 7" xfId="26605"/>
    <cellStyle name="20% - Accent5 2 2 3 7 2" xfId="26606"/>
    <cellStyle name="20% - Accent5 2 2 3 8" xfId="26607"/>
    <cellStyle name="20% - Accent5 2 2 3 9" xfId="26608"/>
    <cellStyle name="20% - Accent5 2 2 4" xfId="26609"/>
    <cellStyle name="20% - Accent5 2 2 4 10" xfId="26610"/>
    <cellStyle name="20% - Accent5 2 2 4 2" xfId="26611"/>
    <cellStyle name="20% - Accent5 2 2 4 2 2" xfId="26612"/>
    <cellStyle name="20% - Accent5 2 2 4 2 2 2" xfId="26613"/>
    <cellStyle name="20% - Accent5 2 2 4 2 3" xfId="26614"/>
    <cellStyle name="20% - Accent5 2 2 4 2 3 2" xfId="26615"/>
    <cellStyle name="20% - Accent5 2 2 4 2 4" xfId="26616"/>
    <cellStyle name="20% - Accent5 2 2 4 2 5" xfId="26617"/>
    <cellStyle name="20% - Accent5 2 2 4 2 6" xfId="26618"/>
    <cellStyle name="20% - Accent5 2 2 4 2 7" xfId="26619"/>
    <cellStyle name="20% - Accent5 2 2 4 3" xfId="26620"/>
    <cellStyle name="20% - Accent5 2 2 4 3 2" xfId="26621"/>
    <cellStyle name="20% - Accent5 2 2 4 3 2 2" xfId="26622"/>
    <cellStyle name="20% - Accent5 2 2 4 3 3" xfId="26623"/>
    <cellStyle name="20% - Accent5 2 2 4 3 3 2" xfId="26624"/>
    <cellStyle name="20% - Accent5 2 2 4 3 4" xfId="26625"/>
    <cellStyle name="20% - Accent5 2 2 4 3 5" xfId="26626"/>
    <cellStyle name="20% - Accent5 2 2 4 3 6" xfId="26627"/>
    <cellStyle name="20% - Accent5 2 2 4 3 7" xfId="26628"/>
    <cellStyle name="20% - Accent5 2 2 4 4" xfId="26629"/>
    <cellStyle name="20% - Accent5 2 2 4 4 2" xfId="26630"/>
    <cellStyle name="20% - Accent5 2 2 4 4 2 2" xfId="26631"/>
    <cellStyle name="20% - Accent5 2 2 4 4 3" xfId="26632"/>
    <cellStyle name="20% - Accent5 2 2 4 4 3 2" xfId="26633"/>
    <cellStyle name="20% - Accent5 2 2 4 4 4" xfId="26634"/>
    <cellStyle name="20% - Accent5 2 2 4 4 5" xfId="26635"/>
    <cellStyle name="20% - Accent5 2 2 4 4 6" xfId="26636"/>
    <cellStyle name="20% - Accent5 2 2 4 4 7" xfId="26637"/>
    <cellStyle name="20% - Accent5 2 2 4 5" xfId="26638"/>
    <cellStyle name="20% - Accent5 2 2 4 5 2" xfId="26639"/>
    <cellStyle name="20% - Accent5 2 2 4 6" xfId="26640"/>
    <cellStyle name="20% - Accent5 2 2 4 6 2" xfId="26641"/>
    <cellStyle name="20% - Accent5 2 2 4 7" xfId="26642"/>
    <cellStyle name="20% - Accent5 2 2 4 8" xfId="26643"/>
    <cellStyle name="20% - Accent5 2 2 4 9" xfId="26644"/>
    <cellStyle name="20% - Accent5 2 2 5" xfId="26645"/>
    <cellStyle name="20% - Accent5 2 2 5 2" xfId="26646"/>
    <cellStyle name="20% - Accent5 2 2 5 2 2" xfId="26647"/>
    <cellStyle name="20% - Accent5 2 2 5 3" xfId="26648"/>
    <cellStyle name="20% - Accent5 2 2 5 3 2" xfId="26649"/>
    <cellStyle name="20% - Accent5 2 2 5 4" xfId="26650"/>
    <cellStyle name="20% - Accent5 2 2 5 5" xfId="26651"/>
    <cellStyle name="20% - Accent5 2 2 5 6" xfId="26652"/>
    <cellStyle name="20% - Accent5 2 2 5 7" xfId="26653"/>
    <cellStyle name="20% - Accent5 2 2 6" xfId="26654"/>
    <cellStyle name="20% - Accent5 2 2 6 2" xfId="26655"/>
    <cellStyle name="20% - Accent5 2 2 6 2 2" xfId="26656"/>
    <cellStyle name="20% - Accent5 2 2 6 3" xfId="26657"/>
    <cellStyle name="20% - Accent5 2 2 6 3 2" xfId="26658"/>
    <cellStyle name="20% - Accent5 2 2 6 4" xfId="26659"/>
    <cellStyle name="20% - Accent5 2 2 6 5" xfId="26660"/>
    <cellStyle name="20% - Accent5 2 2 6 6" xfId="26661"/>
    <cellStyle name="20% - Accent5 2 2 6 7" xfId="26662"/>
    <cellStyle name="20% - Accent5 2 2 7" xfId="26663"/>
    <cellStyle name="20% - Accent5 2 2 7 2" xfId="26664"/>
    <cellStyle name="20% - Accent5 2 2 7 2 2" xfId="26665"/>
    <cellStyle name="20% - Accent5 2 2 7 3" xfId="26666"/>
    <cellStyle name="20% - Accent5 2 2 7 3 2" xfId="26667"/>
    <cellStyle name="20% - Accent5 2 2 7 4" xfId="26668"/>
    <cellStyle name="20% - Accent5 2 2 7 5" xfId="26669"/>
    <cellStyle name="20% - Accent5 2 2 7 6" xfId="26670"/>
    <cellStyle name="20% - Accent5 2 2 7 7" xfId="26671"/>
    <cellStyle name="20% - Accent5 2 2 8" xfId="26672"/>
    <cellStyle name="20% - Accent5 2 2 8 2" xfId="26673"/>
    <cellStyle name="20% - Accent5 2 2 9" xfId="26674"/>
    <cellStyle name="20% - Accent5 2 2 9 2" xfId="26675"/>
    <cellStyle name="20% - Accent5 2 3" xfId="188"/>
    <cellStyle name="20% - Accent5 2 3 10" xfId="26676"/>
    <cellStyle name="20% - Accent5 2 3 11" xfId="26677"/>
    <cellStyle name="20% - Accent5 2 3 12" xfId="26678"/>
    <cellStyle name="20% - Accent5 2 3 13" xfId="26679"/>
    <cellStyle name="20% - Accent5 2 3 2" xfId="26680"/>
    <cellStyle name="20% - Accent5 2 3 2 10" xfId="26681"/>
    <cellStyle name="20% - Accent5 2 3 2 11" xfId="26682"/>
    <cellStyle name="20% - Accent5 2 3 2 2" xfId="26683"/>
    <cellStyle name="20% - Accent5 2 3 2 2 10" xfId="26684"/>
    <cellStyle name="20% - Accent5 2 3 2 2 2" xfId="26685"/>
    <cellStyle name="20% - Accent5 2 3 2 2 2 2" xfId="26686"/>
    <cellStyle name="20% - Accent5 2 3 2 2 2 2 2" xfId="26687"/>
    <cellStyle name="20% - Accent5 2 3 2 2 2 3" xfId="26688"/>
    <cellStyle name="20% - Accent5 2 3 2 2 2 3 2" xfId="26689"/>
    <cellStyle name="20% - Accent5 2 3 2 2 2 4" xfId="26690"/>
    <cellStyle name="20% - Accent5 2 3 2 2 2 5" xfId="26691"/>
    <cellStyle name="20% - Accent5 2 3 2 2 2 6" xfId="26692"/>
    <cellStyle name="20% - Accent5 2 3 2 2 2 7" xfId="26693"/>
    <cellStyle name="20% - Accent5 2 3 2 2 3" xfId="26694"/>
    <cellStyle name="20% - Accent5 2 3 2 2 3 2" xfId="26695"/>
    <cellStyle name="20% - Accent5 2 3 2 2 3 2 2" xfId="26696"/>
    <cellStyle name="20% - Accent5 2 3 2 2 3 3" xfId="26697"/>
    <cellStyle name="20% - Accent5 2 3 2 2 3 3 2" xfId="26698"/>
    <cellStyle name="20% - Accent5 2 3 2 2 3 4" xfId="26699"/>
    <cellStyle name="20% - Accent5 2 3 2 2 3 5" xfId="26700"/>
    <cellStyle name="20% - Accent5 2 3 2 2 3 6" xfId="26701"/>
    <cellStyle name="20% - Accent5 2 3 2 2 3 7" xfId="26702"/>
    <cellStyle name="20% - Accent5 2 3 2 2 4" xfId="26703"/>
    <cellStyle name="20% - Accent5 2 3 2 2 4 2" xfId="26704"/>
    <cellStyle name="20% - Accent5 2 3 2 2 4 2 2" xfId="26705"/>
    <cellStyle name="20% - Accent5 2 3 2 2 4 3" xfId="26706"/>
    <cellStyle name="20% - Accent5 2 3 2 2 4 3 2" xfId="26707"/>
    <cellStyle name="20% - Accent5 2 3 2 2 4 4" xfId="26708"/>
    <cellStyle name="20% - Accent5 2 3 2 2 4 5" xfId="26709"/>
    <cellStyle name="20% - Accent5 2 3 2 2 4 6" xfId="26710"/>
    <cellStyle name="20% - Accent5 2 3 2 2 4 7" xfId="26711"/>
    <cellStyle name="20% - Accent5 2 3 2 2 5" xfId="26712"/>
    <cellStyle name="20% - Accent5 2 3 2 2 5 2" xfId="26713"/>
    <cellStyle name="20% - Accent5 2 3 2 2 6" xfId="26714"/>
    <cellStyle name="20% - Accent5 2 3 2 2 6 2" xfId="26715"/>
    <cellStyle name="20% - Accent5 2 3 2 2 7" xfId="26716"/>
    <cellStyle name="20% - Accent5 2 3 2 2 8" xfId="26717"/>
    <cellStyle name="20% - Accent5 2 3 2 2 9" xfId="26718"/>
    <cellStyle name="20% - Accent5 2 3 2 3" xfId="26719"/>
    <cellStyle name="20% - Accent5 2 3 2 3 2" xfId="26720"/>
    <cellStyle name="20% - Accent5 2 3 2 3 2 2" xfId="26721"/>
    <cellStyle name="20% - Accent5 2 3 2 3 3" xfId="26722"/>
    <cellStyle name="20% - Accent5 2 3 2 3 3 2" xfId="26723"/>
    <cellStyle name="20% - Accent5 2 3 2 3 4" xfId="26724"/>
    <cellStyle name="20% - Accent5 2 3 2 3 5" xfId="26725"/>
    <cellStyle name="20% - Accent5 2 3 2 3 6" xfId="26726"/>
    <cellStyle name="20% - Accent5 2 3 2 3 7" xfId="26727"/>
    <cellStyle name="20% - Accent5 2 3 2 4" xfId="26728"/>
    <cellStyle name="20% - Accent5 2 3 2 4 2" xfId="26729"/>
    <cellStyle name="20% - Accent5 2 3 2 4 2 2" xfId="26730"/>
    <cellStyle name="20% - Accent5 2 3 2 4 3" xfId="26731"/>
    <cellStyle name="20% - Accent5 2 3 2 4 3 2" xfId="26732"/>
    <cellStyle name="20% - Accent5 2 3 2 4 4" xfId="26733"/>
    <cellStyle name="20% - Accent5 2 3 2 4 5" xfId="26734"/>
    <cellStyle name="20% - Accent5 2 3 2 4 6" xfId="26735"/>
    <cellStyle name="20% - Accent5 2 3 2 4 7" xfId="26736"/>
    <cellStyle name="20% - Accent5 2 3 2 5" xfId="26737"/>
    <cellStyle name="20% - Accent5 2 3 2 5 2" xfId="26738"/>
    <cellStyle name="20% - Accent5 2 3 2 5 2 2" xfId="26739"/>
    <cellStyle name="20% - Accent5 2 3 2 5 3" xfId="26740"/>
    <cellStyle name="20% - Accent5 2 3 2 5 3 2" xfId="26741"/>
    <cellStyle name="20% - Accent5 2 3 2 5 4" xfId="26742"/>
    <cellStyle name="20% - Accent5 2 3 2 5 5" xfId="26743"/>
    <cellStyle name="20% - Accent5 2 3 2 5 6" xfId="26744"/>
    <cellStyle name="20% - Accent5 2 3 2 5 7" xfId="26745"/>
    <cellStyle name="20% - Accent5 2 3 2 6" xfId="26746"/>
    <cellStyle name="20% - Accent5 2 3 2 6 2" xfId="26747"/>
    <cellStyle name="20% - Accent5 2 3 2 7" xfId="26748"/>
    <cellStyle name="20% - Accent5 2 3 2 7 2" xfId="26749"/>
    <cellStyle name="20% - Accent5 2 3 2 8" xfId="26750"/>
    <cellStyle name="20% - Accent5 2 3 2 9" xfId="26751"/>
    <cellStyle name="20% - Accent5 2 3 3" xfId="26752"/>
    <cellStyle name="20% - Accent5 2 3 3 10" xfId="26753"/>
    <cellStyle name="20% - Accent5 2 3 3 11" xfId="26754"/>
    <cellStyle name="20% - Accent5 2 3 3 2" xfId="26755"/>
    <cellStyle name="20% - Accent5 2 3 3 2 10" xfId="26756"/>
    <cellStyle name="20% - Accent5 2 3 3 2 2" xfId="26757"/>
    <cellStyle name="20% - Accent5 2 3 3 2 2 2" xfId="26758"/>
    <cellStyle name="20% - Accent5 2 3 3 2 2 2 2" xfId="26759"/>
    <cellStyle name="20% - Accent5 2 3 3 2 2 3" xfId="26760"/>
    <cellStyle name="20% - Accent5 2 3 3 2 2 3 2" xfId="26761"/>
    <cellStyle name="20% - Accent5 2 3 3 2 2 4" xfId="26762"/>
    <cellStyle name="20% - Accent5 2 3 3 2 2 5" xfId="26763"/>
    <cellStyle name="20% - Accent5 2 3 3 2 2 6" xfId="26764"/>
    <cellStyle name="20% - Accent5 2 3 3 2 2 7" xfId="26765"/>
    <cellStyle name="20% - Accent5 2 3 3 2 3" xfId="26766"/>
    <cellStyle name="20% - Accent5 2 3 3 2 3 2" xfId="26767"/>
    <cellStyle name="20% - Accent5 2 3 3 2 3 2 2" xfId="26768"/>
    <cellStyle name="20% - Accent5 2 3 3 2 3 3" xfId="26769"/>
    <cellStyle name="20% - Accent5 2 3 3 2 3 3 2" xfId="26770"/>
    <cellStyle name="20% - Accent5 2 3 3 2 3 4" xfId="26771"/>
    <cellStyle name="20% - Accent5 2 3 3 2 3 5" xfId="26772"/>
    <cellStyle name="20% - Accent5 2 3 3 2 3 6" xfId="26773"/>
    <cellStyle name="20% - Accent5 2 3 3 2 3 7" xfId="26774"/>
    <cellStyle name="20% - Accent5 2 3 3 2 4" xfId="26775"/>
    <cellStyle name="20% - Accent5 2 3 3 2 4 2" xfId="26776"/>
    <cellStyle name="20% - Accent5 2 3 3 2 4 2 2" xfId="26777"/>
    <cellStyle name="20% - Accent5 2 3 3 2 4 3" xfId="26778"/>
    <cellStyle name="20% - Accent5 2 3 3 2 4 3 2" xfId="26779"/>
    <cellStyle name="20% - Accent5 2 3 3 2 4 4" xfId="26780"/>
    <cellStyle name="20% - Accent5 2 3 3 2 4 5" xfId="26781"/>
    <cellStyle name="20% - Accent5 2 3 3 2 4 6" xfId="26782"/>
    <cellStyle name="20% - Accent5 2 3 3 2 4 7" xfId="26783"/>
    <cellStyle name="20% - Accent5 2 3 3 2 5" xfId="26784"/>
    <cellStyle name="20% - Accent5 2 3 3 2 5 2" xfId="26785"/>
    <cellStyle name="20% - Accent5 2 3 3 2 6" xfId="26786"/>
    <cellStyle name="20% - Accent5 2 3 3 2 6 2" xfId="26787"/>
    <cellStyle name="20% - Accent5 2 3 3 2 7" xfId="26788"/>
    <cellStyle name="20% - Accent5 2 3 3 2 8" xfId="26789"/>
    <cellStyle name="20% - Accent5 2 3 3 2 9" xfId="26790"/>
    <cellStyle name="20% - Accent5 2 3 3 3" xfId="26791"/>
    <cellStyle name="20% - Accent5 2 3 3 3 2" xfId="26792"/>
    <cellStyle name="20% - Accent5 2 3 3 3 2 2" xfId="26793"/>
    <cellStyle name="20% - Accent5 2 3 3 3 3" xfId="26794"/>
    <cellStyle name="20% - Accent5 2 3 3 3 3 2" xfId="26795"/>
    <cellStyle name="20% - Accent5 2 3 3 3 4" xfId="26796"/>
    <cellStyle name="20% - Accent5 2 3 3 3 5" xfId="26797"/>
    <cellStyle name="20% - Accent5 2 3 3 3 6" xfId="26798"/>
    <cellStyle name="20% - Accent5 2 3 3 3 7" xfId="26799"/>
    <cellStyle name="20% - Accent5 2 3 3 4" xfId="26800"/>
    <cellStyle name="20% - Accent5 2 3 3 4 2" xfId="26801"/>
    <cellStyle name="20% - Accent5 2 3 3 4 2 2" xfId="26802"/>
    <cellStyle name="20% - Accent5 2 3 3 4 3" xfId="26803"/>
    <cellStyle name="20% - Accent5 2 3 3 4 3 2" xfId="26804"/>
    <cellStyle name="20% - Accent5 2 3 3 4 4" xfId="26805"/>
    <cellStyle name="20% - Accent5 2 3 3 4 5" xfId="26806"/>
    <cellStyle name="20% - Accent5 2 3 3 4 6" xfId="26807"/>
    <cellStyle name="20% - Accent5 2 3 3 4 7" xfId="26808"/>
    <cellStyle name="20% - Accent5 2 3 3 5" xfId="26809"/>
    <cellStyle name="20% - Accent5 2 3 3 5 2" xfId="26810"/>
    <cellStyle name="20% - Accent5 2 3 3 5 2 2" xfId="26811"/>
    <cellStyle name="20% - Accent5 2 3 3 5 3" xfId="26812"/>
    <cellStyle name="20% - Accent5 2 3 3 5 3 2" xfId="26813"/>
    <cellStyle name="20% - Accent5 2 3 3 5 4" xfId="26814"/>
    <cellStyle name="20% - Accent5 2 3 3 5 5" xfId="26815"/>
    <cellStyle name="20% - Accent5 2 3 3 5 6" xfId="26816"/>
    <cellStyle name="20% - Accent5 2 3 3 5 7" xfId="26817"/>
    <cellStyle name="20% - Accent5 2 3 3 6" xfId="26818"/>
    <cellStyle name="20% - Accent5 2 3 3 6 2" xfId="26819"/>
    <cellStyle name="20% - Accent5 2 3 3 7" xfId="26820"/>
    <cellStyle name="20% - Accent5 2 3 3 7 2" xfId="26821"/>
    <cellStyle name="20% - Accent5 2 3 3 8" xfId="26822"/>
    <cellStyle name="20% - Accent5 2 3 3 9" xfId="26823"/>
    <cellStyle name="20% - Accent5 2 3 4" xfId="26824"/>
    <cellStyle name="20% - Accent5 2 3 4 10" xfId="26825"/>
    <cellStyle name="20% - Accent5 2 3 4 2" xfId="26826"/>
    <cellStyle name="20% - Accent5 2 3 4 2 2" xfId="26827"/>
    <cellStyle name="20% - Accent5 2 3 4 2 2 2" xfId="26828"/>
    <cellStyle name="20% - Accent5 2 3 4 2 3" xfId="26829"/>
    <cellStyle name="20% - Accent5 2 3 4 2 3 2" xfId="26830"/>
    <cellStyle name="20% - Accent5 2 3 4 2 4" xfId="26831"/>
    <cellStyle name="20% - Accent5 2 3 4 2 5" xfId="26832"/>
    <cellStyle name="20% - Accent5 2 3 4 2 6" xfId="26833"/>
    <cellStyle name="20% - Accent5 2 3 4 2 7" xfId="26834"/>
    <cellStyle name="20% - Accent5 2 3 4 3" xfId="26835"/>
    <cellStyle name="20% - Accent5 2 3 4 3 2" xfId="26836"/>
    <cellStyle name="20% - Accent5 2 3 4 3 2 2" xfId="26837"/>
    <cellStyle name="20% - Accent5 2 3 4 3 3" xfId="26838"/>
    <cellStyle name="20% - Accent5 2 3 4 3 3 2" xfId="26839"/>
    <cellStyle name="20% - Accent5 2 3 4 3 4" xfId="26840"/>
    <cellStyle name="20% - Accent5 2 3 4 3 5" xfId="26841"/>
    <cellStyle name="20% - Accent5 2 3 4 3 6" xfId="26842"/>
    <cellStyle name="20% - Accent5 2 3 4 3 7" xfId="26843"/>
    <cellStyle name="20% - Accent5 2 3 4 4" xfId="26844"/>
    <cellStyle name="20% - Accent5 2 3 4 4 2" xfId="26845"/>
    <cellStyle name="20% - Accent5 2 3 4 4 2 2" xfId="26846"/>
    <cellStyle name="20% - Accent5 2 3 4 4 3" xfId="26847"/>
    <cellStyle name="20% - Accent5 2 3 4 4 3 2" xfId="26848"/>
    <cellStyle name="20% - Accent5 2 3 4 4 4" xfId="26849"/>
    <cellStyle name="20% - Accent5 2 3 4 4 5" xfId="26850"/>
    <cellStyle name="20% - Accent5 2 3 4 4 6" xfId="26851"/>
    <cellStyle name="20% - Accent5 2 3 4 4 7" xfId="26852"/>
    <cellStyle name="20% - Accent5 2 3 4 5" xfId="26853"/>
    <cellStyle name="20% - Accent5 2 3 4 5 2" xfId="26854"/>
    <cellStyle name="20% - Accent5 2 3 4 6" xfId="26855"/>
    <cellStyle name="20% - Accent5 2 3 4 6 2" xfId="26856"/>
    <cellStyle name="20% - Accent5 2 3 4 7" xfId="26857"/>
    <cellStyle name="20% - Accent5 2 3 4 8" xfId="26858"/>
    <cellStyle name="20% - Accent5 2 3 4 9" xfId="26859"/>
    <cellStyle name="20% - Accent5 2 3 5" xfId="26860"/>
    <cellStyle name="20% - Accent5 2 3 5 2" xfId="26861"/>
    <cellStyle name="20% - Accent5 2 3 5 2 2" xfId="26862"/>
    <cellStyle name="20% - Accent5 2 3 5 3" xfId="26863"/>
    <cellStyle name="20% - Accent5 2 3 5 3 2" xfId="26864"/>
    <cellStyle name="20% - Accent5 2 3 5 4" xfId="26865"/>
    <cellStyle name="20% - Accent5 2 3 5 5" xfId="26866"/>
    <cellStyle name="20% - Accent5 2 3 5 6" xfId="26867"/>
    <cellStyle name="20% - Accent5 2 3 5 7" xfId="26868"/>
    <cellStyle name="20% - Accent5 2 3 6" xfId="26869"/>
    <cellStyle name="20% - Accent5 2 3 6 2" xfId="26870"/>
    <cellStyle name="20% - Accent5 2 3 6 2 2" xfId="26871"/>
    <cellStyle name="20% - Accent5 2 3 6 3" xfId="26872"/>
    <cellStyle name="20% - Accent5 2 3 6 3 2" xfId="26873"/>
    <cellStyle name="20% - Accent5 2 3 6 4" xfId="26874"/>
    <cellStyle name="20% - Accent5 2 3 6 5" xfId="26875"/>
    <cellStyle name="20% - Accent5 2 3 6 6" xfId="26876"/>
    <cellStyle name="20% - Accent5 2 3 6 7" xfId="26877"/>
    <cellStyle name="20% - Accent5 2 3 7" xfId="26878"/>
    <cellStyle name="20% - Accent5 2 3 7 2" xfId="26879"/>
    <cellStyle name="20% - Accent5 2 3 7 2 2" xfId="26880"/>
    <cellStyle name="20% - Accent5 2 3 7 3" xfId="26881"/>
    <cellStyle name="20% - Accent5 2 3 7 3 2" xfId="26882"/>
    <cellStyle name="20% - Accent5 2 3 7 4" xfId="26883"/>
    <cellStyle name="20% - Accent5 2 3 7 5" xfId="26884"/>
    <cellStyle name="20% - Accent5 2 3 7 6" xfId="26885"/>
    <cellStyle name="20% - Accent5 2 3 7 7" xfId="26886"/>
    <cellStyle name="20% - Accent5 2 3 8" xfId="26887"/>
    <cellStyle name="20% - Accent5 2 3 8 2" xfId="26888"/>
    <cellStyle name="20% - Accent5 2 3 9" xfId="26889"/>
    <cellStyle name="20% - Accent5 2 3 9 2" xfId="26890"/>
    <cellStyle name="20% - Accent5 2 4" xfId="26891"/>
    <cellStyle name="20% - Accent5 2 4 10" xfId="26892"/>
    <cellStyle name="20% - Accent5 2 4 11" xfId="26893"/>
    <cellStyle name="20% - Accent5 2 4 12" xfId="26894"/>
    <cellStyle name="20% - Accent5 2 4 13" xfId="26895"/>
    <cellStyle name="20% - Accent5 2 4 2" xfId="26896"/>
    <cellStyle name="20% - Accent5 2 4 2 10" xfId="26897"/>
    <cellStyle name="20% - Accent5 2 4 2 11" xfId="26898"/>
    <cellStyle name="20% - Accent5 2 4 2 2" xfId="26899"/>
    <cellStyle name="20% - Accent5 2 4 2 2 10" xfId="26900"/>
    <cellStyle name="20% - Accent5 2 4 2 2 2" xfId="26901"/>
    <cellStyle name="20% - Accent5 2 4 2 2 2 2" xfId="26902"/>
    <cellStyle name="20% - Accent5 2 4 2 2 2 2 2" xfId="26903"/>
    <cellStyle name="20% - Accent5 2 4 2 2 2 3" xfId="26904"/>
    <cellStyle name="20% - Accent5 2 4 2 2 2 3 2" xfId="26905"/>
    <cellStyle name="20% - Accent5 2 4 2 2 2 4" xfId="26906"/>
    <cellStyle name="20% - Accent5 2 4 2 2 2 5" xfId="26907"/>
    <cellStyle name="20% - Accent5 2 4 2 2 2 6" xfId="26908"/>
    <cellStyle name="20% - Accent5 2 4 2 2 2 7" xfId="26909"/>
    <cellStyle name="20% - Accent5 2 4 2 2 3" xfId="26910"/>
    <cellStyle name="20% - Accent5 2 4 2 2 3 2" xfId="26911"/>
    <cellStyle name="20% - Accent5 2 4 2 2 3 2 2" xfId="26912"/>
    <cellStyle name="20% - Accent5 2 4 2 2 3 3" xfId="26913"/>
    <cellStyle name="20% - Accent5 2 4 2 2 3 3 2" xfId="26914"/>
    <cellStyle name="20% - Accent5 2 4 2 2 3 4" xfId="26915"/>
    <cellStyle name="20% - Accent5 2 4 2 2 3 5" xfId="26916"/>
    <cellStyle name="20% - Accent5 2 4 2 2 3 6" xfId="26917"/>
    <cellStyle name="20% - Accent5 2 4 2 2 3 7" xfId="26918"/>
    <cellStyle name="20% - Accent5 2 4 2 2 4" xfId="26919"/>
    <cellStyle name="20% - Accent5 2 4 2 2 4 2" xfId="26920"/>
    <cellStyle name="20% - Accent5 2 4 2 2 4 2 2" xfId="26921"/>
    <cellStyle name="20% - Accent5 2 4 2 2 4 3" xfId="26922"/>
    <cellStyle name="20% - Accent5 2 4 2 2 4 3 2" xfId="26923"/>
    <cellStyle name="20% - Accent5 2 4 2 2 4 4" xfId="26924"/>
    <cellStyle name="20% - Accent5 2 4 2 2 4 5" xfId="26925"/>
    <cellStyle name="20% - Accent5 2 4 2 2 4 6" xfId="26926"/>
    <cellStyle name="20% - Accent5 2 4 2 2 4 7" xfId="26927"/>
    <cellStyle name="20% - Accent5 2 4 2 2 5" xfId="26928"/>
    <cellStyle name="20% - Accent5 2 4 2 2 5 2" xfId="26929"/>
    <cellStyle name="20% - Accent5 2 4 2 2 6" xfId="26930"/>
    <cellStyle name="20% - Accent5 2 4 2 2 6 2" xfId="26931"/>
    <cellStyle name="20% - Accent5 2 4 2 2 7" xfId="26932"/>
    <cellStyle name="20% - Accent5 2 4 2 2 8" xfId="26933"/>
    <cellStyle name="20% - Accent5 2 4 2 2 9" xfId="26934"/>
    <cellStyle name="20% - Accent5 2 4 2 3" xfId="26935"/>
    <cellStyle name="20% - Accent5 2 4 2 3 2" xfId="26936"/>
    <cellStyle name="20% - Accent5 2 4 2 3 2 2" xfId="26937"/>
    <cellStyle name="20% - Accent5 2 4 2 3 3" xfId="26938"/>
    <cellStyle name="20% - Accent5 2 4 2 3 3 2" xfId="26939"/>
    <cellStyle name="20% - Accent5 2 4 2 3 4" xfId="26940"/>
    <cellStyle name="20% - Accent5 2 4 2 3 5" xfId="26941"/>
    <cellStyle name="20% - Accent5 2 4 2 3 6" xfId="26942"/>
    <cellStyle name="20% - Accent5 2 4 2 3 7" xfId="26943"/>
    <cellStyle name="20% - Accent5 2 4 2 4" xfId="26944"/>
    <cellStyle name="20% - Accent5 2 4 2 4 2" xfId="26945"/>
    <cellStyle name="20% - Accent5 2 4 2 4 2 2" xfId="26946"/>
    <cellStyle name="20% - Accent5 2 4 2 4 3" xfId="26947"/>
    <cellStyle name="20% - Accent5 2 4 2 4 3 2" xfId="26948"/>
    <cellStyle name="20% - Accent5 2 4 2 4 4" xfId="26949"/>
    <cellStyle name="20% - Accent5 2 4 2 4 5" xfId="26950"/>
    <cellStyle name="20% - Accent5 2 4 2 4 6" xfId="26951"/>
    <cellStyle name="20% - Accent5 2 4 2 4 7" xfId="26952"/>
    <cellStyle name="20% - Accent5 2 4 2 5" xfId="26953"/>
    <cellStyle name="20% - Accent5 2 4 2 5 2" xfId="26954"/>
    <cellStyle name="20% - Accent5 2 4 2 5 2 2" xfId="26955"/>
    <cellStyle name="20% - Accent5 2 4 2 5 3" xfId="26956"/>
    <cellStyle name="20% - Accent5 2 4 2 5 3 2" xfId="26957"/>
    <cellStyle name="20% - Accent5 2 4 2 5 4" xfId="26958"/>
    <cellStyle name="20% - Accent5 2 4 2 5 5" xfId="26959"/>
    <cellStyle name="20% - Accent5 2 4 2 5 6" xfId="26960"/>
    <cellStyle name="20% - Accent5 2 4 2 5 7" xfId="26961"/>
    <cellStyle name="20% - Accent5 2 4 2 6" xfId="26962"/>
    <cellStyle name="20% - Accent5 2 4 2 6 2" xfId="26963"/>
    <cellStyle name="20% - Accent5 2 4 2 7" xfId="26964"/>
    <cellStyle name="20% - Accent5 2 4 2 7 2" xfId="26965"/>
    <cellStyle name="20% - Accent5 2 4 2 8" xfId="26966"/>
    <cellStyle name="20% - Accent5 2 4 2 9" xfId="26967"/>
    <cellStyle name="20% - Accent5 2 4 3" xfId="26968"/>
    <cellStyle name="20% - Accent5 2 4 3 10" xfId="26969"/>
    <cellStyle name="20% - Accent5 2 4 3 11" xfId="26970"/>
    <cellStyle name="20% - Accent5 2 4 3 2" xfId="26971"/>
    <cellStyle name="20% - Accent5 2 4 3 2 10" xfId="26972"/>
    <cellStyle name="20% - Accent5 2 4 3 2 2" xfId="26973"/>
    <cellStyle name="20% - Accent5 2 4 3 2 2 2" xfId="26974"/>
    <cellStyle name="20% - Accent5 2 4 3 2 2 2 2" xfId="26975"/>
    <cellStyle name="20% - Accent5 2 4 3 2 2 3" xfId="26976"/>
    <cellStyle name="20% - Accent5 2 4 3 2 2 3 2" xfId="26977"/>
    <cellStyle name="20% - Accent5 2 4 3 2 2 4" xfId="26978"/>
    <cellStyle name="20% - Accent5 2 4 3 2 2 5" xfId="26979"/>
    <cellStyle name="20% - Accent5 2 4 3 2 2 6" xfId="26980"/>
    <cellStyle name="20% - Accent5 2 4 3 2 2 7" xfId="26981"/>
    <cellStyle name="20% - Accent5 2 4 3 2 3" xfId="26982"/>
    <cellStyle name="20% - Accent5 2 4 3 2 3 2" xfId="26983"/>
    <cellStyle name="20% - Accent5 2 4 3 2 3 2 2" xfId="26984"/>
    <cellStyle name="20% - Accent5 2 4 3 2 3 3" xfId="26985"/>
    <cellStyle name="20% - Accent5 2 4 3 2 3 3 2" xfId="26986"/>
    <cellStyle name="20% - Accent5 2 4 3 2 3 4" xfId="26987"/>
    <cellStyle name="20% - Accent5 2 4 3 2 3 5" xfId="26988"/>
    <cellStyle name="20% - Accent5 2 4 3 2 3 6" xfId="26989"/>
    <cellStyle name="20% - Accent5 2 4 3 2 3 7" xfId="26990"/>
    <cellStyle name="20% - Accent5 2 4 3 2 4" xfId="26991"/>
    <cellStyle name="20% - Accent5 2 4 3 2 4 2" xfId="26992"/>
    <cellStyle name="20% - Accent5 2 4 3 2 4 2 2" xfId="26993"/>
    <cellStyle name="20% - Accent5 2 4 3 2 4 3" xfId="26994"/>
    <cellStyle name="20% - Accent5 2 4 3 2 4 3 2" xfId="26995"/>
    <cellStyle name="20% - Accent5 2 4 3 2 4 4" xfId="26996"/>
    <cellStyle name="20% - Accent5 2 4 3 2 4 5" xfId="26997"/>
    <cellStyle name="20% - Accent5 2 4 3 2 4 6" xfId="26998"/>
    <cellStyle name="20% - Accent5 2 4 3 2 4 7" xfId="26999"/>
    <cellStyle name="20% - Accent5 2 4 3 2 5" xfId="27000"/>
    <cellStyle name="20% - Accent5 2 4 3 2 5 2" xfId="27001"/>
    <cellStyle name="20% - Accent5 2 4 3 2 6" xfId="27002"/>
    <cellStyle name="20% - Accent5 2 4 3 2 6 2" xfId="27003"/>
    <cellStyle name="20% - Accent5 2 4 3 2 7" xfId="27004"/>
    <cellStyle name="20% - Accent5 2 4 3 2 8" xfId="27005"/>
    <cellStyle name="20% - Accent5 2 4 3 2 9" xfId="27006"/>
    <cellStyle name="20% - Accent5 2 4 3 3" xfId="27007"/>
    <cellStyle name="20% - Accent5 2 4 3 3 2" xfId="27008"/>
    <cellStyle name="20% - Accent5 2 4 3 3 2 2" xfId="27009"/>
    <cellStyle name="20% - Accent5 2 4 3 3 3" xfId="27010"/>
    <cellStyle name="20% - Accent5 2 4 3 3 3 2" xfId="27011"/>
    <cellStyle name="20% - Accent5 2 4 3 3 4" xfId="27012"/>
    <cellStyle name="20% - Accent5 2 4 3 3 5" xfId="27013"/>
    <cellStyle name="20% - Accent5 2 4 3 3 6" xfId="27014"/>
    <cellStyle name="20% - Accent5 2 4 3 3 7" xfId="27015"/>
    <cellStyle name="20% - Accent5 2 4 3 4" xfId="27016"/>
    <cellStyle name="20% - Accent5 2 4 3 4 2" xfId="27017"/>
    <cellStyle name="20% - Accent5 2 4 3 4 2 2" xfId="27018"/>
    <cellStyle name="20% - Accent5 2 4 3 4 3" xfId="27019"/>
    <cellStyle name="20% - Accent5 2 4 3 4 3 2" xfId="27020"/>
    <cellStyle name="20% - Accent5 2 4 3 4 4" xfId="27021"/>
    <cellStyle name="20% - Accent5 2 4 3 4 5" xfId="27022"/>
    <cellStyle name="20% - Accent5 2 4 3 4 6" xfId="27023"/>
    <cellStyle name="20% - Accent5 2 4 3 4 7" xfId="27024"/>
    <cellStyle name="20% - Accent5 2 4 3 5" xfId="27025"/>
    <cellStyle name="20% - Accent5 2 4 3 5 2" xfId="27026"/>
    <cellStyle name="20% - Accent5 2 4 3 5 2 2" xfId="27027"/>
    <cellStyle name="20% - Accent5 2 4 3 5 3" xfId="27028"/>
    <cellStyle name="20% - Accent5 2 4 3 5 3 2" xfId="27029"/>
    <cellStyle name="20% - Accent5 2 4 3 5 4" xfId="27030"/>
    <cellStyle name="20% - Accent5 2 4 3 5 5" xfId="27031"/>
    <cellStyle name="20% - Accent5 2 4 3 5 6" xfId="27032"/>
    <cellStyle name="20% - Accent5 2 4 3 5 7" xfId="27033"/>
    <cellStyle name="20% - Accent5 2 4 3 6" xfId="27034"/>
    <cellStyle name="20% - Accent5 2 4 3 6 2" xfId="27035"/>
    <cellStyle name="20% - Accent5 2 4 3 7" xfId="27036"/>
    <cellStyle name="20% - Accent5 2 4 3 7 2" xfId="27037"/>
    <cellStyle name="20% - Accent5 2 4 3 8" xfId="27038"/>
    <cellStyle name="20% - Accent5 2 4 3 9" xfId="27039"/>
    <cellStyle name="20% - Accent5 2 4 4" xfId="27040"/>
    <cellStyle name="20% - Accent5 2 4 4 10" xfId="27041"/>
    <cellStyle name="20% - Accent5 2 4 4 2" xfId="27042"/>
    <cellStyle name="20% - Accent5 2 4 4 2 2" xfId="27043"/>
    <cellStyle name="20% - Accent5 2 4 4 2 2 2" xfId="27044"/>
    <cellStyle name="20% - Accent5 2 4 4 2 3" xfId="27045"/>
    <cellStyle name="20% - Accent5 2 4 4 2 3 2" xfId="27046"/>
    <cellStyle name="20% - Accent5 2 4 4 2 4" xfId="27047"/>
    <cellStyle name="20% - Accent5 2 4 4 2 5" xfId="27048"/>
    <cellStyle name="20% - Accent5 2 4 4 2 6" xfId="27049"/>
    <cellStyle name="20% - Accent5 2 4 4 2 7" xfId="27050"/>
    <cellStyle name="20% - Accent5 2 4 4 3" xfId="27051"/>
    <cellStyle name="20% - Accent5 2 4 4 3 2" xfId="27052"/>
    <cellStyle name="20% - Accent5 2 4 4 3 2 2" xfId="27053"/>
    <cellStyle name="20% - Accent5 2 4 4 3 3" xfId="27054"/>
    <cellStyle name="20% - Accent5 2 4 4 3 3 2" xfId="27055"/>
    <cellStyle name="20% - Accent5 2 4 4 3 4" xfId="27056"/>
    <cellStyle name="20% - Accent5 2 4 4 3 5" xfId="27057"/>
    <cellStyle name="20% - Accent5 2 4 4 3 6" xfId="27058"/>
    <cellStyle name="20% - Accent5 2 4 4 3 7" xfId="27059"/>
    <cellStyle name="20% - Accent5 2 4 4 4" xfId="27060"/>
    <cellStyle name="20% - Accent5 2 4 4 4 2" xfId="27061"/>
    <cellStyle name="20% - Accent5 2 4 4 4 2 2" xfId="27062"/>
    <cellStyle name="20% - Accent5 2 4 4 4 3" xfId="27063"/>
    <cellStyle name="20% - Accent5 2 4 4 4 3 2" xfId="27064"/>
    <cellStyle name="20% - Accent5 2 4 4 4 4" xfId="27065"/>
    <cellStyle name="20% - Accent5 2 4 4 4 5" xfId="27066"/>
    <cellStyle name="20% - Accent5 2 4 4 4 6" xfId="27067"/>
    <cellStyle name="20% - Accent5 2 4 4 4 7" xfId="27068"/>
    <cellStyle name="20% - Accent5 2 4 4 5" xfId="27069"/>
    <cellStyle name="20% - Accent5 2 4 4 5 2" xfId="27070"/>
    <cellStyle name="20% - Accent5 2 4 4 6" xfId="27071"/>
    <cellStyle name="20% - Accent5 2 4 4 6 2" xfId="27072"/>
    <cellStyle name="20% - Accent5 2 4 4 7" xfId="27073"/>
    <cellStyle name="20% - Accent5 2 4 4 8" xfId="27074"/>
    <cellStyle name="20% - Accent5 2 4 4 9" xfId="27075"/>
    <cellStyle name="20% - Accent5 2 4 5" xfId="27076"/>
    <cellStyle name="20% - Accent5 2 4 5 2" xfId="27077"/>
    <cellStyle name="20% - Accent5 2 4 5 2 2" xfId="27078"/>
    <cellStyle name="20% - Accent5 2 4 5 3" xfId="27079"/>
    <cellStyle name="20% - Accent5 2 4 5 3 2" xfId="27080"/>
    <cellStyle name="20% - Accent5 2 4 5 4" xfId="27081"/>
    <cellStyle name="20% - Accent5 2 4 5 5" xfId="27082"/>
    <cellStyle name="20% - Accent5 2 4 5 6" xfId="27083"/>
    <cellStyle name="20% - Accent5 2 4 5 7" xfId="27084"/>
    <cellStyle name="20% - Accent5 2 4 6" xfId="27085"/>
    <cellStyle name="20% - Accent5 2 4 6 2" xfId="27086"/>
    <cellStyle name="20% - Accent5 2 4 6 2 2" xfId="27087"/>
    <cellStyle name="20% - Accent5 2 4 6 3" xfId="27088"/>
    <cellStyle name="20% - Accent5 2 4 6 3 2" xfId="27089"/>
    <cellStyle name="20% - Accent5 2 4 6 4" xfId="27090"/>
    <cellStyle name="20% - Accent5 2 4 6 5" xfId="27091"/>
    <cellStyle name="20% - Accent5 2 4 6 6" xfId="27092"/>
    <cellStyle name="20% - Accent5 2 4 6 7" xfId="27093"/>
    <cellStyle name="20% - Accent5 2 4 7" xfId="27094"/>
    <cellStyle name="20% - Accent5 2 4 7 2" xfId="27095"/>
    <cellStyle name="20% - Accent5 2 4 7 2 2" xfId="27096"/>
    <cellStyle name="20% - Accent5 2 4 7 3" xfId="27097"/>
    <cellStyle name="20% - Accent5 2 4 7 3 2" xfId="27098"/>
    <cellStyle name="20% - Accent5 2 4 7 4" xfId="27099"/>
    <cellStyle name="20% - Accent5 2 4 7 5" xfId="27100"/>
    <cellStyle name="20% - Accent5 2 4 7 6" xfId="27101"/>
    <cellStyle name="20% - Accent5 2 4 7 7" xfId="27102"/>
    <cellStyle name="20% - Accent5 2 4 8" xfId="27103"/>
    <cellStyle name="20% - Accent5 2 4 8 2" xfId="27104"/>
    <cellStyle name="20% - Accent5 2 4 9" xfId="27105"/>
    <cellStyle name="20% - Accent5 2 4 9 2" xfId="27106"/>
    <cellStyle name="20% - Accent5 2 5" xfId="27107"/>
    <cellStyle name="20% - Accent5 2 5 10" xfId="27108"/>
    <cellStyle name="20% - Accent5 2 5 11" xfId="27109"/>
    <cellStyle name="20% - Accent5 2 5 12" xfId="27110"/>
    <cellStyle name="20% - Accent5 2 5 13" xfId="27111"/>
    <cellStyle name="20% - Accent5 2 5 2" xfId="27112"/>
    <cellStyle name="20% - Accent5 2 5 2 10" xfId="27113"/>
    <cellStyle name="20% - Accent5 2 5 2 11" xfId="27114"/>
    <cellStyle name="20% - Accent5 2 5 2 2" xfId="27115"/>
    <cellStyle name="20% - Accent5 2 5 2 2 10" xfId="27116"/>
    <cellStyle name="20% - Accent5 2 5 2 2 2" xfId="27117"/>
    <cellStyle name="20% - Accent5 2 5 2 2 2 2" xfId="27118"/>
    <cellStyle name="20% - Accent5 2 5 2 2 2 2 2" xfId="27119"/>
    <cellStyle name="20% - Accent5 2 5 2 2 2 3" xfId="27120"/>
    <cellStyle name="20% - Accent5 2 5 2 2 2 3 2" xfId="27121"/>
    <cellStyle name="20% - Accent5 2 5 2 2 2 4" xfId="27122"/>
    <cellStyle name="20% - Accent5 2 5 2 2 2 5" xfId="27123"/>
    <cellStyle name="20% - Accent5 2 5 2 2 2 6" xfId="27124"/>
    <cellStyle name="20% - Accent5 2 5 2 2 2 7" xfId="27125"/>
    <cellStyle name="20% - Accent5 2 5 2 2 3" xfId="27126"/>
    <cellStyle name="20% - Accent5 2 5 2 2 3 2" xfId="27127"/>
    <cellStyle name="20% - Accent5 2 5 2 2 3 2 2" xfId="27128"/>
    <cellStyle name="20% - Accent5 2 5 2 2 3 3" xfId="27129"/>
    <cellStyle name="20% - Accent5 2 5 2 2 3 3 2" xfId="27130"/>
    <cellStyle name="20% - Accent5 2 5 2 2 3 4" xfId="27131"/>
    <cellStyle name="20% - Accent5 2 5 2 2 3 5" xfId="27132"/>
    <cellStyle name="20% - Accent5 2 5 2 2 3 6" xfId="27133"/>
    <cellStyle name="20% - Accent5 2 5 2 2 3 7" xfId="27134"/>
    <cellStyle name="20% - Accent5 2 5 2 2 4" xfId="27135"/>
    <cellStyle name="20% - Accent5 2 5 2 2 4 2" xfId="27136"/>
    <cellStyle name="20% - Accent5 2 5 2 2 4 2 2" xfId="27137"/>
    <cellStyle name="20% - Accent5 2 5 2 2 4 3" xfId="27138"/>
    <cellStyle name="20% - Accent5 2 5 2 2 4 3 2" xfId="27139"/>
    <cellStyle name="20% - Accent5 2 5 2 2 4 4" xfId="27140"/>
    <cellStyle name="20% - Accent5 2 5 2 2 4 5" xfId="27141"/>
    <cellStyle name="20% - Accent5 2 5 2 2 4 6" xfId="27142"/>
    <cellStyle name="20% - Accent5 2 5 2 2 4 7" xfId="27143"/>
    <cellStyle name="20% - Accent5 2 5 2 2 5" xfId="27144"/>
    <cellStyle name="20% - Accent5 2 5 2 2 5 2" xfId="27145"/>
    <cellStyle name="20% - Accent5 2 5 2 2 6" xfId="27146"/>
    <cellStyle name="20% - Accent5 2 5 2 2 6 2" xfId="27147"/>
    <cellStyle name="20% - Accent5 2 5 2 2 7" xfId="27148"/>
    <cellStyle name="20% - Accent5 2 5 2 2 8" xfId="27149"/>
    <cellStyle name="20% - Accent5 2 5 2 2 9" xfId="27150"/>
    <cellStyle name="20% - Accent5 2 5 2 3" xfId="27151"/>
    <cellStyle name="20% - Accent5 2 5 2 3 2" xfId="27152"/>
    <cellStyle name="20% - Accent5 2 5 2 3 2 2" xfId="27153"/>
    <cellStyle name="20% - Accent5 2 5 2 3 3" xfId="27154"/>
    <cellStyle name="20% - Accent5 2 5 2 3 3 2" xfId="27155"/>
    <cellStyle name="20% - Accent5 2 5 2 3 4" xfId="27156"/>
    <cellStyle name="20% - Accent5 2 5 2 3 5" xfId="27157"/>
    <cellStyle name="20% - Accent5 2 5 2 3 6" xfId="27158"/>
    <cellStyle name="20% - Accent5 2 5 2 3 7" xfId="27159"/>
    <cellStyle name="20% - Accent5 2 5 2 4" xfId="27160"/>
    <cellStyle name="20% - Accent5 2 5 2 4 2" xfId="27161"/>
    <cellStyle name="20% - Accent5 2 5 2 4 2 2" xfId="27162"/>
    <cellStyle name="20% - Accent5 2 5 2 4 3" xfId="27163"/>
    <cellStyle name="20% - Accent5 2 5 2 4 3 2" xfId="27164"/>
    <cellStyle name="20% - Accent5 2 5 2 4 4" xfId="27165"/>
    <cellStyle name="20% - Accent5 2 5 2 4 5" xfId="27166"/>
    <cellStyle name="20% - Accent5 2 5 2 4 6" xfId="27167"/>
    <cellStyle name="20% - Accent5 2 5 2 4 7" xfId="27168"/>
    <cellStyle name="20% - Accent5 2 5 2 5" xfId="27169"/>
    <cellStyle name="20% - Accent5 2 5 2 5 2" xfId="27170"/>
    <cellStyle name="20% - Accent5 2 5 2 5 2 2" xfId="27171"/>
    <cellStyle name="20% - Accent5 2 5 2 5 3" xfId="27172"/>
    <cellStyle name="20% - Accent5 2 5 2 5 3 2" xfId="27173"/>
    <cellStyle name="20% - Accent5 2 5 2 5 4" xfId="27174"/>
    <cellStyle name="20% - Accent5 2 5 2 5 5" xfId="27175"/>
    <cellStyle name="20% - Accent5 2 5 2 5 6" xfId="27176"/>
    <cellStyle name="20% - Accent5 2 5 2 5 7" xfId="27177"/>
    <cellStyle name="20% - Accent5 2 5 2 6" xfId="27178"/>
    <cellStyle name="20% - Accent5 2 5 2 6 2" xfId="27179"/>
    <cellStyle name="20% - Accent5 2 5 2 7" xfId="27180"/>
    <cellStyle name="20% - Accent5 2 5 2 7 2" xfId="27181"/>
    <cellStyle name="20% - Accent5 2 5 2 8" xfId="27182"/>
    <cellStyle name="20% - Accent5 2 5 2 9" xfId="27183"/>
    <cellStyle name="20% - Accent5 2 5 3" xfId="27184"/>
    <cellStyle name="20% - Accent5 2 5 3 10" xfId="27185"/>
    <cellStyle name="20% - Accent5 2 5 3 11" xfId="27186"/>
    <cellStyle name="20% - Accent5 2 5 3 2" xfId="27187"/>
    <cellStyle name="20% - Accent5 2 5 3 2 10" xfId="27188"/>
    <cellStyle name="20% - Accent5 2 5 3 2 2" xfId="27189"/>
    <cellStyle name="20% - Accent5 2 5 3 2 2 2" xfId="27190"/>
    <cellStyle name="20% - Accent5 2 5 3 2 2 2 2" xfId="27191"/>
    <cellStyle name="20% - Accent5 2 5 3 2 2 3" xfId="27192"/>
    <cellStyle name="20% - Accent5 2 5 3 2 2 3 2" xfId="27193"/>
    <cellStyle name="20% - Accent5 2 5 3 2 2 4" xfId="27194"/>
    <cellStyle name="20% - Accent5 2 5 3 2 2 5" xfId="27195"/>
    <cellStyle name="20% - Accent5 2 5 3 2 2 6" xfId="27196"/>
    <cellStyle name="20% - Accent5 2 5 3 2 2 7" xfId="27197"/>
    <cellStyle name="20% - Accent5 2 5 3 2 3" xfId="27198"/>
    <cellStyle name="20% - Accent5 2 5 3 2 3 2" xfId="27199"/>
    <cellStyle name="20% - Accent5 2 5 3 2 3 2 2" xfId="27200"/>
    <cellStyle name="20% - Accent5 2 5 3 2 3 3" xfId="27201"/>
    <cellStyle name="20% - Accent5 2 5 3 2 3 3 2" xfId="27202"/>
    <cellStyle name="20% - Accent5 2 5 3 2 3 4" xfId="27203"/>
    <cellStyle name="20% - Accent5 2 5 3 2 3 5" xfId="27204"/>
    <cellStyle name="20% - Accent5 2 5 3 2 3 6" xfId="27205"/>
    <cellStyle name="20% - Accent5 2 5 3 2 3 7" xfId="27206"/>
    <cellStyle name="20% - Accent5 2 5 3 2 4" xfId="27207"/>
    <cellStyle name="20% - Accent5 2 5 3 2 4 2" xfId="27208"/>
    <cellStyle name="20% - Accent5 2 5 3 2 4 2 2" xfId="27209"/>
    <cellStyle name="20% - Accent5 2 5 3 2 4 3" xfId="27210"/>
    <cellStyle name="20% - Accent5 2 5 3 2 4 3 2" xfId="27211"/>
    <cellStyle name="20% - Accent5 2 5 3 2 4 4" xfId="27212"/>
    <cellStyle name="20% - Accent5 2 5 3 2 4 5" xfId="27213"/>
    <cellStyle name="20% - Accent5 2 5 3 2 4 6" xfId="27214"/>
    <cellStyle name="20% - Accent5 2 5 3 2 4 7" xfId="27215"/>
    <cellStyle name="20% - Accent5 2 5 3 2 5" xfId="27216"/>
    <cellStyle name="20% - Accent5 2 5 3 2 5 2" xfId="27217"/>
    <cellStyle name="20% - Accent5 2 5 3 2 6" xfId="27218"/>
    <cellStyle name="20% - Accent5 2 5 3 2 6 2" xfId="27219"/>
    <cellStyle name="20% - Accent5 2 5 3 2 7" xfId="27220"/>
    <cellStyle name="20% - Accent5 2 5 3 2 8" xfId="27221"/>
    <cellStyle name="20% - Accent5 2 5 3 2 9" xfId="27222"/>
    <cellStyle name="20% - Accent5 2 5 3 3" xfId="27223"/>
    <cellStyle name="20% - Accent5 2 5 3 3 2" xfId="27224"/>
    <cellStyle name="20% - Accent5 2 5 3 3 2 2" xfId="27225"/>
    <cellStyle name="20% - Accent5 2 5 3 3 3" xfId="27226"/>
    <cellStyle name="20% - Accent5 2 5 3 3 3 2" xfId="27227"/>
    <cellStyle name="20% - Accent5 2 5 3 3 4" xfId="27228"/>
    <cellStyle name="20% - Accent5 2 5 3 3 5" xfId="27229"/>
    <cellStyle name="20% - Accent5 2 5 3 3 6" xfId="27230"/>
    <cellStyle name="20% - Accent5 2 5 3 3 7" xfId="27231"/>
    <cellStyle name="20% - Accent5 2 5 3 4" xfId="27232"/>
    <cellStyle name="20% - Accent5 2 5 3 4 2" xfId="27233"/>
    <cellStyle name="20% - Accent5 2 5 3 4 2 2" xfId="27234"/>
    <cellStyle name="20% - Accent5 2 5 3 4 3" xfId="27235"/>
    <cellStyle name="20% - Accent5 2 5 3 4 3 2" xfId="27236"/>
    <cellStyle name="20% - Accent5 2 5 3 4 4" xfId="27237"/>
    <cellStyle name="20% - Accent5 2 5 3 4 5" xfId="27238"/>
    <cellStyle name="20% - Accent5 2 5 3 4 6" xfId="27239"/>
    <cellStyle name="20% - Accent5 2 5 3 4 7" xfId="27240"/>
    <cellStyle name="20% - Accent5 2 5 3 5" xfId="27241"/>
    <cellStyle name="20% - Accent5 2 5 3 5 2" xfId="27242"/>
    <cellStyle name="20% - Accent5 2 5 3 5 2 2" xfId="27243"/>
    <cellStyle name="20% - Accent5 2 5 3 5 3" xfId="27244"/>
    <cellStyle name="20% - Accent5 2 5 3 5 3 2" xfId="27245"/>
    <cellStyle name="20% - Accent5 2 5 3 5 4" xfId="27246"/>
    <cellStyle name="20% - Accent5 2 5 3 5 5" xfId="27247"/>
    <cellStyle name="20% - Accent5 2 5 3 5 6" xfId="27248"/>
    <cellStyle name="20% - Accent5 2 5 3 5 7" xfId="27249"/>
    <cellStyle name="20% - Accent5 2 5 3 6" xfId="27250"/>
    <cellStyle name="20% - Accent5 2 5 3 6 2" xfId="27251"/>
    <cellStyle name="20% - Accent5 2 5 3 7" xfId="27252"/>
    <cellStyle name="20% - Accent5 2 5 3 7 2" xfId="27253"/>
    <cellStyle name="20% - Accent5 2 5 3 8" xfId="27254"/>
    <cellStyle name="20% - Accent5 2 5 3 9" xfId="27255"/>
    <cellStyle name="20% - Accent5 2 5 4" xfId="27256"/>
    <cellStyle name="20% - Accent5 2 5 4 10" xfId="27257"/>
    <cellStyle name="20% - Accent5 2 5 4 2" xfId="27258"/>
    <cellStyle name="20% - Accent5 2 5 4 2 2" xfId="27259"/>
    <cellStyle name="20% - Accent5 2 5 4 2 2 2" xfId="27260"/>
    <cellStyle name="20% - Accent5 2 5 4 2 3" xfId="27261"/>
    <cellStyle name="20% - Accent5 2 5 4 2 3 2" xfId="27262"/>
    <cellStyle name="20% - Accent5 2 5 4 2 4" xfId="27263"/>
    <cellStyle name="20% - Accent5 2 5 4 2 5" xfId="27264"/>
    <cellStyle name="20% - Accent5 2 5 4 2 6" xfId="27265"/>
    <cellStyle name="20% - Accent5 2 5 4 2 7" xfId="27266"/>
    <cellStyle name="20% - Accent5 2 5 4 3" xfId="27267"/>
    <cellStyle name="20% - Accent5 2 5 4 3 2" xfId="27268"/>
    <cellStyle name="20% - Accent5 2 5 4 3 2 2" xfId="27269"/>
    <cellStyle name="20% - Accent5 2 5 4 3 3" xfId="27270"/>
    <cellStyle name="20% - Accent5 2 5 4 3 3 2" xfId="27271"/>
    <cellStyle name="20% - Accent5 2 5 4 3 4" xfId="27272"/>
    <cellStyle name="20% - Accent5 2 5 4 3 5" xfId="27273"/>
    <cellStyle name="20% - Accent5 2 5 4 3 6" xfId="27274"/>
    <cellStyle name="20% - Accent5 2 5 4 3 7" xfId="27275"/>
    <cellStyle name="20% - Accent5 2 5 4 4" xfId="27276"/>
    <cellStyle name="20% - Accent5 2 5 4 4 2" xfId="27277"/>
    <cellStyle name="20% - Accent5 2 5 4 4 2 2" xfId="27278"/>
    <cellStyle name="20% - Accent5 2 5 4 4 3" xfId="27279"/>
    <cellStyle name="20% - Accent5 2 5 4 4 3 2" xfId="27280"/>
    <cellStyle name="20% - Accent5 2 5 4 4 4" xfId="27281"/>
    <cellStyle name="20% - Accent5 2 5 4 4 5" xfId="27282"/>
    <cellStyle name="20% - Accent5 2 5 4 4 6" xfId="27283"/>
    <cellStyle name="20% - Accent5 2 5 4 4 7" xfId="27284"/>
    <cellStyle name="20% - Accent5 2 5 4 5" xfId="27285"/>
    <cellStyle name="20% - Accent5 2 5 4 5 2" xfId="27286"/>
    <cellStyle name="20% - Accent5 2 5 4 6" xfId="27287"/>
    <cellStyle name="20% - Accent5 2 5 4 6 2" xfId="27288"/>
    <cellStyle name="20% - Accent5 2 5 4 7" xfId="27289"/>
    <cellStyle name="20% - Accent5 2 5 4 8" xfId="27290"/>
    <cellStyle name="20% - Accent5 2 5 4 9" xfId="27291"/>
    <cellStyle name="20% - Accent5 2 5 5" xfId="27292"/>
    <cellStyle name="20% - Accent5 2 5 5 2" xfId="27293"/>
    <cellStyle name="20% - Accent5 2 5 5 2 2" xfId="27294"/>
    <cellStyle name="20% - Accent5 2 5 5 3" xfId="27295"/>
    <cellStyle name="20% - Accent5 2 5 5 3 2" xfId="27296"/>
    <cellStyle name="20% - Accent5 2 5 5 4" xfId="27297"/>
    <cellStyle name="20% - Accent5 2 5 5 5" xfId="27298"/>
    <cellStyle name="20% - Accent5 2 5 5 6" xfId="27299"/>
    <cellStyle name="20% - Accent5 2 5 5 7" xfId="27300"/>
    <cellStyle name="20% - Accent5 2 5 6" xfId="27301"/>
    <cellStyle name="20% - Accent5 2 5 6 2" xfId="27302"/>
    <cellStyle name="20% - Accent5 2 5 6 2 2" xfId="27303"/>
    <cellStyle name="20% - Accent5 2 5 6 3" xfId="27304"/>
    <cellStyle name="20% - Accent5 2 5 6 3 2" xfId="27305"/>
    <cellStyle name="20% - Accent5 2 5 6 4" xfId="27306"/>
    <cellStyle name="20% - Accent5 2 5 6 5" xfId="27307"/>
    <cellStyle name="20% - Accent5 2 5 6 6" xfId="27308"/>
    <cellStyle name="20% - Accent5 2 5 6 7" xfId="27309"/>
    <cellStyle name="20% - Accent5 2 5 7" xfId="27310"/>
    <cellStyle name="20% - Accent5 2 5 7 2" xfId="27311"/>
    <cellStyle name="20% - Accent5 2 5 7 2 2" xfId="27312"/>
    <cellStyle name="20% - Accent5 2 5 7 3" xfId="27313"/>
    <cellStyle name="20% - Accent5 2 5 7 3 2" xfId="27314"/>
    <cellStyle name="20% - Accent5 2 5 7 4" xfId="27315"/>
    <cellStyle name="20% - Accent5 2 5 7 5" xfId="27316"/>
    <cellStyle name="20% - Accent5 2 5 7 6" xfId="27317"/>
    <cellStyle name="20% - Accent5 2 5 7 7" xfId="27318"/>
    <cellStyle name="20% - Accent5 2 5 8" xfId="27319"/>
    <cellStyle name="20% - Accent5 2 5 8 2" xfId="27320"/>
    <cellStyle name="20% - Accent5 2 5 9" xfId="27321"/>
    <cellStyle name="20% - Accent5 2 5 9 2" xfId="27322"/>
    <cellStyle name="20% - Accent5 2 6" xfId="27323"/>
    <cellStyle name="20% - Accent5 2 6 10" xfId="27324"/>
    <cellStyle name="20% - Accent5 2 6 11" xfId="27325"/>
    <cellStyle name="20% - Accent5 2 6 12" xfId="27326"/>
    <cellStyle name="20% - Accent5 2 6 13" xfId="27327"/>
    <cellStyle name="20% - Accent5 2 6 2" xfId="27328"/>
    <cellStyle name="20% - Accent5 2 6 2 10" xfId="27329"/>
    <cellStyle name="20% - Accent5 2 6 2 11" xfId="27330"/>
    <cellStyle name="20% - Accent5 2 6 2 2" xfId="27331"/>
    <cellStyle name="20% - Accent5 2 6 2 2 10" xfId="27332"/>
    <cellStyle name="20% - Accent5 2 6 2 2 2" xfId="27333"/>
    <cellStyle name="20% - Accent5 2 6 2 2 2 2" xfId="27334"/>
    <cellStyle name="20% - Accent5 2 6 2 2 2 2 2" xfId="27335"/>
    <cellStyle name="20% - Accent5 2 6 2 2 2 3" xfId="27336"/>
    <cellStyle name="20% - Accent5 2 6 2 2 2 3 2" xfId="27337"/>
    <cellStyle name="20% - Accent5 2 6 2 2 2 4" xfId="27338"/>
    <cellStyle name="20% - Accent5 2 6 2 2 2 5" xfId="27339"/>
    <cellStyle name="20% - Accent5 2 6 2 2 2 6" xfId="27340"/>
    <cellStyle name="20% - Accent5 2 6 2 2 2 7" xfId="27341"/>
    <cellStyle name="20% - Accent5 2 6 2 2 3" xfId="27342"/>
    <cellStyle name="20% - Accent5 2 6 2 2 3 2" xfId="27343"/>
    <cellStyle name="20% - Accent5 2 6 2 2 3 2 2" xfId="27344"/>
    <cellStyle name="20% - Accent5 2 6 2 2 3 3" xfId="27345"/>
    <cellStyle name="20% - Accent5 2 6 2 2 3 3 2" xfId="27346"/>
    <cellStyle name="20% - Accent5 2 6 2 2 3 4" xfId="27347"/>
    <cellStyle name="20% - Accent5 2 6 2 2 3 5" xfId="27348"/>
    <cellStyle name="20% - Accent5 2 6 2 2 3 6" xfId="27349"/>
    <cellStyle name="20% - Accent5 2 6 2 2 3 7" xfId="27350"/>
    <cellStyle name="20% - Accent5 2 6 2 2 4" xfId="27351"/>
    <cellStyle name="20% - Accent5 2 6 2 2 4 2" xfId="27352"/>
    <cellStyle name="20% - Accent5 2 6 2 2 4 2 2" xfId="27353"/>
    <cellStyle name="20% - Accent5 2 6 2 2 4 3" xfId="27354"/>
    <cellStyle name="20% - Accent5 2 6 2 2 4 3 2" xfId="27355"/>
    <cellStyle name="20% - Accent5 2 6 2 2 4 4" xfId="27356"/>
    <cellStyle name="20% - Accent5 2 6 2 2 4 5" xfId="27357"/>
    <cellStyle name="20% - Accent5 2 6 2 2 4 6" xfId="27358"/>
    <cellStyle name="20% - Accent5 2 6 2 2 4 7" xfId="27359"/>
    <cellStyle name="20% - Accent5 2 6 2 2 5" xfId="27360"/>
    <cellStyle name="20% - Accent5 2 6 2 2 5 2" xfId="27361"/>
    <cellStyle name="20% - Accent5 2 6 2 2 6" xfId="27362"/>
    <cellStyle name="20% - Accent5 2 6 2 2 6 2" xfId="27363"/>
    <cellStyle name="20% - Accent5 2 6 2 2 7" xfId="27364"/>
    <cellStyle name="20% - Accent5 2 6 2 2 8" xfId="27365"/>
    <cellStyle name="20% - Accent5 2 6 2 2 9" xfId="27366"/>
    <cellStyle name="20% - Accent5 2 6 2 3" xfId="27367"/>
    <cellStyle name="20% - Accent5 2 6 2 3 2" xfId="27368"/>
    <cellStyle name="20% - Accent5 2 6 2 3 2 2" xfId="27369"/>
    <cellStyle name="20% - Accent5 2 6 2 3 3" xfId="27370"/>
    <cellStyle name="20% - Accent5 2 6 2 3 3 2" xfId="27371"/>
    <cellStyle name="20% - Accent5 2 6 2 3 4" xfId="27372"/>
    <cellStyle name="20% - Accent5 2 6 2 3 5" xfId="27373"/>
    <cellStyle name="20% - Accent5 2 6 2 3 6" xfId="27374"/>
    <cellStyle name="20% - Accent5 2 6 2 3 7" xfId="27375"/>
    <cellStyle name="20% - Accent5 2 6 2 4" xfId="27376"/>
    <cellStyle name="20% - Accent5 2 6 2 4 2" xfId="27377"/>
    <cellStyle name="20% - Accent5 2 6 2 4 2 2" xfId="27378"/>
    <cellStyle name="20% - Accent5 2 6 2 4 3" xfId="27379"/>
    <cellStyle name="20% - Accent5 2 6 2 4 3 2" xfId="27380"/>
    <cellStyle name="20% - Accent5 2 6 2 4 4" xfId="27381"/>
    <cellStyle name="20% - Accent5 2 6 2 4 5" xfId="27382"/>
    <cellStyle name="20% - Accent5 2 6 2 4 6" xfId="27383"/>
    <cellStyle name="20% - Accent5 2 6 2 4 7" xfId="27384"/>
    <cellStyle name="20% - Accent5 2 6 2 5" xfId="27385"/>
    <cellStyle name="20% - Accent5 2 6 2 5 2" xfId="27386"/>
    <cellStyle name="20% - Accent5 2 6 2 5 2 2" xfId="27387"/>
    <cellStyle name="20% - Accent5 2 6 2 5 3" xfId="27388"/>
    <cellStyle name="20% - Accent5 2 6 2 5 3 2" xfId="27389"/>
    <cellStyle name="20% - Accent5 2 6 2 5 4" xfId="27390"/>
    <cellStyle name="20% - Accent5 2 6 2 5 5" xfId="27391"/>
    <cellStyle name="20% - Accent5 2 6 2 5 6" xfId="27392"/>
    <cellStyle name="20% - Accent5 2 6 2 5 7" xfId="27393"/>
    <cellStyle name="20% - Accent5 2 6 2 6" xfId="27394"/>
    <cellStyle name="20% - Accent5 2 6 2 6 2" xfId="27395"/>
    <cellStyle name="20% - Accent5 2 6 2 7" xfId="27396"/>
    <cellStyle name="20% - Accent5 2 6 2 7 2" xfId="27397"/>
    <cellStyle name="20% - Accent5 2 6 2 8" xfId="27398"/>
    <cellStyle name="20% - Accent5 2 6 2 9" xfId="27399"/>
    <cellStyle name="20% - Accent5 2 6 3" xfId="27400"/>
    <cellStyle name="20% - Accent5 2 6 3 10" xfId="27401"/>
    <cellStyle name="20% - Accent5 2 6 3 11" xfId="27402"/>
    <cellStyle name="20% - Accent5 2 6 3 2" xfId="27403"/>
    <cellStyle name="20% - Accent5 2 6 3 2 10" xfId="27404"/>
    <cellStyle name="20% - Accent5 2 6 3 2 2" xfId="27405"/>
    <cellStyle name="20% - Accent5 2 6 3 2 2 2" xfId="27406"/>
    <cellStyle name="20% - Accent5 2 6 3 2 2 2 2" xfId="27407"/>
    <cellStyle name="20% - Accent5 2 6 3 2 2 3" xfId="27408"/>
    <cellStyle name="20% - Accent5 2 6 3 2 2 3 2" xfId="27409"/>
    <cellStyle name="20% - Accent5 2 6 3 2 2 4" xfId="27410"/>
    <cellStyle name="20% - Accent5 2 6 3 2 2 5" xfId="27411"/>
    <cellStyle name="20% - Accent5 2 6 3 2 2 6" xfId="27412"/>
    <cellStyle name="20% - Accent5 2 6 3 2 2 7" xfId="27413"/>
    <cellStyle name="20% - Accent5 2 6 3 2 3" xfId="27414"/>
    <cellStyle name="20% - Accent5 2 6 3 2 3 2" xfId="27415"/>
    <cellStyle name="20% - Accent5 2 6 3 2 3 2 2" xfId="27416"/>
    <cellStyle name="20% - Accent5 2 6 3 2 3 3" xfId="27417"/>
    <cellStyle name="20% - Accent5 2 6 3 2 3 3 2" xfId="27418"/>
    <cellStyle name="20% - Accent5 2 6 3 2 3 4" xfId="27419"/>
    <cellStyle name="20% - Accent5 2 6 3 2 3 5" xfId="27420"/>
    <cellStyle name="20% - Accent5 2 6 3 2 3 6" xfId="27421"/>
    <cellStyle name="20% - Accent5 2 6 3 2 3 7" xfId="27422"/>
    <cellStyle name="20% - Accent5 2 6 3 2 4" xfId="27423"/>
    <cellStyle name="20% - Accent5 2 6 3 2 4 2" xfId="27424"/>
    <cellStyle name="20% - Accent5 2 6 3 2 4 2 2" xfId="27425"/>
    <cellStyle name="20% - Accent5 2 6 3 2 4 3" xfId="27426"/>
    <cellStyle name="20% - Accent5 2 6 3 2 4 3 2" xfId="27427"/>
    <cellStyle name="20% - Accent5 2 6 3 2 4 4" xfId="27428"/>
    <cellStyle name="20% - Accent5 2 6 3 2 4 5" xfId="27429"/>
    <cellStyle name="20% - Accent5 2 6 3 2 4 6" xfId="27430"/>
    <cellStyle name="20% - Accent5 2 6 3 2 4 7" xfId="27431"/>
    <cellStyle name="20% - Accent5 2 6 3 2 5" xfId="27432"/>
    <cellStyle name="20% - Accent5 2 6 3 2 5 2" xfId="27433"/>
    <cellStyle name="20% - Accent5 2 6 3 2 6" xfId="27434"/>
    <cellStyle name="20% - Accent5 2 6 3 2 6 2" xfId="27435"/>
    <cellStyle name="20% - Accent5 2 6 3 2 7" xfId="27436"/>
    <cellStyle name="20% - Accent5 2 6 3 2 8" xfId="27437"/>
    <cellStyle name="20% - Accent5 2 6 3 2 9" xfId="27438"/>
    <cellStyle name="20% - Accent5 2 6 3 3" xfId="27439"/>
    <cellStyle name="20% - Accent5 2 6 3 3 2" xfId="27440"/>
    <cellStyle name="20% - Accent5 2 6 3 3 2 2" xfId="27441"/>
    <cellStyle name="20% - Accent5 2 6 3 3 3" xfId="27442"/>
    <cellStyle name="20% - Accent5 2 6 3 3 3 2" xfId="27443"/>
    <cellStyle name="20% - Accent5 2 6 3 3 4" xfId="27444"/>
    <cellStyle name="20% - Accent5 2 6 3 3 5" xfId="27445"/>
    <cellStyle name="20% - Accent5 2 6 3 3 6" xfId="27446"/>
    <cellStyle name="20% - Accent5 2 6 3 3 7" xfId="27447"/>
    <cellStyle name="20% - Accent5 2 6 3 4" xfId="27448"/>
    <cellStyle name="20% - Accent5 2 6 3 4 2" xfId="27449"/>
    <cellStyle name="20% - Accent5 2 6 3 4 2 2" xfId="27450"/>
    <cellStyle name="20% - Accent5 2 6 3 4 3" xfId="27451"/>
    <cellStyle name="20% - Accent5 2 6 3 4 3 2" xfId="27452"/>
    <cellStyle name="20% - Accent5 2 6 3 4 4" xfId="27453"/>
    <cellStyle name="20% - Accent5 2 6 3 4 5" xfId="27454"/>
    <cellStyle name="20% - Accent5 2 6 3 4 6" xfId="27455"/>
    <cellStyle name="20% - Accent5 2 6 3 4 7" xfId="27456"/>
    <cellStyle name="20% - Accent5 2 6 3 5" xfId="27457"/>
    <cellStyle name="20% - Accent5 2 6 3 5 2" xfId="27458"/>
    <cellStyle name="20% - Accent5 2 6 3 5 2 2" xfId="27459"/>
    <cellStyle name="20% - Accent5 2 6 3 5 3" xfId="27460"/>
    <cellStyle name="20% - Accent5 2 6 3 5 3 2" xfId="27461"/>
    <cellStyle name="20% - Accent5 2 6 3 5 4" xfId="27462"/>
    <cellStyle name="20% - Accent5 2 6 3 5 5" xfId="27463"/>
    <cellStyle name="20% - Accent5 2 6 3 5 6" xfId="27464"/>
    <cellStyle name="20% - Accent5 2 6 3 5 7" xfId="27465"/>
    <cellStyle name="20% - Accent5 2 6 3 6" xfId="27466"/>
    <cellStyle name="20% - Accent5 2 6 3 6 2" xfId="27467"/>
    <cellStyle name="20% - Accent5 2 6 3 7" xfId="27468"/>
    <cellStyle name="20% - Accent5 2 6 3 7 2" xfId="27469"/>
    <cellStyle name="20% - Accent5 2 6 3 8" xfId="27470"/>
    <cellStyle name="20% - Accent5 2 6 3 9" xfId="27471"/>
    <cellStyle name="20% - Accent5 2 6 4" xfId="27472"/>
    <cellStyle name="20% - Accent5 2 6 4 10" xfId="27473"/>
    <cellStyle name="20% - Accent5 2 6 4 2" xfId="27474"/>
    <cellStyle name="20% - Accent5 2 6 4 2 2" xfId="27475"/>
    <cellStyle name="20% - Accent5 2 6 4 2 2 2" xfId="27476"/>
    <cellStyle name="20% - Accent5 2 6 4 2 3" xfId="27477"/>
    <cellStyle name="20% - Accent5 2 6 4 2 3 2" xfId="27478"/>
    <cellStyle name="20% - Accent5 2 6 4 2 4" xfId="27479"/>
    <cellStyle name="20% - Accent5 2 6 4 2 5" xfId="27480"/>
    <cellStyle name="20% - Accent5 2 6 4 2 6" xfId="27481"/>
    <cellStyle name="20% - Accent5 2 6 4 2 7" xfId="27482"/>
    <cellStyle name="20% - Accent5 2 6 4 3" xfId="27483"/>
    <cellStyle name="20% - Accent5 2 6 4 3 2" xfId="27484"/>
    <cellStyle name="20% - Accent5 2 6 4 3 2 2" xfId="27485"/>
    <cellStyle name="20% - Accent5 2 6 4 3 3" xfId="27486"/>
    <cellStyle name="20% - Accent5 2 6 4 3 3 2" xfId="27487"/>
    <cellStyle name="20% - Accent5 2 6 4 3 4" xfId="27488"/>
    <cellStyle name="20% - Accent5 2 6 4 3 5" xfId="27489"/>
    <cellStyle name="20% - Accent5 2 6 4 3 6" xfId="27490"/>
    <cellStyle name="20% - Accent5 2 6 4 3 7" xfId="27491"/>
    <cellStyle name="20% - Accent5 2 6 4 4" xfId="27492"/>
    <cellStyle name="20% - Accent5 2 6 4 4 2" xfId="27493"/>
    <cellStyle name="20% - Accent5 2 6 4 4 2 2" xfId="27494"/>
    <cellStyle name="20% - Accent5 2 6 4 4 3" xfId="27495"/>
    <cellStyle name="20% - Accent5 2 6 4 4 3 2" xfId="27496"/>
    <cellStyle name="20% - Accent5 2 6 4 4 4" xfId="27497"/>
    <cellStyle name="20% - Accent5 2 6 4 4 5" xfId="27498"/>
    <cellStyle name="20% - Accent5 2 6 4 4 6" xfId="27499"/>
    <cellStyle name="20% - Accent5 2 6 4 4 7" xfId="27500"/>
    <cellStyle name="20% - Accent5 2 6 4 5" xfId="27501"/>
    <cellStyle name="20% - Accent5 2 6 4 5 2" xfId="27502"/>
    <cellStyle name="20% - Accent5 2 6 4 6" xfId="27503"/>
    <cellStyle name="20% - Accent5 2 6 4 6 2" xfId="27504"/>
    <cellStyle name="20% - Accent5 2 6 4 7" xfId="27505"/>
    <cellStyle name="20% - Accent5 2 6 4 8" xfId="27506"/>
    <cellStyle name="20% - Accent5 2 6 4 9" xfId="27507"/>
    <cellStyle name="20% - Accent5 2 6 5" xfId="27508"/>
    <cellStyle name="20% - Accent5 2 6 5 2" xfId="27509"/>
    <cellStyle name="20% - Accent5 2 6 5 2 2" xfId="27510"/>
    <cellStyle name="20% - Accent5 2 6 5 3" xfId="27511"/>
    <cellStyle name="20% - Accent5 2 6 5 3 2" xfId="27512"/>
    <cellStyle name="20% - Accent5 2 6 5 4" xfId="27513"/>
    <cellStyle name="20% - Accent5 2 6 5 5" xfId="27514"/>
    <cellStyle name="20% - Accent5 2 6 5 6" xfId="27515"/>
    <cellStyle name="20% - Accent5 2 6 5 7" xfId="27516"/>
    <cellStyle name="20% - Accent5 2 6 6" xfId="27517"/>
    <cellStyle name="20% - Accent5 2 6 6 2" xfId="27518"/>
    <cellStyle name="20% - Accent5 2 6 6 2 2" xfId="27519"/>
    <cellStyle name="20% - Accent5 2 6 6 3" xfId="27520"/>
    <cellStyle name="20% - Accent5 2 6 6 3 2" xfId="27521"/>
    <cellStyle name="20% - Accent5 2 6 6 4" xfId="27522"/>
    <cellStyle name="20% - Accent5 2 6 6 5" xfId="27523"/>
    <cellStyle name="20% - Accent5 2 6 6 6" xfId="27524"/>
    <cellStyle name="20% - Accent5 2 6 6 7" xfId="27525"/>
    <cellStyle name="20% - Accent5 2 6 7" xfId="27526"/>
    <cellStyle name="20% - Accent5 2 6 7 2" xfId="27527"/>
    <cellStyle name="20% - Accent5 2 6 7 2 2" xfId="27528"/>
    <cellStyle name="20% - Accent5 2 6 7 3" xfId="27529"/>
    <cellStyle name="20% - Accent5 2 6 7 3 2" xfId="27530"/>
    <cellStyle name="20% - Accent5 2 6 7 4" xfId="27531"/>
    <cellStyle name="20% - Accent5 2 6 7 5" xfId="27532"/>
    <cellStyle name="20% - Accent5 2 6 7 6" xfId="27533"/>
    <cellStyle name="20% - Accent5 2 6 7 7" xfId="27534"/>
    <cellStyle name="20% - Accent5 2 6 8" xfId="27535"/>
    <cellStyle name="20% - Accent5 2 6 8 2" xfId="27536"/>
    <cellStyle name="20% - Accent5 2 6 9" xfId="27537"/>
    <cellStyle name="20% - Accent5 2 6 9 2" xfId="27538"/>
    <cellStyle name="20% - Accent5 2 7" xfId="27539"/>
    <cellStyle name="20% - Accent5 2 7 10" xfId="27540"/>
    <cellStyle name="20% - Accent5 2 7 11" xfId="27541"/>
    <cellStyle name="20% - Accent5 2 7 2" xfId="27542"/>
    <cellStyle name="20% - Accent5 2 7 2 10" xfId="27543"/>
    <cellStyle name="20% - Accent5 2 7 2 2" xfId="27544"/>
    <cellStyle name="20% - Accent5 2 7 2 2 2" xfId="27545"/>
    <cellStyle name="20% - Accent5 2 7 2 2 2 2" xfId="27546"/>
    <cellStyle name="20% - Accent5 2 7 2 2 3" xfId="27547"/>
    <cellStyle name="20% - Accent5 2 7 2 2 3 2" xfId="27548"/>
    <cellStyle name="20% - Accent5 2 7 2 2 4" xfId="27549"/>
    <cellStyle name="20% - Accent5 2 7 2 2 5" xfId="27550"/>
    <cellStyle name="20% - Accent5 2 7 2 2 6" xfId="27551"/>
    <cellStyle name="20% - Accent5 2 7 2 2 7" xfId="27552"/>
    <cellStyle name="20% - Accent5 2 7 2 3" xfId="27553"/>
    <cellStyle name="20% - Accent5 2 7 2 3 2" xfId="27554"/>
    <cellStyle name="20% - Accent5 2 7 2 3 2 2" xfId="27555"/>
    <cellStyle name="20% - Accent5 2 7 2 3 3" xfId="27556"/>
    <cellStyle name="20% - Accent5 2 7 2 3 3 2" xfId="27557"/>
    <cellStyle name="20% - Accent5 2 7 2 3 4" xfId="27558"/>
    <cellStyle name="20% - Accent5 2 7 2 3 5" xfId="27559"/>
    <cellStyle name="20% - Accent5 2 7 2 3 6" xfId="27560"/>
    <cellStyle name="20% - Accent5 2 7 2 3 7" xfId="27561"/>
    <cellStyle name="20% - Accent5 2 7 2 4" xfId="27562"/>
    <cellStyle name="20% - Accent5 2 7 2 4 2" xfId="27563"/>
    <cellStyle name="20% - Accent5 2 7 2 4 2 2" xfId="27564"/>
    <cellStyle name="20% - Accent5 2 7 2 4 3" xfId="27565"/>
    <cellStyle name="20% - Accent5 2 7 2 4 3 2" xfId="27566"/>
    <cellStyle name="20% - Accent5 2 7 2 4 4" xfId="27567"/>
    <cellStyle name="20% - Accent5 2 7 2 4 5" xfId="27568"/>
    <cellStyle name="20% - Accent5 2 7 2 4 6" xfId="27569"/>
    <cellStyle name="20% - Accent5 2 7 2 4 7" xfId="27570"/>
    <cellStyle name="20% - Accent5 2 7 2 5" xfId="27571"/>
    <cellStyle name="20% - Accent5 2 7 2 5 2" xfId="27572"/>
    <cellStyle name="20% - Accent5 2 7 2 6" xfId="27573"/>
    <cellStyle name="20% - Accent5 2 7 2 6 2" xfId="27574"/>
    <cellStyle name="20% - Accent5 2 7 2 7" xfId="27575"/>
    <cellStyle name="20% - Accent5 2 7 2 8" xfId="27576"/>
    <cellStyle name="20% - Accent5 2 7 2 9" xfId="27577"/>
    <cellStyle name="20% - Accent5 2 7 3" xfId="27578"/>
    <cellStyle name="20% - Accent5 2 7 3 2" xfId="27579"/>
    <cellStyle name="20% - Accent5 2 7 3 2 2" xfId="27580"/>
    <cellStyle name="20% - Accent5 2 7 3 3" xfId="27581"/>
    <cellStyle name="20% - Accent5 2 7 3 3 2" xfId="27582"/>
    <cellStyle name="20% - Accent5 2 7 3 4" xfId="27583"/>
    <cellStyle name="20% - Accent5 2 7 3 5" xfId="27584"/>
    <cellStyle name="20% - Accent5 2 7 3 6" xfId="27585"/>
    <cellStyle name="20% - Accent5 2 7 3 7" xfId="27586"/>
    <cellStyle name="20% - Accent5 2 7 4" xfId="27587"/>
    <cellStyle name="20% - Accent5 2 7 4 2" xfId="27588"/>
    <cellStyle name="20% - Accent5 2 7 4 2 2" xfId="27589"/>
    <cellStyle name="20% - Accent5 2 7 4 3" xfId="27590"/>
    <cellStyle name="20% - Accent5 2 7 4 3 2" xfId="27591"/>
    <cellStyle name="20% - Accent5 2 7 4 4" xfId="27592"/>
    <cellStyle name="20% - Accent5 2 7 4 5" xfId="27593"/>
    <cellStyle name="20% - Accent5 2 7 4 6" xfId="27594"/>
    <cellStyle name="20% - Accent5 2 7 4 7" xfId="27595"/>
    <cellStyle name="20% - Accent5 2 7 5" xfId="27596"/>
    <cellStyle name="20% - Accent5 2 7 5 2" xfId="27597"/>
    <cellStyle name="20% - Accent5 2 7 5 2 2" xfId="27598"/>
    <cellStyle name="20% - Accent5 2 7 5 3" xfId="27599"/>
    <cellStyle name="20% - Accent5 2 7 5 3 2" xfId="27600"/>
    <cellStyle name="20% - Accent5 2 7 5 4" xfId="27601"/>
    <cellStyle name="20% - Accent5 2 7 5 5" xfId="27602"/>
    <cellStyle name="20% - Accent5 2 7 5 6" xfId="27603"/>
    <cellStyle name="20% - Accent5 2 7 5 7" xfId="27604"/>
    <cellStyle name="20% - Accent5 2 7 6" xfId="27605"/>
    <cellStyle name="20% - Accent5 2 7 6 2" xfId="27606"/>
    <cellStyle name="20% - Accent5 2 7 7" xfId="27607"/>
    <cellStyle name="20% - Accent5 2 7 7 2" xfId="27608"/>
    <cellStyle name="20% - Accent5 2 7 8" xfId="27609"/>
    <cellStyle name="20% - Accent5 2 7 9" xfId="27610"/>
    <cellStyle name="20% - Accent5 2 8" xfId="27611"/>
    <cellStyle name="20% - Accent5 2 8 10" xfId="27612"/>
    <cellStyle name="20% - Accent5 2 8 11" xfId="27613"/>
    <cellStyle name="20% - Accent5 2 8 2" xfId="27614"/>
    <cellStyle name="20% - Accent5 2 8 2 10" xfId="27615"/>
    <cellStyle name="20% - Accent5 2 8 2 2" xfId="27616"/>
    <cellStyle name="20% - Accent5 2 8 2 2 2" xfId="27617"/>
    <cellStyle name="20% - Accent5 2 8 2 2 2 2" xfId="27618"/>
    <cellStyle name="20% - Accent5 2 8 2 2 3" xfId="27619"/>
    <cellStyle name="20% - Accent5 2 8 2 2 3 2" xfId="27620"/>
    <cellStyle name="20% - Accent5 2 8 2 2 4" xfId="27621"/>
    <cellStyle name="20% - Accent5 2 8 2 2 5" xfId="27622"/>
    <cellStyle name="20% - Accent5 2 8 2 2 6" xfId="27623"/>
    <cellStyle name="20% - Accent5 2 8 2 2 7" xfId="27624"/>
    <cellStyle name="20% - Accent5 2 8 2 3" xfId="27625"/>
    <cellStyle name="20% - Accent5 2 8 2 3 2" xfId="27626"/>
    <cellStyle name="20% - Accent5 2 8 2 3 2 2" xfId="27627"/>
    <cellStyle name="20% - Accent5 2 8 2 3 3" xfId="27628"/>
    <cellStyle name="20% - Accent5 2 8 2 3 3 2" xfId="27629"/>
    <cellStyle name="20% - Accent5 2 8 2 3 4" xfId="27630"/>
    <cellStyle name="20% - Accent5 2 8 2 3 5" xfId="27631"/>
    <cellStyle name="20% - Accent5 2 8 2 3 6" xfId="27632"/>
    <cellStyle name="20% - Accent5 2 8 2 3 7" xfId="27633"/>
    <cellStyle name="20% - Accent5 2 8 2 4" xfId="27634"/>
    <cellStyle name="20% - Accent5 2 8 2 4 2" xfId="27635"/>
    <cellStyle name="20% - Accent5 2 8 2 4 2 2" xfId="27636"/>
    <cellStyle name="20% - Accent5 2 8 2 4 3" xfId="27637"/>
    <cellStyle name="20% - Accent5 2 8 2 4 3 2" xfId="27638"/>
    <cellStyle name="20% - Accent5 2 8 2 4 4" xfId="27639"/>
    <cellStyle name="20% - Accent5 2 8 2 4 5" xfId="27640"/>
    <cellStyle name="20% - Accent5 2 8 2 4 6" xfId="27641"/>
    <cellStyle name="20% - Accent5 2 8 2 4 7" xfId="27642"/>
    <cellStyle name="20% - Accent5 2 8 2 5" xfId="27643"/>
    <cellStyle name="20% - Accent5 2 8 2 5 2" xfId="27644"/>
    <cellStyle name="20% - Accent5 2 8 2 6" xfId="27645"/>
    <cellStyle name="20% - Accent5 2 8 2 6 2" xfId="27646"/>
    <cellStyle name="20% - Accent5 2 8 2 7" xfId="27647"/>
    <cellStyle name="20% - Accent5 2 8 2 8" xfId="27648"/>
    <cellStyle name="20% - Accent5 2 8 2 9" xfId="27649"/>
    <cellStyle name="20% - Accent5 2 8 3" xfId="27650"/>
    <cellStyle name="20% - Accent5 2 8 3 2" xfId="27651"/>
    <cellStyle name="20% - Accent5 2 8 3 2 2" xfId="27652"/>
    <cellStyle name="20% - Accent5 2 8 3 3" xfId="27653"/>
    <cellStyle name="20% - Accent5 2 8 3 3 2" xfId="27654"/>
    <cellStyle name="20% - Accent5 2 8 3 4" xfId="27655"/>
    <cellStyle name="20% - Accent5 2 8 3 5" xfId="27656"/>
    <cellStyle name="20% - Accent5 2 8 3 6" xfId="27657"/>
    <cellStyle name="20% - Accent5 2 8 3 7" xfId="27658"/>
    <cellStyle name="20% - Accent5 2 8 4" xfId="27659"/>
    <cellStyle name="20% - Accent5 2 8 4 2" xfId="27660"/>
    <cellStyle name="20% - Accent5 2 8 4 2 2" xfId="27661"/>
    <cellStyle name="20% - Accent5 2 8 4 3" xfId="27662"/>
    <cellStyle name="20% - Accent5 2 8 4 3 2" xfId="27663"/>
    <cellStyle name="20% - Accent5 2 8 4 4" xfId="27664"/>
    <cellStyle name="20% - Accent5 2 8 4 5" xfId="27665"/>
    <cellStyle name="20% - Accent5 2 8 4 6" xfId="27666"/>
    <cellStyle name="20% - Accent5 2 8 4 7" xfId="27667"/>
    <cellStyle name="20% - Accent5 2 8 5" xfId="27668"/>
    <cellStyle name="20% - Accent5 2 8 5 2" xfId="27669"/>
    <cellStyle name="20% - Accent5 2 8 5 2 2" xfId="27670"/>
    <cellStyle name="20% - Accent5 2 8 5 3" xfId="27671"/>
    <cellStyle name="20% - Accent5 2 8 5 3 2" xfId="27672"/>
    <cellStyle name="20% - Accent5 2 8 5 4" xfId="27673"/>
    <cellStyle name="20% - Accent5 2 8 5 5" xfId="27674"/>
    <cellStyle name="20% - Accent5 2 8 5 6" xfId="27675"/>
    <cellStyle name="20% - Accent5 2 8 5 7" xfId="27676"/>
    <cellStyle name="20% - Accent5 2 8 6" xfId="27677"/>
    <cellStyle name="20% - Accent5 2 8 6 2" xfId="27678"/>
    <cellStyle name="20% - Accent5 2 8 7" xfId="27679"/>
    <cellStyle name="20% - Accent5 2 8 7 2" xfId="27680"/>
    <cellStyle name="20% - Accent5 2 8 8" xfId="27681"/>
    <cellStyle name="20% - Accent5 2 8 9" xfId="27682"/>
    <cellStyle name="20% - Accent5 2 9" xfId="27683"/>
    <cellStyle name="20% - Accent5 2 9 10" xfId="27684"/>
    <cellStyle name="20% - Accent5 2 9 2" xfId="27685"/>
    <cellStyle name="20% - Accent5 2 9 2 2" xfId="27686"/>
    <cellStyle name="20% - Accent5 2 9 2 2 2" xfId="27687"/>
    <cellStyle name="20% - Accent5 2 9 2 3" xfId="27688"/>
    <cellStyle name="20% - Accent5 2 9 2 3 2" xfId="27689"/>
    <cellStyle name="20% - Accent5 2 9 2 4" xfId="27690"/>
    <cellStyle name="20% - Accent5 2 9 2 5" xfId="27691"/>
    <cellStyle name="20% - Accent5 2 9 2 6" xfId="27692"/>
    <cellStyle name="20% - Accent5 2 9 2 7" xfId="27693"/>
    <cellStyle name="20% - Accent5 2 9 3" xfId="27694"/>
    <cellStyle name="20% - Accent5 2 9 3 2" xfId="27695"/>
    <cellStyle name="20% - Accent5 2 9 3 2 2" xfId="27696"/>
    <cellStyle name="20% - Accent5 2 9 3 3" xfId="27697"/>
    <cellStyle name="20% - Accent5 2 9 3 3 2" xfId="27698"/>
    <cellStyle name="20% - Accent5 2 9 3 4" xfId="27699"/>
    <cellStyle name="20% - Accent5 2 9 3 5" xfId="27700"/>
    <cellStyle name="20% - Accent5 2 9 3 6" xfId="27701"/>
    <cellStyle name="20% - Accent5 2 9 3 7" xfId="27702"/>
    <cellStyle name="20% - Accent5 2 9 4" xfId="27703"/>
    <cellStyle name="20% - Accent5 2 9 4 2" xfId="27704"/>
    <cellStyle name="20% - Accent5 2 9 4 2 2" xfId="27705"/>
    <cellStyle name="20% - Accent5 2 9 4 3" xfId="27706"/>
    <cellStyle name="20% - Accent5 2 9 4 3 2" xfId="27707"/>
    <cellStyle name="20% - Accent5 2 9 4 4" xfId="27708"/>
    <cellStyle name="20% - Accent5 2 9 4 5" xfId="27709"/>
    <cellStyle name="20% - Accent5 2 9 4 6" xfId="27710"/>
    <cellStyle name="20% - Accent5 2 9 4 7" xfId="27711"/>
    <cellStyle name="20% - Accent5 2 9 5" xfId="27712"/>
    <cellStyle name="20% - Accent5 2 9 5 2" xfId="27713"/>
    <cellStyle name="20% - Accent5 2 9 6" xfId="27714"/>
    <cellStyle name="20% - Accent5 2 9 6 2" xfId="27715"/>
    <cellStyle name="20% - Accent5 2 9 7" xfId="27716"/>
    <cellStyle name="20% - Accent5 2 9 8" xfId="27717"/>
    <cellStyle name="20% - Accent5 2 9 9" xfId="27718"/>
    <cellStyle name="20% - Accent5 2_10-15-10-Stmt AU - Period I - Working 1 0" xfId="189"/>
    <cellStyle name="20% - Accent5 3" xfId="190"/>
    <cellStyle name="20% - Accent5 3 10" xfId="27719"/>
    <cellStyle name="20% - Accent5 3 10 2" xfId="27720"/>
    <cellStyle name="20% - Accent5 3 10 2 2" xfId="27721"/>
    <cellStyle name="20% - Accent5 3 10 3" xfId="27722"/>
    <cellStyle name="20% - Accent5 3 10 3 2" xfId="27723"/>
    <cellStyle name="20% - Accent5 3 10 4" xfId="27724"/>
    <cellStyle name="20% - Accent5 3 10 5" xfId="27725"/>
    <cellStyle name="20% - Accent5 3 10 6" xfId="27726"/>
    <cellStyle name="20% - Accent5 3 10 7" xfId="27727"/>
    <cellStyle name="20% - Accent5 3 11" xfId="27728"/>
    <cellStyle name="20% - Accent5 3 11 2" xfId="27729"/>
    <cellStyle name="20% - Accent5 3 11 2 2" xfId="27730"/>
    <cellStyle name="20% - Accent5 3 11 3" xfId="27731"/>
    <cellStyle name="20% - Accent5 3 11 3 2" xfId="27732"/>
    <cellStyle name="20% - Accent5 3 11 4" xfId="27733"/>
    <cellStyle name="20% - Accent5 3 11 5" xfId="27734"/>
    <cellStyle name="20% - Accent5 3 11 6" xfId="27735"/>
    <cellStyle name="20% - Accent5 3 11 7" xfId="27736"/>
    <cellStyle name="20% - Accent5 3 12" xfId="27737"/>
    <cellStyle name="20% - Accent5 3 12 2" xfId="27738"/>
    <cellStyle name="20% - Accent5 3 12 2 2" xfId="27739"/>
    <cellStyle name="20% - Accent5 3 12 3" xfId="27740"/>
    <cellStyle name="20% - Accent5 3 12 3 2" xfId="27741"/>
    <cellStyle name="20% - Accent5 3 12 4" xfId="27742"/>
    <cellStyle name="20% - Accent5 3 12 5" xfId="27743"/>
    <cellStyle name="20% - Accent5 3 12 6" xfId="27744"/>
    <cellStyle name="20% - Accent5 3 12 7" xfId="27745"/>
    <cellStyle name="20% - Accent5 3 13" xfId="27746"/>
    <cellStyle name="20% - Accent5 3 13 2" xfId="27747"/>
    <cellStyle name="20% - Accent5 3 14" xfId="27748"/>
    <cellStyle name="20% - Accent5 3 14 2" xfId="27749"/>
    <cellStyle name="20% - Accent5 3 15" xfId="27750"/>
    <cellStyle name="20% - Accent5 3 16" xfId="27751"/>
    <cellStyle name="20% - Accent5 3 17" xfId="27752"/>
    <cellStyle name="20% - Accent5 3 18" xfId="27753"/>
    <cellStyle name="20% - Accent5 3 2" xfId="191"/>
    <cellStyle name="20% - Accent5 3 2 10" xfId="27754"/>
    <cellStyle name="20% - Accent5 3 2 11" xfId="27755"/>
    <cellStyle name="20% - Accent5 3 2 12" xfId="27756"/>
    <cellStyle name="20% - Accent5 3 2 13" xfId="27757"/>
    <cellStyle name="20% - Accent5 3 2 2" xfId="27758"/>
    <cellStyle name="20% - Accent5 3 2 2 10" xfId="27759"/>
    <cellStyle name="20% - Accent5 3 2 2 11" xfId="27760"/>
    <cellStyle name="20% - Accent5 3 2 2 2" xfId="27761"/>
    <cellStyle name="20% - Accent5 3 2 2 2 10" xfId="27762"/>
    <cellStyle name="20% - Accent5 3 2 2 2 2" xfId="27763"/>
    <cellStyle name="20% - Accent5 3 2 2 2 2 2" xfId="27764"/>
    <cellStyle name="20% - Accent5 3 2 2 2 2 2 2" xfId="27765"/>
    <cellStyle name="20% - Accent5 3 2 2 2 2 3" xfId="27766"/>
    <cellStyle name="20% - Accent5 3 2 2 2 2 3 2" xfId="27767"/>
    <cellStyle name="20% - Accent5 3 2 2 2 2 4" xfId="27768"/>
    <cellStyle name="20% - Accent5 3 2 2 2 2 5" xfId="27769"/>
    <cellStyle name="20% - Accent5 3 2 2 2 2 6" xfId="27770"/>
    <cellStyle name="20% - Accent5 3 2 2 2 2 7" xfId="27771"/>
    <cellStyle name="20% - Accent5 3 2 2 2 3" xfId="27772"/>
    <cellStyle name="20% - Accent5 3 2 2 2 3 2" xfId="27773"/>
    <cellStyle name="20% - Accent5 3 2 2 2 3 2 2" xfId="27774"/>
    <cellStyle name="20% - Accent5 3 2 2 2 3 3" xfId="27775"/>
    <cellStyle name="20% - Accent5 3 2 2 2 3 3 2" xfId="27776"/>
    <cellStyle name="20% - Accent5 3 2 2 2 3 4" xfId="27777"/>
    <cellStyle name="20% - Accent5 3 2 2 2 3 5" xfId="27778"/>
    <cellStyle name="20% - Accent5 3 2 2 2 3 6" xfId="27779"/>
    <cellStyle name="20% - Accent5 3 2 2 2 3 7" xfId="27780"/>
    <cellStyle name="20% - Accent5 3 2 2 2 4" xfId="27781"/>
    <cellStyle name="20% - Accent5 3 2 2 2 4 2" xfId="27782"/>
    <cellStyle name="20% - Accent5 3 2 2 2 4 2 2" xfId="27783"/>
    <cellStyle name="20% - Accent5 3 2 2 2 4 3" xfId="27784"/>
    <cellStyle name="20% - Accent5 3 2 2 2 4 3 2" xfId="27785"/>
    <cellStyle name="20% - Accent5 3 2 2 2 4 4" xfId="27786"/>
    <cellStyle name="20% - Accent5 3 2 2 2 4 5" xfId="27787"/>
    <cellStyle name="20% - Accent5 3 2 2 2 4 6" xfId="27788"/>
    <cellStyle name="20% - Accent5 3 2 2 2 4 7" xfId="27789"/>
    <cellStyle name="20% - Accent5 3 2 2 2 5" xfId="27790"/>
    <cellStyle name="20% - Accent5 3 2 2 2 5 2" xfId="27791"/>
    <cellStyle name="20% - Accent5 3 2 2 2 6" xfId="27792"/>
    <cellStyle name="20% - Accent5 3 2 2 2 6 2" xfId="27793"/>
    <cellStyle name="20% - Accent5 3 2 2 2 7" xfId="27794"/>
    <cellStyle name="20% - Accent5 3 2 2 2 8" xfId="27795"/>
    <cellStyle name="20% - Accent5 3 2 2 2 9" xfId="27796"/>
    <cellStyle name="20% - Accent5 3 2 2 3" xfId="27797"/>
    <cellStyle name="20% - Accent5 3 2 2 3 2" xfId="27798"/>
    <cellStyle name="20% - Accent5 3 2 2 3 2 2" xfId="27799"/>
    <cellStyle name="20% - Accent5 3 2 2 3 3" xfId="27800"/>
    <cellStyle name="20% - Accent5 3 2 2 3 3 2" xfId="27801"/>
    <cellStyle name="20% - Accent5 3 2 2 3 4" xfId="27802"/>
    <cellStyle name="20% - Accent5 3 2 2 3 5" xfId="27803"/>
    <cellStyle name="20% - Accent5 3 2 2 3 6" xfId="27804"/>
    <cellStyle name="20% - Accent5 3 2 2 3 7" xfId="27805"/>
    <cellStyle name="20% - Accent5 3 2 2 4" xfId="27806"/>
    <cellStyle name="20% - Accent5 3 2 2 4 2" xfId="27807"/>
    <cellStyle name="20% - Accent5 3 2 2 4 2 2" xfId="27808"/>
    <cellStyle name="20% - Accent5 3 2 2 4 3" xfId="27809"/>
    <cellStyle name="20% - Accent5 3 2 2 4 3 2" xfId="27810"/>
    <cellStyle name="20% - Accent5 3 2 2 4 4" xfId="27811"/>
    <cellStyle name="20% - Accent5 3 2 2 4 5" xfId="27812"/>
    <cellStyle name="20% - Accent5 3 2 2 4 6" xfId="27813"/>
    <cellStyle name="20% - Accent5 3 2 2 4 7" xfId="27814"/>
    <cellStyle name="20% - Accent5 3 2 2 5" xfId="27815"/>
    <cellStyle name="20% - Accent5 3 2 2 5 2" xfId="27816"/>
    <cellStyle name="20% - Accent5 3 2 2 5 2 2" xfId="27817"/>
    <cellStyle name="20% - Accent5 3 2 2 5 3" xfId="27818"/>
    <cellStyle name="20% - Accent5 3 2 2 5 3 2" xfId="27819"/>
    <cellStyle name="20% - Accent5 3 2 2 5 4" xfId="27820"/>
    <cellStyle name="20% - Accent5 3 2 2 5 5" xfId="27821"/>
    <cellStyle name="20% - Accent5 3 2 2 5 6" xfId="27822"/>
    <cellStyle name="20% - Accent5 3 2 2 5 7" xfId="27823"/>
    <cellStyle name="20% - Accent5 3 2 2 6" xfId="27824"/>
    <cellStyle name="20% - Accent5 3 2 2 6 2" xfId="27825"/>
    <cellStyle name="20% - Accent5 3 2 2 7" xfId="27826"/>
    <cellStyle name="20% - Accent5 3 2 2 7 2" xfId="27827"/>
    <cellStyle name="20% - Accent5 3 2 2 8" xfId="27828"/>
    <cellStyle name="20% - Accent5 3 2 2 9" xfId="27829"/>
    <cellStyle name="20% - Accent5 3 2 3" xfId="27830"/>
    <cellStyle name="20% - Accent5 3 2 3 10" xfId="27831"/>
    <cellStyle name="20% - Accent5 3 2 3 11" xfId="27832"/>
    <cellStyle name="20% - Accent5 3 2 3 2" xfId="27833"/>
    <cellStyle name="20% - Accent5 3 2 3 2 10" xfId="27834"/>
    <cellStyle name="20% - Accent5 3 2 3 2 2" xfId="27835"/>
    <cellStyle name="20% - Accent5 3 2 3 2 2 2" xfId="27836"/>
    <cellStyle name="20% - Accent5 3 2 3 2 2 2 2" xfId="27837"/>
    <cellStyle name="20% - Accent5 3 2 3 2 2 3" xfId="27838"/>
    <cellStyle name="20% - Accent5 3 2 3 2 2 3 2" xfId="27839"/>
    <cellStyle name="20% - Accent5 3 2 3 2 2 4" xfId="27840"/>
    <cellStyle name="20% - Accent5 3 2 3 2 2 5" xfId="27841"/>
    <cellStyle name="20% - Accent5 3 2 3 2 2 6" xfId="27842"/>
    <cellStyle name="20% - Accent5 3 2 3 2 2 7" xfId="27843"/>
    <cellStyle name="20% - Accent5 3 2 3 2 3" xfId="27844"/>
    <cellStyle name="20% - Accent5 3 2 3 2 3 2" xfId="27845"/>
    <cellStyle name="20% - Accent5 3 2 3 2 3 2 2" xfId="27846"/>
    <cellStyle name="20% - Accent5 3 2 3 2 3 3" xfId="27847"/>
    <cellStyle name="20% - Accent5 3 2 3 2 3 3 2" xfId="27848"/>
    <cellStyle name="20% - Accent5 3 2 3 2 3 4" xfId="27849"/>
    <cellStyle name="20% - Accent5 3 2 3 2 3 5" xfId="27850"/>
    <cellStyle name="20% - Accent5 3 2 3 2 3 6" xfId="27851"/>
    <cellStyle name="20% - Accent5 3 2 3 2 3 7" xfId="27852"/>
    <cellStyle name="20% - Accent5 3 2 3 2 4" xfId="27853"/>
    <cellStyle name="20% - Accent5 3 2 3 2 4 2" xfId="27854"/>
    <cellStyle name="20% - Accent5 3 2 3 2 4 2 2" xfId="27855"/>
    <cellStyle name="20% - Accent5 3 2 3 2 4 3" xfId="27856"/>
    <cellStyle name="20% - Accent5 3 2 3 2 4 3 2" xfId="27857"/>
    <cellStyle name="20% - Accent5 3 2 3 2 4 4" xfId="27858"/>
    <cellStyle name="20% - Accent5 3 2 3 2 4 5" xfId="27859"/>
    <cellStyle name="20% - Accent5 3 2 3 2 4 6" xfId="27860"/>
    <cellStyle name="20% - Accent5 3 2 3 2 4 7" xfId="27861"/>
    <cellStyle name="20% - Accent5 3 2 3 2 5" xfId="27862"/>
    <cellStyle name="20% - Accent5 3 2 3 2 5 2" xfId="27863"/>
    <cellStyle name="20% - Accent5 3 2 3 2 6" xfId="27864"/>
    <cellStyle name="20% - Accent5 3 2 3 2 6 2" xfId="27865"/>
    <cellStyle name="20% - Accent5 3 2 3 2 7" xfId="27866"/>
    <cellStyle name="20% - Accent5 3 2 3 2 8" xfId="27867"/>
    <cellStyle name="20% - Accent5 3 2 3 2 9" xfId="27868"/>
    <cellStyle name="20% - Accent5 3 2 3 3" xfId="27869"/>
    <cellStyle name="20% - Accent5 3 2 3 3 2" xfId="27870"/>
    <cellStyle name="20% - Accent5 3 2 3 3 2 2" xfId="27871"/>
    <cellStyle name="20% - Accent5 3 2 3 3 3" xfId="27872"/>
    <cellStyle name="20% - Accent5 3 2 3 3 3 2" xfId="27873"/>
    <cellStyle name="20% - Accent5 3 2 3 3 4" xfId="27874"/>
    <cellStyle name="20% - Accent5 3 2 3 3 5" xfId="27875"/>
    <cellStyle name="20% - Accent5 3 2 3 3 6" xfId="27876"/>
    <cellStyle name="20% - Accent5 3 2 3 3 7" xfId="27877"/>
    <cellStyle name="20% - Accent5 3 2 3 4" xfId="27878"/>
    <cellStyle name="20% - Accent5 3 2 3 4 2" xfId="27879"/>
    <cellStyle name="20% - Accent5 3 2 3 4 2 2" xfId="27880"/>
    <cellStyle name="20% - Accent5 3 2 3 4 3" xfId="27881"/>
    <cellStyle name="20% - Accent5 3 2 3 4 3 2" xfId="27882"/>
    <cellStyle name="20% - Accent5 3 2 3 4 4" xfId="27883"/>
    <cellStyle name="20% - Accent5 3 2 3 4 5" xfId="27884"/>
    <cellStyle name="20% - Accent5 3 2 3 4 6" xfId="27885"/>
    <cellStyle name="20% - Accent5 3 2 3 4 7" xfId="27886"/>
    <cellStyle name="20% - Accent5 3 2 3 5" xfId="27887"/>
    <cellStyle name="20% - Accent5 3 2 3 5 2" xfId="27888"/>
    <cellStyle name="20% - Accent5 3 2 3 5 2 2" xfId="27889"/>
    <cellStyle name="20% - Accent5 3 2 3 5 3" xfId="27890"/>
    <cellStyle name="20% - Accent5 3 2 3 5 3 2" xfId="27891"/>
    <cellStyle name="20% - Accent5 3 2 3 5 4" xfId="27892"/>
    <cellStyle name="20% - Accent5 3 2 3 5 5" xfId="27893"/>
    <cellStyle name="20% - Accent5 3 2 3 5 6" xfId="27894"/>
    <cellStyle name="20% - Accent5 3 2 3 5 7" xfId="27895"/>
    <cellStyle name="20% - Accent5 3 2 3 6" xfId="27896"/>
    <cellStyle name="20% - Accent5 3 2 3 6 2" xfId="27897"/>
    <cellStyle name="20% - Accent5 3 2 3 7" xfId="27898"/>
    <cellStyle name="20% - Accent5 3 2 3 7 2" xfId="27899"/>
    <cellStyle name="20% - Accent5 3 2 3 8" xfId="27900"/>
    <cellStyle name="20% - Accent5 3 2 3 9" xfId="27901"/>
    <cellStyle name="20% - Accent5 3 2 4" xfId="27902"/>
    <cellStyle name="20% - Accent5 3 2 4 10" xfId="27903"/>
    <cellStyle name="20% - Accent5 3 2 4 2" xfId="27904"/>
    <cellStyle name="20% - Accent5 3 2 4 2 2" xfId="27905"/>
    <cellStyle name="20% - Accent5 3 2 4 2 2 2" xfId="27906"/>
    <cellStyle name="20% - Accent5 3 2 4 2 3" xfId="27907"/>
    <cellStyle name="20% - Accent5 3 2 4 2 3 2" xfId="27908"/>
    <cellStyle name="20% - Accent5 3 2 4 2 4" xfId="27909"/>
    <cellStyle name="20% - Accent5 3 2 4 2 5" xfId="27910"/>
    <cellStyle name="20% - Accent5 3 2 4 2 6" xfId="27911"/>
    <cellStyle name="20% - Accent5 3 2 4 2 7" xfId="27912"/>
    <cellStyle name="20% - Accent5 3 2 4 3" xfId="27913"/>
    <cellStyle name="20% - Accent5 3 2 4 3 2" xfId="27914"/>
    <cellStyle name="20% - Accent5 3 2 4 3 2 2" xfId="27915"/>
    <cellStyle name="20% - Accent5 3 2 4 3 3" xfId="27916"/>
    <cellStyle name="20% - Accent5 3 2 4 3 3 2" xfId="27917"/>
    <cellStyle name="20% - Accent5 3 2 4 3 4" xfId="27918"/>
    <cellStyle name="20% - Accent5 3 2 4 3 5" xfId="27919"/>
    <cellStyle name="20% - Accent5 3 2 4 3 6" xfId="27920"/>
    <cellStyle name="20% - Accent5 3 2 4 3 7" xfId="27921"/>
    <cellStyle name="20% - Accent5 3 2 4 4" xfId="27922"/>
    <cellStyle name="20% - Accent5 3 2 4 4 2" xfId="27923"/>
    <cellStyle name="20% - Accent5 3 2 4 4 2 2" xfId="27924"/>
    <cellStyle name="20% - Accent5 3 2 4 4 3" xfId="27925"/>
    <cellStyle name="20% - Accent5 3 2 4 4 3 2" xfId="27926"/>
    <cellStyle name="20% - Accent5 3 2 4 4 4" xfId="27927"/>
    <cellStyle name="20% - Accent5 3 2 4 4 5" xfId="27928"/>
    <cellStyle name="20% - Accent5 3 2 4 4 6" xfId="27929"/>
    <cellStyle name="20% - Accent5 3 2 4 4 7" xfId="27930"/>
    <cellStyle name="20% - Accent5 3 2 4 5" xfId="27931"/>
    <cellStyle name="20% - Accent5 3 2 4 5 2" xfId="27932"/>
    <cellStyle name="20% - Accent5 3 2 4 6" xfId="27933"/>
    <cellStyle name="20% - Accent5 3 2 4 6 2" xfId="27934"/>
    <cellStyle name="20% - Accent5 3 2 4 7" xfId="27935"/>
    <cellStyle name="20% - Accent5 3 2 4 8" xfId="27936"/>
    <cellStyle name="20% - Accent5 3 2 4 9" xfId="27937"/>
    <cellStyle name="20% - Accent5 3 2 5" xfId="27938"/>
    <cellStyle name="20% - Accent5 3 2 5 2" xfId="27939"/>
    <cellStyle name="20% - Accent5 3 2 5 2 2" xfId="27940"/>
    <cellStyle name="20% - Accent5 3 2 5 3" xfId="27941"/>
    <cellStyle name="20% - Accent5 3 2 5 3 2" xfId="27942"/>
    <cellStyle name="20% - Accent5 3 2 5 4" xfId="27943"/>
    <cellStyle name="20% - Accent5 3 2 5 5" xfId="27944"/>
    <cellStyle name="20% - Accent5 3 2 5 6" xfId="27945"/>
    <cellStyle name="20% - Accent5 3 2 5 7" xfId="27946"/>
    <cellStyle name="20% - Accent5 3 2 6" xfId="27947"/>
    <cellStyle name="20% - Accent5 3 2 6 2" xfId="27948"/>
    <cellStyle name="20% - Accent5 3 2 6 2 2" xfId="27949"/>
    <cellStyle name="20% - Accent5 3 2 6 3" xfId="27950"/>
    <cellStyle name="20% - Accent5 3 2 6 3 2" xfId="27951"/>
    <cellStyle name="20% - Accent5 3 2 6 4" xfId="27952"/>
    <cellStyle name="20% - Accent5 3 2 6 5" xfId="27953"/>
    <cellStyle name="20% - Accent5 3 2 6 6" xfId="27954"/>
    <cellStyle name="20% - Accent5 3 2 6 7" xfId="27955"/>
    <cellStyle name="20% - Accent5 3 2 7" xfId="27956"/>
    <cellStyle name="20% - Accent5 3 2 7 2" xfId="27957"/>
    <cellStyle name="20% - Accent5 3 2 7 2 2" xfId="27958"/>
    <cellStyle name="20% - Accent5 3 2 7 3" xfId="27959"/>
    <cellStyle name="20% - Accent5 3 2 7 3 2" xfId="27960"/>
    <cellStyle name="20% - Accent5 3 2 7 4" xfId="27961"/>
    <cellStyle name="20% - Accent5 3 2 7 5" xfId="27962"/>
    <cellStyle name="20% - Accent5 3 2 7 6" xfId="27963"/>
    <cellStyle name="20% - Accent5 3 2 7 7" xfId="27964"/>
    <cellStyle name="20% - Accent5 3 2 8" xfId="27965"/>
    <cellStyle name="20% - Accent5 3 2 8 2" xfId="27966"/>
    <cellStyle name="20% - Accent5 3 2 9" xfId="27967"/>
    <cellStyle name="20% - Accent5 3 2 9 2" xfId="27968"/>
    <cellStyle name="20% - Accent5 3 3" xfId="192"/>
    <cellStyle name="20% - Accent5 3 3 10" xfId="27969"/>
    <cellStyle name="20% - Accent5 3 3 11" xfId="27970"/>
    <cellStyle name="20% - Accent5 3 3 12" xfId="27971"/>
    <cellStyle name="20% - Accent5 3 3 13" xfId="27972"/>
    <cellStyle name="20% - Accent5 3 3 2" xfId="27973"/>
    <cellStyle name="20% - Accent5 3 3 2 10" xfId="27974"/>
    <cellStyle name="20% - Accent5 3 3 2 11" xfId="27975"/>
    <cellStyle name="20% - Accent5 3 3 2 2" xfId="27976"/>
    <cellStyle name="20% - Accent5 3 3 2 2 10" xfId="27977"/>
    <cellStyle name="20% - Accent5 3 3 2 2 2" xfId="27978"/>
    <cellStyle name="20% - Accent5 3 3 2 2 2 2" xfId="27979"/>
    <cellStyle name="20% - Accent5 3 3 2 2 2 2 2" xfId="27980"/>
    <cellStyle name="20% - Accent5 3 3 2 2 2 3" xfId="27981"/>
    <cellStyle name="20% - Accent5 3 3 2 2 2 3 2" xfId="27982"/>
    <cellStyle name="20% - Accent5 3 3 2 2 2 4" xfId="27983"/>
    <cellStyle name="20% - Accent5 3 3 2 2 2 5" xfId="27984"/>
    <cellStyle name="20% - Accent5 3 3 2 2 2 6" xfId="27985"/>
    <cellStyle name="20% - Accent5 3 3 2 2 2 7" xfId="27986"/>
    <cellStyle name="20% - Accent5 3 3 2 2 3" xfId="27987"/>
    <cellStyle name="20% - Accent5 3 3 2 2 3 2" xfId="27988"/>
    <cellStyle name="20% - Accent5 3 3 2 2 3 2 2" xfId="27989"/>
    <cellStyle name="20% - Accent5 3 3 2 2 3 3" xfId="27990"/>
    <cellStyle name="20% - Accent5 3 3 2 2 3 3 2" xfId="27991"/>
    <cellStyle name="20% - Accent5 3 3 2 2 3 4" xfId="27992"/>
    <cellStyle name="20% - Accent5 3 3 2 2 3 5" xfId="27993"/>
    <cellStyle name="20% - Accent5 3 3 2 2 3 6" xfId="27994"/>
    <cellStyle name="20% - Accent5 3 3 2 2 3 7" xfId="27995"/>
    <cellStyle name="20% - Accent5 3 3 2 2 4" xfId="27996"/>
    <cellStyle name="20% - Accent5 3 3 2 2 4 2" xfId="27997"/>
    <cellStyle name="20% - Accent5 3 3 2 2 4 2 2" xfId="27998"/>
    <cellStyle name="20% - Accent5 3 3 2 2 4 3" xfId="27999"/>
    <cellStyle name="20% - Accent5 3 3 2 2 4 3 2" xfId="28000"/>
    <cellStyle name="20% - Accent5 3 3 2 2 4 4" xfId="28001"/>
    <cellStyle name="20% - Accent5 3 3 2 2 4 5" xfId="28002"/>
    <cellStyle name="20% - Accent5 3 3 2 2 4 6" xfId="28003"/>
    <cellStyle name="20% - Accent5 3 3 2 2 4 7" xfId="28004"/>
    <cellStyle name="20% - Accent5 3 3 2 2 5" xfId="28005"/>
    <cellStyle name="20% - Accent5 3 3 2 2 5 2" xfId="28006"/>
    <cellStyle name="20% - Accent5 3 3 2 2 6" xfId="28007"/>
    <cellStyle name="20% - Accent5 3 3 2 2 6 2" xfId="28008"/>
    <cellStyle name="20% - Accent5 3 3 2 2 7" xfId="28009"/>
    <cellStyle name="20% - Accent5 3 3 2 2 8" xfId="28010"/>
    <cellStyle name="20% - Accent5 3 3 2 2 9" xfId="28011"/>
    <cellStyle name="20% - Accent5 3 3 2 3" xfId="28012"/>
    <cellStyle name="20% - Accent5 3 3 2 3 2" xfId="28013"/>
    <cellStyle name="20% - Accent5 3 3 2 3 2 2" xfId="28014"/>
    <cellStyle name="20% - Accent5 3 3 2 3 3" xfId="28015"/>
    <cellStyle name="20% - Accent5 3 3 2 3 3 2" xfId="28016"/>
    <cellStyle name="20% - Accent5 3 3 2 3 4" xfId="28017"/>
    <cellStyle name="20% - Accent5 3 3 2 3 5" xfId="28018"/>
    <cellStyle name="20% - Accent5 3 3 2 3 6" xfId="28019"/>
    <cellStyle name="20% - Accent5 3 3 2 3 7" xfId="28020"/>
    <cellStyle name="20% - Accent5 3 3 2 4" xfId="28021"/>
    <cellStyle name="20% - Accent5 3 3 2 4 2" xfId="28022"/>
    <cellStyle name="20% - Accent5 3 3 2 4 2 2" xfId="28023"/>
    <cellStyle name="20% - Accent5 3 3 2 4 3" xfId="28024"/>
    <cellStyle name="20% - Accent5 3 3 2 4 3 2" xfId="28025"/>
    <cellStyle name="20% - Accent5 3 3 2 4 4" xfId="28026"/>
    <cellStyle name="20% - Accent5 3 3 2 4 5" xfId="28027"/>
    <cellStyle name="20% - Accent5 3 3 2 4 6" xfId="28028"/>
    <cellStyle name="20% - Accent5 3 3 2 4 7" xfId="28029"/>
    <cellStyle name="20% - Accent5 3 3 2 5" xfId="28030"/>
    <cellStyle name="20% - Accent5 3 3 2 5 2" xfId="28031"/>
    <cellStyle name="20% - Accent5 3 3 2 5 2 2" xfId="28032"/>
    <cellStyle name="20% - Accent5 3 3 2 5 3" xfId="28033"/>
    <cellStyle name="20% - Accent5 3 3 2 5 3 2" xfId="28034"/>
    <cellStyle name="20% - Accent5 3 3 2 5 4" xfId="28035"/>
    <cellStyle name="20% - Accent5 3 3 2 5 5" xfId="28036"/>
    <cellStyle name="20% - Accent5 3 3 2 5 6" xfId="28037"/>
    <cellStyle name="20% - Accent5 3 3 2 5 7" xfId="28038"/>
    <cellStyle name="20% - Accent5 3 3 2 6" xfId="28039"/>
    <cellStyle name="20% - Accent5 3 3 2 6 2" xfId="28040"/>
    <cellStyle name="20% - Accent5 3 3 2 7" xfId="28041"/>
    <cellStyle name="20% - Accent5 3 3 2 7 2" xfId="28042"/>
    <cellStyle name="20% - Accent5 3 3 2 8" xfId="28043"/>
    <cellStyle name="20% - Accent5 3 3 2 9" xfId="28044"/>
    <cellStyle name="20% - Accent5 3 3 3" xfId="28045"/>
    <cellStyle name="20% - Accent5 3 3 3 10" xfId="28046"/>
    <cellStyle name="20% - Accent5 3 3 3 11" xfId="28047"/>
    <cellStyle name="20% - Accent5 3 3 3 2" xfId="28048"/>
    <cellStyle name="20% - Accent5 3 3 3 2 10" xfId="28049"/>
    <cellStyle name="20% - Accent5 3 3 3 2 2" xfId="28050"/>
    <cellStyle name="20% - Accent5 3 3 3 2 2 2" xfId="28051"/>
    <cellStyle name="20% - Accent5 3 3 3 2 2 2 2" xfId="28052"/>
    <cellStyle name="20% - Accent5 3 3 3 2 2 3" xfId="28053"/>
    <cellStyle name="20% - Accent5 3 3 3 2 2 3 2" xfId="28054"/>
    <cellStyle name="20% - Accent5 3 3 3 2 2 4" xfId="28055"/>
    <cellStyle name="20% - Accent5 3 3 3 2 2 5" xfId="28056"/>
    <cellStyle name="20% - Accent5 3 3 3 2 2 6" xfId="28057"/>
    <cellStyle name="20% - Accent5 3 3 3 2 2 7" xfId="28058"/>
    <cellStyle name="20% - Accent5 3 3 3 2 3" xfId="28059"/>
    <cellStyle name="20% - Accent5 3 3 3 2 3 2" xfId="28060"/>
    <cellStyle name="20% - Accent5 3 3 3 2 3 2 2" xfId="28061"/>
    <cellStyle name="20% - Accent5 3 3 3 2 3 3" xfId="28062"/>
    <cellStyle name="20% - Accent5 3 3 3 2 3 3 2" xfId="28063"/>
    <cellStyle name="20% - Accent5 3 3 3 2 3 4" xfId="28064"/>
    <cellStyle name="20% - Accent5 3 3 3 2 3 5" xfId="28065"/>
    <cellStyle name="20% - Accent5 3 3 3 2 3 6" xfId="28066"/>
    <cellStyle name="20% - Accent5 3 3 3 2 3 7" xfId="28067"/>
    <cellStyle name="20% - Accent5 3 3 3 2 4" xfId="28068"/>
    <cellStyle name="20% - Accent5 3 3 3 2 4 2" xfId="28069"/>
    <cellStyle name="20% - Accent5 3 3 3 2 4 2 2" xfId="28070"/>
    <cellStyle name="20% - Accent5 3 3 3 2 4 3" xfId="28071"/>
    <cellStyle name="20% - Accent5 3 3 3 2 4 3 2" xfId="28072"/>
    <cellStyle name="20% - Accent5 3 3 3 2 4 4" xfId="28073"/>
    <cellStyle name="20% - Accent5 3 3 3 2 4 5" xfId="28074"/>
    <cellStyle name="20% - Accent5 3 3 3 2 4 6" xfId="28075"/>
    <cellStyle name="20% - Accent5 3 3 3 2 4 7" xfId="28076"/>
    <cellStyle name="20% - Accent5 3 3 3 2 5" xfId="28077"/>
    <cellStyle name="20% - Accent5 3 3 3 2 5 2" xfId="28078"/>
    <cellStyle name="20% - Accent5 3 3 3 2 6" xfId="28079"/>
    <cellStyle name="20% - Accent5 3 3 3 2 6 2" xfId="28080"/>
    <cellStyle name="20% - Accent5 3 3 3 2 7" xfId="28081"/>
    <cellStyle name="20% - Accent5 3 3 3 2 8" xfId="28082"/>
    <cellStyle name="20% - Accent5 3 3 3 2 9" xfId="28083"/>
    <cellStyle name="20% - Accent5 3 3 3 3" xfId="28084"/>
    <cellStyle name="20% - Accent5 3 3 3 3 2" xfId="28085"/>
    <cellStyle name="20% - Accent5 3 3 3 3 2 2" xfId="28086"/>
    <cellStyle name="20% - Accent5 3 3 3 3 3" xfId="28087"/>
    <cellStyle name="20% - Accent5 3 3 3 3 3 2" xfId="28088"/>
    <cellStyle name="20% - Accent5 3 3 3 3 4" xfId="28089"/>
    <cellStyle name="20% - Accent5 3 3 3 3 5" xfId="28090"/>
    <cellStyle name="20% - Accent5 3 3 3 3 6" xfId="28091"/>
    <cellStyle name="20% - Accent5 3 3 3 3 7" xfId="28092"/>
    <cellStyle name="20% - Accent5 3 3 3 4" xfId="28093"/>
    <cellStyle name="20% - Accent5 3 3 3 4 2" xfId="28094"/>
    <cellStyle name="20% - Accent5 3 3 3 4 2 2" xfId="28095"/>
    <cellStyle name="20% - Accent5 3 3 3 4 3" xfId="28096"/>
    <cellStyle name="20% - Accent5 3 3 3 4 3 2" xfId="28097"/>
    <cellStyle name="20% - Accent5 3 3 3 4 4" xfId="28098"/>
    <cellStyle name="20% - Accent5 3 3 3 4 5" xfId="28099"/>
    <cellStyle name="20% - Accent5 3 3 3 4 6" xfId="28100"/>
    <cellStyle name="20% - Accent5 3 3 3 4 7" xfId="28101"/>
    <cellStyle name="20% - Accent5 3 3 3 5" xfId="28102"/>
    <cellStyle name="20% - Accent5 3 3 3 5 2" xfId="28103"/>
    <cellStyle name="20% - Accent5 3 3 3 5 2 2" xfId="28104"/>
    <cellStyle name="20% - Accent5 3 3 3 5 3" xfId="28105"/>
    <cellStyle name="20% - Accent5 3 3 3 5 3 2" xfId="28106"/>
    <cellStyle name="20% - Accent5 3 3 3 5 4" xfId="28107"/>
    <cellStyle name="20% - Accent5 3 3 3 5 5" xfId="28108"/>
    <cellStyle name="20% - Accent5 3 3 3 5 6" xfId="28109"/>
    <cellStyle name="20% - Accent5 3 3 3 5 7" xfId="28110"/>
    <cellStyle name="20% - Accent5 3 3 3 6" xfId="28111"/>
    <cellStyle name="20% - Accent5 3 3 3 6 2" xfId="28112"/>
    <cellStyle name="20% - Accent5 3 3 3 7" xfId="28113"/>
    <cellStyle name="20% - Accent5 3 3 3 7 2" xfId="28114"/>
    <cellStyle name="20% - Accent5 3 3 3 8" xfId="28115"/>
    <cellStyle name="20% - Accent5 3 3 3 9" xfId="28116"/>
    <cellStyle name="20% - Accent5 3 3 4" xfId="28117"/>
    <cellStyle name="20% - Accent5 3 3 4 10" xfId="28118"/>
    <cellStyle name="20% - Accent5 3 3 4 2" xfId="28119"/>
    <cellStyle name="20% - Accent5 3 3 4 2 2" xfId="28120"/>
    <cellStyle name="20% - Accent5 3 3 4 2 2 2" xfId="28121"/>
    <cellStyle name="20% - Accent5 3 3 4 2 3" xfId="28122"/>
    <cellStyle name="20% - Accent5 3 3 4 2 3 2" xfId="28123"/>
    <cellStyle name="20% - Accent5 3 3 4 2 4" xfId="28124"/>
    <cellStyle name="20% - Accent5 3 3 4 2 5" xfId="28125"/>
    <cellStyle name="20% - Accent5 3 3 4 2 6" xfId="28126"/>
    <cellStyle name="20% - Accent5 3 3 4 2 7" xfId="28127"/>
    <cellStyle name="20% - Accent5 3 3 4 3" xfId="28128"/>
    <cellStyle name="20% - Accent5 3 3 4 3 2" xfId="28129"/>
    <cellStyle name="20% - Accent5 3 3 4 3 2 2" xfId="28130"/>
    <cellStyle name="20% - Accent5 3 3 4 3 3" xfId="28131"/>
    <cellStyle name="20% - Accent5 3 3 4 3 3 2" xfId="28132"/>
    <cellStyle name="20% - Accent5 3 3 4 3 4" xfId="28133"/>
    <cellStyle name="20% - Accent5 3 3 4 3 5" xfId="28134"/>
    <cellStyle name="20% - Accent5 3 3 4 3 6" xfId="28135"/>
    <cellStyle name="20% - Accent5 3 3 4 3 7" xfId="28136"/>
    <cellStyle name="20% - Accent5 3 3 4 4" xfId="28137"/>
    <cellStyle name="20% - Accent5 3 3 4 4 2" xfId="28138"/>
    <cellStyle name="20% - Accent5 3 3 4 4 2 2" xfId="28139"/>
    <cellStyle name="20% - Accent5 3 3 4 4 3" xfId="28140"/>
    <cellStyle name="20% - Accent5 3 3 4 4 3 2" xfId="28141"/>
    <cellStyle name="20% - Accent5 3 3 4 4 4" xfId="28142"/>
    <cellStyle name="20% - Accent5 3 3 4 4 5" xfId="28143"/>
    <cellStyle name="20% - Accent5 3 3 4 4 6" xfId="28144"/>
    <cellStyle name="20% - Accent5 3 3 4 4 7" xfId="28145"/>
    <cellStyle name="20% - Accent5 3 3 4 5" xfId="28146"/>
    <cellStyle name="20% - Accent5 3 3 4 5 2" xfId="28147"/>
    <cellStyle name="20% - Accent5 3 3 4 6" xfId="28148"/>
    <cellStyle name="20% - Accent5 3 3 4 6 2" xfId="28149"/>
    <cellStyle name="20% - Accent5 3 3 4 7" xfId="28150"/>
    <cellStyle name="20% - Accent5 3 3 4 8" xfId="28151"/>
    <cellStyle name="20% - Accent5 3 3 4 9" xfId="28152"/>
    <cellStyle name="20% - Accent5 3 3 5" xfId="28153"/>
    <cellStyle name="20% - Accent5 3 3 5 2" xfId="28154"/>
    <cellStyle name="20% - Accent5 3 3 5 2 2" xfId="28155"/>
    <cellStyle name="20% - Accent5 3 3 5 3" xfId="28156"/>
    <cellStyle name="20% - Accent5 3 3 5 3 2" xfId="28157"/>
    <cellStyle name="20% - Accent5 3 3 5 4" xfId="28158"/>
    <cellStyle name="20% - Accent5 3 3 5 5" xfId="28159"/>
    <cellStyle name="20% - Accent5 3 3 5 6" xfId="28160"/>
    <cellStyle name="20% - Accent5 3 3 5 7" xfId="28161"/>
    <cellStyle name="20% - Accent5 3 3 6" xfId="28162"/>
    <cellStyle name="20% - Accent5 3 3 6 2" xfId="28163"/>
    <cellStyle name="20% - Accent5 3 3 6 2 2" xfId="28164"/>
    <cellStyle name="20% - Accent5 3 3 6 3" xfId="28165"/>
    <cellStyle name="20% - Accent5 3 3 6 3 2" xfId="28166"/>
    <cellStyle name="20% - Accent5 3 3 6 4" xfId="28167"/>
    <cellStyle name="20% - Accent5 3 3 6 5" xfId="28168"/>
    <cellStyle name="20% - Accent5 3 3 6 6" xfId="28169"/>
    <cellStyle name="20% - Accent5 3 3 6 7" xfId="28170"/>
    <cellStyle name="20% - Accent5 3 3 7" xfId="28171"/>
    <cellStyle name="20% - Accent5 3 3 7 2" xfId="28172"/>
    <cellStyle name="20% - Accent5 3 3 7 2 2" xfId="28173"/>
    <cellStyle name="20% - Accent5 3 3 7 3" xfId="28174"/>
    <cellStyle name="20% - Accent5 3 3 7 3 2" xfId="28175"/>
    <cellStyle name="20% - Accent5 3 3 7 4" xfId="28176"/>
    <cellStyle name="20% - Accent5 3 3 7 5" xfId="28177"/>
    <cellStyle name="20% - Accent5 3 3 7 6" xfId="28178"/>
    <cellStyle name="20% - Accent5 3 3 7 7" xfId="28179"/>
    <cellStyle name="20% - Accent5 3 3 8" xfId="28180"/>
    <cellStyle name="20% - Accent5 3 3 8 2" xfId="28181"/>
    <cellStyle name="20% - Accent5 3 3 9" xfId="28182"/>
    <cellStyle name="20% - Accent5 3 3 9 2" xfId="28183"/>
    <cellStyle name="20% - Accent5 3 4" xfId="28184"/>
    <cellStyle name="20% - Accent5 3 4 10" xfId="28185"/>
    <cellStyle name="20% - Accent5 3 4 11" xfId="28186"/>
    <cellStyle name="20% - Accent5 3 4 12" xfId="28187"/>
    <cellStyle name="20% - Accent5 3 4 13" xfId="28188"/>
    <cellStyle name="20% - Accent5 3 4 2" xfId="28189"/>
    <cellStyle name="20% - Accent5 3 4 2 10" xfId="28190"/>
    <cellStyle name="20% - Accent5 3 4 2 11" xfId="28191"/>
    <cellStyle name="20% - Accent5 3 4 2 2" xfId="28192"/>
    <cellStyle name="20% - Accent5 3 4 2 2 10" xfId="28193"/>
    <cellStyle name="20% - Accent5 3 4 2 2 2" xfId="28194"/>
    <cellStyle name="20% - Accent5 3 4 2 2 2 2" xfId="28195"/>
    <cellStyle name="20% - Accent5 3 4 2 2 2 2 2" xfId="28196"/>
    <cellStyle name="20% - Accent5 3 4 2 2 2 3" xfId="28197"/>
    <cellStyle name="20% - Accent5 3 4 2 2 2 3 2" xfId="28198"/>
    <cellStyle name="20% - Accent5 3 4 2 2 2 4" xfId="28199"/>
    <cellStyle name="20% - Accent5 3 4 2 2 2 5" xfId="28200"/>
    <cellStyle name="20% - Accent5 3 4 2 2 2 6" xfId="28201"/>
    <cellStyle name="20% - Accent5 3 4 2 2 2 7" xfId="28202"/>
    <cellStyle name="20% - Accent5 3 4 2 2 3" xfId="28203"/>
    <cellStyle name="20% - Accent5 3 4 2 2 3 2" xfId="28204"/>
    <cellStyle name="20% - Accent5 3 4 2 2 3 2 2" xfId="28205"/>
    <cellStyle name="20% - Accent5 3 4 2 2 3 3" xfId="28206"/>
    <cellStyle name="20% - Accent5 3 4 2 2 3 3 2" xfId="28207"/>
    <cellStyle name="20% - Accent5 3 4 2 2 3 4" xfId="28208"/>
    <cellStyle name="20% - Accent5 3 4 2 2 3 5" xfId="28209"/>
    <cellStyle name="20% - Accent5 3 4 2 2 3 6" xfId="28210"/>
    <cellStyle name="20% - Accent5 3 4 2 2 3 7" xfId="28211"/>
    <cellStyle name="20% - Accent5 3 4 2 2 4" xfId="28212"/>
    <cellStyle name="20% - Accent5 3 4 2 2 4 2" xfId="28213"/>
    <cellStyle name="20% - Accent5 3 4 2 2 4 2 2" xfId="28214"/>
    <cellStyle name="20% - Accent5 3 4 2 2 4 3" xfId="28215"/>
    <cellStyle name="20% - Accent5 3 4 2 2 4 3 2" xfId="28216"/>
    <cellStyle name="20% - Accent5 3 4 2 2 4 4" xfId="28217"/>
    <cellStyle name="20% - Accent5 3 4 2 2 4 5" xfId="28218"/>
    <cellStyle name="20% - Accent5 3 4 2 2 4 6" xfId="28219"/>
    <cellStyle name="20% - Accent5 3 4 2 2 4 7" xfId="28220"/>
    <cellStyle name="20% - Accent5 3 4 2 2 5" xfId="28221"/>
    <cellStyle name="20% - Accent5 3 4 2 2 5 2" xfId="28222"/>
    <cellStyle name="20% - Accent5 3 4 2 2 6" xfId="28223"/>
    <cellStyle name="20% - Accent5 3 4 2 2 6 2" xfId="28224"/>
    <cellStyle name="20% - Accent5 3 4 2 2 7" xfId="28225"/>
    <cellStyle name="20% - Accent5 3 4 2 2 8" xfId="28226"/>
    <cellStyle name="20% - Accent5 3 4 2 2 9" xfId="28227"/>
    <cellStyle name="20% - Accent5 3 4 2 3" xfId="28228"/>
    <cellStyle name="20% - Accent5 3 4 2 3 2" xfId="28229"/>
    <cellStyle name="20% - Accent5 3 4 2 3 2 2" xfId="28230"/>
    <cellStyle name="20% - Accent5 3 4 2 3 3" xfId="28231"/>
    <cellStyle name="20% - Accent5 3 4 2 3 3 2" xfId="28232"/>
    <cellStyle name="20% - Accent5 3 4 2 3 4" xfId="28233"/>
    <cellStyle name="20% - Accent5 3 4 2 3 5" xfId="28234"/>
    <cellStyle name="20% - Accent5 3 4 2 3 6" xfId="28235"/>
    <cellStyle name="20% - Accent5 3 4 2 3 7" xfId="28236"/>
    <cellStyle name="20% - Accent5 3 4 2 4" xfId="28237"/>
    <cellStyle name="20% - Accent5 3 4 2 4 2" xfId="28238"/>
    <cellStyle name="20% - Accent5 3 4 2 4 2 2" xfId="28239"/>
    <cellStyle name="20% - Accent5 3 4 2 4 3" xfId="28240"/>
    <cellStyle name="20% - Accent5 3 4 2 4 3 2" xfId="28241"/>
    <cellStyle name="20% - Accent5 3 4 2 4 4" xfId="28242"/>
    <cellStyle name="20% - Accent5 3 4 2 4 5" xfId="28243"/>
    <cellStyle name="20% - Accent5 3 4 2 4 6" xfId="28244"/>
    <cellStyle name="20% - Accent5 3 4 2 4 7" xfId="28245"/>
    <cellStyle name="20% - Accent5 3 4 2 5" xfId="28246"/>
    <cellStyle name="20% - Accent5 3 4 2 5 2" xfId="28247"/>
    <cellStyle name="20% - Accent5 3 4 2 5 2 2" xfId="28248"/>
    <cellStyle name="20% - Accent5 3 4 2 5 3" xfId="28249"/>
    <cellStyle name="20% - Accent5 3 4 2 5 3 2" xfId="28250"/>
    <cellStyle name="20% - Accent5 3 4 2 5 4" xfId="28251"/>
    <cellStyle name="20% - Accent5 3 4 2 5 5" xfId="28252"/>
    <cellStyle name="20% - Accent5 3 4 2 5 6" xfId="28253"/>
    <cellStyle name="20% - Accent5 3 4 2 5 7" xfId="28254"/>
    <cellStyle name="20% - Accent5 3 4 2 6" xfId="28255"/>
    <cellStyle name="20% - Accent5 3 4 2 6 2" xfId="28256"/>
    <cellStyle name="20% - Accent5 3 4 2 7" xfId="28257"/>
    <cellStyle name="20% - Accent5 3 4 2 7 2" xfId="28258"/>
    <cellStyle name="20% - Accent5 3 4 2 8" xfId="28259"/>
    <cellStyle name="20% - Accent5 3 4 2 9" xfId="28260"/>
    <cellStyle name="20% - Accent5 3 4 3" xfId="28261"/>
    <cellStyle name="20% - Accent5 3 4 3 10" xfId="28262"/>
    <cellStyle name="20% - Accent5 3 4 3 11" xfId="28263"/>
    <cellStyle name="20% - Accent5 3 4 3 2" xfId="28264"/>
    <cellStyle name="20% - Accent5 3 4 3 2 10" xfId="28265"/>
    <cellStyle name="20% - Accent5 3 4 3 2 2" xfId="28266"/>
    <cellStyle name="20% - Accent5 3 4 3 2 2 2" xfId="28267"/>
    <cellStyle name="20% - Accent5 3 4 3 2 2 2 2" xfId="28268"/>
    <cellStyle name="20% - Accent5 3 4 3 2 2 3" xfId="28269"/>
    <cellStyle name="20% - Accent5 3 4 3 2 2 3 2" xfId="28270"/>
    <cellStyle name="20% - Accent5 3 4 3 2 2 4" xfId="28271"/>
    <cellStyle name="20% - Accent5 3 4 3 2 2 5" xfId="28272"/>
    <cellStyle name="20% - Accent5 3 4 3 2 2 6" xfId="28273"/>
    <cellStyle name="20% - Accent5 3 4 3 2 2 7" xfId="28274"/>
    <cellStyle name="20% - Accent5 3 4 3 2 3" xfId="28275"/>
    <cellStyle name="20% - Accent5 3 4 3 2 3 2" xfId="28276"/>
    <cellStyle name="20% - Accent5 3 4 3 2 3 2 2" xfId="28277"/>
    <cellStyle name="20% - Accent5 3 4 3 2 3 3" xfId="28278"/>
    <cellStyle name="20% - Accent5 3 4 3 2 3 3 2" xfId="28279"/>
    <cellStyle name="20% - Accent5 3 4 3 2 3 4" xfId="28280"/>
    <cellStyle name="20% - Accent5 3 4 3 2 3 5" xfId="28281"/>
    <cellStyle name="20% - Accent5 3 4 3 2 3 6" xfId="28282"/>
    <cellStyle name="20% - Accent5 3 4 3 2 3 7" xfId="28283"/>
    <cellStyle name="20% - Accent5 3 4 3 2 4" xfId="28284"/>
    <cellStyle name="20% - Accent5 3 4 3 2 4 2" xfId="28285"/>
    <cellStyle name="20% - Accent5 3 4 3 2 4 2 2" xfId="28286"/>
    <cellStyle name="20% - Accent5 3 4 3 2 4 3" xfId="28287"/>
    <cellStyle name="20% - Accent5 3 4 3 2 4 3 2" xfId="28288"/>
    <cellStyle name="20% - Accent5 3 4 3 2 4 4" xfId="28289"/>
    <cellStyle name="20% - Accent5 3 4 3 2 4 5" xfId="28290"/>
    <cellStyle name="20% - Accent5 3 4 3 2 4 6" xfId="28291"/>
    <cellStyle name="20% - Accent5 3 4 3 2 4 7" xfId="28292"/>
    <cellStyle name="20% - Accent5 3 4 3 2 5" xfId="28293"/>
    <cellStyle name="20% - Accent5 3 4 3 2 5 2" xfId="28294"/>
    <cellStyle name="20% - Accent5 3 4 3 2 6" xfId="28295"/>
    <cellStyle name="20% - Accent5 3 4 3 2 6 2" xfId="28296"/>
    <cellStyle name="20% - Accent5 3 4 3 2 7" xfId="28297"/>
    <cellStyle name="20% - Accent5 3 4 3 2 8" xfId="28298"/>
    <cellStyle name="20% - Accent5 3 4 3 2 9" xfId="28299"/>
    <cellStyle name="20% - Accent5 3 4 3 3" xfId="28300"/>
    <cellStyle name="20% - Accent5 3 4 3 3 2" xfId="28301"/>
    <cellStyle name="20% - Accent5 3 4 3 3 2 2" xfId="28302"/>
    <cellStyle name="20% - Accent5 3 4 3 3 3" xfId="28303"/>
    <cellStyle name="20% - Accent5 3 4 3 3 3 2" xfId="28304"/>
    <cellStyle name="20% - Accent5 3 4 3 3 4" xfId="28305"/>
    <cellStyle name="20% - Accent5 3 4 3 3 5" xfId="28306"/>
    <cellStyle name="20% - Accent5 3 4 3 3 6" xfId="28307"/>
    <cellStyle name="20% - Accent5 3 4 3 3 7" xfId="28308"/>
    <cellStyle name="20% - Accent5 3 4 3 4" xfId="28309"/>
    <cellStyle name="20% - Accent5 3 4 3 4 2" xfId="28310"/>
    <cellStyle name="20% - Accent5 3 4 3 4 2 2" xfId="28311"/>
    <cellStyle name="20% - Accent5 3 4 3 4 3" xfId="28312"/>
    <cellStyle name="20% - Accent5 3 4 3 4 3 2" xfId="28313"/>
    <cellStyle name="20% - Accent5 3 4 3 4 4" xfId="28314"/>
    <cellStyle name="20% - Accent5 3 4 3 4 5" xfId="28315"/>
    <cellStyle name="20% - Accent5 3 4 3 4 6" xfId="28316"/>
    <cellStyle name="20% - Accent5 3 4 3 4 7" xfId="28317"/>
    <cellStyle name="20% - Accent5 3 4 3 5" xfId="28318"/>
    <cellStyle name="20% - Accent5 3 4 3 5 2" xfId="28319"/>
    <cellStyle name="20% - Accent5 3 4 3 5 2 2" xfId="28320"/>
    <cellStyle name="20% - Accent5 3 4 3 5 3" xfId="28321"/>
    <cellStyle name="20% - Accent5 3 4 3 5 3 2" xfId="28322"/>
    <cellStyle name="20% - Accent5 3 4 3 5 4" xfId="28323"/>
    <cellStyle name="20% - Accent5 3 4 3 5 5" xfId="28324"/>
    <cellStyle name="20% - Accent5 3 4 3 5 6" xfId="28325"/>
    <cellStyle name="20% - Accent5 3 4 3 5 7" xfId="28326"/>
    <cellStyle name="20% - Accent5 3 4 3 6" xfId="28327"/>
    <cellStyle name="20% - Accent5 3 4 3 6 2" xfId="28328"/>
    <cellStyle name="20% - Accent5 3 4 3 7" xfId="28329"/>
    <cellStyle name="20% - Accent5 3 4 3 7 2" xfId="28330"/>
    <cellStyle name="20% - Accent5 3 4 3 8" xfId="28331"/>
    <cellStyle name="20% - Accent5 3 4 3 9" xfId="28332"/>
    <cellStyle name="20% - Accent5 3 4 4" xfId="28333"/>
    <cellStyle name="20% - Accent5 3 4 4 10" xfId="28334"/>
    <cellStyle name="20% - Accent5 3 4 4 2" xfId="28335"/>
    <cellStyle name="20% - Accent5 3 4 4 2 2" xfId="28336"/>
    <cellStyle name="20% - Accent5 3 4 4 2 2 2" xfId="28337"/>
    <cellStyle name="20% - Accent5 3 4 4 2 3" xfId="28338"/>
    <cellStyle name="20% - Accent5 3 4 4 2 3 2" xfId="28339"/>
    <cellStyle name="20% - Accent5 3 4 4 2 4" xfId="28340"/>
    <cellStyle name="20% - Accent5 3 4 4 2 5" xfId="28341"/>
    <cellStyle name="20% - Accent5 3 4 4 2 6" xfId="28342"/>
    <cellStyle name="20% - Accent5 3 4 4 2 7" xfId="28343"/>
    <cellStyle name="20% - Accent5 3 4 4 3" xfId="28344"/>
    <cellStyle name="20% - Accent5 3 4 4 3 2" xfId="28345"/>
    <cellStyle name="20% - Accent5 3 4 4 3 2 2" xfId="28346"/>
    <cellStyle name="20% - Accent5 3 4 4 3 3" xfId="28347"/>
    <cellStyle name="20% - Accent5 3 4 4 3 3 2" xfId="28348"/>
    <cellStyle name="20% - Accent5 3 4 4 3 4" xfId="28349"/>
    <cellStyle name="20% - Accent5 3 4 4 3 5" xfId="28350"/>
    <cellStyle name="20% - Accent5 3 4 4 3 6" xfId="28351"/>
    <cellStyle name="20% - Accent5 3 4 4 3 7" xfId="28352"/>
    <cellStyle name="20% - Accent5 3 4 4 4" xfId="28353"/>
    <cellStyle name="20% - Accent5 3 4 4 4 2" xfId="28354"/>
    <cellStyle name="20% - Accent5 3 4 4 4 2 2" xfId="28355"/>
    <cellStyle name="20% - Accent5 3 4 4 4 3" xfId="28356"/>
    <cellStyle name="20% - Accent5 3 4 4 4 3 2" xfId="28357"/>
    <cellStyle name="20% - Accent5 3 4 4 4 4" xfId="28358"/>
    <cellStyle name="20% - Accent5 3 4 4 4 5" xfId="28359"/>
    <cellStyle name="20% - Accent5 3 4 4 4 6" xfId="28360"/>
    <cellStyle name="20% - Accent5 3 4 4 4 7" xfId="28361"/>
    <cellStyle name="20% - Accent5 3 4 4 5" xfId="28362"/>
    <cellStyle name="20% - Accent5 3 4 4 5 2" xfId="28363"/>
    <cellStyle name="20% - Accent5 3 4 4 6" xfId="28364"/>
    <cellStyle name="20% - Accent5 3 4 4 6 2" xfId="28365"/>
    <cellStyle name="20% - Accent5 3 4 4 7" xfId="28366"/>
    <cellStyle name="20% - Accent5 3 4 4 8" xfId="28367"/>
    <cellStyle name="20% - Accent5 3 4 4 9" xfId="28368"/>
    <cellStyle name="20% - Accent5 3 4 5" xfId="28369"/>
    <cellStyle name="20% - Accent5 3 4 5 2" xfId="28370"/>
    <cellStyle name="20% - Accent5 3 4 5 2 2" xfId="28371"/>
    <cellStyle name="20% - Accent5 3 4 5 3" xfId="28372"/>
    <cellStyle name="20% - Accent5 3 4 5 3 2" xfId="28373"/>
    <cellStyle name="20% - Accent5 3 4 5 4" xfId="28374"/>
    <cellStyle name="20% - Accent5 3 4 5 5" xfId="28375"/>
    <cellStyle name="20% - Accent5 3 4 5 6" xfId="28376"/>
    <cellStyle name="20% - Accent5 3 4 5 7" xfId="28377"/>
    <cellStyle name="20% - Accent5 3 4 6" xfId="28378"/>
    <cellStyle name="20% - Accent5 3 4 6 2" xfId="28379"/>
    <cellStyle name="20% - Accent5 3 4 6 2 2" xfId="28380"/>
    <cellStyle name="20% - Accent5 3 4 6 3" xfId="28381"/>
    <cellStyle name="20% - Accent5 3 4 6 3 2" xfId="28382"/>
    <cellStyle name="20% - Accent5 3 4 6 4" xfId="28383"/>
    <cellStyle name="20% - Accent5 3 4 6 5" xfId="28384"/>
    <cellStyle name="20% - Accent5 3 4 6 6" xfId="28385"/>
    <cellStyle name="20% - Accent5 3 4 6 7" xfId="28386"/>
    <cellStyle name="20% - Accent5 3 4 7" xfId="28387"/>
    <cellStyle name="20% - Accent5 3 4 7 2" xfId="28388"/>
    <cellStyle name="20% - Accent5 3 4 7 2 2" xfId="28389"/>
    <cellStyle name="20% - Accent5 3 4 7 3" xfId="28390"/>
    <cellStyle name="20% - Accent5 3 4 7 3 2" xfId="28391"/>
    <cellStyle name="20% - Accent5 3 4 7 4" xfId="28392"/>
    <cellStyle name="20% - Accent5 3 4 7 5" xfId="28393"/>
    <cellStyle name="20% - Accent5 3 4 7 6" xfId="28394"/>
    <cellStyle name="20% - Accent5 3 4 7 7" xfId="28395"/>
    <cellStyle name="20% - Accent5 3 4 8" xfId="28396"/>
    <cellStyle name="20% - Accent5 3 4 8 2" xfId="28397"/>
    <cellStyle name="20% - Accent5 3 4 9" xfId="28398"/>
    <cellStyle name="20% - Accent5 3 4 9 2" xfId="28399"/>
    <cellStyle name="20% - Accent5 3 5" xfId="28400"/>
    <cellStyle name="20% - Accent5 3 5 10" xfId="28401"/>
    <cellStyle name="20% - Accent5 3 5 11" xfId="28402"/>
    <cellStyle name="20% - Accent5 3 5 12" xfId="28403"/>
    <cellStyle name="20% - Accent5 3 5 13" xfId="28404"/>
    <cellStyle name="20% - Accent5 3 5 2" xfId="28405"/>
    <cellStyle name="20% - Accent5 3 5 2 10" xfId="28406"/>
    <cellStyle name="20% - Accent5 3 5 2 11" xfId="28407"/>
    <cellStyle name="20% - Accent5 3 5 2 2" xfId="28408"/>
    <cellStyle name="20% - Accent5 3 5 2 2 10" xfId="28409"/>
    <cellStyle name="20% - Accent5 3 5 2 2 2" xfId="28410"/>
    <cellStyle name="20% - Accent5 3 5 2 2 2 2" xfId="28411"/>
    <cellStyle name="20% - Accent5 3 5 2 2 2 2 2" xfId="28412"/>
    <cellStyle name="20% - Accent5 3 5 2 2 2 3" xfId="28413"/>
    <cellStyle name="20% - Accent5 3 5 2 2 2 3 2" xfId="28414"/>
    <cellStyle name="20% - Accent5 3 5 2 2 2 4" xfId="28415"/>
    <cellStyle name="20% - Accent5 3 5 2 2 2 5" xfId="28416"/>
    <cellStyle name="20% - Accent5 3 5 2 2 2 6" xfId="28417"/>
    <cellStyle name="20% - Accent5 3 5 2 2 2 7" xfId="28418"/>
    <cellStyle name="20% - Accent5 3 5 2 2 3" xfId="28419"/>
    <cellStyle name="20% - Accent5 3 5 2 2 3 2" xfId="28420"/>
    <cellStyle name="20% - Accent5 3 5 2 2 3 2 2" xfId="28421"/>
    <cellStyle name="20% - Accent5 3 5 2 2 3 3" xfId="28422"/>
    <cellStyle name="20% - Accent5 3 5 2 2 3 3 2" xfId="28423"/>
    <cellStyle name="20% - Accent5 3 5 2 2 3 4" xfId="28424"/>
    <cellStyle name="20% - Accent5 3 5 2 2 3 5" xfId="28425"/>
    <cellStyle name="20% - Accent5 3 5 2 2 3 6" xfId="28426"/>
    <cellStyle name="20% - Accent5 3 5 2 2 3 7" xfId="28427"/>
    <cellStyle name="20% - Accent5 3 5 2 2 4" xfId="28428"/>
    <cellStyle name="20% - Accent5 3 5 2 2 4 2" xfId="28429"/>
    <cellStyle name="20% - Accent5 3 5 2 2 4 2 2" xfId="28430"/>
    <cellStyle name="20% - Accent5 3 5 2 2 4 3" xfId="28431"/>
    <cellStyle name="20% - Accent5 3 5 2 2 4 3 2" xfId="28432"/>
    <cellStyle name="20% - Accent5 3 5 2 2 4 4" xfId="28433"/>
    <cellStyle name="20% - Accent5 3 5 2 2 4 5" xfId="28434"/>
    <cellStyle name="20% - Accent5 3 5 2 2 4 6" xfId="28435"/>
    <cellStyle name="20% - Accent5 3 5 2 2 4 7" xfId="28436"/>
    <cellStyle name="20% - Accent5 3 5 2 2 5" xfId="28437"/>
    <cellStyle name="20% - Accent5 3 5 2 2 5 2" xfId="28438"/>
    <cellStyle name="20% - Accent5 3 5 2 2 6" xfId="28439"/>
    <cellStyle name="20% - Accent5 3 5 2 2 6 2" xfId="28440"/>
    <cellStyle name="20% - Accent5 3 5 2 2 7" xfId="28441"/>
    <cellStyle name="20% - Accent5 3 5 2 2 8" xfId="28442"/>
    <cellStyle name="20% - Accent5 3 5 2 2 9" xfId="28443"/>
    <cellStyle name="20% - Accent5 3 5 2 3" xfId="28444"/>
    <cellStyle name="20% - Accent5 3 5 2 3 2" xfId="28445"/>
    <cellStyle name="20% - Accent5 3 5 2 3 2 2" xfId="28446"/>
    <cellStyle name="20% - Accent5 3 5 2 3 3" xfId="28447"/>
    <cellStyle name="20% - Accent5 3 5 2 3 3 2" xfId="28448"/>
    <cellStyle name="20% - Accent5 3 5 2 3 4" xfId="28449"/>
    <cellStyle name="20% - Accent5 3 5 2 3 5" xfId="28450"/>
    <cellStyle name="20% - Accent5 3 5 2 3 6" xfId="28451"/>
    <cellStyle name="20% - Accent5 3 5 2 3 7" xfId="28452"/>
    <cellStyle name="20% - Accent5 3 5 2 4" xfId="28453"/>
    <cellStyle name="20% - Accent5 3 5 2 4 2" xfId="28454"/>
    <cellStyle name="20% - Accent5 3 5 2 4 2 2" xfId="28455"/>
    <cellStyle name="20% - Accent5 3 5 2 4 3" xfId="28456"/>
    <cellStyle name="20% - Accent5 3 5 2 4 3 2" xfId="28457"/>
    <cellStyle name="20% - Accent5 3 5 2 4 4" xfId="28458"/>
    <cellStyle name="20% - Accent5 3 5 2 4 5" xfId="28459"/>
    <cellStyle name="20% - Accent5 3 5 2 4 6" xfId="28460"/>
    <cellStyle name="20% - Accent5 3 5 2 4 7" xfId="28461"/>
    <cellStyle name="20% - Accent5 3 5 2 5" xfId="28462"/>
    <cellStyle name="20% - Accent5 3 5 2 5 2" xfId="28463"/>
    <cellStyle name="20% - Accent5 3 5 2 5 2 2" xfId="28464"/>
    <cellStyle name="20% - Accent5 3 5 2 5 3" xfId="28465"/>
    <cellStyle name="20% - Accent5 3 5 2 5 3 2" xfId="28466"/>
    <cellStyle name="20% - Accent5 3 5 2 5 4" xfId="28467"/>
    <cellStyle name="20% - Accent5 3 5 2 5 5" xfId="28468"/>
    <cellStyle name="20% - Accent5 3 5 2 5 6" xfId="28469"/>
    <cellStyle name="20% - Accent5 3 5 2 5 7" xfId="28470"/>
    <cellStyle name="20% - Accent5 3 5 2 6" xfId="28471"/>
    <cellStyle name="20% - Accent5 3 5 2 6 2" xfId="28472"/>
    <cellStyle name="20% - Accent5 3 5 2 7" xfId="28473"/>
    <cellStyle name="20% - Accent5 3 5 2 7 2" xfId="28474"/>
    <cellStyle name="20% - Accent5 3 5 2 8" xfId="28475"/>
    <cellStyle name="20% - Accent5 3 5 2 9" xfId="28476"/>
    <cellStyle name="20% - Accent5 3 5 3" xfId="28477"/>
    <cellStyle name="20% - Accent5 3 5 3 10" xfId="28478"/>
    <cellStyle name="20% - Accent5 3 5 3 11" xfId="28479"/>
    <cellStyle name="20% - Accent5 3 5 3 2" xfId="28480"/>
    <cellStyle name="20% - Accent5 3 5 3 2 10" xfId="28481"/>
    <cellStyle name="20% - Accent5 3 5 3 2 2" xfId="28482"/>
    <cellStyle name="20% - Accent5 3 5 3 2 2 2" xfId="28483"/>
    <cellStyle name="20% - Accent5 3 5 3 2 2 2 2" xfId="28484"/>
    <cellStyle name="20% - Accent5 3 5 3 2 2 3" xfId="28485"/>
    <cellStyle name="20% - Accent5 3 5 3 2 2 3 2" xfId="28486"/>
    <cellStyle name="20% - Accent5 3 5 3 2 2 4" xfId="28487"/>
    <cellStyle name="20% - Accent5 3 5 3 2 2 5" xfId="28488"/>
    <cellStyle name="20% - Accent5 3 5 3 2 2 6" xfId="28489"/>
    <cellStyle name="20% - Accent5 3 5 3 2 2 7" xfId="28490"/>
    <cellStyle name="20% - Accent5 3 5 3 2 3" xfId="28491"/>
    <cellStyle name="20% - Accent5 3 5 3 2 3 2" xfId="28492"/>
    <cellStyle name="20% - Accent5 3 5 3 2 3 2 2" xfId="28493"/>
    <cellStyle name="20% - Accent5 3 5 3 2 3 3" xfId="28494"/>
    <cellStyle name="20% - Accent5 3 5 3 2 3 3 2" xfId="28495"/>
    <cellStyle name="20% - Accent5 3 5 3 2 3 4" xfId="28496"/>
    <cellStyle name="20% - Accent5 3 5 3 2 3 5" xfId="28497"/>
    <cellStyle name="20% - Accent5 3 5 3 2 3 6" xfId="28498"/>
    <cellStyle name="20% - Accent5 3 5 3 2 3 7" xfId="28499"/>
    <cellStyle name="20% - Accent5 3 5 3 2 4" xfId="28500"/>
    <cellStyle name="20% - Accent5 3 5 3 2 4 2" xfId="28501"/>
    <cellStyle name="20% - Accent5 3 5 3 2 4 2 2" xfId="28502"/>
    <cellStyle name="20% - Accent5 3 5 3 2 4 3" xfId="28503"/>
    <cellStyle name="20% - Accent5 3 5 3 2 4 3 2" xfId="28504"/>
    <cellStyle name="20% - Accent5 3 5 3 2 4 4" xfId="28505"/>
    <cellStyle name="20% - Accent5 3 5 3 2 4 5" xfId="28506"/>
    <cellStyle name="20% - Accent5 3 5 3 2 4 6" xfId="28507"/>
    <cellStyle name="20% - Accent5 3 5 3 2 4 7" xfId="28508"/>
    <cellStyle name="20% - Accent5 3 5 3 2 5" xfId="28509"/>
    <cellStyle name="20% - Accent5 3 5 3 2 5 2" xfId="28510"/>
    <cellStyle name="20% - Accent5 3 5 3 2 6" xfId="28511"/>
    <cellStyle name="20% - Accent5 3 5 3 2 6 2" xfId="28512"/>
    <cellStyle name="20% - Accent5 3 5 3 2 7" xfId="28513"/>
    <cellStyle name="20% - Accent5 3 5 3 2 8" xfId="28514"/>
    <cellStyle name="20% - Accent5 3 5 3 2 9" xfId="28515"/>
    <cellStyle name="20% - Accent5 3 5 3 3" xfId="28516"/>
    <cellStyle name="20% - Accent5 3 5 3 3 2" xfId="28517"/>
    <cellStyle name="20% - Accent5 3 5 3 3 2 2" xfId="28518"/>
    <cellStyle name="20% - Accent5 3 5 3 3 3" xfId="28519"/>
    <cellStyle name="20% - Accent5 3 5 3 3 3 2" xfId="28520"/>
    <cellStyle name="20% - Accent5 3 5 3 3 4" xfId="28521"/>
    <cellStyle name="20% - Accent5 3 5 3 3 5" xfId="28522"/>
    <cellStyle name="20% - Accent5 3 5 3 3 6" xfId="28523"/>
    <cellStyle name="20% - Accent5 3 5 3 3 7" xfId="28524"/>
    <cellStyle name="20% - Accent5 3 5 3 4" xfId="28525"/>
    <cellStyle name="20% - Accent5 3 5 3 4 2" xfId="28526"/>
    <cellStyle name="20% - Accent5 3 5 3 4 2 2" xfId="28527"/>
    <cellStyle name="20% - Accent5 3 5 3 4 3" xfId="28528"/>
    <cellStyle name="20% - Accent5 3 5 3 4 3 2" xfId="28529"/>
    <cellStyle name="20% - Accent5 3 5 3 4 4" xfId="28530"/>
    <cellStyle name="20% - Accent5 3 5 3 4 5" xfId="28531"/>
    <cellStyle name="20% - Accent5 3 5 3 4 6" xfId="28532"/>
    <cellStyle name="20% - Accent5 3 5 3 4 7" xfId="28533"/>
    <cellStyle name="20% - Accent5 3 5 3 5" xfId="28534"/>
    <cellStyle name="20% - Accent5 3 5 3 5 2" xfId="28535"/>
    <cellStyle name="20% - Accent5 3 5 3 5 2 2" xfId="28536"/>
    <cellStyle name="20% - Accent5 3 5 3 5 3" xfId="28537"/>
    <cellStyle name="20% - Accent5 3 5 3 5 3 2" xfId="28538"/>
    <cellStyle name="20% - Accent5 3 5 3 5 4" xfId="28539"/>
    <cellStyle name="20% - Accent5 3 5 3 5 5" xfId="28540"/>
    <cellStyle name="20% - Accent5 3 5 3 5 6" xfId="28541"/>
    <cellStyle name="20% - Accent5 3 5 3 5 7" xfId="28542"/>
    <cellStyle name="20% - Accent5 3 5 3 6" xfId="28543"/>
    <cellStyle name="20% - Accent5 3 5 3 6 2" xfId="28544"/>
    <cellStyle name="20% - Accent5 3 5 3 7" xfId="28545"/>
    <cellStyle name="20% - Accent5 3 5 3 7 2" xfId="28546"/>
    <cellStyle name="20% - Accent5 3 5 3 8" xfId="28547"/>
    <cellStyle name="20% - Accent5 3 5 3 9" xfId="28548"/>
    <cellStyle name="20% - Accent5 3 5 4" xfId="28549"/>
    <cellStyle name="20% - Accent5 3 5 4 10" xfId="28550"/>
    <cellStyle name="20% - Accent5 3 5 4 2" xfId="28551"/>
    <cellStyle name="20% - Accent5 3 5 4 2 2" xfId="28552"/>
    <cellStyle name="20% - Accent5 3 5 4 2 2 2" xfId="28553"/>
    <cellStyle name="20% - Accent5 3 5 4 2 3" xfId="28554"/>
    <cellStyle name="20% - Accent5 3 5 4 2 3 2" xfId="28555"/>
    <cellStyle name="20% - Accent5 3 5 4 2 4" xfId="28556"/>
    <cellStyle name="20% - Accent5 3 5 4 2 5" xfId="28557"/>
    <cellStyle name="20% - Accent5 3 5 4 2 6" xfId="28558"/>
    <cellStyle name="20% - Accent5 3 5 4 2 7" xfId="28559"/>
    <cellStyle name="20% - Accent5 3 5 4 3" xfId="28560"/>
    <cellStyle name="20% - Accent5 3 5 4 3 2" xfId="28561"/>
    <cellStyle name="20% - Accent5 3 5 4 3 2 2" xfId="28562"/>
    <cellStyle name="20% - Accent5 3 5 4 3 3" xfId="28563"/>
    <cellStyle name="20% - Accent5 3 5 4 3 3 2" xfId="28564"/>
    <cellStyle name="20% - Accent5 3 5 4 3 4" xfId="28565"/>
    <cellStyle name="20% - Accent5 3 5 4 3 5" xfId="28566"/>
    <cellStyle name="20% - Accent5 3 5 4 3 6" xfId="28567"/>
    <cellStyle name="20% - Accent5 3 5 4 3 7" xfId="28568"/>
    <cellStyle name="20% - Accent5 3 5 4 4" xfId="28569"/>
    <cellStyle name="20% - Accent5 3 5 4 4 2" xfId="28570"/>
    <cellStyle name="20% - Accent5 3 5 4 4 2 2" xfId="28571"/>
    <cellStyle name="20% - Accent5 3 5 4 4 3" xfId="28572"/>
    <cellStyle name="20% - Accent5 3 5 4 4 3 2" xfId="28573"/>
    <cellStyle name="20% - Accent5 3 5 4 4 4" xfId="28574"/>
    <cellStyle name="20% - Accent5 3 5 4 4 5" xfId="28575"/>
    <cellStyle name="20% - Accent5 3 5 4 4 6" xfId="28576"/>
    <cellStyle name="20% - Accent5 3 5 4 4 7" xfId="28577"/>
    <cellStyle name="20% - Accent5 3 5 4 5" xfId="28578"/>
    <cellStyle name="20% - Accent5 3 5 4 5 2" xfId="28579"/>
    <cellStyle name="20% - Accent5 3 5 4 6" xfId="28580"/>
    <cellStyle name="20% - Accent5 3 5 4 6 2" xfId="28581"/>
    <cellStyle name="20% - Accent5 3 5 4 7" xfId="28582"/>
    <cellStyle name="20% - Accent5 3 5 4 8" xfId="28583"/>
    <cellStyle name="20% - Accent5 3 5 4 9" xfId="28584"/>
    <cellStyle name="20% - Accent5 3 5 5" xfId="28585"/>
    <cellStyle name="20% - Accent5 3 5 5 2" xfId="28586"/>
    <cellStyle name="20% - Accent5 3 5 5 2 2" xfId="28587"/>
    <cellStyle name="20% - Accent5 3 5 5 3" xfId="28588"/>
    <cellStyle name="20% - Accent5 3 5 5 3 2" xfId="28589"/>
    <cellStyle name="20% - Accent5 3 5 5 4" xfId="28590"/>
    <cellStyle name="20% - Accent5 3 5 5 5" xfId="28591"/>
    <cellStyle name="20% - Accent5 3 5 5 6" xfId="28592"/>
    <cellStyle name="20% - Accent5 3 5 5 7" xfId="28593"/>
    <cellStyle name="20% - Accent5 3 5 6" xfId="28594"/>
    <cellStyle name="20% - Accent5 3 5 6 2" xfId="28595"/>
    <cellStyle name="20% - Accent5 3 5 6 2 2" xfId="28596"/>
    <cellStyle name="20% - Accent5 3 5 6 3" xfId="28597"/>
    <cellStyle name="20% - Accent5 3 5 6 3 2" xfId="28598"/>
    <cellStyle name="20% - Accent5 3 5 6 4" xfId="28599"/>
    <cellStyle name="20% - Accent5 3 5 6 5" xfId="28600"/>
    <cellStyle name="20% - Accent5 3 5 6 6" xfId="28601"/>
    <cellStyle name="20% - Accent5 3 5 6 7" xfId="28602"/>
    <cellStyle name="20% - Accent5 3 5 7" xfId="28603"/>
    <cellStyle name="20% - Accent5 3 5 7 2" xfId="28604"/>
    <cellStyle name="20% - Accent5 3 5 7 2 2" xfId="28605"/>
    <cellStyle name="20% - Accent5 3 5 7 3" xfId="28606"/>
    <cellStyle name="20% - Accent5 3 5 7 3 2" xfId="28607"/>
    <cellStyle name="20% - Accent5 3 5 7 4" xfId="28608"/>
    <cellStyle name="20% - Accent5 3 5 7 5" xfId="28609"/>
    <cellStyle name="20% - Accent5 3 5 7 6" xfId="28610"/>
    <cellStyle name="20% - Accent5 3 5 7 7" xfId="28611"/>
    <cellStyle name="20% - Accent5 3 5 8" xfId="28612"/>
    <cellStyle name="20% - Accent5 3 5 8 2" xfId="28613"/>
    <cellStyle name="20% - Accent5 3 5 9" xfId="28614"/>
    <cellStyle name="20% - Accent5 3 5 9 2" xfId="28615"/>
    <cellStyle name="20% - Accent5 3 6" xfId="28616"/>
    <cellStyle name="20% - Accent5 3 6 10" xfId="28617"/>
    <cellStyle name="20% - Accent5 3 6 11" xfId="28618"/>
    <cellStyle name="20% - Accent5 3 6 12" xfId="28619"/>
    <cellStyle name="20% - Accent5 3 6 13" xfId="28620"/>
    <cellStyle name="20% - Accent5 3 6 2" xfId="28621"/>
    <cellStyle name="20% - Accent5 3 6 2 10" xfId="28622"/>
    <cellStyle name="20% - Accent5 3 6 2 11" xfId="28623"/>
    <cellStyle name="20% - Accent5 3 6 2 2" xfId="28624"/>
    <cellStyle name="20% - Accent5 3 6 2 2 10" xfId="28625"/>
    <cellStyle name="20% - Accent5 3 6 2 2 2" xfId="28626"/>
    <cellStyle name="20% - Accent5 3 6 2 2 2 2" xfId="28627"/>
    <cellStyle name="20% - Accent5 3 6 2 2 2 2 2" xfId="28628"/>
    <cellStyle name="20% - Accent5 3 6 2 2 2 3" xfId="28629"/>
    <cellStyle name="20% - Accent5 3 6 2 2 2 3 2" xfId="28630"/>
    <cellStyle name="20% - Accent5 3 6 2 2 2 4" xfId="28631"/>
    <cellStyle name="20% - Accent5 3 6 2 2 2 5" xfId="28632"/>
    <cellStyle name="20% - Accent5 3 6 2 2 2 6" xfId="28633"/>
    <cellStyle name="20% - Accent5 3 6 2 2 2 7" xfId="28634"/>
    <cellStyle name="20% - Accent5 3 6 2 2 3" xfId="28635"/>
    <cellStyle name="20% - Accent5 3 6 2 2 3 2" xfId="28636"/>
    <cellStyle name="20% - Accent5 3 6 2 2 3 2 2" xfId="28637"/>
    <cellStyle name="20% - Accent5 3 6 2 2 3 3" xfId="28638"/>
    <cellStyle name="20% - Accent5 3 6 2 2 3 3 2" xfId="28639"/>
    <cellStyle name="20% - Accent5 3 6 2 2 3 4" xfId="28640"/>
    <cellStyle name="20% - Accent5 3 6 2 2 3 5" xfId="28641"/>
    <cellStyle name="20% - Accent5 3 6 2 2 3 6" xfId="28642"/>
    <cellStyle name="20% - Accent5 3 6 2 2 3 7" xfId="28643"/>
    <cellStyle name="20% - Accent5 3 6 2 2 4" xfId="28644"/>
    <cellStyle name="20% - Accent5 3 6 2 2 4 2" xfId="28645"/>
    <cellStyle name="20% - Accent5 3 6 2 2 4 2 2" xfId="28646"/>
    <cellStyle name="20% - Accent5 3 6 2 2 4 3" xfId="28647"/>
    <cellStyle name="20% - Accent5 3 6 2 2 4 3 2" xfId="28648"/>
    <cellStyle name="20% - Accent5 3 6 2 2 4 4" xfId="28649"/>
    <cellStyle name="20% - Accent5 3 6 2 2 4 5" xfId="28650"/>
    <cellStyle name="20% - Accent5 3 6 2 2 4 6" xfId="28651"/>
    <cellStyle name="20% - Accent5 3 6 2 2 4 7" xfId="28652"/>
    <cellStyle name="20% - Accent5 3 6 2 2 5" xfId="28653"/>
    <cellStyle name="20% - Accent5 3 6 2 2 5 2" xfId="28654"/>
    <cellStyle name="20% - Accent5 3 6 2 2 6" xfId="28655"/>
    <cellStyle name="20% - Accent5 3 6 2 2 6 2" xfId="28656"/>
    <cellStyle name="20% - Accent5 3 6 2 2 7" xfId="28657"/>
    <cellStyle name="20% - Accent5 3 6 2 2 8" xfId="28658"/>
    <cellStyle name="20% - Accent5 3 6 2 2 9" xfId="28659"/>
    <cellStyle name="20% - Accent5 3 6 2 3" xfId="28660"/>
    <cellStyle name="20% - Accent5 3 6 2 3 2" xfId="28661"/>
    <cellStyle name="20% - Accent5 3 6 2 3 2 2" xfId="28662"/>
    <cellStyle name="20% - Accent5 3 6 2 3 3" xfId="28663"/>
    <cellStyle name="20% - Accent5 3 6 2 3 3 2" xfId="28664"/>
    <cellStyle name="20% - Accent5 3 6 2 3 4" xfId="28665"/>
    <cellStyle name="20% - Accent5 3 6 2 3 5" xfId="28666"/>
    <cellStyle name="20% - Accent5 3 6 2 3 6" xfId="28667"/>
    <cellStyle name="20% - Accent5 3 6 2 3 7" xfId="28668"/>
    <cellStyle name="20% - Accent5 3 6 2 4" xfId="28669"/>
    <cellStyle name="20% - Accent5 3 6 2 4 2" xfId="28670"/>
    <cellStyle name="20% - Accent5 3 6 2 4 2 2" xfId="28671"/>
    <cellStyle name="20% - Accent5 3 6 2 4 3" xfId="28672"/>
    <cellStyle name="20% - Accent5 3 6 2 4 3 2" xfId="28673"/>
    <cellStyle name="20% - Accent5 3 6 2 4 4" xfId="28674"/>
    <cellStyle name="20% - Accent5 3 6 2 4 5" xfId="28675"/>
    <cellStyle name="20% - Accent5 3 6 2 4 6" xfId="28676"/>
    <cellStyle name="20% - Accent5 3 6 2 4 7" xfId="28677"/>
    <cellStyle name="20% - Accent5 3 6 2 5" xfId="28678"/>
    <cellStyle name="20% - Accent5 3 6 2 5 2" xfId="28679"/>
    <cellStyle name="20% - Accent5 3 6 2 5 2 2" xfId="28680"/>
    <cellStyle name="20% - Accent5 3 6 2 5 3" xfId="28681"/>
    <cellStyle name="20% - Accent5 3 6 2 5 3 2" xfId="28682"/>
    <cellStyle name="20% - Accent5 3 6 2 5 4" xfId="28683"/>
    <cellStyle name="20% - Accent5 3 6 2 5 5" xfId="28684"/>
    <cellStyle name="20% - Accent5 3 6 2 5 6" xfId="28685"/>
    <cellStyle name="20% - Accent5 3 6 2 5 7" xfId="28686"/>
    <cellStyle name="20% - Accent5 3 6 2 6" xfId="28687"/>
    <cellStyle name="20% - Accent5 3 6 2 6 2" xfId="28688"/>
    <cellStyle name="20% - Accent5 3 6 2 7" xfId="28689"/>
    <cellStyle name="20% - Accent5 3 6 2 7 2" xfId="28690"/>
    <cellStyle name="20% - Accent5 3 6 2 8" xfId="28691"/>
    <cellStyle name="20% - Accent5 3 6 2 9" xfId="28692"/>
    <cellStyle name="20% - Accent5 3 6 3" xfId="28693"/>
    <cellStyle name="20% - Accent5 3 6 3 10" xfId="28694"/>
    <cellStyle name="20% - Accent5 3 6 3 11" xfId="28695"/>
    <cellStyle name="20% - Accent5 3 6 3 2" xfId="28696"/>
    <cellStyle name="20% - Accent5 3 6 3 2 10" xfId="28697"/>
    <cellStyle name="20% - Accent5 3 6 3 2 2" xfId="28698"/>
    <cellStyle name="20% - Accent5 3 6 3 2 2 2" xfId="28699"/>
    <cellStyle name="20% - Accent5 3 6 3 2 2 2 2" xfId="28700"/>
    <cellStyle name="20% - Accent5 3 6 3 2 2 3" xfId="28701"/>
    <cellStyle name="20% - Accent5 3 6 3 2 2 3 2" xfId="28702"/>
    <cellStyle name="20% - Accent5 3 6 3 2 2 4" xfId="28703"/>
    <cellStyle name="20% - Accent5 3 6 3 2 2 5" xfId="28704"/>
    <cellStyle name="20% - Accent5 3 6 3 2 2 6" xfId="28705"/>
    <cellStyle name="20% - Accent5 3 6 3 2 2 7" xfId="28706"/>
    <cellStyle name="20% - Accent5 3 6 3 2 3" xfId="28707"/>
    <cellStyle name="20% - Accent5 3 6 3 2 3 2" xfId="28708"/>
    <cellStyle name="20% - Accent5 3 6 3 2 3 2 2" xfId="28709"/>
    <cellStyle name="20% - Accent5 3 6 3 2 3 3" xfId="28710"/>
    <cellStyle name="20% - Accent5 3 6 3 2 3 3 2" xfId="28711"/>
    <cellStyle name="20% - Accent5 3 6 3 2 3 4" xfId="28712"/>
    <cellStyle name="20% - Accent5 3 6 3 2 3 5" xfId="28713"/>
    <cellStyle name="20% - Accent5 3 6 3 2 3 6" xfId="28714"/>
    <cellStyle name="20% - Accent5 3 6 3 2 3 7" xfId="28715"/>
    <cellStyle name="20% - Accent5 3 6 3 2 4" xfId="28716"/>
    <cellStyle name="20% - Accent5 3 6 3 2 4 2" xfId="28717"/>
    <cellStyle name="20% - Accent5 3 6 3 2 4 2 2" xfId="28718"/>
    <cellStyle name="20% - Accent5 3 6 3 2 4 3" xfId="28719"/>
    <cellStyle name="20% - Accent5 3 6 3 2 4 3 2" xfId="28720"/>
    <cellStyle name="20% - Accent5 3 6 3 2 4 4" xfId="28721"/>
    <cellStyle name="20% - Accent5 3 6 3 2 4 5" xfId="28722"/>
    <cellStyle name="20% - Accent5 3 6 3 2 4 6" xfId="28723"/>
    <cellStyle name="20% - Accent5 3 6 3 2 4 7" xfId="28724"/>
    <cellStyle name="20% - Accent5 3 6 3 2 5" xfId="28725"/>
    <cellStyle name="20% - Accent5 3 6 3 2 5 2" xfId="28726"/>
    <cellStyle name="20% - Accent5 3 6 3 2 6" xfId="28727"/>
    <cellStyle name="20% - Accent5 3 6 3 2 6 2" xfId="28728"/>
    <cellStyle name="20% - Accent5 3 6 3 2 7" xfId="28729"/>
    <cellStyle name="20% - Accent5 3 6 3 2 8" xfId="28730"/>
    <cellStyle name="20% - Accent5 3 6 3 2 9" xfId="28731"/>
    <cellStyle name="20% - Accent5 3 6 3 3" xfId="28732"/>
    <cellStyle name="20% - Accent5 3 6 3 3 2" xfId="28733"/>
    <cellStyle name="20% - Accent5 3 6 3 3 2 2" xfId="28734"/>
    <cellStyle name="20% - Accent5 3 6 3 3 3" xfId="28735"/>
    <cellStyle name="20% - Accent5 3 6 3 3 3 2" xfId="28736"/>
    <cellStyle name="20% - Accent5 3 6 3 3 4" xfId="28737"/>
    <cellStyle name="20% - Accent5 3 6 3 3 5" xfId="28738"/>
    <cellStyle name="20% - Accent5 3 6 3 3 6" xfId="28739"/>
    <cellStyle name="20% - Accent5 3 6 3 3 7" xfId="28740"/>
    <cellStyle name="20% - Accent5 3 6 3 4" xfId="28741"/>
    <cellStyle name="20% - Accent5 3 6 3 4 2" xfId="28742"/>
    <cellStyle name="20% - Accent5 3 6 3 4 2 2" xfId="28743"/>
    <cellStyle name="20% - Accent5 3 6 3 4 3" xfId="28744"/>
    <cellStyle name="20% - Accent5 3 6 3 4 3 2" xfId="28745"/>
    <cellStyle name="20% - Accent5 3 6 3 4 4" xfId="28746"/>
    <cellStyle name="20% - Accent5 3 6 3 4 5" xfId="28747"/>
    <cellStyle name="20% - Accent5 3 6 3 4 6" xfId="28748"/>
    <cellStyle name="20% - Accent5 3 6 3 4 7" xfId="28749"/>
    <cellStyle name="20% - Accent5 3 6 3 5" xfId="28750"/>
    <cellStyle name="20% - Accent5 3 6 3 5 2" xfId="28751"/>
    <cellStyle name="20% - Accent5 3 6 3 5 2 2" xfId="28752"/>
    <cellStyle name="20% - Accent5 3 6 3 5 3" xfId="28753"/>
    <cellStyle name="20% - Accent5 3 6 3 5 3 2" xfId="28754"/>
    <cellStyle name="20% - Accent5 3 6 3 5 4" xfId="28755"/>
    <cellStyle name="20% - Accent5 3 6 3 5 5" xfId="28756"/>
    <cellStyle name="20% - Accent5 3 6 3 5 6" xfId="28757"/>
    <cellStyle name="20% - Accent5 3 6 3 5 7" xfId="28758"/>
    <cellStyle name="20% - Accent5 3 6 3 6" xfId="28759"/>
    <cellStyle name="20% - Accent5 3 6 3 6 2" xfId="28760"/>
    <cellStyle name="20% - Accent5 3 6 3 7" xfId="28761"/>
    <cellStyle name="20% - Accent5 3 6 3 7 2" xfId="28762"/>
    <cellStyle name="20% - Accent5 3 6 3 8" xfId="28763"/>
    <cellStyle name="20% - Accent5 3 6 3 9" xfId="28764"/>
    <cellStyle name="20% - Accent5 3 6 4" xfId="28765"/>
    <cellStyle name="20% - Accent5 3 6 4 10" xfId="28766"/>
    <cellStyle name="20% - Accent5 3 6 4 2" xfId="28767"/>
    <cellStyle name="20% - Accent5 3 6 4 2 2" xfId="28768"/>
    <cellStyle name="20% - Accent5 3 6 4 2 2 2" xfId="28769"/>
    <cellStyle name="20% - Accent5 3 6 4 2 3" xfId="28770"/>
    <cellStyle name="20% - Accent5 3 6 4 2 3 2" xfId="28771"/>
    <cellStyle name="20% - Accent5 3 6 4 2 4" xfId="28772"/>
    <cellStyle name="20% - Accent5 3 6 4 2 5" xfId="28773"/>
    <cellStyle name="20% - Accent5 3 6 4 2 6" xfId="28774"/>
    <cellStyle name="20% - Accent5 3 6 4 2 7" xfId="28775"/>
    <cellStyle name="20% - Accent5 3 6 4 3" xfId="28776"/>
    <cellStyle name="20% - Accent5 3 6 4 3 2" xfId="28777"/>
    <cellStyle name="20% - Accent5 3 6 4 3 2 2" xfId="28778"/>
    <cellStyle name="20% - Accent5 3 6 4 3 3" xfId="28779"/>
    <cellStyle name="20% - Accent5 3 6 4 3 3 2" xfId="28780"/>
    <cellStyle name="20% - Accent5 3 6 4 3 4" xfId="28781"/>
    <cellStyle name="20% - Accent5 3 6 4 3 5" xfId="28782"/>
    <cellStyle name="20% - Accent5 3 6 4 3 6" xfId="28783"/>
    <cellStyle name="20% - Accent5 3 6 4 3 7" xfId="28784"/>
    <cellStyle name="20% - Accent5 3 6 4 4" xfId="28785"/>
    <cellStyle name="20% - Accent5 3 6 4 4 2" xfId="28786"/>
    <cellStyle name="20% - Accent5 3 6 4 4 2 2" xfId="28787"/>
    <cellStyle name="20% - Accent5 3 6 4 4 3" xfId="28788"/>
    <cellStyle name="20% - Accent5 3 6 4 4 3 2" xfId="28789"/>
    <cellStyle name="20% - Accent5 3 6 4 4 4" xfId="28790"/>
    <cellStyle name="20% - Accent5 3 6 4 4 5" xfId="28791"/>
    <cellStyle name="20% - Accent5 3 6 4 4 6" xfId="28792"/>
    <cellStyle name="20% - Accent5 3 6 4 4 7" xfId="28793"/>
    <cellStyle name="20% - Accent5 3 6 4 5" xfId="28794"/>
    <cellStyle name="20% - Accent5 3 6 4 5 2" xfId="28795"/>
    <cellStyle name="20% - Accent5 3 6 4 6" xfId="28796"/>
    <cellStyle name="20% - Accent5 3 6 4 6 2" xfId="28797"/>
    <cellStyle name="20% - Accent5 3 6 4 7" xfId="28798"/>
    <cellStyle name="20% - Accent5 3 6 4 8" xfId="28799"/>
    <cellStyle name="20% - Accent5 3 6 4 9" xfId="28800"/>
    <cellStyle name="20% - Accent5 3 6 5" xfId="28801"/>
    <cellStyle name="20% - Accent5 3 6 5 2" xfId="28802"/>
    <cellStyle name="20% - Accent5 3 6 5 2 2" xfId="28803"/>
    <cellStyle name="20% - Accent5 3 6 5 3" xfId="28804"/>
    <cellStyle name="20% - Accent5 3 6 5 3 2" xfId="28805"/>
    <cellStyle name="20% - Accent5 3 6 5 4" xfId="28806"/>
    <cellStyle name="20% - Accent5 3 6 5 5" xfId="28807"/>
    <cellStyle name="20% - Accent5 3 6 5 6" xfId="28808"/>
    <cellStyle name="20% - Accent5 3 6 5 7" xfId="28809"/>
    <cellStyle name="20% - Accent5 3 6 6" xfId="28810"/>
    <cellStyle name="20% - Accent5 3 6 6 2" xfId="28811"/>
    <cellStyle name="20% - Accent5 3 6 6 2 2" xfId="28812"/>
    <cellStyle name="20% - Accent5 3 6 6 3" xfId="28813"/>
    <cellStyle name="20% - Accent5 3 6 6 3 2" xfId="28814"/>
    <cellStyle name="20% - Accent5 3 6 6 4" xfId="28815"/>
    <cellStyle name="20% - Accent5 3 6 6 5" xfId="28816"/>
    <cellStyle name="20% - Accent5 3 6 6 6" xfId="28817"/>
    <cellStyle name="20% - Accent5 3 6 6 7" xfId="28818"/>
    <cellStyle name="20% - Accent5 3 6 7" xfId="28819"/>
    <cellStyle name="20% - Accent5 3 6 7 2" xfId="28820"/>
    <cellStyle name="20% - Accent5 3 6 7 2 2" xfId="28821"/>
    <cellStyle name="20% - Accent5 3 6 7 3" xfId="28822"/>
    <cellStyle name="20% - Accent5 3 6 7 3 2" xfId="28823"/>
    <cellStyle name="20% - Accent5 3 6 7 4" xfId="28824"/>
    <cellStyle name="20% - Accent5 3 6 7 5" xfId="28825"/>
    <cellStyle name="20% - Accent5 3 6 7 6" xfId="28826"/>
    <cellStyle name="20% - Accent5 3 6 7 7" xfId="28827"/>
    <cellStyle name="20% - Accent5 3 6 8" xfId="28828"/>
    <cellStyle name="20% - Accent5 3 6 8 2" xfId="28829"/>
    <cellStyle name="20% - Accent5 3 6 9" xfId="28830"/>
    <cellStyle name="20% - Accent5 3 6 9 2" xfId="28831"/>
    <cellStyle name="20% - Accent5 3 7" xfId="28832"/>
    <cellStyle name="20% - Accent5 3 7 10" xfId="28833"/>
    <cellStyle name="20% - Accent5 3 7 11" xfId="28834"/>
    <cellStyle name="20% - Accent5 3 7 2" xfId="28835"/>
    <cellStyle name="20% - Accent5 3 7 2 10" xfId="28836"/>
    <cellStyle name="20% - Accent5 3 7 2 2" xfId="28837"/>
    <cellStyle name="20% - Accent5 3 7 2 2 2" xfId="28838"/>
    <cellStyle name="20% - Accent5 3 7 2 2 2 2" xfId="28839"/>
    <cellStyle name="20% - Accent5 3 7 2 2 3" xfId="28840"/>
    <cellStyle name="20% - Accent5 3 7 2 2 3 2" xfId="28841"/>
    <cellStyle name="20% - Accent5 3 7 2 2 4" xfId="28842"/>
    <cellStyle name="20% - Accent5 3 7 2 2 5" xfId="28843"/>
    <cellStyle name="20% - Accent5 3 7 2 2 6" xfId="28844"/>
    <cellStyle name="20% - Accent5 3 7 2 2 7" xfId="28845"/>
    <cellStyle name="20% - Accent5 3 7 2 3" xfId="28846"/>
    <cellStyle name="20% - Accent5 3 7 2 3 2" xfId="28847"/>
    <cellStyle name="20% - Accent5 3 7 2 3 2 2" xfId="28848"/>
    <cellStyle name="20% - Accent5 3 7 2 3 3" xfId="28849"/>
    <cellStyle name="20% - Accent5 3 7 2 3 3 2" xfId="28850"/>
    <cellStyle name="20% - Accent5 3 7 2 3 4" xfId="28851"/>
    <cellStyle name="20% - Accent5 3 7 2 3 5" xfId="28852"/>
    <cellStyle name="20% - Accent5 3 7 2 3 6" xfId="28853"/>
    <cellStyle name="20% - Accent5 3 7 2 3 7" xfId="28854"/>
    <cellStyle name="20% - Accent5 3 7 2 4" xfId="28855"/>
    <cellStyle name="20% - Accent5 3 7 2 4 2" xfId="28856"/>
    <cellStyle name="20% - Accent5 3 7 2 4 2 2" xfId="28857"/>
    <cellStyle name="20% - Accent5 3 7 2 4 3" xfId="28858"/>
    <cellStyle name="20% - Accent5 3 7 2 4 3 2" xfId="28859"/>
    <cellStyle name="20% - Accent5 3 7 2 4 4" xfId="28860"/>
    <cellStyle name="20% - Accent5 3 7 2 4 5" xfId="28861"/>
    <cellStyle name="20% - Accent5 3 7 2 4 6" xfId="28862"/>
    <cellStyle name="20% - Accent5 3 7 2 4 7" xfId="28863"/>
    <cellStyle name="20% - Accent5 3 7 2 5" xfId="28864"/>
    <cellStyle name="20% - Accent5 3 7 2 5 2" xfId="28865"/>
    <cellStyle name="20% - Accent5 3 7 2 6" xfId="28866"/>
    <cellStyle name="20% - Accent5 3 7 2 6 2" xfId="28867"/>
    <cellStyle name="20% - Accent5 3 7 2 7" xfId="28868"/>
    <cellStyle name="20% - Accent5 3 7 2 8" xfId="28869"/>
    <cellStyle name="20% - Accent5 3 7 2 9" xfId="28870"/>
    <cellStyle name="20% - Accent5 3 7 3" xfId="28871"/>
    <cellStyle name="20% - Accent5 3 7 3 2" xfId="28872"/>
    <cellStyle name="20% - Accent5 3 7 3 2 2" xfId="28873"/>
    <cellStyle name="20% - Accent5 3 7 3 3" xfId="28874"/>
    <cellStyle name="20% - Accent5 3 7 3 3 2" xfId="28875"/>
    <cellStyle name="20% - Accent5 3 7 3 4" xfId="28876"/>
    <cellStyle name="20% - Accent5 3 7 3 5" xfId="28877"/>
    <cellStyle name="20% - Accent5 3 7 3 6" xfId="28878"/>
    <cellStyle name="20% - Accent5 3 7 3 7" xfId="28879"/>
    <cellStyle name="20% - Accent5 3 7 4" xfId="28880"/>
    <cellStyle name="20% - Accent5 3 7 4 2" xfId="28881"/>
    <cellStyle name="20% - Accent5 3 7 4 2 2" xfId="28882"/>
    <cellStyle name="20% - Accent5 3 7 4 3" xfId="28883"/>
    <cellStyle name="20% - Accent5 3 7 4 3 2" xfId="28884"/>
    <cellStyle name="20% - Accent5 3 7 4 4" xfId="28885"/>
    <cellStyle name="20% - Accent5 3 7 4 5" xfId="28886"/>
    <cellStyle name="20% - Accent5 3 7 4 6" xfId="28887"/>
    <cellStyle name="20% - Accent5 3 7 4 7" xfId="28888"/>
    <cellStyle name="20% - Accent5 3 7 5" xfId="28889"/>
    <cellStyle name="20% - Accent5 3 7 5 2" xfId="28890"/>
    <cellStyle name="20% - Accent5 3 7 5 2 2" xfId="28891"/>
    <cellStyle name="20% - Accent5 3 7 5 3" xfId="28892"/>
    <cellStyle name="20% - Accent5 3 7 5 3 2" xfId="28893"/>
    <cellStyle name="20% - Accent5 3 7 5 4" xfId="28894"/>
    <cellStyle name="20% - Accent5 3 7 5 5" xfId="28895"/>
    <cellStyle name="20% - Accent5 3 7 5 6" xfId="28896"/>
    <cellStyle name="20% - Accent5 3 7 5 7" xfId="28897"/>
    <cellStyle name="20% - Accent5 3 7 6" xfId="28898"/>
    <cellStyle name="20% - Accent5 3 7 6 2" xfId="28899"/>
    <cellStyle name="20% - Accent5 3 7 7" xfId="28900"/>
    <cellStyle name="20% - Accent5 3 7 7 2" xfId="28901"/>
    <cellStyle name="20% - Accent5 3 7 8" xfId="28902"/>
    <cellStyle name="20% - Accent5 3 7 9" xfId="28903"/>
    <cellStyle name="20% - Accent5 3 8" xfId="28904"/>
    <cellStyle name="20% - Accent5 3 8 10" xfId="28905"/>
    <cellStyle name="20% - Accent5 3 8 11" xfId="28906"/>
    <cellStyle name="20% - Accent5 3 8 2" xfId="28907"/>
    <cellStyle name="20% - Accent5 3 8 2 10" xfId="28908"/>
    <cellStyle name="20% - Accent5 3 8 2 2" xfId="28909"/>
    <cellStyle name="20% - Accent5 3 8 2 2 2" xfId="28910"/>
    <cellStyle name="20% - Accent5 3 8 2 2 2 2" xfId="28911"/>
    <cellStyle name="20% - Accent5 3 8 2 2 3" xfId="28912"/>
    <cellStyle name="20% - Accent5 3 8 2 2 3 2" xfId="28913"/>
    <cellStyle name="20% - Accent5 3 8 2 2 4" xfId="28914"/>
    <cellStyle name="20% - Accent5 3 8 2 2 5" xfId="28915"/>
    <cellStyle name="20% - Accent5 3 8 2 2 6" xfId="28916"/>
    <cellStyle name="20% - Accent5 3 8 2 2 7" xfId="28917"/>
    <cellStyle name="20% - Accent5 3 8 2 3" xfId="28918"/>
    <cellStyle name="20% - Accent5 3 8 2 3 2" xfId="28919"/>
    <cellStyle name="20% - Accent5 3 8 2 3 2 2" xfId="28920"/>
    <cellStyle name="20% - Accent5 3 8 2 3 3" xfId="28921"/>
    <cellStyle name="20% - Accent5 3 8 2 3 3 2" xfId="28922"/>
    <cellStyle name="20% - Accent5 3 8 2 3 4" xfId="28923"/>
    <cellStyle name="20% - Accent5 3 8 2 3 5" xfId="28924"/>
    <cellStyle name="20% - Accent5 3 8 2 3 6" xfId="28925"/>
    <cellStyle name="20% - Accent5 3 8 2 3 7" xfId="28926"/>
    <cellStyle name="20% - Accent5 3 8 2 4" xfId="28927"/>
    <cellStyle name="20% - Accent5 3 8 2 4 2" xfId="28928"/>
    <cellStyle name="20% - Accent5 3 8 2 4 2 2" xfId="28929"/>
    <cellStyle name="20% - Accent5 3 8 2 4 3" xfId="28930"/>
    <cellStyle name="20% - Accent5 3 8 2 4 3 2" xfId="28931"/>
    <cellStyle name="20% - Accent5 3 8 2 4 4" xfId="28932"/>
    <cellStyle name="20% - Accent5 3 8 2 4 5" xfId="28933"/>
    <cellStyle name="20% - Accent5 3 8 2 4 6" xfId="28934"/>
    <cellStyle name="20% - Accent5 3 8 2 4 7" xfId="28935"/>
    <cellStyle name="20% - Accent5 3 8 2 5" xfId="28936"/>
    <cellStyle name="20% - Accent5 3 8 2 5 2" xfId="28937"/>
    <cellStyle name="20% - Accent5 3 8 2 6" xfId="28938"/>
    <cellStyle name="20% - Accent5 3 8 2 6 2" xfId="28939"/>
    <cellStyle name="20% - Accent5 3 8 2 7" xfId="28940"/>
    <cellStyle name="20% - Accent5 3 8 2 8" xfId="28941"/>
    <cellStyle name="20% - Accent5 3 8 2 9" xfId="28942"/>
    <cellStyle name="20% - Accent5 3 8 3" xfId="28943"/>
    <cellStyle name="20% - Accent5 3 8 3 2" xfId="28944"/>
    <cellStyle name="20% - Accent5 3 8 3 2 2" xfId="28945"/>
    <cellStyle name="20% - Accent5 3 8 3 3" xfId="28946"/>
    <cellStyle name="20% - Accent5 3 8 3 3 2" xfId="28947"/>
    <cellStyle name="20% - Accent5 3 8 3 4" xfId="28948"/>
    <cellStyle name="20% - Accent5 3 8 3 5" xfId="28949"/>
    <cellStyle name="20% - Accent5 3 8 3 6" xfId="28950"/>
    <cellStyle name="20% - Accent5 3 8 3 7" xfId="28951"/>
    <cellStyle name="20% - Accent5 3 8 4" xfId="28952"/>
    <cellStyle name="20% - Accent5 3 8 4 2" xfId="28953"/>
    <cellStyle name="20% - Accent5 3 8 4 2 2" xfId="28954"/>
    <cellStyle name="20% - Accent5 3 8 4 3" xfId="28955"/>
    <cellStyle name="20% - Accent5 3 8 4 3 2" xfId="28956"/>
    <cellStyle name="20% - Accent5 3 8 4 4" xfId="28957"/>
    <cellStyle name="20% - Accent5 3 8 4 5" xfId="28958"/>
    <cellStyle name="20% - Accent5 3 8 4 6" xfId="28959"/>
    <cellStyle name="20% - Accent5 3 8 4 7" xfId="28960"/>
    <cellStyle name="20% - Accent5 3 8 5" xfId="28961"/>
    <cellStyle name="20% - Accent5 3 8 5 2" xfId="28962"/>
    <cellStyle name="20% - Accent5 3 8 5 2 2" xfId="28963"/>
    <cellStyle name="20% - Accent5 3 8 5 3" xfId="28964"/>
    <cellStyle name="20% - Accent5 3 8 5 3 2" xfId="28965"/>
    <cellStyle name="20% - Accent5 3 8 5 4" xfId="28966"/>
    <cellStyle name="20% - Accent5 3 8 5 5" xfId="28967"/>
    <cellStyle name="20% - Accent5 3 8 5 6" xfId="28968"/>
    <cellStyle name="20% - Accent5 3 8 5 7" xfId="28969"/>
    <cellStyle name="20% - Accent5 3 8 6" xfId="28970"/>
    <cellStyle name="20% - Accent5 3 8 6 2" xfId="28971"/>
    <cellStyle name="20% - Accent5 3 8 7" xfId="28972"/>
    <cellStyle name="20% - Accent5 3 8 7 2" xfId="28973"/>
    <cellStyle name="20% - Accent5 3 8 8" xfId="28974"/>
    <cellStyle name="20% - Accent5 3 8 9" xfId="28975"/>
    <cellStyle name="20% - Accent5 3 9" xfId="28976"/>
    <cellStyle name="20% - Accent5 3 9 10" xfId="28977"/>
    <cellStyle name="20% - Accent5 3 9 2" xfId="28978"/>
    <cellStyle name="20% - Accent5 3 9 2 2" xfId="28979"/>
    <cellStyle name="20% - Accent5 3 9 2 2 2" xfId="28980"/>
    <cellStyle name="20% - Accent5 3 9 2 3" xfId="28981"/>
    <cellStyle name="20% - Accent5 3 9 2 3 2" xfId="28982"/>
    <cellStyle name="20% - Accent5 3 9 2 4" xfId="28983"/>
    <cellStyle name="20% - Accent5 3 9 2 5" xfId="28984"/>
    <cellStyle name="20% - Accent5 3 9 2 6" xfId="28985"/>
    <cellStyle name="20% - Accent5 3 9 2 7" xfId="28986"/>
    <cellStyle name="20% - Accent5 3 9 3" xfId="28987"/>
    <cellStyle name="20% - Accent5 3 9 3 2" xfId="28988"/>
    <cellStyle name="20% - Accent5 3 9 3 2 2" xfId="28989"/>
    <cellStyle name="20% - Accent5 3 9 3 3" xfId="28990"/>
    <cellStyle name="20% - Accent5 3 9 3 3 2" xfId="28991"/>
    <cellStyle name="20% - Accent5 3 9 3 4" xfId="28992"/>
    <cellStyle name="20% - Accent5 3 9 3 5" xfId="28993"/>
    <cellStyle name="20% - Accent5 3 9 3 6" xfId="28994"/>
    <cellStyle name="20% - Accent5 3 9 3 7" xfId="28995"/>
    <cellStyle name="20% - Accent5 3 9 4" xfId="28996"/>
    <cellStyle name="20% - Accent5 3 9 4 2" xfId="28997"/>
    <cellStyle name="20% - Accent5 3 9 4 2 2" xfId="28998"/>
    <cellStyle name="20% - Accent5 3 9 4 3" xfId="28999"/>
    <cellStyle name="20% - Accent5 3 9 4 3 2" xfId="29000"/>
    <cellStyle name="20% - Accent5 3 9 4 4" xfId="29001"/>
    <cellStyle name="20% - Accent5 3 9 4 5" xfId="29002"/>
    <cellStyle name="20% - Accent5 3 9 4 6" xfId="29003"/>
    <cellStyle name="20% - Accent5 3 9 4 7" xfId="29004"/>
    <cellStyle name="20% - Accent5 3 9 5" xfId="29005"/>
    <cellStyle name="20% - Accent5 3 9 5 2" xfId="29006"/>
    <cellStyle name="20% - Accent5 3 9 6" xfId="29007"/>
    <cellStyle name="20% - Accent5 3 9 6 2" xfId="29008"/>
    <cellStyle name="20% - Accent5 3 9 7" xfId="29009"/>
    <cellStyle name="20% - Accent5 3 9 8" xfId="29010"/>
    <cellStyle name="20% - Accent5 3 9 9" xfId="29011"/>
    <cellStyle name="20% - Accent5 3_10-15-10-Stmt AU - Period I - Working 1 0" xfId="193"/>
    <cellStyle name="20% - Accent5 4" xfId="194"/>
    <cellStyle name="20% - Accent5 4 2" xfId="195"/>
    <cellStyle name="20% - Accent5 4 3" xfId="196"/>
    <cellStyle name="20% - Accent5 4_10-15-10-Stmt AU - Period I - Working 1 0" xfId="197"/>
    <cellStyle name="20% - Accent5 5" xfId="198"/>
    <cellStyle name="20% - Accent5 5 2" xfId="199"/>
    <cellStyle name="20% - Accent5 5 3" xfId="200"/>
    <cellStyle name="20% - Accent5 5_10-15-10-Stmt AU - Period I - Working 1 0" xfId="201"/>
    <cellStyle name="20% - Accent5 6" xfId="202"/>
    <cellStyle name="20% - Accent5 6 2" xfId="203"/>
    <cellStyle name="20% - Accent5 6 3" xfId="204"/>
    <cellStyle name="20% - Accent5 6_10-15-10-Stmt AU - Period I - Working 1 0" xfId="205"/>
    <cellStyle name="20% - Accent5 7" xfId="206"/>
    <cellStyle name="20% - Accent5 7 2" xfId="207"/>
    <cellStyle name="20% - Accent5 7 3" xfId="208"/>
    <cellStyle name="20% - Accent5 7_10-15-10-Stmt AU - Period I - Working 1 0" xfId="209"/>
    <cellStyle name="20% - Accent5 8" xfId="210"/>
    <cellStyle name="20% - Accent5 9" xfId="211"/>
    <cellStyle name="20% - Accent6 10" xfId="212"/>
    <cellStyle name="20% - Accent6 11" xfId="213"/>
    <cellStyle name="20% - Accent6 12" xfId="214"/>
    <cellStyle name="20% - Accent6 13" xfId="215"/>
    <cellStyle name="20% - Accent6 2" xfId="216"/>
    <cellStyle name="20% - Accent6 2 10" xfId="29012"/>
    <cellStyle name="20% - Accent6 2 10 2" xfId="29013"/>
    <cellStyle name="20% - Accent6 2 10 2 2" xfId="29014"/>
    <cellStyle name="20% - Accent6 2 10 3" xfId="29015"/>
    <cellStyle name="20% - Accent6 2 10 3 2" xfId="29016"/>
    <cellStyle name="20% - Accent6 2 10 4" xfId="29017"/>
    <cellStyle name="20% - Accent6 2 10 5" xfId="29018"/>
    <cellStyle name="20% - Accent6 2 10 6" xfId="29019"/>
    <cellStyle name="20% - Accent6 2 10 7" xfId="29020"/>
    <cellStyle name="20% - Accent6 2 11" xfId="29021"/>
    <cellStyle name="20% - Accent6 2 11 2" xfId="29022"/>
    <cellStyle name="20% - Accent6 2 11 2 2" xfId="29023"/>
    <cellStyle name="20% - Accent6 2 11 3" xfId="29024"/>
    <cellStyle name="20% - Accent6 2 11 3 2" xfId="29025"/>
    <cellStyle name="20% - Accent6 2 11 4" xfId="29026"/>
    <cellStyle name="20% - Accent6 2 11 5" xfId="29027"/>
    <cellStyle name="20% - Accent6 2 11 6" xfId="29028"/>
    <cellStyle name="20% - Accent6 2 11 7" xfId="29029"/>
    <cellStyle name="20% - Accent6 2 12" xfId="29030"/>
    <cellStyle name="20% - Accent6 2 12 2" xfId="29031"/>
    <cellStyle name="20% - Accent6 2 12 2 2" xfId="29032"/>
    <cellStyle name="20% - Accent6 2 12 3" xfId="29033"/>
    <cellStyle name="20% - Accent6 2 12 3 2" xfId="29034"/>
    <cellStyle name="20% - Accent6 2 12 4" xfId="29035"/>
    <cellStyle name="20% - Accent6 2 12 5" xfId="29036"/>
    <cellStyle name="20% - Accent6 2 12 6" xfId="29037"/>
    <cellStyle name="20% - Accent6 2 12 7" xfId="29038"/>
    <cellStyle name="20% - Accent6 2 13" xfId="29039"/>
    <cellStyle name="20% - Accent6 2 13 2" xfId="29040"/>
    <cellStyle name="20% - Accent6 2 14" xfId="29041"/>
    <cellStyle name="20% - Accent6 2 15" xfId="29042"/>
    <cellStyle name="20% - Accent6 2 16" xfId="29043"/>
    <cellStyle name="20% - Accent6 2 17" xfId="29044"/>
    <cellStyle name="20% - Accent6 2 18" xfId="29045"/>
    <cellStyle name="20% - Accent6 2 2" xfId="217"/>
    <cellStyle name="20% - Accent6 2 2 10" xfId="29046"/>
    <cellStyle name="20% - Accent6 2 2 11" xfId="29047"/>
    <cellStyle name="20% - Accent6 2 2 12" xfId="29048"/>
    <cellStyle name="20% - Accent6 2 2 13" xfId="29049"/>
    <cellStyle name="20% - Accent6 2 2 2" xfId="29050"/>
    <cellStyle name="20% - Accent6 2 2 2 10" xfId="29051"/>
    <cellStyle name="20% - Accent6 2 2 2 11" xfId="29052"/>
    <cellStyle name="20% - Accent6 2 2 2 2" xfId="29053"/>
    <cellStyle name="20% - Accent6 2 2 2 2 10" xfId="29054"/>
    <cellStyle name="20% - Accent6 2 2 2 2 2" xfId="29055"/>
    <cellStyle name="20% - Accent6 2 2 2 2 2 2" xfId="29056"/>
    <cellStyle name="20% - Accent6 2 2 2 2 2 2 2" xfId="29057"/>
    <cellStyle name="20% - Accent6 2 2 2 2 2 3" xfId="29058"/>
    <cellStyle name="20% - Accent6 2 2 2 2 2 3 2" xfId="29059"/>
    <cellStyle name="20% - Accent6 2 2 2 2 2 4" xfId="29060"/>
    <cellStyle name="20% - Accent6 2 2 2 2 2 5" xfId="29061"/>
    <cellStyle name="20% - Accent6 2 2 2 2 2 6" xfId="29062"/>
    <cellStyle name="20% - Accent6 2 2 2 2 2 7" xfId="29063"/>
    <cellStyle name="20% - Accent6 2 2 2 2 3" xfId="29064"/>
    <cellStyle name="20% - Accent6 2 2 2 2 3 2" xfId="29065"/>
    <cellStyle name="20% - Accent6 2 2 2 2 3 2 2" xfId="29066"/>
    <cellStyle name="20% - Accent6 2 2 2 2 3 3" xfId="29067"/>
    <cellStyle name="20% - Accent6 2 2 2 2 3 3 2" xfId="29068"/>
    <cellStyle name="20% - Accent6 2 2 2 2 3 4" xfId="29069"/>
    <cellStyle name="20% - Accent6 2 2 2 2 3 5" xfId="29070"/>
    <cellStyle name="20% - Accent6 2 2 2 2 3 6" xfId="29071"/>
    <cellStyle name="20% - Accent6 2 2 2 2 3 7" xfId="29072"/>
    <cellStyle name="20% - Accent6 2 2 2 2 4" xfId="29073"/>
    <cellStyle name="20% - Accent6 2 2 2 2 4 2" xfId="29074"/>
    <cellStyle name="20% - Accent6 2 2 2 2 4 2 2" xfId="29075"/>
    <cellStyle name="20% - Accent6 2 2 2 2 4 3" xfId="29076"/>
    <cellStyle name="20% - Accent6 2 2 2 2 4 3 2" xfId="29077"/>
    <cellStyle name="20% - Accent6 2 2 2 2 4 4" xfId="29078"/>
    <cellStyle name="20% - Accent6 2 2 2 2 4 5" xfId="29079"/>
    <cellStyle name="20% - Accent6 2 2 2 2 4 6" xfId="29080"/>
    <cellStyle name="20% - Accent6 2 2 2 2 4 7" xfId="29081"/>
    <cellStyle name="20% - Accent6 2 2 2 2 5" xfId="29082"/>
    <cellStyle name="20% - Accent6 2 2 2 2 5 2" xfId="29083"/>
    <cellStyle name="20% - Accent6 2 2 2 2 6" xfId="29084"/>
    <cellStyle name="20% - Accent6 2 2 2 2 6 2" xfId="29085"/>
    <cellStyle name="20% - Accent6 2 2 2 2 7" xfId="29086"/>
    <cellStyle name="20% - Accent6 2 2 2 2 8" xfId="29087"/>
    <cellStyle name="20% - Accent6 2 2 2 2 9" xfId="29088"/>
    <cellStyle name="20% - Accent6 2 2 2 3" xfId="29089"/>
    <cellStyle name="20% - Accent6 2 2 2 3 2" xfId="29090"/>
    <cellStyle name="20% - Accent6 2 2 2 3 2 2" xfId="29091"/>
    <cellStyle name="20% - Accent6 2 2 2 3 3" xfId="29092"/>
    <cellStyle name="20% - Accent6 2 2 2 3 3 2" xfId="29093"/>
    <cellStyle name="20% - Accent6 2 2 2 3 4" xfId="29094"/>
    <cellStyle name="20% - Accent6 2 2 2 3 5" xfId="29095"/>
    <cellStyle name="20% - Accent6 2 2 2 3 6" xfId="29096"/>
    <cellStyle name="20% - Accent6 2 2 2 3 7" xfId="29097"/>
    <cellStyle name="20% - Accent6 2 2 2 4" xfId="29098"/>
    <cellStyle name="20% - Accent6 2 2 2 4 2" xfId="29099"/>
    <cellStyle name="20% - Accent6 2 2 2 4 2 2" xfId="29100"/>
    <cellStyle name="20% - Accent6 2 2 2 4 3" xfId="29101"/>
    <cellStyle name="20% - Accent6 2 2 2 4 3 2" xfId="29102"/>
    <cellStyle name="20% - Accent6 2 2 2 4 4" xfId="29103"/>
    <cellStyle name="20% - Accent6 2 2 2 4 5" xfId="29104"/>
    <cellStyle name="20% - Accent6 2 2 2 4 6" xfId="29105"/>
    <cellStyle name="20% - Accent6 2 2 2 4 7" xfId="29106"/>
    <cellStyle name="20% - Accent6 2 2 2 5" xfId="29107"/>
    <cellStyle name="20% - Accent6 2 2 2 5 2" xfId="29108"/>
    <cellStyle name="20% - Accent6 2 2 2 5 2 2" xfId="29109"/>
    <cellStyle name="20% - Accent6 2 2 2 5 3" xfId="29110"/>
    <cellStyle name="20% - Accent6 2 2 2 5 3 2" xfId="29111"/>
    <cellStyle name="20% - Accent6 2 2 2 5 4" xfId="29112"/>
    <cellStyle name="20% - Accent6 2 2 2 5 5" xfId="29113"/>
    <cellStyle name="20% - Accent6 2 2 2 5 6" xfId="29114"/>
    <cellStyle name="20% - Accent6 2 2 2 5 7" xfId="29115"/>
    <cellStyle name="20% - Accent6 2 2 2 6" xfId="29116"/>
    <cellStyle name="20% - Accent6 2 2 2 6 2" xfId="29117"/>
    <cellStyle name="20% - Accent6 2 2 2 7" xfId="29118"/>
    <cellStyle name="20% - Accent6 2 2 2 7 2" xfId="29119"/>
    <cellStyle name="20% - Accent6 2 2 2 8" xfId="29120"/>
    <cellStyle name="20% - Accent6 2 2 2 9" xfId="29121"/>
    <cellStyle name="20% - Accent6 2 2 3" xfId="29122"/>
    <cellStyle name="20% - Accent6 2 2 3 10" xfId="29123"/>
    <cellStyle name="20% - Accent6 2 2 3 11" xfId="29124"/>
    <cellStyle name="20% - Accent6 2 2 3 2" xfId="29125"/>
    <cellStyle name="20% - Accent6 2 2 3 2 10" xfId="29126"/>
    <cellStyle name="20% - Accent6 2 2 3 2 2" xfId="29127"/>
    <cellStyle name="20% - Accent6 2 2 3 2 2 2" xfId="29128"/>
    <cellStyle name="20% - Accent6 2 2 3 2 2 2 2" xfId="29129"/>
    <cellStyle name="20% - Accent6 2 2 3 2 2 3" xfId="29130"/>
    <cellStyle name="20% - Accent6 2 2 3 2 2 3 2" xfId="29131"/>
    <cellStyle name="20% - Accent6 2 2 3 2 2 4" xfId="29132"/>
    <cellStyle name="20% - Accent6 2 2 3 2 2 5" xfId="29133"/>
    <cellStyle name="20% - Accent6 2 2 3 2 2 6" xfId="29134"/>
    <cellStyle name="20% - Accent6 2 2 3 2 2 7" xfId="29135"/>
    <cellStyle name="20% - Accent6 2 2 3 2 3" xfId="29136"/>
    <cellStyle name="20% - Accent6 2 2 3 2 3 2" xfId="29137"/>
    <cellStyle name="20% - Accent6 2 2 3 2 3 2 2" xfId="29138"/>
    <cellStyle name="20% - Accent6 2 2 3 2 3 3" xfId="29139"/>
    <cellStyle name="20% - Accent6 2 2 3 2 3 3 2" xfId="29140"/>
    <cellStyle name="20% - Accent6 2 2 3 2 3 4" xfId="29141"/>
    <cellStyle name="20% - Accent6 2 2 3 2 3 5" xfId="29142"/>
    <cellStyle name="20% - Accent6 2 2 3 2 3 6" xfId="29143"/>
    <cellStyle name="20% - Accent6 2 2 3 2 3 7" xfId="29144"/>
    <cellStyle name="20% - Accent6 2 2 3 2 4" xfId="29145"/>
    <cellStyle name="20% - Accent6 2 2 3 2 4 2" xfId="29146"/>
    <cellStyle name="20% - Accent6 2 2 3 2 4 2 2" xfId="29147"/>
    <cellStyle name="20% - Accent6 2 2 3 2 4 3" xfId="29148"/>
    <cellStyle name="20% - Accent6 2 2 3 2 4 3 2" xfId="29149"/>
    <cellStyle name="20% - Accent6 2 2 3 2 4 4" xfId="29150"/>
    <cellStyle name="20% - Accent6 2 2 3 2 4 5" xfId="29151"/>
    <cellStyle name="20% - Accent6 2 2 3 2 4 6" xfId="29152"/>
    <cellStyle name="20% - Accent6 2 2 3 2 4 7" xfId="29153"/>
    <cellStyle name="20% - Accent6 2 2 3 2 5" xfId="29154"/>
    <cellStyle name="20% - Accent6 2 2 3 2 5 2" xfId="29155"/>
    <cellStyle name="20% - Accent6 2 2 3 2 6" xfId="29156"/>
    <cellStyle name="20% - Accent6 2 2 3 2 6 2" xfId="29157"/>
    <cellStyle name="20% - Accent6 2 2 3 2 7" xfId="29158"/>
    <cellStyle name="20% - Accent6 2 2 3 2 8" xfId="29159"/>
    <cellStyle name="20% - Accent6 2 2 3 2 9" xfId="29160"/>
    <cellStyle name="20% - Accent6 2 2 3 3" xfId="29161"/>
    <cellStyle name="20% - Accent6 2 2 3 3 2" xfId="29162"/>
    <cellStyle name="20% - Accent6 2 2 3 3 2 2" xfId="29163"/>
    <cellStyle name="20% - Accent6 2 2 3 3 3" xfId="29164"/>
    <cellStyle name="20% - Accent6 2 2 3 3 3 2" xfId="29165"/>
    <cellStyle name="20% - Accent6 2 2 3 3 4" xfId="29166"/>
    <cellStyle name="20% - Accent6 2 2 3 3 5" xfId="29167"/>
    <cellStyle name="20% - Accent6 2 2 3 3 6" xfId="29168"/>
    <cellStyle name="20% - Accent6 2 2 3 3 7" xfId="29169"/>
    <cellStyle name="20% - Accent6 2 2 3 4" xfId="29170"/>
    <cellStyle name="20% - Accent6 2 2 3 4 2" xfId="29171"/>
    <cellStyle name="20% - Accent6 2 2 3 4 2 2" xfId="29172"/>
    <cellStyle name="20% - Accent6 2 2 3 4 3" xfId="29173"/>
    <cellStyle name="20% - Accent6 2 2 3 4 3 2" xfId="29174"/>
    <cellStyle name="20% - Accent6 2 2 3 4 4" xfId="29175"/>
    <cellStyle name="20% - Accent6 2 2 3 4 5" xfId="29176"/>
    <cellStyle name="20% - Accent6 2 2 3 4 6" xfId="29177"/>
    <cellStyle name="20% - Accent6 2 2 3 4 7" xfId="29178"/>
    <cellStyle name="20% - Accent6 2 2 3 5" xfId="29179"/>
    <cellStyle name="20% - Accent6 2 2 3 5 2" xfId="29180"/>
    <cellStyle name="20% - Accent6 2 2 3 5 2 2" xfId="29181"/>
    <cellStyle name="20% - Accent6 2 2 3 5 3" xfId="29182"/>
    <cellStyle name="20% - Accent6 2 2 3 5 3 2" xfId="29183"/>
    <cellStyle name="20% - Accent6 2 2 3 5 4" xfId="29184"/>
    <cellStyle name="20% - Accent6 2 2 3 5 5" xfId="29185"/>
    <cellStyle name="20% - Accent6 2 2 3 5 6" xfId="29186"/>
    <cellStyle name="20% - Accent6 2 2 3 5 7" xfId="29187"/>
    <cellStyle name="20% - Accent6 2 2 3 6" xfId="29188"/>
    <cellStyle name="20% - Accent6 2 2 3 6 2" xfId="29189"/>
    <cellStyle name="20% - Accent6 2 2 3 7" xfId="29190"/>
    <cellStyle name="20% - Accent6 2 2 3 7 2" xfId="29191"/>
    <cellStyle name="20% - Accent6 2 2 3 8" xfId="29192"/>
    <cellStyle name="20% - Accent6 2 2 3 9" xfId="29193"/>
    <cellStyle name="20% - Accent6 2 2 4" xfId="29194"/>
    <cellStyle name="20% - Accent6 2 2 4 10" xfId="29195"/>
    <cellStyle name="20% - Accent6 2 2 4 2" xfId="29196"/>
    <cellStyle name="20% - Accent6 2 2 4 2 2" xfId="29197"/>
    <cellStyle name="20% - Accent6 2 2 4 2 2 2" xfId="29198"/>
    <cellStyle name="20% - Accent6 2 2 4 2 3" xfId="29199"/>
    <cellStyle name="20% - Accent6 2 2 4 2 3 2" xfId="29200"/>
    <cellStyle name="20% - Accent6 2 2 4 2 4" xfId="29201"/>
    <cellStyle name="20% - Accent6 2 2 4 2 5" xfId="29202"/>
    <cellStyle name="20% - Accent6 2 2 4 2 6" xfId="29203"/>
    <cellStyle name="20% - Accent6 2 2 4 2 7" xfId="29204"/>
    <cellStyle name="20% - Accent6 2 2 4 3" xfId="29205"/>
    <cellStyle name="20% - Accent6 2 2 4 3 2" xfId="29206"/>
    <cellStyle name="20% - Accent6 2 2 4 3 2 2" xfId="29207"/>
    <cellStyle name="20% - Accent6 2 2 4 3 3" xfId="29208"/>
    <cellStyle name="20% - Accent6 2 2 4 3 3 2" xfId="29209"/>
    <cellStyle name="20% - Accent6 2 2 4 3 4" xfId="29210"/>
    <cellStyle name="20% - Accent6 2 2 4 3 5" xfId="29211"/>
    <cellStyle name="20% - Accent6 2 2 4 3 6" xfId="29212"/>
    <cellStyle name="20% - Accent6 2 2 4 3 7" xfId="29213"/>
    <cellStyle name="20% - Accent6 2 2 4 4" xfId="29214"/>
    <cellStyle name="20% - Accent6 2 2 4 4 2" xfId="29215"/>
    <cellStyle name="20% - Accent6 2 2 4 4 2 2" xfId="29216"/>
    <cellStyle name="20% - Accent6 2 2 4 4 3" xfId="29217"/>
    <cellStyle name="20% - Accent6 2 2 4 4 3 2" xfId="29218"/>
    <cellStyle name="20% - Accent6 2 2 4 4 4" xfId="29219"/>
    <cellStyle name="20% - Accent6 2 2 4 4 5" xfId="29220"/>
    <cellStyle name="20% - Accent6 2 2 4 4 6" xfId="29221"/>
    <cellStyle name="20% - Accent6 2 2 4 4 7" xfId="29222"/>
    <cellStyle name="20% - Accent6 2 2 4 5" xfId="29223"/>
    <cellStyle name="20% - Accent6 2 2 4 5 2" xfId="29224"/>
    <cellStyle name="20% - Accent6 2 2 4 6" xfId="29225"/>
    <cellStyle name="20% - Accent6 2 2 4 6 2" xfId="29226"/>
    <cellStyle name="20% - Accent6 2 2 4 7" xfId="29227"/>
    <cellStyle name="20% - Accent6 2 2 4 8" xfId="29228"/>
    <cellStyle name="20% - Accent6 2 2 4 9" xfId="29229"/>
    <cellStyle name="20% - Accent6 2 2 5" xfId="29230"/>
    <cellStyle name="20% - Accent6 2 2 5 2" xfId="29231"/>
    <cellStyle name="20% - Accent6 2 2 5 2 2" xfId="29232"/>
    <cellStyle name="20% - Accent6 2 2 5 3" xfId="29233"/>
    <cellStyle name="20% - Accent6 2 2 5 3 2" xfId="29234"/>
    <cellStyle name="20% - Accent6 2 2 5 4" xfId="29235"/>
    <cellStyle name="20% - Accent6 2 2 5 5" xfId="29236"/>
    <cellStyle name="20% - Accent6 2 2 5 6" xfId="29237"/>
    <cellStyle name="20% - Accent6 2 2 5 7" xfId="29238"/>
    <cellStyle name="20% - Accent6 2 2 6" xfId="29239"/>
    <cellStyle name="20% - Accent6 2 2 6 2" xfId="29240"/>
    <cellStyle name="20% - Accent6 2 2 6 2 2" xfId="29241"/>
    <cellStyle name="20% - Accent6 2 2 6 3" xfId="29242"/>
    <cellStyle name="20% - Accent6 2 2 6 3 2" xfId="29243"/>
    <cellStyle name="20% - Accent6 2 2 6 4" xfId="29244"/>
    <cellStyle name="20% - Accent6 2 2 6 5" xfId="29245"/>
    <cellStyle name="20% - Accent6 2 2 6 6" xfId="29246"/>
    <cellStyle name="20% - Accent6 2 2 6 7" xfId="29247"/>
    <cellStyle name="20% - Accent6 2 2 7" xfId="29248"/>
    <cellStyle name="20% - Accent6 2 2 7 2" xfId="29249"/>
    <cellStyle name="20% - Accent6 2 2 7 2 2" xfId="29250"/>
    <cellStyle name="20% - Accent6 2 2 7 3" xfId="29251"/>
    <cellStyle name="20% - Accent6 2 2 7 3 2" xfId="29252"/>
    <cellStyle name="20% - Accent6 2 2 7 4" xfId="29253"/>
    <cellStyle name="20% - Accent6 2 2 7 5" xfId="29254"/>
    <cellStyle name="20% - Accent6 2 2 7 6" xfId="29255"/>
    <cellStyle name="20% - Accent6 2 2 7 7" xfId="29256"/>
    <cellStyle name="20% - Accent6 2 2 8" xfId="29257"/>
    <cellStyle name="20% - Accent6 2 2 8 2" xfId="29258"/>
    <cellStyle name="20% - Accent6 2 2 9" xfId="29259"/>
    <cellStyle name="20% - Accent6 2 2 9 2" xfId="29260"/>
    <cellStyle name="20% - Accent6 2 3" xfId="218"/>
    <cellStyle name="20% - Accent6 2 3 10" xfId="29261"/>
    <cellStyle name="20% - Accent6 2 3 11" xfId="29262"/>
    <cellStyle name="20% - Accent6 2 3 12" xfId="29263"/>
    <cellStyle name="20% - Accent6 2 3 13" xfId="29264"/>
    <cellStyle name="20% - Accent6 2 3 2" xfId="29265"/>
    <cellStyle name="20% - Accent6 2 3 2 10" xfId="29266"/>
    <cellStyle name="20% - Accent6 2 3 2 11" xfId="29267"/>
    <cellStyle name="20% - Accent6 2 3 2 2" xfId="29268"/>
    <cellStyle name="20% - Accent6 2 3 2 2 10" xfId="29269"/>
    <cellStyle name="20% - Accent6 2 3 2 2 2" xfId="29270"/>
    <cellStyle name="20% - Accent6 2 3 2 2 2 2" xfId="29271"/>
    <cellStyle name="20% - Accent6 2 3 2 2 2 2 2" xfId="29272"/>
    <cellStyle name="20% - Accent6 2 3 2 2 2 3" xfId="29273"/>
    <cellStyle name="20% - Accent6 2 3 2 2 2 3 2" xfId="29274"/>
    <cellStyle name="20% - Accent6 2 3 2 2 2 4" xfId="29275"/>
    <cellStyle name="20% - Accent6 2 3 2 2 2 5" xfId="29276"/>
    <cellStyle name="20% - Accent6 2 3 2 2 2 6" xfId="29277"/>
    <cellStyle name="20% - Accent6 2 3 2 2 2 7" xfId="29278"/>
    <cellStyle name="20% - Accent6 2 3 2 2 3" xfId="29279"/>
    <cellStyle name="20% - Accent6 2 3 2 2 3 2" xfId="29280"/>
    <cellStyle name="20% - Accent6 2 3 2 2 3 2 2" xfId="29281"/>
    <cellStyle name="20% - Accent6 2 3 2 2 3 3" xfId="29282"/>
    <cellStyle name="20% - Accent6 2 3 2 2 3 3 2" xfId="29283"/>
    <cellStyle name="20% - Accent6 2 3 2 2 3 4" xfId="29284"/>
    <cellStyle name="20% - Accent6 2 3 2 2 3 5" xfId="29285"/>
    <cellStyle name="20% - Accent6 2 3 2 2 3 6" xfId="29286"/>
    <cellStyle name="20% - Accent6 2 3 2 2 3 7" xfId="29287"/>
    <cellStyle name="20% - Accent6 2 3 2 2 4" xfId="29288"/>
    <cellStyle name="20% - Accent6 2 3 2 2 4 2" xfId="29289"/>
    <cellStyle name="20% - Accent6 2 3 2 2 4 2 2" xfId="29290"/>
    <cellStyle name="20% - Accent6 2 3 2 2 4 3" xfId="29291"/>
    <cellStyle name="20% - Accent6 2 3 2 2 4 3 2" xfId="29292"/>
    <cellStyle name="20% - Accent6 2 3 2 2 4 4" xfId="29293"/>
    <cellStyle name="20% - Accent6 2 3 2 2 4 5" xfId="29294"/>
    <cellStyle name="20% - Accent6 2 3 2 2 4 6" xfId="29295"/>
    <cellStyle name="20% - Accent6 2 3 2 2 4 7" xfId="29296"/>
    <cellStyle name="20% - Accent6 2 3 2 2 5" xfId="29297"/>
    <cellStyle name="20% - Accent6 2 3 2 2 5 2" xfId="29298"/>
    <cellStyle name="20% - Accent6 2 3 2 2 6" xfId="29299"/>
    <cellStyle name="20% - Accent6 2 3 2 2 6 2" xfId="29300"/>
    <cellStyle name="20% - Accent6 2 3 2 2 7" xfId="29301"/>
    <cellStyle name="20% - Accent6 2 3 2 2 8" xfId="29302"/>
    <cellStyle name="20% - Accent6 2 3 2 2 9" xfId="29303"/>
    <cellStyle name="20% - Accent6 2 3 2 3" xfId="29304"/>
    <cellStyle name="20% - Accent6 2 3 2 3 2" xfId="29305"/>
    <cellStyle name="20% - Accent6 2 3 2 3 2 2" xfId="29306"/>
    <cellStyle name="20% - Accent6 2 3 2 3 3" xfId="29307"/>
    <cellStyle name="20% - Accent6 2 3 2 3 3 2" xfId="29308"/>
    <cellStyle name="20% - Accent6 2 3 2 3 4" xfId="29309"/>
    <cellStyle name="20% - Accent6 2 3 2 3 5" xfId="29310"/>
    <cellStyle name="20% - Accent6 2 3 2 3 6" xfId="29311"/>
    <cellStyle name="20% - Accent6 2 3 2 3 7" xfId="29312"/>
    <cellStyle name="20% - Accent6 2 3 2 4" xfId="29313"/>
    <cellStyle name="20% - Accent6 2 3 2 4 2" xfId="29314"/>
    <cellStyle name="20% - Accent6 2 3 2 4 2 2" xfId="29315"/>
    <cellStyle name="20% - Accent6 2 3 2 4 3" xfId="29316"/>
    <cellStyle name="20% - Accent6 2 3 2 4 3 2" xfId="29317"/>
    <cellStyle name="20% - Accent6 2 3 2 4 4" xfId="29318"/>
    <cellStyle name="20% - Accent6 2 3 2 4 5" xfId="29319"/>
    <cellStyle name="20% - Accent6 2 3 2 4 6" xfId="29320"/>
    <cellStyle name="20% - Accent6 2 3 2 4 7" xfId="29321"/>
    <cellStyle name="20% - Accent6 2 3 2 5" xfId="29322"/>
    <cellStyle name="20% - Accent6 2 3 2 5 2" xfId="29323"/>
    <cellStyle name="20% - Accent6 2 3 2 5 2 2" xfId="29324"/>
    <cellStyle name="20% - Accent6 2 3 2 5 3" xfId="29325"/>
    <cellStyle name="20% - Accent6 2 3 2 5 3 2" xfId="29326"/>
    <cellStyle name="20% - Accent6 2 3 2 5 4" xfId="29327"/>
    <cellStyle name="20% - Accent6 2 3 2 5 5" xfId="29328"/>
    <cellStyle name="20% - Accent6 2 3 2 5 6" xfId="29329"/>
    <cellStyle name="20% - Accent6 2 3 2 5 7" xfId="29330"/>
    <cellStyle name="20% - Accent6 2 3 2 6" xfId="29331"/>
    <cellStyle name="20% - Accent6 2 3 2 6 2" xfId="29332"/>
    <cellStyle name="20% - Accent6 2 3 2 7" xfId="29333"/>
    <cellStyle name="20% - Accent6 2 3 2 7 2" xfId="29334"/>
    <cellStyle name="20% - Accent6 2 3 2 8" xfId="29335"/>
    <cellStyle name="20% - Accent6 2 3 2 9" xfId="29336"/>
    <cellStyle name="20% - Accent6 2 3 3" xfId="29337"/>
    <cellStyle name="20% - Accent6 2 3 3 10" xfId="29338"/>
    <cellStyle name="20% - Accent6 2 3 3 11" xfId="29339"/>
    <cellStyle name="20% - Accent6 2 3 3 2" xfId="29340"/>
    <cellStyle name="20% - Accent6 2 3 3 2 10" xfId="29341"/>
    <cellStyle name="20% - Accent6 2 3 3 2 2" xfId="29342"/>
    <cellStyle name="20% - Accent6 2 3 3 2 2 2" xfId="29343"/>
    <cellStyle name="20% - Accent6 2 3 3 2 2 2 2" xfId="29344"/>
    <cellStyle name="20% - Accent6 2 3 3 2 2 3" xfId="29345"/>
    <cellStyle name="20% - Accent6 2 3 3 2 2 3 2" xfId="29346"/>
    <cellStyle name="20% - Accent6 2 3 3 2 2 4" xfId="29347"/>
    <cellStyle name="20% - Accent6 2 3 3 2 2 5" xfId="29348"/>
    <cellStyle name="20% - Accent6 2 3 3 2 2 6" xfId="29349"/>
    <cellStyle name="20% - Accent6 2 3 3 2 2 7" xfId="29350"/>
    <cellStyle name="20% - Accent6 2 3 3 2 3" xfId="29351"/>
    <cellStyle name="20% - Accent6 2 3 3 2 3 2" xfId="29352"/>
    <cellStyle name="20% - Accent6 2 3 3 2 3 2 2" xfId="29353"/>
    <cellStyle name="20% - Accent6 2 3 3 2 3 3" xfId="29354"/>
    <cellStyle name="20% - Accent6 2 3 3 2 3 3 2" xfId="29355"/>
    <cellStyle name="20% - Accent6 2 3 3 2 3 4" xfId="29356"/>
    <cellStyle name="20% - Accent6 2 3 3 2 3 5" xfId="29357"/>
    <cellStyle name="20% - Accent6 2 3 3 2 3 6" xfId="29358"/>
    <cellStyle name="20% - Accent6 2 3 3 2 3 7" xfId="29359"/>
    <cellStyle name="20% - Accent6 2 3 3 2 4" xfId="29360"/>
    <cellStyle name="20% - Accent6 2 3 3 2 4 2" xfId="29361"/>
    <cellStyle name="20% - Accent6 2 3 3 2 4 2 2" xfId="29362"/>
    <cellStyle name="20% - Accent6 2 3 3 2 4 3" xfId="29363"/>
    <cellStyle name="20% - Accent6 2 3 3 2 4 3 2" xfId="29364"/>
    <cellStyle name="20% - Accent6 2 3 3 2 4 4" xfId="29365"/>
    <cellStyle name="20% - Accent6 2 3 3 2 4 5" xfId="29366"/>
    <cellStyle name="20% - Accent6 2 3 3 2 4 6" xfId="29367"/>
    <cellStyle name="20% - Accent6 2 3 3 2 4 7" xfId="29368"/>
    <cellStyle name="20% - Accent6 2 3 3 2 5" xfId="29369"/>
    <cellStyle name="20% - Accent6 2 3 3 2 5 2" xfId="29370"/>
    <cellStyle name="20% - Accent6 2 3 3 2 6" xfId="29371"/>
    <cellStyle name="20% - Accent6 2 3 3 2 6 2" xfId="29372"/>
    <cellStyle name="20% - Accent6 2 3 3 2 7" xfId="29373"/>
    <cellStyle name="20% - Accent6 2 3 3 2 8" xfId="29374"/>
    <cellStyle name="20% - Accent6 2 3 3 2 9" xfId="29375"/>
    <cellStyle name="20% - Accent6 2 3 3 3" xfId="29376"/>
    <cellStyle name="20% - Accent6 2 3 3 3 2" xfId="29377"/>
    <cellStyle name="20% - Accent6 2 3 3 3 2 2" xfId="29378"/>
    <cellStyle name="20% - Accent6 2 3 3 3 3" xfId="29379"/>
    <cellStyle name="20% - Accent6 2 3 3 3 3 2" xfId="29380"/>
    <cellStyle name="20% - Accent6 2 3 3 3 4" xfId="29381"/>
    <cellStyle name="20% - Accent6 2 3 3 3 5" xfId="29382"/>
    <cellStyle name="20% - Accent6 2 3 3 3 6" xfId="29383"/>
    <cellStyle name="20% - Accent6 2 3 3 3 7" xfId="29384"/>
    <cellStyle name="20% - Accent6 2 3 3 4" xfId="29385"/>
    <cellStyle name="20% - Accent6 2 3 3 4 2" xfId="29386"/>
    <cellStyle name="20% - Accent6 2 3 3 4 2 2" xfId="29387"/>
    <cellStyle name="20% - Accent6 2 3 3 4 3" xfId="29388"/>
    <cellStyle name="20% - Accent6 2 3 3 4 3 2" xfId="29389"/>
    <cellStyle name="20% - Accent6 2 3 3 4 4" xfId="29390"/>
    <cellStyle name="20% - Accent6 2 3 3 4 5" xfId="29391"/>
    <cellStyle name="20% - Accent6 2 3 3 4 6" xfId="29392"/>
    <cellStyle name="20% - Accent6 2 3 3 4 7" xfId="29393"/>
    <cellStyle name="20% - Accent6 2 3 3 5" xfId="29394"/>
    <cellStyle name="20% - Accent6 2 3 3 5 2" xfId="29395"/>
    <cellStyle name="20% - Accent6 2 3 3 5 2 2" xfId="29396"/>
    <cellStyle name="20% - Accent6 2 3 3 5 3" xfId="29397"/>
    <cellStyle name="20% - Accent6 2 3 3 5 3 2" xfId="29398"/>
    <cellStyle name="20% - Accent6 2 3 3 5 4" xfId="29399"/>
    <cellStyle name="20% - Accent6 2 3 3 5 5" xfId="29400"/>
    <cellStyle name="20% - Accent6 2 3 3 5 6" xfId="29401"/>
    <cellStyle name="20% - Accent6 2 3 3 5 7" xfId="29402"/>
    <cellStyle name="20% - Accent6 2 3 3 6" xfId="29403"/>
    <cellStyle name="20% - Accent6 2 3 3 6 2" xfId="29404"/>
    <cellStyle name="20% - Accent6 2 3 3 7" xfId="29405"/>
    <cellStyle name="20% - Accent6 2 3 3 7 2" xfId="29406"/>
    <cellStyle name="20% - Accent6 2 3 3 8" xfId="29407"/>
    <cellStyle name="20% - Accent6 2 3 3 9" xfId="29408"/>
    <cellStyle name="20% - Accent6 2 3 4" xfId="29409"/>
    <cellStyle name="20% - Accent6 2 3 4 10" xfId="29410"/>
    <cellStyle name="20% - Accent6 2 3 4 2" xfId="29411"/>
    <cellStyle name="20% - Accent6 2 3 4 2 2" xfId="29412"/>
    <cellStyle name="20% - Accent6 2 3 4 2 2 2" xfId="29413"/>
    <cellStyle name="20% - Accent6 2 3 4 2 3" xfId="29414"/>
    <cellStyle name="20% - Accent6 2 3 4 2 3 2" xfId="29415"/>
    <cellStyle name="20% - Accent6 2 3 4 2 4" xfId="29416"/>
    <cellStyle name="20% - Accent6 2 3 4 2 5" xfId="29417"/>
    <cellStyle name="20% - Accent6 2 3 4 2 6" xfId="29418"/>
    <cellStyle name="20% - Accent6 2 3 4 2 7" xfId="29419"/>
    <cellStyle name="20% - Accent6 2 3 4 3" xfId="29420"/>
    <cellStyle name="20% - Accent6 2 3 4 3 2" xfId="29421"/>
    <cellStyle name="20% - Accent6 2 3 4 3 2 2" xfId="29422"/>
    <cellStyle name="20% - Accent6 2 3 4 3 3" xfId="29423"/>
    <cellStyle name="20% - Accent6 2 3 4 3 3 2" xfId="29424"/>
    <cellStyle name="20% - Accent6 2 3 4 3 4" xfId="29425"/>
    <cellStyle name="20% - Accent6 2 3 4 3 5" xfId="29426"/>
    <cellStyle name="20% - Accent6 2 3 4 3 6" xfId="29427"/>
    <cellStyle name="20% - Accent6 2 3 4 3 7" xfId="29428"/>
    <cellStyle name="20% - Accent6 2 3 4 4" xfId="29429"/>
    <cellStyle name="20% - Accent6 2 3 4 4 2" xfId="29430"/>
    <cellStyle name="20% - Accent6 2 3 4 4 2 2" xfId="29431"/>
    <cellStyle name="20% - Accent6 2 3 4 4 3" xfId="29432"/>
    <cellStyle name="20% - Accent6 2 3 4 4 3 2" xfId="29433"/>
    <cellStyle name="20% - Accent6 2 3 4 4 4" xfId="29434"/>
    <cellStyle name="20% - Accent6 2 3 4 4 5" xfId="29435"/>
    <cellStyle name="20% - Accent6 2 3 4 4 6" xfId="29436"/>
    <cellStyle name="20% - Accent6 2 3 4 4 7" xfId="29437"/>
    <cellStyle name="20% - Accent6 2 3 4 5" xfId="29438"/>
    <cellStyle name="20% - Accent6 2 3 4 5 2" xfId="29439"/>
    <cellStyle name="20% - Accent6 2 3 4 6" xfId="29440"/>
    <cellStyle name="20% - Accent6 2 3 4 6 2" xfId="29441"/>
    <cellStyle name="20% - Accent6 2 3 4 7" xfId="29442"/>
    <cellStyle name="20% - Accent6 2 3 4 8" xfId="29443"/>
    <cellStyle name="20% - Accent6 2 3 4 9" xfId="29444"/>
    <cellStyle name="20% - Accent6 2 3 5" xfId="29445"/>
    <cellStyle name="20% - Accent6 2 3 5 2" xfId="29446"/>
    <cellStyle name="20% - Accent6 2 3 5 2 2" xfId="29447"/>
    <cellStyle name="20% - Accent6 2 3 5 3" xfId="29448"/>
    <cellStyle name="20% - Accent6 2 3 5 3 2" xfId="29449"/>
    <cellStyle name="20% - Accent6 2 3 5 4" xfId="29450"/>
    <cellStyle name="20% - Accent6 2 3 5 5" xfId="29451"/>
    <cellStyle name="20% - Accent6 2 3 5 6" xfId="29452"/>
    <cellStyle name="20% - Accent6 2 3 5 7" xfId="29453"/>
    <cellStyle name="20% - Accent6 2 3 6" xfId="29454"/>
    <cellStyle name="20% - Accent6 2 3 6 2" xfId="29455"/>
    <cellStyle name="20% - Accent6 2 3 6 2 2" xfId="29456"/>
    <cellStyle name="20% - Accent6 2 3 6 3" xfId="29457"/>
    <cellStyle name="20% - Accent6 2 3 6 3 2" xfId="29458"/>
    <cellStyle name="20% - Accent6 2 3 6 4" xfId="29459"/>
    <cellStyle name="20% - Accent6 2 3 6 5" xfId="29460"/>
    <cellStyle name="20% - Accent6 2 3 6 6" xfId="29461"/>
    <cellStyle name="20% - Accent6 2 3 6 7" xfId="29462"/>
    <cellStyle name="20% - Accent6 2 3 7" xfId="29463"/>
    <cellStyle name="20% - Accent6 2 3 7 2" xfId="29464"/>
    <cellStyle name="20% - Accent6 2 3 7 2 2" xfId="29465"/>
    <cellStyle name="20% - Accent6 2 3 7 3" xfId="29466"/>
    <cellStyle name="20% - Accent6 2 3 7 3 2" xfId="29467"/>
    <cellStyle name="20% - Accent6 2 3 7 4" xfId="29468"/>
    <cellStyle name="20% - Accent6 2 3 7 5" xfId="29469"/>
    <cellStyle name="20% - Accent6 2 3 7 6" xfId="29470"/>
    <cellStyle name="20% - Accent6 2 3 7 7" xfId="29471"/>
    <cellStyle name="20% - Accent6 2 3 8" xfId="29472"/>
    <cellStyle name="20% - Accent6 2 3 8 2" xfId="29473"/>
    <cellStyle name="20% - Accent6 2 3 9" xfId="29474"/>
    <cellStyle name="20% - Accent6 2 3 9 2" xfId="29475"/>
    <cellStyle name="20% - Accent6 2 4" xfId="29476"/>
    <cellStyle name="20% - Accent6 2 4 10" xfId="29477"/>
    <cellStyle name="20% - Accent6 2 4 11" xfId="29478"/>
    <cellStyle name="20% - Accent6 2 4 12" xfId="29479"/>
    <cellStyle name="20% - Accent6 2 4 13" xfId="29480"/>
    <cellStyle name="20% - Accent6 2 4 2" xfId="29481"/>
    <cellStyle name="20% - Accent6 2 4 2 10" xfId="29482"/>
    <cellStyle name="20% - Accent6 2 4 2 11" xfId="29483"/>
    <cellStyle name="20% - Accent6 2 4 2 2" xfId="29484"/>
    <cellStyle name="20% - Accent6 2 4 2 2 10" xfId="29485"/>
    <cellStyle name="20% - Accent6 2 4 2 2 2" xfId="29486"/>
    <cellStyle name="20% - Accent6 2 4 2 2 2 2" xfId="29487"/>
    <cellStyle name="20% - Accent6 2 4 2 2 2 2 2" xfId="29488"/>
    <cellStyle name="20% - Accent6 2 4 2 2 2 3" xfId="29489"/>
    <cellStyle name="20% - Accent6 2 4 2 2 2 3 2" xfId="29490"/>
    <cellStyle name="20% - Accent6 2 4 2 2 2 4" xfId="29491"/>
    <cellStyle name="20% - Accent6 2 4 2 2 2 5" xfId="29492"/>
    <cellStyle name="20% - Accent6 2 4 2 2 2 6" xfId="29493"/>
    <cellStyle name="20% - Accent6 2 4 2 2 2 7" xfId="29494"/>
    <cellStyle name="20% - Accent6 2 4 2 2 3" xfId="29495"/>
    <cellStyle name="20% - Accent6 2 4 2 2 3 2" xfId="29496"/>
    <cellStyle name="20% - Accent6 2 4 2 2 3 2 2" xfId="29497"/>
    <cellStyle name="20% - Accent6 2 4 2 2 3 3" xfId="29498"/>
    <cellStyle name="20% - Accent6 2 4 2 2 3 3 2" xfId="29499"/>
    <cellStyle name="20% - Accent6 2 4 2 2 3 4" xfId="29500"/>
    <cellStyle name="20% - Accent6 2 4 2 2 3 5" xfId="29501"/>
    <cellStyle name="20% - Accent6 2 4 2 2 3 6" xfId="29502"/>
    <cellStyle name="20% - Accent6 2 4 2 2 3 7" xfId="29503"/>
    <cellStyle name="20% - Accent6 2 4 2 2 4" xfId="29504"/>
    <cellStyle name="20% - Accent6 2 4 2 2 4 2" xfId="29505"/>
    <cellStyle name="20% - Accent6 2 4 2 2 4 2 2" xfId="29506"/>
    <cellStyle name="20% - Accent6 2 4 2 2 4 3" xfId="29507"/>
    <cellStyle name="20% - Accent6 2 4 2 2 4 3 2" xfId="29508"/>
    <cellStyle name="20% - Accent6 2 4 2 2 4 4" xfId="29509"/>
    <cellStyle name="20% - Accent6 2 4 2 2 4 5" xfId="29510"/>
    <cellStyle name="20% - Accent6 2 4 2 2 4 6" xfId="29511"/>
    <cellStyle name="20% - Accent6 2 4 2 2 4 7" xfId="29512"/>
    <cellStyle name="20% - Accent6 2 4 2 2 5" xfId="29513"/>
    <cellStyle name="20% - Accent6 2 4 2 2 5 2" xfId="29514"/>
    <cellStyle name="20% - Accent6 2 4 2 2 6" xfId="29515"/>
    <cellStyle name="20% - Accent6 2 4 2 2 6 2" xfId="29516"/>
    <cellStyle name="20% - Accent6 2 4 2 2 7" xfId="29517"/>
    <cellStyle name="20% - Accent6 2 4 2 2 8" xfId="29518"/>
    <cellStyle name="20% - Accent6 2 4 2 2 9" xfId="29519"/>
    <cellStyle name="20% - Accent6 2 4 2 3" xfId="29520"/>
    <cellStyle name="20% - Accent6 2 4 2 3 2" xfId="29521"/>
    <cellStyle name="20% - Accent6 2 4 2 3 2 2" xfId="29522"/>
    <cellStyle name="20% - Accent6 2 4 2 3 3" xfId="29523"/>
    <cellStyle name="20% - Accent6 2 4 2 3 3 2" xfId="29524"/>
    <cellStyle name="20% - Accent6 2 4 2 3 4" xfId="29525"/>
    <cellStyle name="20% - Accent6 2 4 2 3 5" xfId="29526"/>
    <cellStyle name="20% - Accent6 2 4 2 3 6" xfId="29527"/>
    <cellStyle name="20% - Accent6 2 4 2 3 7" xfId="29528"/>
    <cellStyle name="20% - Accent6 2 4 2 4" xfId="29529"/>
    <cellStyle name="20% - Accent6 2 4 2 4 2" xfId="29530"/>
    <cellStyle name="20% - Accent6 2 4 2 4 2 2" xfId="29531"/>
    <cellStyle name="20% - Accent6 2 4 2 4 3" xfId="29532"/>
    <cellStyle name="20% - Accent6 2 4 2 4 3 2" xfId="29533"/>
    <cellStyle name="20% - Accent6 2 4 2 4 4" xfId="29534"/>
    <cellStyle name="20% - Accent6 2 4 2 4 5" xfId="29535"/>
    <cellStyle name="20% - Accent6 2 4 2 4 6" xfId="29536"/>
    <cellStyle name="20% - Accent6 2 4 2 4 7" xfId="29537"/>
    <cellStyle name="20% - Accent6 2 4 2 5" xfId="29538"/>
    <cellStyle name="20% - Accent6 2 4 2 5 2" xfId="29539"/>
    <cellStyle name="20% - Accent6 2 4 2 5 2 2" xfId="29540"/>
    <cellStyle name="20% - Accent6 2 4 2 5 3" xfId="29541"/>
    <cellStyle name="20% - Accent6 2 4 2 5 3 2" xfId="29542"/>
    <cellStyle name="20% - Accent6 2 4 2 5 4" xfId="29543"/>
    <cellStyle name="20% - Accent6 2 4 2 5 5" xfId="29544"/>
    <cellStyle name="20% - Accent6 2 4 2 5 6" xfId="29545"/>
    <cellStyle name="20% - Accent6 2 4 2 5 7" xfId="29546"/>
    <cellStyle name="20% - Accent6 2 4 2 6" xfId="29547"/>
    <cellStyle name="20% - Accent6 2 4 2 6 2" xfId="29548"/>
    <cellStyle name="20% - Accent6 2 4 2 7" xfId="29549"/>
    <cellStyle name="20% - Accent6 2 4 2 7 2" xfId="29550"/>
    <cellStyle name="20% - Accent6 2 4 2 8" xfId="29551"/>
    <cellStyle name="20% - Accent6 2 4 2 9" xfId="29552"/>
    <cellStyle name="20% - Accent6 2 4 3" xfId="29553"/>
    <cellStyle name="20% - Accent6 2 4 3 10" xfId="29554"/>
    <cellStyle name="20% - Accent6 2 4 3 11" xfId="29555"/>
    <cellStyle name="20% - Accent6 2 4 3 2" xfId="29556"/>
    <cellStyle name="20% - Accent6 2 4 3 2 10" xfId="29557"/>
    <cellStyle name="20% - Accent6 2 4 3 2 2" xfId="29558"/>
    <cellStyle name="20% - Accent6 2 4 3 2 2 2" xfId="29559"/>
    <cellStyle name="20% - Accent6 2 4 3 2 2 2 2" xfId="29560"/>
    <cellStyle name="20% - Accent6 2 4 3 2 2 3" xfId="29561"/>
    <cellStyle name="20% - Accent6 2 4 3 2 2 3 2" xfId="29562"/>
    <cellStyle name="20% - Accent6 2 4 3 2 2 4" xfId="29563"/>
    <cellStyle name="20% - Accent6 2 4 3 2 2 5" xfId="29564"/>
    <cellStyle name="20% - Accent6 2 4 3 2 2 6" xfId="29565"/>
    <cellStyle name="20% - Accent6 2 4 3 2 2 7" xfId="29566"/>
    <cellStyle name="20% - Accent6 2 4 3 2 3" xfId="29567"/>
    <cellStyle name="20% - Accent6 2 4 3 2 3 2" xfId="29568"/>
    <cellStyle name="20% - Accent6 2 4 3 2 3 2 2" xfId="29569"/>
    <cellStyle name="20% - Accent6 2 4 3 2 3 3" xfId="29570"/>
    <cellStyle name="20% - Accent6 2 4 3 2 3 3 2" xfId="29571"/>
    <cellStyle name="20% - Accent6 2 4 3 2 3 4" xfId="29572"/>
    <cellStyle name="20% - Accent6 2 4 3 2 3 5" xfId="29573"/>
    <cellStyle name="20% - Accent6 2 4 3 2 3 6" xfId="29574"/>
    <cellStyle name="20% - Accent6 2 4 3 2 3 7" xfId="29575"/>
    <cellStyle name="20% - Accent6 2 4 3 2 4" xfId="29576"/>
    <cellStyle name="20% - Accent6 2 4 3 2 4 2" xfId="29577"/>
    <cellStyle name="20% - Accent6 2 4 3 2 4 2 2" xfId="29578"/>
    <cellStyle name="20% - Accent6 2 4 3 2 4 3" xfId="29579"/>
    <cellStyle name="20% - Accent6 2 4 3 2 4 3 2" xfId="29580"/>
    <cellStyle name="20% - Accent6 2 4 3 2 4 4" xfId="29581"/>
    <cellStyle name="20% - Accent6 2 4 3 2 4 5" xfId="29582"/>
    <cellStyle name="20% - Accent6 2 4 3 2 4 6" xfId="29583"/>
    <cellStyle name="20% - Accent6 2 4 3 2 4 7" xfId="29584"/>
    <cellStyle name="20% - Accent6 2 4 3 2 5" xfId="29585"/>
    <cellStyle name="20% - Accent6 2 4 3 2 5 2" xfId="29586"/>
    <cellStyle name="20% - Accent6 2 4 3 2 6" xfId="29587"/>
    <cellStyle name="20% - Accent6 2 4 3 2 6 2" xfId="29588"/>
    <cellStyle name="20% - Accent6 2 4 3 2 7" xfId="29589"/>
    <cellStyle name="20% - Accent6 2 4 3 2 8" xfId="29590"/>
    <cellStyle name="20% - Accent6 2 4 3 2 9" xfId="29591"/>
    <cellStyle name="20% - Accent6 2 4 3 3" xfId="29592"/>
    <cellStyle name="20% - Accent6 2 4 3 3 2" xfId="29593"/>
    <cellStyle name="20% - Accent6 2 4 3 3 2 2" xfId="29594"/>
    <cellStyle name="20% - Accent6 2 4 3 3 3" xfId="29595"/>
    <cellStyle name="20% - Accent6 2 4 3 3 3 2" xfId="29596"/>
    <cellStyle name="20% - Accent6 2 4 3 3 4" xfId="29597"/>
    <cellStyle name="20% - Accent6 2 4 3 3 5" xfId="29598"/>
    <cellStyle name="20% - Accent6 2 4 3 3 6" xfId="29599"/>
    <cellStyle name="20% - Accent6 2 4 3 3 7" xfId="29600"/>
    <cellStyle name="20% - Accent6 2 4 3 4" xfId="29601"/>
    <cellStyle name="20% - Accent6 2 4 3 4 2" xfId="29602"/>
    <cellStyle name="20% - Accent6 2 4 3 4 2 2" xfId="29603"/>
    <cellStyle name="20% - Accent6 2 4 3 4 3" xfId="29604"/>
    <cellStyle name="20% - Accent6 2 4 3 4 3 2" xfId="29605"/>
    <cellStyle name="20% - Accent6 2 4 3 4 4" xfId="29606"/>
    <cellStyle name="20% - Accent6 2 4 3 4 5" xfId="29607"/>
    <cellStyle name="20% - Accent6 2 4 3 4 6" xfId="29608"/>
    <cellStyle name="20% - Accent6 2 4 3 4 7" xfId="29609"/>
    <cellStyle name="20% - Accent6 2 4 3 5" xfId="29610"/>
    <cellStyle name="20% - Accent6 2 4 3 5 2" xfId="29611"/>
    <cellStyle name="20% - Accent6 2 4 3 5 2 2" xfId="29612"/>
    <cellStyle name="20% - Accent6 2 4 3 5 3" xfId="29613"/>
    <cellStyle name="20% - Accent6 2 4 3 5 3 2" xfId="29614"/>
    <cellStyle name="20% - Accent6 2 4 3 5 4" xfId="29615"/>
    <cellStyle name="20% - Accent6 2 4 3 5 5" xfId="29616"/>
    <cellStyle name="20% - Accent6 2 4 3 5 6" xfId="29617"/>
    <cellStyle name="20% - Accent6 2 4 3 5 7" xfId="29618"/>
    <cellStyle name="20% - Accent6 2 4 3 6" xfId="29619"/>
    <cellStyle name="20% - Accent6 2 4 3 6 2" xfId="29620"/>
    <cellStyle name="20% - Accent6 2 4 3 7" xfId="29621"/>
    <cellStyle name="20% - Accent6 2 4 3 7 2" xfId="29622"/>
    <cellStyle name="20% - Accent6 2 4 3 8" xfId="29623"/>
    <cellStyle name="20% - Accent6 2 4 3 9" xfId="29624"/>
    <cellStyle name="20% - Accent6 2 4 4" xfId="29625"/>
    <cellStyle name="20% - Accent6 2 4 4 10" xfId="29626"/>
    <cellStyle name="20% - Accent6 2 4 4 2" xfId="29627"/>
    <cellStyle name="20% - Accent6 2 4 4 2 2" xfId="29628"/>
    <cellStyle name="20% - Accent6 2 4 4 2 2 2" xfId="29629"/>
    <cellStyle name="20% - Accent6 2 4 4 2 3" xfId="29630"/>
    <cellStyle name="20% - Accent6 2 4 4 2 3 2" xfId="29631"/>
    <cellStyle name="20% - Accent6 2 4 4 2 4" xfId="29632"/>
    <cellStyle name="20% - Accent6 2 4 4 2 5" xfId="29633"/>
    <cellStyle name="20% - Accent6 2 4 4 2 6" xfId="29634"/>
    <cellStyle name="20% - Accent6 2 4 4 2 7" xfId="29635"/>
    <cellStyle name="20% - Accent6 2 4 4 3" xfId="29636"/>
    <cellStyle name="20% - Accent6 2 4 4 3 2" xfId="29637"/>
    <cellStyle name="20% - Accent6 2 4 4 3 2 2" xfId="29638"/>
    <cellStyle name="20% - Accent6 2 4 4 3 3" xfId="29639"/>
    <cellStyle name="20% - Accent6 2 4 4 3 3 2" xfId="29640"/>
    <cellStyle name="20% - Accent6 2 4 4 3 4" xfId="29641"/>
    <cellStyle name="20% - Accent6 2 4 4 3 5" xfId="29642"/>
    <cellStyle name="20% - Accent6 2 4 4 3 6" xfId="29643"/>
    <cellStyle name="20% - Accent6 2 4 4 3 7" xfId="29644"/>
    <cellStyle name="20% - Accent6 2 4 4 4" xfId="29645"/>
    <cellStyle name="20% - Accent6 2 4 4 4 2" xfId="29646"/>
    <cellStyle name="20% - Accent6 2 4 4 4 2 2" xfId="29647"/>
    <cellStyle name="20% - Accent6 2 4 4 4 3" xfId="29648"/>
    <cellStyle name="20% - Accent6 2 4 4 4 3 2" xfId="29649"/>
    <cellStyle name="20% - Accent6 2 4 4 4 4" xfId="29650"/>
    <cellStyle name="20% - Accent6 2 4 4 4 5" xfId="29651"/>
    <cellStyle name="20% - Accent6 2 4 4 4 6" xfId="29652"/>
    <cellStyle name="20% - Accent6 2 4 4 4 7" xfId="29653"/>
    <cellStyle name="20% - Accent6 2 4 4 5" xfId="29654"/>
    <cellStyle name="20% - Accent6 2 4 4 5 2" xfId="29655"/>
    <cellStyle name="20% - Accent6 2 4 4 6" xfId="29656"/>
    <cellStyle name="20% - Accent6 2 4 4 6 2" xfId="29657"/>
    <cellStyle name="20% - Accent6 2 4 4 7" xfId="29658"/>
    <cellStyle name="20% - Accent6 2 4 4 8" xfId="29659"/>
    <cellStyle name="20% - Accent6 2 4 4 9" xfId="29660"/>
    <cellStyle name="20% - Accent6 2 4 5" xfId="29661"/>
    <cellStyle name="20% - Accent6 2 4 5 2" xfId="29662"/>
    <cellStyle name="20% - Accent6 2 4 5 2 2" xfId="29663"/>
    <cellStyle name="20% - Accent6 2 4 5 3" xfId="29664"/>
    <cellStyle name="20% - Accent6 2 4 5 3 2" xfId="29665"/>
    <cellStyle name="20% - Accent6 2 4 5 4" xfId="29666"/>
    <cellStyle name="20% - Accent6 2 4 5 5" xfId="29667"/>
    <cellStyle name="20% - Accent6 2 4 5 6" xfId="29668"/>
    <cellStyle name="20% - Accent6 2 4 5 7" xfId="29669"/>
    <cellStyle name="20% - Accent6 2 4 6" xfId="29670"/>
    <cellStyle name="20% - Accent6 2 4 6 2" xfId="29671"/>
    <cellStyle name="20% - Accent6 2 4 6 2 2" xfId="29672"/>
    <cellStyle name="20% - Accent6 2 4 6 3" xfId="29673"/>
    <cellStyle name="20% - Accent6 2 4 6 3 2" xfId="29674"/>
    <cellStyle name="20% - Accent6 2 4 6 4" xfId="29675"/>
    <cellStyle name="20% - Accent6 2 4 6 5" xfId="29676"/>
    <cellStyle name="20% - Accent6 2 4 6 6" xfId="29677"/>
    <cellStyle name="20% - Accent6 2 4 6 7" xfId="29678"/>
    <cellStyle name="20% - Accent6 2 4 7" xfId="29679"/>
    <cellStyle name="20% - Accent6 2 4 7 2" xfId="29680"/>
    <cellStyle name="20% - Accent6 2 4 7 2 2" xfId="29681"/>
    <cellStyle name="20% - Accent6 2 4 7 3" xfId="29682"/>
    <cellStyle name="20% - Accent6 2 4 7 3 2" xfId="29683"/>
    <cellStyle name="20% - Accent6 2 4 7 4" xfId="29684"/>
    <cellStyle name="20% - Accent6 2 4 7 5" xfId="29685"/>
    <cellStyle name="20% - Accent6 2 4 7 6" xfId="29686"/>
    <cellStyle name="20% - Accent6 2 4 7 7" xfId="29687"/>
    <cellStyle name="20% - Accent6 2 4 8" xfId="29688"/>
    <cellStyle name="20% - Accent6 2 4 8 2" xfId="29689"/>
    <cellStyle name="20% - Accent6 2 4 9" xfId="29690"/>
    <cellStyle name="20% - Accent6 2 4 9 2" xfId="29691"/>
    <cellStyle name="20% - Accent6 2 5" xfId="29692"/>
    <cellStyle name="20% - Accent6 2 5 10" xfId="29693"/>
    <cellStyle name="20% - Accent6 2 5 11" xfId="29694"/>
    <cellStyle name="20% - Accent6 2 5 12" xfId="29695"/>
    <cellStyle name="20% - Accent6 2 5 13" xfId="29696"/>
    <cellStyle name="20% - Accent6 2 5 2" xfId="29697"/>
    <cellStyle name="20% - Accent6 2 5 2 10" xfId="29698"/>
    <cellStyle name="20% - Accent6 2 5 2 11" xfId="29699"/>
    <cellStyle name="20% - Accent6 2 5 2 2" xfId="29700"/>
    <cellStyle name="20% - Accent6 2 5 2 2 10" xfId="29701"/>
    <cellStyle name="20% - Accent6 2 5 2 2 2" xfId="29702"/>
    <cellStyle name="20% - Accent6 2 5 2 2 2 2" xfId="29703"/>
    <cellStyle name="20% - Accent6 2 5 2 2 2 2 2" xfId="29704"/>
    <cellStyle name="20% - Accent6 2 5 2 2 2 3" xfId="29705"/>
    <cellStyle name="20% - Accent6 2 5 2 2 2 3 2" xfId="29706"/>
    <cellStyle name="20% - Accent6 2 5 2 2 2 4" xfId="29707"/>
    <cellStyle name="20% - Accent6 2 5 2 2 2 5" xfId="29708"/>
    <cellStyle name="20% - Accent6 2 5 2 2 2 6" xfId="29709"/>
    <cellStyle name="20% - Accent6 2 5 2 2 2 7" xfId="29710"/>
    <cellStyle name="20% - Accent6 2 5 2 2 3" xfId="29711"/>
    <cellStyle name="20% - Accent6 2 5 2 2 3 2" xfId="29712"/>
    <cellStyle name="20% - Accent6 2 5 2 2 3 2 2" xfId="29713"/>
    <cellStyle name="20% - Accent6 2 5 2 2 3 3" xfId="29714"/>
    <cellStyle name="20% - Accent6 2 5 2 2 3 3 2" xfId="29715"/>
    <cellStyle name="20% - Accent6 2 5 2 2 3 4" xfId="29716"/>
    <cellStyle name="20% - Accent6 2 5 2 2 3 5" xfId="29717"/>
    <cellStyle name="20% - Accent6 2 5 2 2 3 6" xfId="29718"/>
    <cellStyle name="20% - Accent6 2 5 2 2 3 7" xfId="29719"/>
    <cellStyle name="20% - Accent6 2 5 2 2 4" xfId="29720"/>
    <cellStyle name="20% - Accent6 2 5 2 2 4 2" xfId="29721"/>
    <cellStyle name="20% - Accent6 2 5 2 2 4 2 2" xfId="29722"/>
    <cellStyle name="20% - Accent6 2 5 2 2 4 3" xfId="29723"/>
    <cellStyle name="20% - Accent6 2 5 2 2 4 3 2" xfId="29724"/>
    <cellStyle name="20% - Accent6 2 5 2 2 4 4" xfId="29725"/>
    <cellStyle name="20% - Accent6 2 5 2 2 4 5" xfId="29726"/>
    <cellStyle name="20% - Accent6 2 5 2 2 4 6" xfId="29727"/>
    <cellStyle name="20% - Accent6 2 5 2 2 4 7" xfId="29728"/>
    <cellStyle name="20% - Accent6 2 5 2 2 5" xfId="29729"/>
    <cellStyle name="20% - Accent6 2 5 2 2 5 2" xfId="29730"/>
    <cellStyle name="20% - Accent6 2 5 2 2 6" xfId="29731"/>
    <cellStyle name="20% - Accent6 2 5 2 2 6 2" xfId="29732"/>
    <cellStyle name="20% - Accent6 2 5 2 2 7" xfId="29733"/>
    <cellStyle name="20% - Accent6 2 5 2 2 8" xfId="29734"/>
    <cellStyle name="20% - Accent6 2 5 2 2 9" xfId="29735"/>
    <cellStyle name="20% - Accent6 2 5 2 3" xfId="29736"/>
    <cellStyle name="20% - Accent6 2 5 2 3 2" xfId="29737"/>
    <cellStyle name="20% - Accent6 2 5 2 3 2 2" xfId="29738"/>
    <cellStyle name="20% - Accent6 2 5 2 3 3" xfId="29739"/>
    <cellStyle name="20% - Accent6 2 5 2 3 3 2" xfId="29740"/>
    <cellStyle name="20% - Accent6 2 5 2 3 4" xfId="29741"/>
    <cellStyle name="20% - Accent6 2 5 2 3 5" xfId="29742"/>
    <cellStyle name="20% - Accent6 2 5 2 3 6" xfId="29743"/>
    <cellStyle name="20% - Accent6 2 5 2 3 7" xfId="29744"/>
    <cellStyle name="20% - Accent6 2 5 2 4" xfId="29745"/>
    <cellStyle name="20% - Accent6 2 5 2 4 2" xfId="29746"/>
    <cellStyle name="20% - Accent6 2 5 2 4 2 2" xfId="29747"/>
    <cellStyle name="20% - Accent6 2 5 2 4 3" xfId="29748"/>
    <cellStyle name="20% - Accent6 2 5 2 4 3 2" xfId="29749"/>
    <cellStyle name="20% - Accent6 2 5 2 4 4" xfId="29750"/>
    <cellStyle name="20% - Accent6 2 5 2 4 5" xfId="29751"/>
    <cellStyle name="20% - Accent6 2 5 2 4 6" xfId="29752"/>
    <cellStyle name="20% - Accent6 2 5 2 4 7" xfId="29753"/>
    <cellStyle name="20% - Accent6 2 5 2 5" xfId="29754"/>
    <cellStyle name="20% - Accent6 2 5 2 5 2" xfId="29755"/>
    <cellStyle name="20% - Accent6 2 5 2 5 2 2" xfId="29756"/>
    <cellStyle name="20% - Accent6 2 5 2 5 3" xfId="29757"/>
    <cellStyle name="20% - Accent6 2 5 2 5 3 2" xfId="29758"/>
    <cellStyle name="20% - Accent6 2 5 2 5 4" xfId="29759"/>
    <cellStyle name="20% - Accent6 2 5 2 5 5" xfId="29760"/>
    <cellStyle name="20% - Accent6 2 5 2 5 6" xfId="29761"/>
    <cellStyle name="20% - Accent6 2 5 2 5 7" xfId="29762"/>
    <cellStyle name="20% - Accent6 2 5 2 6" xfId="29763"/>
    <cellStyle name="20% - Accent6 2 5 2 6 2" xfId="29764"/>
    <cellStyle name="20% - Accent6 2 5 2 7" xfId="29765"/>
    <cellStyle name="20% - Accent6 2 5 2 7 2" xfId="29766"/>
    <cellStyle name="20% - Accent6 2 5 2 8" xfId="29767"/>
    <cellStyle name="20% - Accent6 2 5 2 9" xfId="29768"/>
    <cellStyle name="20% - Accent6 2 5 3" xfId="29769"/>
    <cellStyle name="20% - Accent6 2 5 3 10" xfId="29770"/>
    <cellStyle name="20% - Accent6 2 5 3 11" xfId="29771"/>
    <cellStyle name="20% - Accent6 2 5 3 2" xfId="29772"/>
    <cellStyle name="20% - Accent6 2 5 3 2 10" xfId="29773"/>
    <cellStyle name="20% - Accent6 2 5 3 2 2" xfId="29774"/>
    <cellStyle name="20% - Accent6 2 5 3 2 2 2" xfId="29775"/>
    <cellStyle name="20% - Accent6 2 5 3 2 2 2 2" xfId="29776"/>
    <cellStyle name="20% - Accent6 2 5 3 2 2 3" xfId="29777"/>
    <cellStyle name="20% - Accent6 2 5 3 2 2 3 2" xfId="29778"/>
    <cellStyle name="20% - Accent6 2 5 3 2 2 4" xfId="29779"/>
    <cellStyle name="20% - Accent6 2 5 3 2 2 5" xfId="29780"/>
    <cellStyle name="20% - Accent6 2 5 3 2 2 6" xfId="29781"/>
    <cellStyle name="20% - Accent6 2 5 3 2 2 7" xfId="29782"/>
    <cellStyle name="20% - Accent6 2 5 3 2 3" xfId="29783"/>
    <cellStyle name="20% - Accent6 2 5 3 2 3 2" xfId="29784"/>
    <cellStyle name="20% - Accent6 2 5 3 2 3 2 2" xfId="29785"/>
    <cellStyle name="20% - Accent6 2 5 3 2 3 3" xfId="29786"/>
    <cellStyle name="20% - Accent6 2 5 3 2 3 3 2" xfId="29787"/>
    <cellStyle name="20% - Accent6 2 5 3 2 3 4" xfId="29788"/>
    <cellStyle name="20% - Accent6 2 5 3 2 3 5" xfId="29789"/>
    <cellStyle name="20% - Accent6 2 5 3 2 3 6" xfId="29790"/>
    <cellStyle name="20% - Accent6 2 5 3 2 3 7" xfId="29791"/>
    <cellStyle name="20% - Accent6 2 5 3 2 4" xfId="29792"/>
    <cellStyle name="20% - Accent6 2 5 3 2 4 2" xfId="29793"/>
    <cellStyle name="20% - Accent6 2 5 3 2 4 2 2" xfId="29794"/>
    <cellStyle name="20% - Accent6 2 5 3 2 4 3" xfId="29795"/>
    <cellStyle name="20% - Accent6 2 5 3 2 4 3 2" xfId="29796"/>
    <cellStyle name="20% - Accent6 2 5 3 2 4 4" xfId="29797"/>
    <cellStyle name="20% - Accent6 2 5 3 2 4 5" xfId="29798"/>
    <cellStyle name="20% - Accent6 2 5 3 2 4 6" xfId="29799"/>
    <cellStyle name="20% - Accent6 2 5 3 2 4 7" xfId="29800"/>
    <cellStyle name="20% - Accent6 2 5 3 2 5" xfId="29801"/>
    <cellStyle name="20% - Accent6 2 5 3 2 5 2" xfId="29802"/>
    <cellStyle name="20% - Accent6 2 5 3 2 6" xfId="29803"/>
    <cellStyle name="20% - Accent6 2 5 3 2 6 2" xfId="29804"/>
    <cellStyle name="20% - Accent6 2 5 3 2 7" xfId="29805"/>
    <cellStyle name="20% - Accent6 2 5 3 2 8" xfId="29806"/>
    <cellStyle name="20% - Accent6 2 5 3 2 9" xfId="29807"/>
    <cellStyle name="20% - Accent6 2 5 3 3" xfId="29808"/>
    <cellStyle name="20% - Accent6 2 5 3 3 2" xfId="29809"/>
    <cellStyle name="20% - Accent6 2 5 3 3 2 2" xfId="29810"/>
    <cellStyle name="20% - Accent6 2 5 3 3 3" xfId="29811"/>
    <cellStyle name="20% - Accent6 2 5 3 3 3 2" xfId="29812"/>
    <cellStyle name="20% - Accent6 2 5 3 3 4" xfId="29813"/>
    <cellStyle name="20% - Accent6 2 5 3 3 5" xfId="29814"/>
    <cellStyle name="20% - Accent6 2 5 3 3 6" xfId="29815"/>
    <cellStyle name="20% - Accent6 2 5 3 3 7" xfId="29816"/>
    <cellStyle name="20% - Accent6 2 5 3 4" xfId="29817"/>
    <cellStyle name="20% - Accent6 2 5 3 4 2" xfId="29818"/>
    <cellStyle name="20% - Accent6 2 5 3 4 2 2" xfId="29819"/>
    <cellStyle name="20% - Accent6 2 5 3 4 3" xfId="29820"/>
    <cellStyle name="20% - Accent6 2 5 3 4 3 2" xfId="29821"/>
    <cellStyle name="20% - Accent6 2 5 3 4 4" xfId="29822"/>
    <cellStyle name="20% - Accent6 2 5 3 4 5" xfId="29823"/>
    <cellStyle name="20% - Accent6 2 5 3 4 6" xfId="29824"/>
    <cellStyle name="20% - Accent6 2 5 3 4 7" xfId="29825"/>
    <cellStyle name="20% - Accent6 2 5 3 5" xfId="29826"/>
    <cellStyle name="20% - Accent6 2 5 3 5 2" xfId="29827"/>
    <cellStyle name="20% - Accent6 2 5 3 5 2 2" xfId="29828"/>
    <cellStyle name="20% - Accent6 2 5 3 5 3" xfId="29829"/>
    <cellStyle name="20% - Accent6 2 5 3 5 3 2" xfId="29830"/>
    <cellStyle name="20% - Accent6 2 5 3 5 4" xfId="29831"/>
    <cellStyle name="20% - Accent6 2 5 3 5 5" xfId="29832"/>
    <cellStyle name="20% - Accent6 2 5 3 5 6" xfId="29833"/>
    <cellStyle name="20% - Accent6 2 5 3 5 7" xfId="29834"/>
    <cellStyle name="20% - Accent6 2 5 3 6" xfId="29835"/>
    <cellStyle name="20% - Accent6 2 5 3 6 2" xfId="29836"/>
    <cellStyle name="20% - Accent6 2 5 3 7" xfId="29837"/>
    <cellStyle name="20% - Accent6 2 5 3 7 2" xfId="29838"/>
    <cellStyle name="20% - Accent6 2 5 3 8" xfId="29839"/>
    <cellStyle name="20% - Accent6 2 5 3 9" xfId="29840"/>
    <cellStyle name="20% - Accent6 2 5 4" xfId="29841"/>
    <cellStyle name="20% - Accent6 2 5 4 10" xfId="29842"/>
    <cellStyle name="20% - Accent6 2 5 4 2" xfId="29843"/>
    <cellStyle name="20% - Accent6 2 5 4 2 2" xfId="29844"/>
    <cellStyle name="20% - Accent6 2 5 4 2 2 2" xfId="29845"/>
    <cellStyle name="20% - Accent6 2 5 4 2 3" xfId="29846"/>
    <cellStyle name="20% - Accent6 2 5 4 2 3 2" xfId="29847"/>
    <cellStyle name="20% - Accent6 2 5 4 2 4" xfId="29848"/>
    <cellStyle name="20% - Accent6 2 5 4 2 5" xfId="29849"/>
    <cellStyle name="20% - Accent6 2 5 4 2 6" xfId="29850"/>
    <cellStyle name="20% - Accent6 2 5 4 2 7" xfId="29851"/>
    <cellStyle name="20% - Accent6 2 5 4 3" xfId="29852"/>
    <cellStyle name="20% - Accent6 2 5 4 3 2" xfId="29853"/>
    <cellStyle name="20% - Accent6 2 5 4 3 2 2" xfId="29854"/>
    <cellStyle name="20% - Accent6 2 5 4 3 3" xfId="29855"/>
    <cellStyle name="20% - Accent6 2 5 4 3 3 2" xfId="29856"/>
    <cellStyle name="20% - Accent6 2 5 4 3 4" xfId="29857"/>
    <cellStyle name="20% - Accent6 2 5 4 3 5" xfId="29858"/>
    <cellStyle name="20% - Accent6 2 5 4 3 6" xfId="29859"/>
    <cellStyle name="20% - Accent6 2 5 4 3 7" xfId="29860"/>
    <cellStyle name="20% - Accent6 2 5 4 4" xfId="29861"/>
    <cellStyle name="20% - Accent6 2 5 4 4 2" xfId="29862"/>
    <cellStyle name="20% - Accent6 2 5 4 4 2 2" xfId="29863"/>
    <cellStyle name="20% - Accent6 2 5 4 4 3" xfId="29864"/>
    <cellStyle name="20% - Accent6 2 5 4 4 3 2" xfId="29865"/>
    <cellStyle name="20% - Accent6 2 5 4 4 4" xfId="29866"/>
    <cellStyle name="20% - Accent6 2 5 4 4 5" xfId="29867"/>
    <cellStyle name="20% - Accent6 2 5 4 4 6" xfId="29868"/>
    <cellStyle name="20% - Accent6 2 5 4 4 7" xfId="29869"/>
    <cellStyle name="20% - Accent6 2 5 4 5" xfId="29870"/>
    <cellStyle name="20% - Accent6 2 5 4 5 2" xfId="29871"/>
    <cellStyle name="20% - Accent6 2 5 4 6" xfId="29872"/>
    <cellStyle name="20% - Accent6 2 5 4 6 2" xfId="29873"/>
    <cellStyle name="20% - Accent6 2 5 4 7" xfId="29874"/>
    <cellStyle name="20% - Accent6 2 5 4 8" xfId="29875"/>
    <cellStyle name="20% - Accent6 2 5 4 9" xfId="29876"/>
    <cellStyle name="20% - Accent6 2 5 5" xfId="29877"/>
    <cellStyle name="20% - Accent6 2 5 5 2" xfId="29878"/>
    <cellStyle name="20% - Accent6 2 5 5 2 2" xfId="29879"/>
    <cellStyle name="20% - Accent6 2 5 5 3" xfId="29880"/>
    <cellStyle name="20% - Accent6 2 5 5 3 2" xfId="29881"/>
    <cellStyle name="20% - Accent6 2 5 5 4" xfId="29882"/>
    <cellStyle name="20% - Accent6 2 5 5 5" xfId="29883"/>
    <cellStyle name="20% - Accent6 2 5 5 6" xfId="29884"/>
    <cellStyle name="20% - Accent6 2 5 5 7" xfId="29885"/>
    <cellStyle name="20% - Accent6 2 5 6" xfId="29886"/>
    <cellStyle name="20% - Accent6 2 5 6 2" xfId="29887"/>
    <cellStyle name="20% - Accent6 2 5 6 2 2" xfId="29888"/>
    <cellStyle name="20% - Accent6 2 5 6 3" xfId="29889"/>
    <cellStyle name="20% - Accent6 2 5 6 3 2" xfId="29890"/>
    <cellStyle name="20% - Accent6 2 5 6 4" xfId="29891"/>
    <cellStyle name="20% - Accent6 2 5 6 5" xfId="29892"/>
    <cellStyle name="20% - Accent6 2 5 6 6" xfId="29893"/>
    <cellStyle name="20% - Accent6 2 5 6 7" xfId="29894"/>
    <cellStyle name="20% - Accent6 2 5 7" xfId="29895"/>
    <cellStyle name="20% - Accent6 2 5 7 2" xfId="29896"/>
    <cellStyle name="20% - Accent6 2 5 7 2 2" xfId="29897"/>
    <cellStyle name="20% - Accent6 2 5 7 3" xfId="29898"/>
    <cellStyle name="20% - Accent6 2 5 7 3 2" xfId="29899"/>
    <cellStyle name="20% - Accent6 2 5 7 4" xfId="29900"/>
    <cellStyle name="20% - Accent6 2 5 7 5" xfId="29901"/>
    <cellStyle name="20% - Accent6 2 5 7 6" xfId="29902"/>
    <cellStyle name="20% - Accent6 2 5 7 7" xfId="29903"/>
    <cellStyle name="20% - Accent6 2 5 8" xfId="29904"/>
    <cellStyle name="20% - Accent6 2 5 8 2" xfId="29905"/>
    <cellStyle name="20% - Accent6 2 5 9" xfId="29906"/>
    <cellStyle name="20% - Accent6 2 5 9 2" xfId="29907"/>
    <cellStyle name="20% - Accent6 2 6" xfId="29908"/>
    <cellStyle name="20% - Accent6 2 6 10" xfId="29909"/>
    <cellStyle name="20% - Accent6 2 6 11" xfId="29910"/>
    <cellStyle name="20% - Accent6 2 6 12" xfId="29911"/>
    <cellStyle name="20% - Accent6 2 6 13" xfId="29912"/>
    <cellStyle name="20% - Accent6 2 6 2" xfId="29913"/>
    <cellStyle name="20% - Accent6 2 6 2 10" xfId="29914"/>
    <cellStyle name="20% - Accent6 2 6 2 11" xfId="29915"/>
    <cellStyle name="20% - Accent6 2 6 2 2" xfId="29916"/>
    <cellStyle name="20% - Accent6 2 6 2 2 10" xfId="29917"/>
    <cellStyle name="20% - Accent6 2 6 2 2 2" xfId="29918"/>
    <cellStyle name="20% - Accent6 2 6 2 2 2 2" xfId="29919"/>
    <cellStyle name="20% - Accent6 2 6 2 2 2 2 2" xfId="29920"/>
    <cellStyle name="20% - Accent6 2 6 2 2 2 3" xfId="29921"/>
    <cellStyle name="20% - Accent6 2 6 2 2 2 3 2" xfId="29922"/>
    <cellStyle name="20% - Accent6 2 6 2 2 2 4" xfId="29923"/>
    <cellStyle name="20% - Accent6 2 6 2 2 2 5" xfId="29924"/>
    <cellStyle name="20% - Accent6 2 6 2 2 2 6" xfId="29925"/>
    <cellStyle name="20% - Accent6 2 6 2 2 2 7" xfId="29926"/>
    <cellStyle name="20% - Accent6 2 6 2 2 3" xfId="29927"/>
    <cellStyle name="20% - Accent6 2 6 2 2 3 2" xfId="29928"/>
    <cellStyle name="20% - Accent6 2 6 2 2 3 2 2" xfId="29929"/>
    <cellStyle name="20% - Accent6 2 6 2 2 3 3" xfId="29930"/>
    <cellStyle name="20% - Accent6 2 6 2 2 3 3 2" xfId="29931"/>
    <cellStyle name="20% - Accent6 2 6 2 2 3 4" xfId="29932"/>
    <cellStyle name="20% - Accent6 2 6 2 2 3 5" xfId="29933"/>
    <cellStyle name="20% - Accent6 2 6 2 2 3 6" xfId="29934"/>
    <cellStyle name="20% - Accent6 2 6 2 2 3 7" xfId="29935"/>
    <cellStyle name="20% - Accent6 2 6 2 2 4" xfId="29936"/>
    <cellStyle name="20% - Accent6 2 6 2 2 4 2" xfId="29937"/>
    <cellStyle name="20% - Accent6 2 6 2 2 4 2 2" xfId="29938"/>
    <cellStyle name="20% - Accent6 2 6 2 2 4 3" xfId="29939"/>
    <cellStyle name="20% - Accent6 2 6 2 2 4 3 2" xfId="29940"/>
    <cellStyle name="20% - Accent6 2 6 2 2 4 4" xfId="29941"/>
    <cellStyle name="20% - Accent6 2 6 2 2 4 5" xfId="29942"/>
    <cellStyle name="20% - Accent6 2 6 2 2 4 6" xfId="29943"/>
    <cellStyle name="20% - Accent6 2 6 2 2 4 7" xfId="29944"/>
    <cellStyle name="20% - Accent6 2 6 2 2 5" xfId="29945"/>
    <cellStyle name="20% - Accent6 2 6 2 2 5 2" xfId="29946"/>
    <cellStyle name="20% - Accent6 2 6 2 2 6" xfId="29947"/>
    <cellStyle name="20% - Accent6 2 6 2 2 6 2" xfId="29948"/>
    <cellStyle name="20% - Accent6 2 6 2 2 7" xfId="29949"/>
    <cellStyle name="20% - Accent6 2 6 2 2 8" xfId="29950"/>
    <cellStyle name="20% - Accent6 2 6 2 2 9" xfId="29951"/>
    <cellStyle name="20% - Accent6 2 6 2 3" xfId="29952"/>
    <cellStyle name="20% - Accent6 2 6 2 3 2" xfId="29953"/>
    <cellStyle name="20% - Accent6 2 6 2 3 2 2" xfId="29954"/>
    <cellStyle name="20% - Accent6 2 6 2 3 3" xfId="29955"/>
    <cellStyle name="20% - Accent6 2 6 2 3 3 2" xfId="29956"/>
    <cellStyle name="20% - Accent6 2 6 2 3 4" xfId="29957"/>
    <cellStyle name="20% - Accent6 2 6 2 3 5" xfId="29958"/>
    <cellStyle name="20% - Accent6 2 6 2 3 6" xfId="29959"/>
    <cellStyle name="20% - Accent6 2 6 2 3 7" xfId="29960"/>
    <cellStyle name="20% - Accent6 2 6 2 4" xfId="29961"/>
    <cellStyle name="20% - Accent6 2 6 2 4 2" xfId="29962"/>
    <cellStyle name="20% - Accent6 2 6 2 4 2 2" xfId="29963"/>
    <cellStyle name="20% - Accent6 2 6 2 4 3" xfId="29964"/>
    <cellStyle name="20% - Accent6 2 6 2 4 3 2" xfId="29965"/>
    <cellStyle name="20% - Accent6 2 6 2 4 4" xfId="29966"/>
    <cellStyle name="20% - Accent6 2 6 2 4 5" xfId="29967"/>
    <cellStyle name="20% - Accent6 2 6 2 4 6" xfId="29968"/>
    <cellStyle name="20% - Accent6 2 6 2 4 7" xfId="29969"/>
    <cellStyle name="20% - Accent6 2 6 2 5" xfId="29970"/>
    <cellStyle name="20% - Accent6 2 6 2 5 2" xfId="29971"/>
    <cellStyle name="20% - Accent6 2 6 2 5 2 2" xfId="29972"/>
    <cellStyle name="20% - Accent6 2 6 2 5 3" xfId="29973"/>
    <cellStyle name="20% - Accent6 2 6 2 5 3 2" xfId="29974"/>
    <cellStyle name="20% - Accent6 2 6 2 5 4" xfId="29975"/>
    <cellStyle name="20% - Accent6 2 6 2 5 5" xfId="29976"/>
    <cellStyle name="20% - Accent6 2 6 2 5 6" xfId="29977"/>
    <cellStyle name="20% - Accent6 2 6 2 5 7" xfId="29978"/>
    <cellStyle name="20% - Accent6 2 6 2 6" xfId="29979"/>
    <cellStyle name="20% - Accent6 2 6 2 6 2" xfId="29980"/>
    <cellStyle name="20% - Accent6 2 6 2 7" xfId="29981"/>
    <cellStyle name="20% - Accent6 2 6 2 7 2" xfId="29982"/>
    <cellStyle name="20% - Accent6 2 6 2 8" xfId="29983"/>
    <cellStyle name="20% - Accent6 2 6 2 9" xfId="29984"/>
    <cellStyle name="20% - Accent6 2 6 3" xfId="29985"/>
    <cellStyle name="20% - Accent6 2 6 3 10" xfId="29986"/>
    <cellStyle name="20% - Accent6 2 6 3 11" xfId="29987"/>
    <cellStyle name="20% - Accent6 2 6 3 2" xfId="29988"/>
    <cellStyle name="20% - Accent6 2 6 3 2 10" xfId="29989"/>
    <cellStyle name="20% - Accent6 2 6 3 2 2" xfId="29990"/>
    <cellStyle name="20% - Accent6 2 6 3 2 2 2" xfId="29991"/>
    <cellStyle name="20% - Accent6 2 6 3 2 2 2 2" xfId="29992"/>
    <cellStyle name="20% - Accent6 2 6 3 2 2 3" xfId="29993"/>
    <cellStyle name="20% - Accent6 2 6 3 2 2 3 2" xfId="29994"/>
    <cellStyle name="20% - Accent6 2 6 3 2 2 4" xfId="29995"/>
    <cellStyle name="20% - Accent6 2 6 3 2 2 5" xfId="29996"/>
    <cellStyle name="20% - Accent6 2 6 3 2 2 6" xfId="29997"/>
    <cellStyle name="20% - Accent6 2 6 3 2 2 7" xfId="29998"/>
    <cellStyle name="20% - Accent6 2 6 3 2 3" xfId="29999"/>
    <cellStyle name="20% - Accent6 2 6 3 2 3 2" xfId="30000"/>
    <cellStyle name="20% - Accent6 2 6 3 2 3 2 2" xfId="30001"/>
    <cellStyle name="20% - Accent6 2 6 3 2 3 3" xfId="30002"/>
    <cellStyle name="20% - Accent6 2 6 3 2 3 3 2" xfId="30003"/>
    <cellStyle name="20% - Accent6 2 6 3 2 3 4" xfId="30004"/>
    <cellStyle name="20% - Accent6 2 6 3 2 3 5" xfId="30005"/>
    <cellStyle name="20% - Accent6 2 6 3 2 3 6" xfId="30006"/>
    <cellStyle name="20% - Accent6 2 6 3 2 3 7" xfId="30007"/>
    <cellStyle name="20% - Accent6 2 6 3 2 4" xfId="30008"/>
    <cellStyle name="20% - Accent6 2 6 3 2 4 2" xfId="30009"/>
    <cellStyle name="20% - Accent6 2 6 3 2 4 2 2" xfId="30010"/>
    <cellStyle name="20% - Accent6 2 6 3 2 4 3" xfId="30011"/>
    <cellStyle name="20% - Accent6 2 6 3 2 4 3 2" xfId="30012"/>
    <cellStyle name="20% - Accent6 2 6 3 2 4 4" xfId="30013"/>
    <cellStyle name="20% - Accent6 2 6 3 2 4 5" xfId="30014"/>
    <cellStyle name="20% - Accent6 2 6 3 2 4 6" xfId="30015"/>
    <cellStyle name="20% - Accent6 2 6 3 2 4 7" xfId="30016"/>
    <cellStyle name="20% - Accent6 2 6 3 2 5" xfId="30017"/>
    <cellStyle name="20% - Accent6 2 6 3 2 5 2" xfId="30018"/>
    <cellStyle name="20% - Accent6 2 6 3 2 6" xfId="30019"/>
    <cellStyle name="20% - Accent6 2 6 3 2 6 2" xfId="30020"/>
    <cellStyle name="20% - Accent6 2 6 3 2 7" xfId="30021"/>
    <cellStyle name="20% - Accent6 2 6 3 2 8" xfId="30022"/>
    <cellStyle name="20% - Accent6 2 6 3 2 9" xfId="30023"/>
    <cellStyle name="20% - Accent6 2 6 3 3" xfId="30024"/>
    <cellStyle name="20% - Accent6 2 6 3 3 2" xfId="30025"/>
    <cellStyle name="20% - Accent6 2 6 3 3 2 2" xfId="30026"/>
    <cellStyle name="20% - Accent6 2 6 3 3 3" xfId="30027"/>
    <cellStyle name="20% - Accent6 2 6 3 3 3 2" xfId="30028"/>
    <cellStyle name="20% - Accent6 2 6 3 3 4" xfId="30029"/>
    <cellStyle name="20% - Accent6 2 6 3 3 5" xfId="30030"/>
    <cellStyle name="20% - Accent6 2 6 3 3 6" xfId="30031"/>
    <cellStyle name="20% - Accent6 2 6 3 3 7" xfId="30032"/>
    <cellStyle name="20% - Accent6 2 6 3 4" xfId="30033"/>
    <cellStyle name="20% - Accent6 2 6 3 4 2" xfId="30034"/>
    <cellStyle name="20% - Accent6 2 6 3 4 2 2" xfId="30035"/>
    <cellStyle name="20% - Accent6 2 6 3 4 3" xfId="30036"/>
    <cellStyle name="20% - Accent6 2 6 3 4 3 2" xfId="30037"/>
    <cellStyle name="20% - Accent6 2 6 3 4 4" xfId="30038"/>
    <cellStyle name="20% - Accent6 2 6 3 4 5" xfId="30039"/>
    <cellStyle name="20% - Accent6 2 6 3 4 6" xfId="30040"/>
    <cellStyle name="20% - Accent6 2 6 3 4 7" xfId="30041"/>
    <cellStyle name="20% - Accent6 2 6 3 5" xfId="30042"/>
    <cellStyle name="20% - Accent6 2 6 3 5 2" xfId="30043"/>
    <cellStyle name="20% - Accent6 2 6 3 5 2 2" xfId="30044"/>
    <cellStyle name="20% - Accent6 2 6 3 5 3" xfId="30045"/>
    <cellStyle name="20% - Accent6 2 6 3 5 3 2" xfId="30046"/>
    <cellStyle name="20% - Accent6 2 6 3 5 4" xfId="30047"/>
    <cellStyle name="20% - Accent6 2 6 3 5 5" xfId="30048"/>
    <cellStyle name="20% - Accent6 2 6 3 5 6" xfId="30049"/>
    <cellStyle name="20% - Accent6 2 6 3 5 7" xfId="30050"/>
    <cellStyle name="20% - Accent6 2 6 3 6" xfId="30051"/>
    <cellStyle name="20% - Accent6 2 6 3 6 2" xfId="30052"/>
    <cellStyle name="20% - Accent6 2 6 3 7" xfId="30053"/>
    <cellStyle name="20% - Accent6 2 6 3 7 2" xfId="30054"/>
    <cellStyle name="20% - Accent6 2 6 3 8" xfId="30055"/>
    <cellStyle name="20% - Accent6 2 6 3 9" xfId="30056"/>
    <cellStyle name="20% - Accent6 2 6 4" xfId="30057"/>
    <cellStyle name="20% - Accent6 2 6 4 10" xfId="30058"/>
    <cellStyle name="20% - Accent6 2 6 4 2" xfId="30059"/>
    <cellStyle name="20% - Accent6 2 6 4 2 2" xfId="30060"/>
    <cellStyle name="20% - Accent6 2 6 4 2 2 2" xfId="30061"/>
    <cellStyle name="20% - Accent6 2 6 4 2 3" xfId="30062"/>
    <cellStyle name="20% - Accent6 2 6 4 2 3 2" xfId="30063"/>
    <cellStyle name="20% - Accent6 2 6 4 2 4" xfId="30064"/>
    <cellStyle name="20% - Accent6 2 6 4 2 5" xfId="30065"/>
    <cellStyle name="20% - Accent6 2 6 4 2 6" xfId="30066"/>
    <cellStyle name="20% - Accent6 2 6 4 2 7" xfId="30067"/>
    <cellStyle name="20% - Accent6 2 6 4 3" xfId="30068"/>
    <cellStyle name="20% - Accent6 2 6 4 3 2" xfId="30069"/>
    <cellStyle name="20% - Accent6 2 6 4 3 2 2" xfId="30070"/>
    <cellStyle name="20% - Accent6 2 6 4 3 3" xfId="30071"/>
    <cellStyle name="20% - Accent6 2 6 4 3 3 2" xfId="30072"/>
    <cellStyle name="20% - Accent6 2 6 4 3 4" xfId="30073"/>
    <cellStyle name="20% - Accent6 2 6 4 3 5" xfId="30074"/>
    <cellStyle name="20% - Accent6 2 6 4 3 6" xfId="30075"/>
    <cellStyle name="20% - Accent6 2 6 4 3 7" xfId="30076"/>
    <cellStyle name="20% - Accent6 2 6 4 4" xfId="30077"/>
    <cellStyle name="20% - Accent6 2 6 4 4 2" xfId="30078"/>
    <cellStyle name="20% - Accent6 2 6 4 4 2 2" xfId="30079"/>
    <cellStyle name="20% - Accent6 2 6 4 4 3" xfId="30080"/>
    <cellStyle name="20% - Accent6 2 6 4 4 3 2" xfId="30081"/>
    <cellStyle name="20% - Accent6 2 6 4 4 4" xfId="30082"/>
    <cellStyle name="20% - Accent6 2 6 4 4 5" xfId="30083"/>
    <cellStyle name="20% - Accent6 2 6 4 4 6" xfId="30084"/>
    <cellStyle name="20% - Accent6 2 6 4 4 7" xfId="30085"/>
    <cellStyle name="20% - Accent6 2 6 4 5" xfId="30086"/>
    <cellStyle name="20% - Accent6 2 6 4 5 2" xfId="30087"/>
    <cellStyle name="20% - Accent6 2 6 4 6" xfId="30088"/>
    <cellStyle name="20% - Accent6 2 6 4 6 2" xfId="30089"/>
    <cellStyle name="20% - Accent6 2 6 4 7" xfId="30090"/>
    <cellStyle name="20% - Accent6 2 6 4 8" xfId="30091"/>
    <cellStyle name="20% - Accent6 2 6 4 9" xfId="30092"/>
    <cellStyle name="20% - Accent6 2 6 5" xfId="30093"/>
    <cellStyle name="20% - Accent6 2 6 5 2" xfId="30094"/>
    <cellStyle name="20% - Accent6 2 6 5 2 2" xfId="30095"/>
    <cellStyle name="20% - Accent6 2 6 5 3" xfId="30096"/>
    <cellStyle name="20% - Accent6 2 6 5 3 2" xfId="30097"/>
    <cellStyle name="20% - Accent6 2 6 5 4" xfId="30098"/>
    <cellStyle name="20% - Accent6 2 6 5 5" xfId="30099"/>
    <cellStyle name="20% - Accent6 2 6 5 6" xfId="30100"/>
    <cellStyle name="20% - Accent6 2 6 5 7" xfId="30101"/>
    <cellStyle name="20% - Accent6 2 6 6" xfId="30102"/>
    <cellStyle name="20% - Accent6 2 6 6 2" xfId="30103"/>
    <cellStyle name="20% - Accent6 2 6 6 2 2" xfId="30104"/>
    <cellStyle name="20% - Accent6 2 6 6 3" xfId="30105"/>
    <cellStyle name="20% - Accent6 2 6 6 3 2" xfId="30106"/>
    <cellStyle name="20% - Accent6 2 6 6 4" xfId="30107"/>
    <cellStyle name="20% - Accent6 2 6 6 5" xfId="30108"/>
    <cellStyle name="20% - Accent6 2 6 6 6" xfId="30109"/>
    <cellStyle name="20% - Accent6 2 6 6 7" xfId="30110"/>
    <cellStyle name="20% - Accent6 2 6 7" xfId="30111"/>
    <cellStyle name="20% - Accent6 2 6 7 2" xfId="30112"/>
    <cellStyle name="20% - Accent6 2 6 7 2 2" xfId="30113"/>
    <cellStyle name="20% - Accent6 2 6 7 3" xfId="30114"/>
    <cellStyle name="20% - Accent6 2 6 7 3 2" xfId="30115"/>
    <cellStyle name="20% - Accent6 2 6 7 4" xfId="30116"/>
    <cellStyle name="20% - Accent6 2 6 7 5" xfId="30117"/>
    <cellStyle name="20% - Accent6 2 6 7 6" xfId="30118"/>
    <cellStyle name="20% - Accent6 2 6 7 7" xfId="30119"/>
    <cellStyle name="20% - Accent6 2 6 8" xfId="30120"/>
    <cellStyle name="20% - Accent6 2 6 8 2" xfId="30121"/>
    <cellStyle name="20% - Accent6 2 6 9" xfId="30122"/>
    <cellStyle name="20% - Accent6 2 6 9 2" xfId="30123"/>
    <cellStyle name="20% - Accent6 2 7" xfId="30124"/>
    <cellStyle name="20% - Accent6 2 7 10" xfId="30125"/>
    <cellStyle name="20% - Accent6 2 7 11" xfId="30126"/>
    <cellStyle name="20% - Accent6 2 7 2" xfId="30127"/>
    <cellStyle name="20% - Accent6 2 7 2 10" xfId="30128"/>
    <cellStyle name="20% - Accent6 2 7 2 2" xfId="30129"/>
    <cellStyle name="20% - Accent6 2 7 2 2 2" xfId="30130"/>
    <cellStyle name="20% - Accent6 2 7 2 2 2 2" xfId="30131"/>
    <cellStyle name="20% - Accent6 2 7 2 2 3" xfId="30132"/>
    <cellStyle name="20% - Accent6 2 7 2 2 3 2" xfId="30133"/>
    <cellStyle name="20% - Accent6 2 7 2 2 4" xfId="30134"/>
    <cellStyle name="20% - Accent6 2 7 2 2 5" xfId="30135"/>
    <cellStyle name="20% - Accent6 2 7 2 2 6" xfId="30136"/>
    <cellStyle name="20% - Accent6 2 7 2 2 7" xfId="30137"/>
    <cellStyle name="20% - Accent6 2 7 2 3" xfId="30138"/>
    <cellStyle name="20% - Accent6 2 7 2 3 2" xfId="30139"/>
    <cellStyle name="20% - Accent6 2 7 2 3 2 2" xfId="30140"/>
    <cellStyle name="20% - Accent6 2 7 2 3 3" xfId="30141"/>
    <cellStyle name="20% - Accent6 2 7 2 3 3 2" xfId="30142"/>
    <cellStyle name="20% - Accent6 2 7 2 3 4" xfId="30143"/>
    <cellStyle name="20% - Accent6 2 7 2 3 5" xfId="30144"/>
    <cellStyle name="20% - Accent6 2 7 2 3 6" xfId="30145"/>
    <cellStyle name="20% - Accent6 2 7 2 3 7" xfId="30146"/>
    <cellStyle name="20% - Accent6 2 7 2 4" xfId="30147"/>
    <cellStyle name="20% - Accent6 2 7 2 4 2" xfId="30148"/>
    <cellStyle name="20% - Accent6 2 7 2 4 2 2" xfId="30149"/>
    <cellStyle name="20% - Accent6 2 7 2 4 3" xfId="30150"/>
    <cellStyle name="20% - Accent6 2 7 2 4 3 2" xfId="30151"/>
    <cellStyle name="20% - Accent6 2 7 2 4 4" xfId="30152"/>
    <cellStyle name="20% - Accent6 2 7 2 4 5" xfId="30153"/>
    <cellStyle name="20% - Accent6 2 7 2 4 6" xfId="30154"/>
    <cellStyle name="20% - Accent6 2 7 2 4 7" xfId="30155"/>
    <cellStyle name="20% - Accent6 2 7 2 5" xfId="30156"/>
    <cellStyle name="20% - Accent6 2 7 2 5 2" xfId="30157"/>
    <cellStyle name="20% - Accent6 2 7 2 6" xfId="30158"/>
    <cellStyle name="20% - Accent6 2 7 2 6 2" xfId="30159"/>
    <cellStyle name="20% - Accent6 2 7 2 7" xfId="30160"/>
    <cellStyle name="20% - Accent6 2 7 2 8" xfId="30161"/>
    <cellStyle name="20% - Accent6 2 7 2 9" xfId="30162"/>
    <cellStyle name="20% - Accent6 2 7 3" xfId="30163"/>
    <cellStyle name="20% - Accent6 2 7 3 2" xfId="30164"/>
    <cellStyle name="20% - Accent6 2 7 3 2 2" xfId="30165"/>
    <cellStyle name="20% - Accent6 2 7 3 3" xfId="30166"/>
    <cellStyle name="20% - Accent6 2 7 3 3 2" xfId="30167"/>
    <cellStyle name="20% - Accent6 2 7 3 4" xfId="30168"/>
    <cellStyle name="20% - Accent6 2 7 3 5" xfId="30169"/>
    <cellStyle name="20% - Accent6 2 7 3 6" xfId="30170"/>
    <cellStyle name="20% - Accent6 2 7 3 7" xfId="30171"/>
    <cellStyle name="20% - Accent6 2 7 4" xfId="30172"/>
    <cellStyle name="20% - Accent6 2 7 4 2" xfId="30173"/>
    <cellStyle name="20% - Accent6 2 7 4 2 2" xfId="30174"/>
    <cellStyle name="20% - Accent6 2 7 4 3" xfId="30175"/>
    <cellStyle name="20% - Accent6 2 7 4 3 2" xfId="30176"/>
    <cellStyle name="20% - Accent6 2 7 4 4" xfId="30177"/>
    <cellStyle name="20% - Accent6 2 7 4 5" xfId="30178"/>
    <cellStyle name="20% - Accent6 2 7 4 6" xfId="30179"/>
    <cellStyle name="20% - Accent6 2 7 4 7" xfId="30180"/>
    <cellStyle name="20% - Accent6 2 7 5" xfId="30181"/>
    <cellStyle name="20% - Accent6 2 7 5 2" xfId="30182"/>
    <cellStyle name="20% - Accent6 2 7 5 2 2" xfId="30183"/>
    <cellStyle name="20% - Accent6 2 7 5 3" xfId="30184"/>
    <cellStyle name="20% - Accent6 2 7 5 3 2" xfId="30185"/>
    <cellStyle name="20% - Accent6 2 7 5 4" xfId="30186"/>
    <cellStyle name="20% - Accent6 2 7 5 5" xfId="30187"/>
    <cellStyle name="20% - Accent6 2 7 5 6" xfId="30188"/>
    <cellStyle name="20% - Accent6 2 7 5 7" xfId="30189"/>
    <cellStyle name="20% - Accent6 2 7 6" xfId="30190"/>
    <cellStyle name="20% - Accent6 2 7 6 2" xfId="30191"/>
    <cellStyle name="20% - Accent6 2 7 7" xfId="30192"/>
    <cellStyle name="20% - Accent6 2 7 7 2" xfId="30193"/>
    <cellStyle name="20% - Accent6 2 7 8" xfId="30194"/>
    <cellStyle name="20% - Accent6 2 7 9" xfId="30195"/>
    <cellStyle name="20% - Accent6 2 8" xfId="30196"/>
    <cellStyle name="20% - Accent6 2 8 10" xfId="30197"/>
    <cellStyle name="20% - Accent6 2 8 11" xfId="30198"/>
    <cellStyle name="20% - Accent6 2 8 2" xfId="30199"/>
    <cellStyle name="20% - Accent6 2 8 2 10" xfId="30200"/>
    <cellStyle name="20% - Accent6 2 8 2 2" xfId="30201"/>
    <cellStyle name="20% - Accent6 2 8 2 2 2" xfId="30202"/>
    <cellStyle name="20% - Accent6 2 8 2 2 2 2" xfId="30203"/>
    <cellStyle name="20% - Accent6 2 8 2 2 3" xfId="30204"/>
    <cellStyle name="20% - Accent6 2 8 2 2 3 2" xfId="30205"/>
    <cellStyle name="20% - Accent6 2 8 2 2 4" xfId="30206"/>
    <cellStyle name="20% - Accent6 2 8 2 2 5" xfId="30207"/>
    <cellStyle name="20% - Accent6 2 8 2 2 6" xfId="30208"/>
    <cellStyle name="20% - Accent6 2 8 2 2 7" xfId="30209"/>
    <cellStyle name="20% - Accent6 2 8 2 3" xfId="30210"/>
    <cellStyle name="20% - Accent6 2 8 2 3 2" xfId="30211"/>
    <cellStyle name="20% - Accent6 2 8 2 3 2 2" xfId="30212"/>
    <cellStyle name="20% - Accent6 2 8 2 3 3" xfId="30213"/>
    <cellStyle name="20% - Accent6 2 8 2 3 3 2" xfId="30214"/>
    <cellStyle name="20% - Accent6 2 8 2 3 4" xfId="30215"/>
    <cellStyle name="20% - Accent6 2 8 2 3 5" xfId="30216"/>
    <cellStyle name="20% - Accent6 2 8 2 3 6" xfId="30217"/>
    <cellStyle name="20% - Accent6 2 8 2 3 7" xfId="30218"/>
    <cellStyle name="20% - Accent6 2 8 2 4" xfId="30219"/>
    <cellStyle name="20% - Accent6 2 8 2 4 2" xfId="30220"/>
    <cellStyle name="20% - Accent6 2 8 2 4 2 2" xfId="30221"/>
    <cellStyle name="20% - Accent6 2 8 2 4 3" xfId="30222"/>
    <cellStyle name="20% - Accent6 2 8 2 4 3 2" xfId="30223"/>
    <cellStyle name="20% - Accent6 2 8 2 4 4" xfId="30224"/>
    <cellStyle name="20% - Accent6 2 8 2 4 5" xfId="30225"/>
    <cellStyle name="20% - Accent6 2 8 2 4 6" xfId="30226"/>
    <cellStyle name="20% - Accent6 2 8 2 4 7" xfId="30227"/>
    <cellStyle name="20% - Accent6 2 8 2 5" xfId="30228"/>
    <cellStyle name="20% - Accent6 2 8 2 5 2" xfId="30229"/>
    <cellStyle name="20% - Accent6 2 8 2 6" xfId="30230"/>
    <cellStyle name="20% - Accent6 2 8 2 6 2" xfId="30231"/>
    <cellStyle name="20% - Accent6 2 8 2 7" xfId="30232"/>
    <cellStyle name="20% - Accent6 2 8 2 8" xfId="30233"/>
    <cellStyle name="20% - Accent6 2 8 2 9" xfId="30234"/>
    <cellStyle name="20% - Accent6 2 8 3" xfId="30235"/>
    <cellStyle name="20% - Accent6 2 8 3 2" xfId="30236"/>
    <cellStyle name="20% - Accent6 2 8 3 2 2" xfId="30237"/>
    <cellStyle name="20% - Accent6 2 8 3 3" xfId="30238"/>
    <cellStyle name="20% - Accent6 2 8 3 3 2" xfId="30239"/>
    <cellStyle name="20% - Accent6 2 8 3 4" xfId="30240"/>
    <cellStyle name="20% - Accent6 2 8 3 5" xfId="30241"/>
    <cellStyle name="20% - Accent6 2 8 3 6" xfId="30242"/>
    <cellStyle name="20% - Accent6 2 8 3 7" xfId="30243"/>
    <cellStyle name="20% - Accent6 2 8 4" xfId="30244"/>
    <cellStyle name="20% - Accent6 2 8 4 2" xfId="30245"/>
    <cellStyle name="20% - Accent6 2 8 4 2 2" xfId="30246"/>
    <cellStyle name="20% - Accent6 2 8 4 3" xfId="30247"/>
    <cellStyle name="20% - Accent6 2 8 4 3 2" xfId="30248"/>
    <cellStyle name="20% - Accent6 2 8 4 4" xfId="30249"/>
    <cellStyle name="20% - Accent6 2 8 4 5" xfId="30250"/>
    <cellStyle name="20% - Accent6 2 8 4 6" xfId="30251"/>
    <cellStyle name="20% - Accent6 2 8 4 7" xfId="30252"/>
    <cellStyle name="20% - Accent6 2 8 5" xfId="30253"/>
    <cellStyle name="20% - Accent6 2 8 5 2" xfId="30254"/>
    <cellStyle name="20% - Accent6 2 8 5 2 2" xfId="30255"/>
    <cellStyle name="20% - Accent6 2 8 5 3" xfId="30256"/>
    <cellStyle name="20% - Accent6 2 8 5 3 2" xfId="30257"/>
    <cellStyle name="20% - Accent6 2 8 5 4" xfId="30258"/>
    <cellStyle name="20% - Accent6 2 8 5 5" xfId="30259"/>
    <cellStyle name="20% - Accent6 2 8 5 6" xfId="30260"/>
    <cellStyle name="20% - Accent6 2 8 5 7" xfId="30261"/>
    <cellStyle name="20% - Accent6 2 8 6" xfId="30262"/>
    <cellStyle name="20% - Accent6 2 8 6 2" xfId="30263"/>
    <cellStyle name="20% - Accent6 2 8 7" xfId="30264"/>
    <cellStyle name="20% - Accent6 2 8 7 2" xfId="30265"/>
    <cellStyle name="20% - Accent6 2 8 8" xfId="30266"/>
    <cellStyle name="20% - Accent6 2 8 9" xfId="30267"/>
    <cellStyle name="20% - Accent6 2 9" xfId="30268"/>
    <cellStyle name="20% - Accent6 2 9 10" xfId="30269"/>
    <cellStyle name="20% - Accent6 2 9 2" xfId="30270"/>
    <cellStyle name="20% - Accent6 2 9 2 2" xfId="30271"/>
    <cellStyle name="20% - Accent6 2 9 2 2 2" xfId="30272"/>
    <cellStyle name="20% - Accent6 2 9 2 3" xfId="30273"/>
    <cellStyle name="20% - Accent6 2 9 2 3 2" xfId="30274"/>
    <cellStyle name="20% - Accent6 2 9 2 4" xfId="30275"/>
    <cellStyle name="20% - Accent6 2 9 2 5" xfId="30276"/>
    <cellStyle name="20% - Accent6 2 9 2 6" xfId="30277"/>
    <cellStyle name="20% - Accent6 2 9 2 7" xfId="30278"/>
    <cellStyle name="20% - Accent6 2 9 3" xfId="30279"/>
    <cellStyle name="20% - Accent6 2 9 3 2" xfId="30280"/>
    <cellStyle name="20% - Accent6 2 9 3 2 2" xfId="30281"/>
    <cellStyle name="20% - Accent6 2 9 3 3" xfId="30282"/>
    <cellStyle name="20% - Accent6 2 9 3 3 2" xfId="30283"/>
    <cellStyle name="20% - Accent6 2 9 3 4" xfId="30284"/>
    <cellStyle name="20% - Accent6 2 9 3 5" xfId="30285"/>
    <cellStyle name="20% - Accent6 2 9 3 6" xfId="30286"/>
    <cellStyle name="20% - Accent6 2 9 3 7" xfId="30287"/>
    <cellStyle name="20% - Accent6 2 9 4" xfId="30288"/>
    <cellStyle name="20% - Accent6 2 9 4 2" xfId="30289"/>
    <cellStyle name="20% - Accent6 2 9 4 2 2" xfId="30290"/>
    <cellStyle name="20% - Accent6 2 9 4 3" xfId="30291"/>
    <cellStyle name="20% - Accent6 2 9 4 3 2" xfId="30292"/>
    <cellStyle name="20% - Accent6 2 9 4 4" xfId="30293"/>
    <cellStyle name="20% - Accent6 2 9 4 5" xfId="30294"/>
    <cellStyle name="20% - Accent6 2 9 4 6" xfId="30295"/>
    <cellStyle name="20% - Accent6 2 9 4 7" xfId="30296"/>
    <cellStyle name="20% - Accent6 2 9 5" xfId="30297"/>
    <cellStyle name="20% - Accent6 2 9 5 2" xfId="30298"/>
    <cellStyle name="20% - Accent6 2 9 6" xfId="30299"/>
    <cellStyle name="20% - Accent6 2 9 6 2" xfId="30300"/>
    <cellStyle name="20% - Accent6 2 9 7" xfId="30301"/>
    <cellStyle name="20% - Accent6 2 9 8" xfId="30302"/>
    <cellStyle name="20% - Accent6 2 9 9" xfId="30303"/>
    <cellStyle name="20% - Accent6 2_10-15-10-Stmt AU - Period I - Working 1 0" xfId="219"/>
    <cellStyle name="20% - Accent6 3" xfId="220"/>
    <cellStyle name="20% - Accent6 3 10" xfId="30304"/>
    <cellStyle name="20% - Accent6 3 10 2" xfId="30305"/>
    <cellStyle name="20% - Accent6 3 10 2 2" xfId="30306"/>
    <cellStyle name="20% - Accent6 3 10 3" xfId="30307"/>
    <cellStyle name="20% - Accent6 3 10 3 2" xfId="30308"/>
    <cellStyle name="20% - Accent6 3 10 4" xfId="30309"/>
    <cellStyle name="20% - Accent6 3 10 5" xfId="30310"/>
    <cellStyle name="20% - Accent6 3 10 6" xfId="30311"/>
    <cellStyle name="20% - Accent6 3 10 7" xfId="30312"/>
    <cellStyle name="20% - Accent6 3 11" xfId="30313"/>
    <cellStyle name="20% - Accent6 3 11 2" xfId="30314"/>
    <cellStyle name="20% - Accent6 3 11 2 2" xfId="30315"/>
    <cellStyle name="20% - Accent6 3 11 3" xfId="30316"/>
    <cellStyle name="20% - Accent6 3 11 3 2" xfId="30317"/>
    <cellStyle name="20% - Accent6 3 11 4" xfId="30318"/>
    <cellStyle name="20% - Accent6 3 11 5" xfId="30319"/>
    <cellStyle name="20% - Accent6 3 11 6" xfId="30320"/>
    <cellStyle name="20% - Accent6 3 11 7" xfId="30321"/>
    <cellStyle name="20% - Accent6 3 12" xfId="30322"/>
    <cellStyle name="20% - Accent6 3 12 2" xfId="30323"/>
    <cellStyle name="20% - Accent6 3 12 2 2" xfId="30324"/>
    <cellStyle name="20% - Accent6 3 12 3" xfId="30325"/>
    <cellStyle name="20% - Accent6 3 12 3 2" xfId="30326"/>
    <cellStyle name="20% - Accent6 3 12 4" xfId="30327"/>
    <cellStyle name="20% - Accent6 3 12 5" xfId="30328"/>
    <cellStyle name="20% - Accent6 3 12 6" xfId="30329"/>
    <cellStyle name="20% - Accent6 3 12 7" xfId="30330"/>
    <cellStyle name="20% - Accent6 3 13" xfId="30331"/>
    <cellStyle name="20% - Accent6 3 13 2" xfId="30332"/>
    <cellStyle name="20% - Accent6 3 14" xfId="30333"/>
    <cellStyle name="20% - Accent6 3 14 2" xfId="30334"/>
    <cellStyle name="20% - Accent6 3 15" xfId="30335"/>
    <cellStyle name="20% - Accent6 3 16" xfId="30336"/>
    <cellStyle name="20% - Accent6 3 17" xfId="30337"/>
    <cellStyle name="20% - Accent6 3 18" xfId="30338"/>
    <cellStyle name="20% - Accent6 3 2" xfId="221"/>
    <cellStyle name="20% - Accent6 3 2 10" xfId="30339"/>
    <cellStyle name="20% - Accent6 3 2 11" xfId="30340"/>
    <cellStyle name="20% - Accent6 3 2 12" xfId="30341"/>
    <cellStyle name="20% - Accent6 3 2 13" xfId="30342"/>
    <cellStyle name="20% - Accent6 3 2 2" xfId="30343"/>
    <cellStyle name="20% - Accent6 3 2 2 10" xfId="30344"/>
    <cellStyle name="20% - Accent6 3 2 2 11" xfId="30345"/>
    <cellStyle name="20% - Accent6 3 2 2 2" xfId="30346"/>
    <cellStyle name="20% - Accent6 3 2 2 2 10" xfId="30347"/>
    <cellStyle name="20% - Accent6 3 2 2 2 2" xfId="30348"/>
    <cellStyle name="20% - Accent6 3 2 2 2 2 2" xfId="30349"/>
    <cellStyle name="20% - Accent6 3 2 2 2 2 2 2" xfId="30350"/>
    <cellStyle name="20% - Accent6 3 2 2 2 2 3" xfId="30351"/>
    <cellStyle name="20% - Accent6 3 2 2 2 2 3 2" xfId="30352"/>
    <cellStyle name="20% - Accent6 3 2 2 2 2 4" xfId="30353"/>
    <cellStyle name="20% - Accent6 3 2 2 2 2 5" xfId="30354"/>
    <cellStyle name="20% - Accent6 3 2 2 2 2 6" xfId="30355"/>
    <cellStyle name="20% - Accent6 3 2 2 2 2 7" xfId="30356"/>
    <cellStyle name="20% - Accent6 3 2 2 2 3" xfId="30357"/>
    <cellStyle name="20% - Accent6 3 2 2 2 3 2" xfId="30358"/>
    <cellStyle name="20% - Accent6 3 2 2 2 3 2 2" xfId="30359"/>
    <cellStyle name="20% - Accent6 3 2 2 2 3 3" xfId="30360"/>
    <cellStyle name="20% - Accent6 3 2 2 2 3 3 2" xfId="30361"/>
    <cellStyle name="20% - Accent6 3 2 2 2 3 4" xfId="30362"/>
    <cellStyle name="20% - Accent6 3 2 2 2 3 5" xfId="30363"/>
    <cellStyle name="20% - Accent6 3 2 2 2 3 6" xfId="30364"/>
    <cellStyle name="20% - Accent6 3 2 2 2 3 7" xfId="30365"/>
    <cellStyle name="20% - Accent6 3 2 2 2 4" xfId="30366"/>
    <cellStyle name="20% - Accent6 3 2 2 2 4 2" xfId="30367"/>
    <cellStyle name="20% - Accent6 3 2 2 2 4 2 2" xfId="30368"/>
    <cellStyle name="20% - Accent6 3 2 2 2 4 3" xfId="30369"/>
    <cellStyle name="20% - Accent6 3 2 2 2 4 3 2" xfId="30370"/>
    <cellStyle name="20% - Accent6 3 2 2 2 4 4" xfId="30371"/>
    <cellStyle name="20% - Accent6 3 2 2 2 4 5" xfId="30372"/>
    <cellStyle name="20% - Accent6 3 2 2 2 4 6" xfId="30373"/>
    <cellStyle name="20% - Accent6 3 2 2 2 4 7" xfId="30374"/>
    <cellStyle name="20% - Accent6 3 2 2 2 5" xfId="30375"/>
    <cellStyle name="20% - Accent6 3 2 2 2 5 2" xfId="30376"/>
    <cellStyle name="20% - Accent6 3 2 2 2 6" xfId="30377"/>
    <cellStyle name="20% - Accent6 3 2 2 2 6 2" xfId="30378"/>
    <cellStyle name="20% - Accent6 3 2 2 2 7" xfId="30379"/>
    <cellStyle name="20% - Accent6 3 2 2 2 8" xfId="30380"/>
    <cellStyle name="20% - Accent6 3 2 2 2 9" xfId="30381"/>
    <cellStyle name="20% - Accent6 3 2 2 3" xfId="30382"/>
    <cellStyle name="20% - Accent6 3 2 2 3 2" xfId="30383"/>
    <cellStyle name="20% - Accent6 3 2 2 3 2 2" xfId="30384"/>
    <cellStyle name="20% - Accent6 3 2 2 3 3" xfId="30385"/>
    <cellStyle name="20% - Accent6 3 2 2 3 3 2" xfId="30386"/>
    <cellStyle name="20% - Accent6 3 2 2 3 4" xfId="30387"/>
    <cellStyle name="20% - Accent6 3 2 2 3 5" xfId="30388"/>
    <cellStyle name="20% - Accent6 3 2 2 3 6" xfId="30389"/>
    <cellStyle name="20% - Accent6 3 2 2 3 7" xfId="30390"/>
    <cellStyle name="20% - Accent6 3 2 2 4" xfId="30391"/>
    <cellStyle name="20% - Accent6 3 2 2 4 2" xfId="30392"/>
    <cellStyle name="20% - Accent6 3 2 2 4 2 2" xfId="30393"/>
    <cellStyle name="20% - Accent6 3 2 2 4 3" xfId="30394"/>
    <cellStyle name="20% - Accent6 3 2 2 4 3 2" xfId="30395"/>
    <cellStyle name="20% - Accent6 3 2 2 4 4" xfId="30396"/>
    <cellStyle name="20% - Accent6 3 2 2 4 5" xfId="30397"/>
    <cellStyle name="20% - Accent6 3 2 2 4 6" xfId="30398"/>
    <cellStyle name="20% - Accent6 3 2 2 4 7" xfId="30399"/>
    <cellStyle name="20% - Accent6 3 2 2 5" xfId="30400"/>
    <cellStyle name="20% - Accent6 3 2 2 5 2" xfId="30401"/>
    <cellStyle name="20% - Accent6 3 2 2 5 2 2" xfId="30402"/>
    <cellStyle name="20% - Accent6 3 2 2 5 3" xfId="30403"/>
    <cellStyle name="20% - Accent6 3 2 2 5 3 2" xfId="30404"/>
    <cellStyle name="20% - Accent6 3 2 2 5 4" xfId="30405"/>
    <cellStyle name="20% - Accent6 3 2 2 5 5" xfId="30406"/>
    <cellStyle name="20% - Accent6 3 2 2 5 6" xfId="30407"/>
    <cellStyle name="20% - Accent6 3 2 2 5 7" xfId="30408"/>
    <cellStyle name="20% - Accent6 3 2 2 6" xfId="30409"/>
    <cellStyle name="20% - Accent6 3 2 2 6 2" xfId="30410"/>
    <cellStyle name="20% - Accent6 3 2 2 7" xfId="30411"/>
    <cellStyle name="20% - Accent6 3 2 2 7 2" xfId="30412"/>
    <cellStyle name="20% - Accent6 3 2 2 8" xfId="30413"/>
    <cellStyle name="20% - Accent6 3 2 2 9" xfId="30414"/>
    <cellStyle name="20% - Accent6 3 2 3" xfId="30415"/>
    <cellStyle name="20% - Accent6 3 2 3 10" xfId="30416"/>
    <cellStyle name="20% - Accent6 3 2 3 11" xfId="30417"/>
    <cellStyle name="20% - Accent6 3 2 3 2" xfId="30418"/>
    <cellStyle name="20% - Accent6 3 2 3 2 10" xfId="30419"/>
    <cellStyle name="20% - Accent6 3 2 3 2 2" xfId="30420"/>
    <cellStyle name="20% - Accent6 3 2 3 2 2 2" xfId="30421"/>
    <cellStyle name="20% - Accent6 3 2 3 2 2 2 2" xfId="30422"/>
    <cellStyle name="20% - Accent6 3 2 3 2 2 3" xfId="30423"/>
    <cellStyle name="20% - Accent6 3 2 3 2 2 3 2" xfId="30424"/>
    <cellStyle name="20% - Accent6 3 2 3 2 2 4" xfId="30425"/>
    <cellStyle name="20% - Accent6 3 2 3 2 2 5" xfId="30426"/>
    <cellStyle name="20% - Accent6 3 2 3 2 2 6" xfId="30427"/>
    <cellStyle name="20% - Accent6 3 2 3 2 2 7" xfId="30428"/>
    <cellStyle name="20% - Accent6 3 2 3 2 3" xfId="30429"/>
    <cellStyle name="20% - Accent6 3 2 3 2 3 2" xfId="30430"/>
    <cellStyle name="20% - Accent6 3 2 3 2 3 2 2" xfId="30431"/>
    <cellStyle name="20% - Accent6 3 2 3 2 3 3" xfId="30432"/>
    <cellStyle name="20% - Accent6 3 2 3 2 3 3 2" xfId="30433"/>
    <cellStyle name="20% - Accent6 3 2 3 2 3 4" xfId="30434"/>
    <cellStyle name="20% - Accent6 3 2 3 2 3 5" xfId="30435"/>
    <cellStyle name="20% - Accent6 3 2 3 2 3 6" xfId="30436"/>
    <cellStyle name="20% - Accent6 3 2 3 2 3 7" xfId="30437"/>
    <cellStyle name="20% - Accent6 3 2 3 2 4" xfId="30438"/>
    <cellStyle name="20% - Accent6 3 2 3 2 4 2" xfId="30439"/>
    <cellStyle name="20% - Accent6 3 2 3 2 4 2 2" xfId="30440"/>
    <cellStyle name="20% - Accent6 3 2 3 2 4 3" xfId="30441"/>
    <cellStyle name="20% - Accent6 3 2 3 2 4 3 2" xfId="30442"/>
    <cellStyle name="20% - Accent6 3 2 3 2 4 4" xfId="30443"/>
    <cellStyle name="20% - Accent6 3 2 3 2 4 5" xfId="30444"/>
    <cellStyle name="20% - Accent6 3 2 3 2 4 6" xfId="30445"/>
    <cellStyle name="20% - Accent6 3 2 3 2 4 7" xfId="30446"/>
    <cellStyle name="20% - Accent6 3 2 3 2 5" xfId="30447"/>
    <cellStyle name="20% - Accent6 3 2 3 2 5 2" xfId="30448"/>
    <cellStyle name="20% - Accent6 3 2 3 2 6" xfId="30449"/>
    <cellStyle name="20% - Accent6 3 2 3 2 6 2" xfId="30450"/>
    <cellStyle name="20% - Accent6 3 2 3 2 7" xfId="30451"/>
    <cellStyle name="20% - Accent6 3 2 3 2 8" xfId="30452"/>
    <cellStyle name="20% - Accent6 3 2 3 2 9" xfId="30453"/>
    <cellStyle name="20% - Accent6 3 2 3 3" xfId="30454"/>
    <cellStyle name="20% - Accent6 3 2 3 3 2" xfId="30455"/>
    <cellStyle name="20% - Accent6 3 2 3 3 2 2" xfId="30456"/>
    <cellStyle name="20% - Accent6 3 2 3 3 3" xfId="30457"/>
    <cellStyle name="20% - Accent6 3 2 3 3 3 2" xfId="30458"/>
    <cellStyle name="20% - Accent6 3 2 3 3 4" xfId="30459"/>
    <cellStyle name="20% - Accent6 3 2 3 3 5" xfId="30460"/>
    <cellStyle name="20% - Accent6 3 2 3 3 6" xfId="30461"/>
    <cellStyle name="20% - Accent6 3 2 3 3 7" xfId="30462"/>
    <cellStyle name="20% - Accent6 3 2 3 4" xfId="30463"/>
    <cellStyle name="20% - Accent6 3 2 3 4 2" xfId="30464"/>
    <cellStyle name="20% - Accent6 3 2 3 4 2 2" xfId="30465"/>
    <cellStyle name="20% - Accent6 3 2 3 4 3" xfId="30466"/>
    <cellStyle name="20% - Accent6 3 2 3 4 3 2" xfId="30467"/>
    <cellStyle name="20% - Accent6 3 2 3 4 4" xfId="30468"/>
    <cellStyle name="20% - Accent6 3 2 3 4 5" xfId="30469"/>
    <cellStyle name="20% - Accent6 3 2 3 4 6" xfId="30470"/>
    <cellStyle name="20% - Accent6 3 2 3 4 7" xfId="30471"/>
    <cellStyle name="20% - Accent6 3 2 3 5" xfId="30472"/>
    <cellStyle name="20% - Accent6 3 2 3 5 2" xfId="30473"/>
    <cellStyle name="20% - Accent6 3 2 3 5 2 2" xfId="30474"/>
    <cellStyle name="20% - Accent6 3 2 3 5 3" xfId="30475"/>
    <cellStyle name="20% - Accent6 3 2 3 5 3 2" xfId="30476"/>
    <cellStyle name="20% - Accent6 3 2 3 5 4" xfId="30477"/>
    <cellStyle name="20% - Accent6 3 2 3 5 5" xfId="30478"/>
    <cellStyle name="20% - Accent6 3 2 3 5 6" xfId="30479"/>
    <cellStyle name="20% - Accent6 3 2 3 5 7" xfId="30480"/>
    <cellStyle name="20% - Accent6 3 2 3 6" xfId="30481"/>
    <cellStyle name="20% - Accent6 3 2 3 6 2" xfId="30482"/>
    <cellStyle name="20% - Accent6 3 2 3 7" xfId="30483"/>
    <cellStyle name="20% - Accent6 3 2 3 7 2" xfId="30484"/>
    <cellStyle name="20% - Accent6 3 2 3 8" xfId="30485"/>
    <cellStyle name="20% - Accent6 3 2 3 9" xfId="30486"/>
    <cellStyle name="20% - Accent6 3 2 4" xfId="30487"/>
    <cellStyle name="20% - Accent6 3 2 4 10" xfId="30488"/>
    <cellStyle name="20% - Accent6 3 2 4 2" xfId="30489"/>
    <cellStyle name="20% - Accent6 3 2 4 2 2" xfId="30490"/>
    <cellStyle name="20% - Accent6 3 2 4 2 2 2" xfId="30491"/>
    <cellStyle name="20% - Accent6 3 2 4 2 3" xfId="30492"/>
    <cellStyle name="20% - Accent6 3 2 4 2 3 2" xfId="30493"/>
    <cellStyle name="20% - Accent6 3 2 4 2 4" xfId="30494"/>
    <cellStyle name="20% - Accent6 3 2 4 2 5" xfId="30495"/>
    <cellStyle name="20% - Accent6 3 2 4 2 6" xfId="30496"/>
    <cellStyle name="20% - Accent6 3 2 4 2 7" xfId="30497"/>
    <cellStyle name="20% - Accent6 3 2 4 3" xfId="30498"/>
    <cellStyle name="20% - Accent6 3 2 4 3 2" xfId="30499"/>
    <cellStyle name="20% - Accent6 3 2 4 3 2 2" xfId="30500"/>
    <cellStyle name="20% - Accent6 3 2 4 3 3" xfId="30501"/>
    <cellStyle name="20% - Accent6 3 2 4 3 3 2" xfId="30502"/>
    <cellStyle name="20% - Accent6 3 2 4 3 4" xfId="30503"/>
    <cellStyle name="20% - Accent6 3 2 4 3 5" xfId="30504"/>
    <cellStyle name="20% - Accent6 3 2 4 3 6" xfId="30505"/>
    <cellStyle name="20% - Accent6 3 2 4 3 7" xfId="30506"/>
    <cellStyle name="20% - Accent6 3 2 4 4" xfId="30507"/>
    <cellStyle name="20% - Accent6 3 2 4 4 2" xfId="30508"/>
    <cellStyle name="20% - Accent6 3 2 4 4 2 2" xfId="30509"/>
    <cellStyle name="20% - Accent6 3 2 4 4 3" xfId="30510"/>
    <cellStyle name="20% - Accent6 3 2 4 4 3 2" xfId="30511"/>
    <cellStyle name="20% - Accent6 3 2 4 4 4" xfId="30512"/>
    <cellStyle name="20% - Accent6 3 2 4 4 5" xfId="30513"/>
    <cellStyle name="20% - Accent6 3 2 4 4 6" xfId="30514"/>
    <cellStyle name="20% - Accent6 3 2 4 4 7" xfId="30515"/>
    <cellStyle name="20% - Accent6 3 2 4 5" xfId="30516"/>
    <cellStyle name="20% - Accent6 3 2 4 5 2" xfId="30517"/>
    <cellStyle name="20% - Accent6 3 2 4 6" xfId="30518"/>
    <cellStyle name="20% - Accent6 3 2 4 6 2" xfId="30519"/>
    <cellStyle name="20% - Accent6 3 2 4 7" xfId="30520"/>
    <cellStyle name="20% - Accent6 3 2 4 8" xfId="30521"/>
    <cellStyle name="20% - Accent6 3 2 4 9" xfId="30522"/>
    <cellStyle name="20% - Accent6 3 2 5" xfId="30523"/>
    <cellStyle name="20% - Accent6 3 2 5 2" xfId="30524"/>
    <cellStyle name="20% - Accent6 3 2 5 2 2" xfId="30525"/>
    <cellStyle name="20% - Accent6 3 2 5 3" xfId="30526"/>
    <cellStyle name="20% - Accent6 3 2 5 3 2" xfId="30527"/>
    <cellStyle name="20% - Accent6 3 2 5 4" xfId="30528"/>
    <cellStyle name="20% - Accent6 3 2 5 5" xfId="30529"/>
    <cellStyle name="20% - Accent6 3 2 5 6" xfId="30530"/>
    <cellStyle name="20% - Accent6 3 2 5 7" xfId="30531"/>
    <cellStyle name="20% - Accent6 3 2 6" xfId="30532"/>
    <cellStyle name="20% - Accent6 3 2 6 2" xfId="30533"/>
    <cellStyle name="20% - Accent6 3 2 6 2 2" xfId="30534"/>
    <cellStyle name="20% - Accent6 3 2 6 3" xfId="30535"/>
    <cellStyle name="20% - Accent6 3 2 6 3 2" xfId="30536"/>
    <cellStyle name="20% - Accent6 3 2 6 4" xfId="30537"/>
    <cellStyle name="20% - Accent6 3 2 6 5" xfId="30538"/>
    <cellStyle name="20% - Accent6 3 2 6 6" xfId="30539"/>
    <cellStyle name="20% - Accent6 3 2 6 7" xfId="30540"/>
    <cellStyle name="20% - Accent6 3 2 7" xfId="30541"/>
    <cellStyle name="20% - Accent6 3 2 7 2" xfId="30542"/>
    <cellStyle name="20% - Accent6 3 2 7 2 2" xfId="30543"/>
    <cellStyle name="20% - Accent6 3 2 7 3" xfId="30544"/>
    <cellStyle name="20% - Accent6 3 2 7 3 2" xfId="30545"/>
    <cellStyle name="20% - Accent6 3 2 7 4" xfId="30546"/>
    <cellStyle name="20% - Accent6 3 2 7 5" xfId="30547"/>
    <cellStyle name="20% - Accent6 3 2 7 6" xfId="30548"/>
    <cellStyle name="20% - Accent6 3 2 7 7" xfId="30549"/>
    <cellStyle name="20% - Accent6 3 2 8" xfId="30550"/>
    <cellStyle name="20% - Accent6 3 2 8 2" xfId="30551"/>
    <cellStyle name="20% - Accent6 3 2 9" xfId="30552"/>
    <cellStyle name="20% - Accent6 3 2 9 2" xfId="30553"/>
    <cellStyle name="20% - Accent6 3 3" xfId="222"/>
    <cellStyle name="20% - Accent6 3 3 10" xfId="30554"/>
    <cellStyle name="20% - Accent6 3 3 11" xfId="30555"/>
    <cellStyle name="20% - Accent6 3 3 12" xfId="30556"/>
    <cellStyle name="20% - Accent6 3 3 13" xfId="30557"/>
    <cellStyle name="20% - Accent6 3 3 2" xfId="30558"/>
    <cellStyle name="20% - Accent6 3 3 2 10" xfId="30559"/>
    <cellStyle name="20% - Accent6 3 3 2 11" xfId="30560"/>
    <cellStyle name="20% - Accent6 3 3 2 2" xfId="30561"/>
    <cellStyle name="20% - Accent6 3 3 2 2 10" xfId="30562"/>
    <cellStyle name="20% - Accent6 3 3 2 2 2" xfId="30563"/>
    <cellStyle name="20% - Accent6 3 3 2 2 2 2" xfId="30564"/>
    <cellStyle name="20% - Accent6 3 3 2 2 2 2 2" xfId="30565"/>
    <cellStyle name="20% - Accent6 3 3 2 2 2 3" xfId="30566"/>
    <cellStyle name="20% - Accent6 3 3 2 2 2 3 2" xfId="30567"/>
    <cellStyle name="20% - Accent6 3 3 2 2 2 4" xfId="30568"/>
    <cellStyle name="20% - Accent6 3 3 2 2 2 5" xfId="30569"/>
    <cellStyle name="20% - Accent6 3 3 2 2 2 6" xfId="30570"/>
    <cellStyle name="20% - Accent6 3 3 2 2 2 7" xfId="30571"/>
    <cellStyle name="20% - Accent6 3 3 2 2 3" xfId="30572"/>
    <cellStyle name="20% - Accent6 3 3 2 2 3 2" xfId="30573"/>
    <cellStyle name="20% - Accent6 3 3 2 2 3 2 2" xfId="30574"/>
    <cellStyle name="20% - Accent6 3 3 2 2 3 3" xfId="30575"/>
    <cellStyle name="20% - Accent6 3 3 2 2 3 3 2" xfId="30576"/>
    <cellStyle name="20% - Accent6 3 3 2 2 3 4" xfId="30577"/>
    <cellStyle name="20% - Accent6 3 3 2 2 3 5" xfId="30578"/>
    <cellStyle name="20% - Accent6 3 3 2 2 3 6" xfId="30579"/>
    <cellStyle name="20% - Accent6 3 3 2 2 3 7" xfId="30580"/>
    <cellStyle name="20% - Accent6 3 3 2 2 4" xfId="30581"/>
    <cellStyle name="20% - Accent6 3 3 2 2 4 2" xfId="30582"/>
    <cellStyle name="20% - Accent6 3 3 2 2 4 2 2" xfId="30583"/>
    <cellStyle name="20% - Accent6 3 3 2 2 4 3" xfId="30584"/>
    <cellStyle name="20% - Accent6 3 3 2 2 4 3 2" xfId="30585"/>
    <cellStyle name="20% - Accent6 3 3 2 2 4 4" xfId="30586"/>
    <cellStyle name="20% - Accent6 3 3 2 2 4 5" xfId="30587"/>
    <cellStyle name="20% - Accent6 3 3 2 2 4 6" xfId="30588"/>
    <cellStyle name="20% - Accent6 3 3 2 2 4 7" xfId="30589"/>
    <cellStyle name="20% - Accent6 3 3 2 2 5" xfId="30590"/>
    <cellStyle name="20% - Accent6 3 3 2 2 5 2" xfId="30591"/>
    <cellStyle name="20% - Accent6 3 3 2 2 6" xfId="30592"/>
    <cellStyle name="20% - Accent6 3 3 2 2 6 2" xfId="30593"/>
    <cellStyle name="20% - Accent6 3 3 2 2 7" xfId="30594"/>
    <cellStyle name="20% - Accent6 3 3 2 2 8" xfId="30595"/>
    <cellStyle name="20% - Accent6 3 3 2 2 9" xfId="30596"/>
    <cellStyle name="20% - Accent6 3 3 2 3" xfId="30597"/>
    <cellStyle name="20% - Accent6 3 3 2 3 2" xfId="30598"/>
    <cellStyle name="20% - Accent6 3 3 2 3 2 2" xfId="30599"/>
    <cellStyle name="20% - Accent6 3 3 2 3 3" xfId="30600"/>
    <cellStyle name="20% - Accent6 3 3 2 3 3 2" xfId="30601"/>
    <cellStyle name="20% - Accent6 3 3 2 3 4" xfId="30602"/>
    <cellStyle name="20% - Accent6 3 3 2 3 5" xfId="30603"/>
    <cellStyle name="20% - Accent6 3 3 2 3 6" xfId="30604"/>
    <cellStyle name="20% - Accent6 3 3 2 3 7" xfId="30605"/>
    <cellStyle name="20% - Accent6 3 3 2 4" xfId="30606"/>
    <cellStyle name="20% - Accent6 3 3 2 4 2" xfId="30607"/>
    <cellStyle name="20% - Accent6 3 3 2 4 2 2" xfId="30608"/>
    <cellStyle name="20% - Accent6 3 3 2 4 3" xfId="30609"/>
    <cellStyle name="20% - Accent6 3 3 2 4 3 2" xfId="30610"/>
    <cellStyle name="20% - Accent6 3 3 2 4 4" xfId="30611"/>
    <cellStyle name="20% - Accent6 3 3 2 4 5" xfId="30612"/>
    <cellStyle name="20% - Accent6 3 3 2 4 6" xfId="30613"/>
    <cellStyle name="20% - Accent6 3 3 2 4 7" xfId="30614"/>
    <cellStyle name="20% - Accent6 3 3 2 5" xfId="30615"/>
    <cellStyle name="20% - Accent6 3 3 2 5 2" xfId="30616"/>
    <cellStyle name="20% - Accent6 3 3 2 5 2 2" xfId="30617"/>
    <cellStyle name="20% - Accent6 3 3 2 5 3" xfId="30618"/>
    <cellStyle name="20% - Accent6 3 3 2 5 3 2" xfId="30619"/>
    <cellStyle name="20% - Accent6 3 3 2 5 4" xfId="30620"/>
    <cellStyle name="20% - Accent6 3 3 2 5 5" xfId="30621"/>
    <cellStyle name="20% - Accent6 3 3 2 5 6" xfId="30622"/>
    <cellStyle name="20% - Accent6 3 3 2 5 7" xfId="30623"/>
    <cellStyle name="20% - Accent6 3 3 2 6" xfId="30624"/>
    <cellStyle name="20% - Accent6 3 3 2 6 2" xfId="30625"/>
    <cellStyle name="20% - Accent6 3 3 2 7" xfId="30626"/>
    <cellStyle name="20% - Accent6 3 3 2 7 2" xfId="30627"/>
    <cellStyle name="20% - Accent6 3 3 2 8" xfId="30628"/>
    <cellStyle name="20% - Accent6 3 3 2 9" xfId="30629"/>
    <cellStyle name="20% - Accent6 3 3 3" xfId="30630"/>
    <cellStyle name="20% - Accent6 3 3 3 10" xfId="30631"/>
    <cellStyle name="20% - Accent6 3 3 3 11" xfId="30632"/>
    <cellStyle name="20% - Accent6 3 3 3 2" xfId="30633"/>
    <cellStyle name="20% - Accent6 3 3 3 2 10" xfId="30634"/>
    <cellStyle name="20% - Accent6 3 3 3 2 2" xfId="30635"/>
    <cellStyle name="20% - Accent6 3 3 3 2 2 2" xfId="30636"/>
    <cellStyle name="20% - Accent6 3 3 3 2 2 2 2" xfId="30637"/>
    <cellStyle name="20% - Accent6 3 3 3 2 2 3" xfId="30638"/>
    <cellStyle name="20% - Accent6 3 3 3 2 2 3 2" xfId="30639"/>
    <cellStyle name="20% - Accent6 3 3 3 2 2 4" xfId="30640"/>
    <cellStyle name="20% - Accent6 3 3 3 2 2 5" xfId="30641"/>
    <cellStyle name="20% - Accent6 3 3 3 2 2 6" xfId="30642"/>
    <cellStyle name="20% - Accent6 3 3 3 2 2 7" xfId="30643"/>
    <cellStyle name="20% - Accent6 3 3 3 2 3" xfId="30644"/>
    <cellStyle name="20% - Accent6 3 3 3 2 3 2" xfId="30645"/>
    <cellStyle name="20% - Accent6 3 3 3 2 3 2 2" xfId="30646"/>
    <cellStyle name="20% - Accent6 3 3 3 2 3 3" xfId="30647"/>
    <cellStyle name="20% - Accent6 3 3 3 2 3 3 2" xfId="30648"/>
    <cellStyle name="20% - Accent6 3 3 3 2 3 4" xfId="30649"/>
    <cellStyle name="20% - Accent6 3 3 3 2 3 5" xfId="30650"/>
    <cellStyle name="20% - Accent6 3 3 3 2 3 6" xfId="30651"/>
    <cellStyle name="20% - Accent6 3 3 3 2 3 7" xfId="30652"/>
    <cellStyle name="20% - Accent6 3 3 3 2 4" xfId="30653"/>
    <cellStyle name="20% - Accent6 3 3 3 2 4 2" xfId="30654"/>
    <cellStyle name="20% - Accent6 3 3 3 2 4 2 2" xfId="30655"/>
    <cellStyle name="20% - Accent6 3 3 3 2 4 3" xfId="30656"/>
    <cellStyle name="20% - Accent6 3 3 3 2 4 3 2" xfId="30657"/>
    <cellStyle name="20% - Accent6 3 3 3 2 4 4" xfId="30658"/>
    <cellStyle name="20% - Accent6 3 3 3 2 4 5" xfId="30659"/>
    <cellStyle name="20% - Accent6 3 3 3 2 4 6" xfId="30660"/>
    <cellStyle name="20% - Accent6 3 3 3 2 4 7" xfId="30661"/>
    <cellStyle name="20% - Accent6 3 3 3 2 5" xfId="30662"/>
    <cellStyle name="20% - Accent6 3 3 3 2 5 2" xfId="30663"/>
    <cellStyle name="20% - Accent6 3 3 3 2 6" xfId="30664"/>
    <cellStyle name="20% - Accent6 3 3 3 2 6 2" xfId="30665"/>
    <cellStyle name="20% - Accent6 3 3 3 2 7" xfId="30666"/>
    <cellStyle name="20% - Accent6 3 3 3 2 8" xfId="30667"/>
    <cellStyle name="20% - Accent6 3 3 3 2 9" xfId="30668"/>
    <cellStyle name="20% - Accent6 3 3 3 3" xfId="30669"/>
    <cellStyle name="20% - Accent6 3 3 3 3 2" xfId="30670"/>
    <cellStyle name="20% - Accent6 3 3 3 3 2 2" xfId="30671"/>
    <cellStyle name="20% - Accent6 3 3 3 3 3" xfId="30672"/>
    <cellStyle name="20% - Accent6 3 3 3 3 3 2" xfId="30673"/>
    <cellStyle name="20% - Accent6 3 3 3 3 4" xfId="30674"/>
    <cellStyle name="20% - Accent6 3 3 3 3 5" xfId="30675"/>
    <cellStyle name="20% - Accent6 3 3 3 3 6" xfId="30676"/>
    <cellStyle name="20% - Accent6 3 3 3 3 7" xfId="30677"/>
    <cellStyle name="20% - Accent6 3 3 3 4" xfId="30678"/>
    <cellStyle name="20% - Accent6 3 3 3 4 2" xfId="30679"/>
    <cellStyle name="20% - Accent6 3 3 3 4 2 2" xfId="30680"/>
    <cellStyle name="20% - Accent6 3 3 3 4 3" xfId="30681"/>
    <cellStyle name="20% - Accent6 3 3 3 4 3 2" xfId="30682"/>
    <cellStyle name="20% - Accent6 3 3 3 4 4" xfId="30683"/>
    <cellStyle name="20% - Accent6 3 3 3 4 5" xfId="30684"/>
    <cellStyle name="20% - Accent6 3 3 3 4 6" xfId="30685"/>
    <cellStyle name="20% - Accent6 3 3 3 4 7" xfId="30686"/>
    <cellStyle name="20% - Accent6 3 3 3 5" xfId="30687"/>
    <cellStyle name="20% - Accent6 3 3 3 5 2" xfId="30688"/>
    <cellStyle name="20% - Accent6 3 3 3 5 2 2" xfId="30689"/>
    <cellStyle name="20% - Accent6 3 3 3 5 3" xfId="30690"/>
    <cellStyle name="20% - Accent6 3 3 3 5 3 2" xfId="30691"/>
    <cellStyle name="20% - Accent6 3 3 3 5 4" xfId="30692"/>
    <cellStyle name="20% - Accent6 3 3 3 5 5" xfId="30693"/>
    <cellStyle name="20% - Accent6 3 3 3 5 6" xfId="30694"/>
    <cellStyle name="20% - Accent6 3 3 3 5 7" xfId="30695"/>
    <cellStyle name="20% - Accent6 3 3 3 6" xfId="30696"/>
    <cellStyle name="20% - Accent6 3 3 3 6 2" xfId="30697"/>
    <cellStyle name="20% - Accent6 3 3 3 7" xfId="30698"/>
    <cellStyle name="20% - Accent6 3 3 3 7 2" xfId="30699"/>
    <cellStyle name="20% - Accent6 3 3 3 8" xfId="30700"/>
    <cellStyle name="20% - Accent6 3 3 3 9" xfId="30701"/>
    <cellStyle name="20% - Accent6 3 3 4" xfId="30702"/>
    <cellStyle name="20% - Accent6 3 3 4 10" xfId="30703"/>
    <cellStyle name="20% - Accent6 3 3 4 2" xfId="30704"/>
    <cellStyle name="20% - Accent6 3 3 4 2 2" xfId="30705"/>
    <cellStyle name="20% - Accent6 3 3 4 2 2 2" xfId="30706"/>
    <cellStyle name="20% - Accent6 3 3 4 2 3" xfId="30707"/>
    <cellStyle name="20% - Accent6 3 3 4 2 3 2" xfId="30708"/>
    <cellStyle name="20% - Accent6 3 3 4 2 4" xfId="30709"/>
    <cellStyle name="20% - Accent6 3 3 4 2 5" xfId="30710"/>
    <cellStyle name="20% - Accent6 3 3 4 2 6" xfId="30711"/>
    <cellStyle name="20% - Accent6 3 3 4 2 7" xfId="30712"/>
    <cellStyle name="20% - Accent6 3 3 4 3" xfId="30713"/>
    <cellStyle name="20% - Accent6 3 3 4 3 2" xfId="30714"/>
    <cellStyle name="20% - Accent6 3 3 4 3 2 2" xfId="30715"/>
    <cellStyle name="20% - Accent6 3 3 4 3 3" xfId="30716"/>
    <cellStyle name="20% - Accent6 3 3 4 3 3 2" xfId="30717"/>
    <cellStyle name="20% - Accent6 3 3 4 3 4" xfId="30718"/>
    <cellStyle name="20% - Accent6 3 3 4 3 5" xfId="30719"/>
    <cellStyle name="20% - Accent6 3 3 4 3 6" xfId="30720"/>
    <cellStyle name="20% - Accent6 3 3 4 3 7" xfId="30721"/>
    <cellStyle name="20% - Accent6 3 3 4 4" xfId="30722"/>
    <cellStyle name="20% - Accent6 3 3 4 4 2" xfId="30723"/>
    <cellStyle name="20% - Accent6 3 3 4 4 2 2" xfId="30724"/>
    <cellStyle name="20% - Accent6 3 3 4 4 3" xfId="30725"/>
    <cellStyle name="20% - Accent6 3 3 4 4 3 2" xfId="30726"/>
    <cellStyle name="20% - Accent6 3 3 4 4 4" xfId="30727"/>
    <cellStyle name="20% - Accent6 3 3 4 4 5" xfId="30728"/>
    <cellStyle name="20% - Accent6 3 3 4 4 6" xfId="30729"/>
    <cellStyle name="20% - Accent6 3 3 4 4 7" xfId="30730"/>
    <cellStyle name="20% - Accent6 3 3 4 5" xfId="30731"/>
    <cellStyle name="20% - Accent6 3 3 4 5 2" xfId="30732"/>
    <cellStyle name="20% - Accent6 3 3 4 6" xfId="30733"/>
    <cellStyle name="20% - Accent6 3 3 4 6 2" xfId="30734"/>
    <cellStyle name="20% - Accent6 3 3 4 7" xfId="30735"/>
    <cellStyle name="20% - Accent6 3 3 4 8" xfId="30736"/>
    <cellStyle name="20% - Accent6 3 3 4 9" xfId="30737"/>
    <cellStyle name="20% - Accent6 3 3 5" xfId="30738"/>
    <cellStyle name="20% - Accent6 3 3 5 2" xfId="30739"/>
    <cellStyle name="20% - Accent6 3 3 5 2 2" xfId="30740"/>
    <cellStyle name="20% - Accent6 3 3 5 3" xfId="30741"/>
    <cellStyle name="20% - Accent6 3 3 5 3 2" xfId="30742"/>
    <cellStyle name="20% - Accent6 3 3 5 4" xfId="30743"/>
    <cellStyle name="20% - Accent6 3 3 5 5" xfId="30744"/>
    <cellStyle name="20% - Accent6 3 3 5 6" xfId="30745"/>
    <cellStyle name="20% - Accent6 3 3 5 7" xfId="30746"/>
    <cellStyle name="20% - Accent6 3 3 6" xfId="30747"/>
    <cellStyle name="20% - Accent6 3 3 6 2" xfId="30748"/>
    <cellStyle name="20% - Accent6 3 3 6 2 2" xfId="30749"/>
    <cellStyle name="20% - Accent6 3 3 6 3" xfId="30750"/>
    <cellStyle name="20% - Accent6 3 3 6 3 2" xfId="30751"/>
    <cellStyle name="20% - Accent6 3 3 6 4" xfId="30752"/>
    <cellStyle name="20% - Accent6 3 3 6 5" xfId="30753"/>
    <cellStyle name="20% - Accent6 3 3 6 6" xfId="30754"/>
    <cellStyle name="20% - Accent6 3 3 6 7" xfId="30755"/>
    <cellStyle name="20% - Accent6 3 3 7" xfId="30756"/>
    <cellStyle name="20% - Accent6 3 3 7 2" xfId="30757"/>
    <cellStyle name="20% - Accent6 3 3 7 2 2" xfId="30758"/>
    <cellStyle name="20% - Accent6 3 3 7 3" xfId="30759"/>
    <cellStyle name="20% - Accent6 3 3 7 3 2" xfId="30760"/>
    <cellStyle name="20% - Accent6 3 3 7 4" xfId="30761"/>
    <cellStyle name="20% - Accent6 3 3 7 5" xfId="30762"/>
    <cellStyle name="20% - Accent6 3 3 7 6" xfId="30763"/>
    <cellStyle name="20% - Accent6 3 3 7 7" xfId="30764"/>
    <cellStyle name="20% - Accent6 3 3 8" xfId="30765"/>
    <cellStyle name="20% - Accent6 3 3 8 2" xfId="30766"/>
    <cellStyle name="20% - Accent6 3 3 9" xfId="30767"/>
    <cellStyle name="20% - Accent6 3 3 9 2" xfId="30768"/>
    <cellStyle name="20% - Accent6 3 4" xfId="30769"/>
    <cellStyle name="20% - Accent6 3 4 10" xfId="30770"/>
    <cellStyle name="20% - Accent6 3 4 11" xfId="30771"/>
    <cellStyle name="20% - Accent6 3 4 12" xfId="30772"/>
    <cellStyle name="20% - Accent6 3 4 13" xfId="30773"/>
    <cellStyle name="20% - Accent6 3 4 2" xfId="30774"/>
    <cellStyle name="20% - Accent6 3 4 2 10" xfId="30775"/>
    <cellStyle name="20% - Accent6 3 4 2 11" xfId="30776"/>
    <cellStyle name="20% - Accent6 3 4 2 2" xfId="30777"/>
    <cellStyle name="20% - Accent6 3 4 2 2 10" xfId="30778"/>
    <cellStyle name="20% - Accent6 3 4 2 2 2" xfId="30779"/>
    <cellStyle name="20% - Accent6 3 4 2 2 2 2" xfId="30780"/>
    <cellStyle name="20% - Accent6 3 4 2 2 2 2 2" xfId="30781"/>
    <cellStyle name="20% - Accent6 3 4 2 2 2 3" xfId="30782"/>
    <cellStyle name="20% - Accent6 3 4 2 2 2 3 2" xfId="30783"/>
    <cellStyle name="20% - Accent6 3 4 2 2 2 4" xfId="30784"/>
    <cellStyle name="20% - Accent6 3 4 2 2 2 5" xfId="30785"/>
    <cellStyle name="20% - Accent6 3 4 2 2 2 6" xfId="30786"/>
    <cellStyle name="20% - Accent6 3 4 2 2 2 7" xfId="30787"/>
    <cellStyle name="20% - Accent6 3 4 2 2 3" xfId="30788"/>
    <cellStyle name="20% - Accent6 3 4 2 2 3 2" xfId="30789"/>
    <cellStyle name="20% - Accent6 3 4 2 2 3 2 2" xfId="30790"/>
    <cellStyle name="20% - Accent6 3 4 2 2 3 3" xfId="30791"/>
    <cellStyle name="20% - Accent6 3 4 2 2 3 3 2" xfId="30792"/>
    <cellStyle name="20% - Accent6 3 4 2 2 3 4" xfId="30793"/>
    <cellStyle name="20% - Accent6 3 4 2 2 3 5" xfId="30794"/>
    <cellStyle name="20% - Accent6 3 4 2 2 3 6" xfId="30795"/>
    <cellStyle name="20% - Accent6 3 4 2 2 3 7" xfId="30796"/>
    <cellStyle name="20% - Accent6 3 4 2 2 4" xfId="30797"/>
    <cellStyle name="20% - Accent6 3 4 2 2 4 2" xfId="30798"/>
    <cellStyle name="20% - Accent6 3 4 2 2 4 2 2" xfId="30799"/>
    <cellStyle name="20% - Accent6 3 4 2 2 4 3" xfId="30800"/>
    <cellStyle name="20% - Accent6 3 4 2 2 4 3 2" xfId="30801"/>
    <cellStyle name="20% - Accent6 3 4 2 2 4 4" xfId="30802"/>
    <cellStyle name="20% - Accent6 3 4 2 2 4 5" xfId="30803"/>
    <cellStyle name="20% - Accent6 3 4 2 2 4 6" xfId="30804"/>
    <cellStyle name="20% - Accent6 3 4 2 2 4 7" xfId="30805"/>
    <cellStyle name="20% - Accent6 3 4 2 2 5" xfId="30806"/>
    <cellStyle name="20% - Accent6 3 4 2 2 5 2" xfId="30807"/>
    <cellStyle name="20% - Accent6 3 4 2 2 6" xfId="30808"/>
    <cellStyle name="20% - Accent6 3 4 2 2 6 2" xfId="30809"/>
    <cellStyle name="20% - Accent6 3 4 2 2 7" xfId="30810"/>
    <cellStyle name="20% - Accent6 3 4 2 2 8" xfId="30811"/>
    <cellStyle name="20% - Accent6 3 4 2 2 9" xfId="30812"/>
    <cellStyle name="20% - Accent6 3 4 2 3" xfId="30813"/>
    <cellStyle name="20% - Accent6 3 4 2 3 2" xfId="30814"/>
    <cellStyle name="20% - Accent6 3 4 2 3 2 2" xfId="30815"/>
    <cellStyle name="20% - Accent6 3 4 2 3 3" xfId="30816"/>
    <cellStyle name="20% - Accent6 3 4 2 3 3 2" xfId="30817"/>
    <cellStyle name="20% - Accent6 3 4 2 3 4" xfId="30818"/>
    <cellStyle name="20% - Accent6 3 4 2 3 5" xfId="30819"/>
    <cellStyle name="20% - Accent6 3 4 2 3 6" xfId="30820"/>
    <cellStyle name="20% - Accent6 3 4 2 3 7" xfId="30821"/>
    <cellStyle name="20% - Accent6 3 4 2 4" xfId="30822"/>
    <cellStyle name="20% - Accent6 3 4 2 4 2" xfId="30823"/>
    <cellStyle name="20% - Accent6 3 4 2 4 2 2" xfId="30824"/>
    <cellStyle name="20% - Accent6 3 4 2 4 3" xfId="30825"/>
    <cellStyle name="20% - Accent6 3 4 2 4 3 2" xfId="30826"/>
    <cellStyle name="20% - Accent6 3 4 2 4 4" xfId="30827"/>
    <cellStyle name="20% - Accent6 3 4 2 4 5" xfId="30828"/>
    <cellStyle name="20% - Accent6 3 4 2 4 6" xfId="30829"/>
    <cellStyle name="20% - Accent6 3 4 2 4 7" xfId="30830"/>
    <cellStyle name="20% - Accent6 3 4 2 5" xfId="30831"/>
    <cellStyle name="20% - Accent6 3 4 2 5 2" xfId="30832"/>
    <cellStyle name="20% - Accent6 3 4 2 5 2 2" xfId="30833"/>
    <cellStyle name="20% - Accent6 3 4 2 5 3" xfId="30834"/>
    <cellStyle name="20% - Accent6 3 4 2 5 3 2" xfId="30835"/>
    <cellStyle name="20% - Accent6 3 4 2 5 4" xfId="30836"/>
    <cellStyle name="20% - Accent6 3 4 2 5 5" xfId="30837"/>
    <cellStyle name="20% - Accent6 3 4 2 5 6" xfId="30838"/>
    <cellStyle name="20% - Accent6 3 4 2 5 7" xfId="30839"/>
    <cellStyle name="20% - Accent6 3 4 2 6" xfId="30840"/>
    <cellStyle name="20% - Accent6 3 4 2 6 2" xfId="30841"/>
    <cellStyle name="20% - Accent6 3 4 2 7" xfId="30842"/>
    <cellStyle name="20% - Accent6 3 4 2 7 2" xfId="30843"/>
    <cellStyle name="20% - Accent6 3 4 2 8" xfId="30844"/>
    <cellStyle name="20% - Accent6 3 4 2 9" xfId="30845"/>
    <cellStyle name="20% - Accent6 3 4 3" xfId="30846"/>
    <cellStyle name="20% - Accent6 3 4 3 10" xfId="30847"/>
    <cellStyle name="20% - Accent6 3 4 3 11" xfId="30848"/>
    <cellStyle name="20% - Accent6 3 4 3 2" xfId="30849"/>
    <cellStyle name="20% - Accent6 3 4 3 2 10" xfId="30850"/>
    <cellStyle name="20% - Accent6 3 4 3 2 2" xfId="30851"/>
    <cellStyle name="20% - Accent6 3 4 3 2 2 2" xfId="30852"/>
    <cellStyle name="20% - Accent6 3 4 3 2 2 2 2" xfId="30853"/>
    <cellStyle name="20% - Accent6 3 4 3 2 2 3" xfId="30854"/>
    <cellStyle name="20% - Accent6 3 4 3 2 2 3 2" xfId="30855"/>
    <cellStyle name="20% - Accent6 3 4 3 2 2 4" xfId="30856"/>
    <cellStyle name="20% - Accent6 3 4 3 2 2 5" xfId="30857"/>
    <cellStyle name="20% - Accent6 3 4 3 2 2 6" xfId="30858"/>
    <cellStyle name="20% - Accent6 3 4 3 2 2 7" xfId="30859"/>
    <cellStyle name="20% - Accent6 3 4 3 2 3" xfId="30860"/>
    <cellStyle name="20% - Accent6 3 4 3 2 3 2" xfId="30861"/>
    <cellStyle name="20% - Accent6 3 4 3 2 3 2 2" xfId="30862"/>
    <cellStyle name="20% - Accent6 3 4 3 2 3 3" xfId="30863"/>
    <cellStyle name="20% - Accent6 3 4 3 2 3 3 2" xfId="30864"/>
    <cellStyle name="20% - Accent6 3 4 3 2 3 4" xfId="30865"/>
    <cellStyle name="20% - Accent6 3 4 3 2 3 5" xfId="30866"/>
    <cellStyle name="20% - Accent6 3 4 3 2 3 6" xfId="30867"/>
    <cellStyle name="20% - Accent6 3 4 3 2 3 7" xfId="30868"/>
    <cellStyle name="20% - Accent6 3 4 3 2 4" xfId="30869"/>
    <cellStyle name="20% - Accent6 3 4 3 2 4 2" xfId="30870"/>
    <cellStyle name="20% - Accent6 3 4 3 2 4 2 2" xfId="30871"/>
    <cellStyle name="20% - Accent6 3 4 3 2 4 3" xfId="30872"/>
    <cellStyle name="20% - Accent6 3 4 3 2 4 3 2" xfId="30873"/>
    <cellStyle name="20% - Accent6 3 4 3 2 4 4" xfId="30874"/>
    <cellStyle name="20% - Accent6 3 4 3 2 4 5" xfId="30875"/>
    <cellStyle name="20% - Accent6 3 4 3 2 4 6" xfId="30876"/>
    <cellStyle name="20% - Accent6 3 4 3 2 4 7" xfId="30877"/>
    <cellStyle name="20% - Accent6 3 4 3 2 5" xfId="30878"/>
    <cellStyle name="20% - Accent6 3 4 3 2 5 2" xfId="30879"/>
    <cellStyle name="20% - Accent6 3 4 3 2 6" xfId="30880"/>
    <cellStyle name="20% - Accent6 3 4 3 2 6 2" xfId="30881"/>
    <cellStyle name="20% - Accent6 3 4 3 2 7" xfId="30882"/>
    <cellStyle name="20% - Accent6 3 4 3 2 8" xfId="30883"/>
    <cellStyle name="20% - Accent6 3 4 3 2 9" xfId="30884"/>
    <cellStyle name="20% - Accent6 3 4 3 3" xfId="30885"/>
    <cellStyle name="20% - Accent6 3 4 3 3 2" xfId="30886"/>
    <cellStyle name="20% - Accent6 3 4 3 3 2 2" xfId="30887"/>
    <cellStyle name="20% - Accent6 3 4 3 3 3" xfId="30888"/>
    <cellStyle name="20% - Accent6 3 4 3 3 3 2" xfId="30889"/>
    <cellStyle name="20% - Accent6 3 4 3 3 4" xfId="30890"/>
    <cellStyle name="20% - Accent6 3 4 3 3 5" xfId="30891"/>
    <cellStyle name="20% - Accent6 3 4 3 3 6" xfId="30892"/>
    <cellStyle name="20% - Accent6 3 4 3 3 7" xfId="30893"/>
    <cellStyle name="20% - Accent6 3 4 3 4" xfId="30894"/>
    <cellStyle name="20% - Accent6 3 4 3 4 2" xfId="30895"/>
    <cellStyle name="20% - Accent6 3 4 3 4 2 2" xfId="30896"/>
    <cellStyle name="20% - Accent6 3 4 3 4 3" xfId="30897"/>
    <cellStyle name="20% - Accent6 3 4 3 4 3 2" xfId="30898"/>
    <cellStyle name="20% - Accent6 3 4 3 4 4" xfId="30899"/>
    <cellStyle name="20% - Accent6 3 4 3 4 5" xfId="30900"/>
    <cellStyle name="20% - Accent6 3 4 3 4 6" xfId="30901"/>
    <cellStyle name="20% - Accent6 3 4 3 4 7" xfId="30902"/>
    <cellStyle name="20% - Accent6 3 4 3 5" xfId="30903"/>
    <cellStyle name="20% - Accent6 3 4 3 5 2" xfId="30904"/>
    <cellStyle name="20% - Accent6 3 4 3 5 2 2" xfId="30905"/>
    <cellStyle name="20% - Accent6 3 4 3 5 3" xfId="30906"/>
    <cellStyle name="20% - Accent6 3 4 3 5 3 2" xfId="30907"/>
    <cellStyle name="20% - Accent6 3 4 3 5 4" xfId="30908"/>
    <cellStyle name="20% - Accent6 3 4 3 5 5" xfId="30909"/>
    <cellStyle name="20% - Accent6 3 4 3 5 6" xfId="30910"/>
    <cellStyle name="20% - Accent6 3 4 3 5 7" xfId="30911"/>
    <cellStyle name="20% - Accent6 3 4 3 6" xfId="30912"/>
    <cellStyle name="20% - Accent6 3 4 3 6 2" xfId="30913"/>
    <cellStyle name="20% - Accent6 3 4 3 7" xfId="30914"/>
    <cellStyle name="20% - Accent6 3 4 3 7 2" xfId="30915"/>
    <cellStyle name="20% - Accent6 3 4 3 8" xfId="30916"/>
    <cellStyle name="20% - Accent6 3 4 3 9" xfId="30917"/>
    <cellStyle name="20% - Accent6 3 4 4" xfId="30918"/>
    <cellStyle name="20% - Accent6 3 4 4 10" xfId="30919"/>
    <cellStyle name="20% - Accent6 3 4 4 2" xfId="30920"/>
    <cellStyle name="20% - Accent6 3 4 4 2 2" xfId="30921"/>
    <cellStyle name="20% - Accent6 3 4 4 2 2 2" xfId="30922"/>
    <cellStyle name="20% - Accent6 3 4 4 2 3" xfId="30923"/>
    <cellStyle name="20% - Accent6 3 4 4 2 3 2" xfId="30924"/>
    <cellStyle name="20% - Accent6 3 4 4 2 4" xfId="30925"/>
    <cellStyle name="20% - Accent6 3 4 4 2 5" xfId="30926"/>
    <cellStyle name="20% - Accent6 3 4 4 2 6" xfId="30927"/>
    <cellStyle name="20% - Accent6 3 4 4 2 7" xfId="30928"/>
    <cellStyle name="20% - Accent6 3 4 4 3" xfId="30929"/>
    <cellStyle name="20% - Accent6 3 4 4 3 2" xfId="30930"/>
    <cellStyle name="20% - Accent6 3 4 4 3 2 2" xfId="30931"/>
    <cellStyle name="20% - Accent6 3 4 4 3 3" xfId="30932"/>
    <cellStyle name="20% - Accent6 3 4 4 3 3 2" xfId="30933"/>
    <cellStyle name="20% - Accent6 3 4 4 3 4" xfId="30934"/>
    <cellStyle name="20% - Accent6 3 4 4 3 5" xfId="30935"/>
    <cellStyle name="20% - Accent6 3 4 4 3 6" xfId="30936"/>
    <cellStyle name="20% - Accent6 3 4 4 3 7" xfId="30937"/>
    <cellStyle name="20% - Accent6 3 4 4 4" xfId="30938"/>
    <cellStyle name="20% - Accent6 3 4 4 4 2" xfId="30939"/>
    <cellStyle name="20% - Accent6 3 4 4 4 2 2" xfId="30940"/>
    <cellStyle name="20% - Accent6 3 4 4 4 3" xfId="30941"/>
    <cellStyle name="20% - Accent6 3 4 4 4 3 2" xfId="30942"/>
    <cellStyle name="20% - Accent6 3 4 4 4 4" xfId="30943"/>
    <cellStyle name="20% - Accent6 3 4 4 4 5" xfId="30944"/>
    <cellStyle name="20% - Accent6 3 4 4 4 6" xfId="30945"/>
    <cellStyle name="20% - Accent6 3 4 4 4 7" xfId="30946"/>
    <cellStyle name="20% - Accent6 3 4 4 5" xfId="30947"/>
    <cellStyle name="20% - Accent6 3 4 4 5 2" xfId="30948"/>
    <cellStyle name="20% - Accent6 3 4 4 6" xfId="30949"/>
    <cellStyle name="20% - Accent6 3 4 4 6 2" xfId="30950"/>
    <cellStyle name="20% - Accent6 3 4 4 7" xfId="30951"/>
    <cellStyle name="20% - Accent6 3 4 4 8" xfId="30952"/>
    <cellStyle name="20% - Accent6 3 4 4 9" xfId="30953"/>
    <cellStyle name="20% - Accent6 3 4 5" xfId="30954"/>
    <cellStyle name="20% - Accent6 3 4 5 2" xfId="30955"/>
    <cellStyle name="20% - Accent6 3 4 5 2 2" xfId="30956"/>
    <cellStyle name="20% - Accent6 3 4 5 3" xfId="30957"/>
    <cellStyle name="20% - Accent6 3 4 5 3 2" xfId="30958"/>
    <cellStyle name="20% - Accent6 3 4 5 4" xfId="30959"/>
    <cellStyle name="20% - Accent6 3 4 5 5" xfId="30960"/>
    <cellStyle name="20% - Accent6 3 4 5 6" xfId="30961"/>
    <cellStyle name="20% - Accent6 3 4 5 7" xfId="30962"/>
    <cellStyle name="20% - Accent6 3 4 6" xfId="30963"/>
    <cellStyle name="20% - Accent6 3 4 6 2" xfId="30964"/>
    <cellStyle name="20% - Accent6 3 4 6 2 2" xfId="30965"/>
    <cellStyle name="20% - Accent6 3 4 6 3" xfId="30966"/>
    <cellStyle name="20% - Accent6 3 4 6 3 2" xfId="30967"/>
    <cellStyle name="20% - Accent6 3 4 6 4" xfId="30968"/>
    <cellStyle name="20% - Accent6 3 4 6 5" xfId="30969"/>
    <cellStyle name="20% - Accent6 3 4 6 6" xfId="30970"/>
    <cellStyle name="20% - Accent6 3 4 6 7" xfId="30971"/>
    <cellStyle name="20% - Accent6 3 4 7" xfId="30972"/>
    <cellStyle name="20% - Accent6 3 4 7 2" xfId="30973"/>
    <cellStyle name="20% - Accent6 3 4 7 2 2" xfId="30974"/>
    <cellStyle name="20% - Accent6 3 4 7 3" xfId="30975"/>
    <cellStyle name="20% - Accent6 3 4 7 3 2" xfId="30976"/>
    <cellStyle name="20% - Accent6 3 4 7 4" xfId="30977"/>
    <cellStyle name="20% - Accent6 3 4 7 5" xfId="30978"/>
    <cellStyle name="20% - Accent6 3 4 7 6" xfId="30979"/>
    <cellStyle name="20% - Accent6 3 4 7 7" xfId="30980"/>
    <cellStyle name="20% - Accent6 3 4 8" xfId="30981"/>
    <cellStyle name="20% - Accent6 3 4 8 2" xfId="30982"/>
    <cellStyle name="20% - Accent6 3 4 9" xfId="30983"/>
    <cellStyle name="20% - Accent6 3 4 9 2" xfId="30984"/>
    <cellStyle name="20% - Accent6 3 5" xfId="30985"/>
    <cellStyle name="20% - Accent6 3 5 10" xfId="30986"/>
    <cellStyle name="20% - Accent6 3 5 11" xfId="30987"/>
    <cellStyle name="20% - Accent6 3 5 12" xfId="30988"/>
    <cellStyle name="20% - Accent6 3 5 13" xfId="30989"/>
    <cellStyle name="20% - Accent6 3 5 2" xfId="30990"/>
    <cellStyle name="20% - Accent6 3 5 2 10" xfId="30991"/>
    <cellStyle name="20% - Accent6 3 5 2 11" xfId="30992"/>
    <cellStyle name="20% - Accent6 3 5 2 2" xfId="30993"/>
    <cellStyle name="20% - Accent6 3 5 2 2 10" xfId="30994"/>
    <cellStyle name="20% - Accent6 3 5 2 2 2" xfId="30995"/>
    <cellStyle name="20% - Accent6 3 5 2 2 2 2" xfId="30996"/>
    <cellStyle name="20% - Accent6 3 5 2 2 2 2 2" xfId="30997"/>
    <cellStyle name="20% - Accent6 3 5 2 2 2 3" xfId="30998"/>
    <cellStyle name="20% - Accent6 3 5 2 2 2 3 2" xfId="30999"/>
    <cellStyle name="20% - Accent6 3 5 2 2 2 4" xfId="31000"/>
    <cellStyle name="20% - Accent6 3 5 2 2 2 5" xfId="31001"/>
    <cellStyle name="20% - Accent6 3 5 2 2 2 6" xfId="31002"/>
    <cellStyle name="20% - Accent6 3 5 2 2 2 7" xfId="31003"/>
    <cellStyle name="20% - Accent6 3 5 2 2 3" xfId="31004"/>
    <cellStyle name="20% - Accent6 3 5 2 2 3 2" xfId="31005"/>
    <cellStyle name="20% - Accent6 3 5 2 2 3 2 2" xfId="31006"/>
    <cellStyle name="20% - Accent6 3 5 2 2 3 3" xfId="31007"/>
    <cellStyle name="20% - Accent6 3 5 2 2 3 3 2" xfId="31008"/>
    <cellStyle name="20% - Accent6 3 5 2 2 3 4" xfId="31009"/>
    <cellStyle name="20% - Accent6 3 5 2 2 3 5" xfId="31010"/>
    <cellStyle name="20% - Accent6 3 5 2 2 3 6" xfId="31011"/>
    <cellStyle name="20% - Accent6 3 5 2 2 3 7" xfId="31012"/>
    <cellStyle name="20% - Accent6 3 5 2 2 4" xfId="31013"/>
    <cellStyle name="20% - Accent6 3 5 2 2 4 2" xfId="31014"/>
    <cellStyle name="20% - Accent6 3 5 2 2 4 2 2" xfId="31015"/>
    <cellStyle name="20% - Accent6 3 5 2 2 4 3" xfId="31016"/>
    <cellStyle name="20% - Accent6 3 5 2 2 4 3 2" xfId="31017"/>
    <cellStyle name="20% - Accent6 3 5 2 2 4 4" xfId="31018"/>
    <cellStyle name="20% - Accent6 3 5 2 2 4 5" xfId="31019"/>
    <cellStyle name="20% - Accent6 3 5 2 2 4 6" xfId="31020"/>
    <cellStyle name="20% - Accent6 3 5 2 2 4 7" xfId="31021"/>
    <cellStyle name="20% - Accent6 3 5 2 2 5" xfId="31022"/>
    <cellStyle name="20% - Accent6 3 5 2 2 5 2" xfId="31023"/>
    <cellStyle name="20% - Accent6 3 5 2 2 6" xfId="31024"/>
    <cellStyle name="20% - Accent6 3 5 2 2 6 2" xfId="31025"/>
    <cellStyle name="20% - Accent6 3 5 2 2 7" xfId="31026"/>
    <cellStyle name="20% - Accent6 3 5 2 2 8" xfId="31027"/>
    <cellStyle name="20% - Accent6 3 5 2 2 9" xfId="31028"/>
    <cellStyle name="20% - Accent6 3 5 2 3" xfId="31029"/>
    <cellStyle name="20% - Accent6 3 5 2 3 2" xfId="31030"/>
    <cellStyle name="20% - Accent6 3 5 2 3 2 2" xfId="31031"/>
    <cellStyle name="20% - Accent6 3 5 2 3 3" xfId="31032"/>
    <cellStyle name="20% - Accent6 3 5 2 3 3 2" xfId="31033"/>
    <cellStyle name="20% - Accent6 3 5 2 3 4" xfId="31034"/>
    <cellStyle name="20% - Accent6 3 5 2 3 5" xfId="31035"/>
    <cellStyle name="20% - Accent6 3 5 2 3 6" xfId="31036"/>
    <cellStyle name="20% - Accent6 3 5 2 3 7" xfId="31037"/>
    <cellStyle name="20% - Accent6 3 5 2 4" xfId="31038"/>
    <cellStyle name="20% - Accent6 3 5 2 4 2" xfId="31039"/>
    <cellStyle name="20% - Accent6 3 5 2 4 2 2" xfId="31040"/>
    <cellStyle name="20% - Accent6 3 5 2 4 3" xfId="31041"/>
    <cellStyle name="20% - Accent6 3 5 2 4 3 2" xfId="31042"/>
    <cellStyle name="20% - Accent6 3 5 2 4 4" xfId="31043"/>
    <cellStyle name="20% - Accent6 3 5 2 4 5" xfId="31044"/>
    <cellStyle name="20% - Accent6 3 5 2 4 6" xfId="31045"/>
    <cellStyle name="20% - Accent6 3 5 2 4 7" xfId="31046"/>
    <cellStyle name="20% - Accent6 3 5 2 5" xfId="31047"/>
    <cellStyle name="20% - Accent6 3 5 2 5 2" xfId="31048"/>
    <cellStyle name="20% - Accent6 3 5 2 5 2 2" xfId="31049"/>
    <cellStyle name="20% - Accent6 3 5 2 5 3" xfId="31050"/>
    <cellStyle name="20% - Accent6 3 5 2 5 3 2" xfId="31051"/>
    <cellStyle name="20% - Accent6 3 5 2 5 4" xfId="31052"/>
    <cellStyle name="20% - Accent6 3 5 2 5 5" xfId="31053"/>
    <cellStyle name="20% - Accent6 3 5 2 5 6" xfId="31054"/>
    <cellStyle name="20% - Accent6 3 5 2 5 7" xfId="31055"/>
    <cellStyle name="20% - Accent6 3 5 2 6" xfId="31056"/>
    <cellStyle name="20% - Accent6 3 5 2 6 2" xfId="31057"/>
    <cellStyle name="20% - Accent6 3 5 2 7" xfId="31058"/>
    <cellStyle name="20% - Accent6 3 5 2 7 2" xfId="31059"/>
    <cellStyle name="20% - Accent6 3 5 2 8" xfId="31060"/>
    <cellStyle name="20% - Accent6 3 5 2 9" xfId="31061"/>
    <cellStyle name="20% - Accent6 3 5 3" xfId="31062"/>
    <cellStyle name="20% - Accent6 3 5 3 10" xfId="31063"/>
    <cellStyle name="20% - Accent6 3 5 3 11" xfId="31064"/>
    <cellStyle name="20% - Accent6 3 5 3 2" xfId="31065"/>
    <cellStyle name="20% - Accent6 3 5 3 2 10" xfId="31066"/>
    <cellStyle name="20% - Accent6 3 5 3 2 2" xfId="31067"/>
    <cellStyle name="20% - Accent6 3 5 3 2 2 2" xfId="31068"/>
    <cellStyle name="20% - Accent6 3 5 3 2 2 2 2" xfId="31069"/>
    <cellStyle name="20% - Accent6 3 5 3 2 2 3" xfId="31070"/>
    <cellStyle name="20% - Accent6 3 5 3 2 2 3 2" xfId="31071"/>
    <cellStyle name="20% - Accent6 3 5 3 2 2 4" xfId="31072"/>
    <cellStyle name="20% - Accent6 3 5 3 2 2 5" xfId="31073"/>
    <cellStyle name="20% - Accent6 3 5 3 2 2 6" xfId="31074"/>
    <cellStyle name="20% - Accent6 3 5 3 2 2 7" xfId="31075"/>
    <cellStyle name="20% - Accent6 3 5 3 2 3" xfId="31076"/>
    <cellStyle name="20% - Accent6 3 5 3 2 3 2" xfId="31077"/>
    <cellStyle name="20% - Accent6 3 5 3 2 3 2 2" xfId="31078"/>
    <cellStyle name="20% - Accent6 3 5 3 2 3 3" xfId="31079"/>
    <cellStyle name="20% - Accent6 3 5 3 2 3 3 2" xfId="31080"/>
    <cellStyle name="20% - Accent6 3 5 3 2 3 4" xfId="31081"/>
    <cellStyle name="20% - Accent6 3 5 3 2 3 5" xfId="31082"/>
    <cellStyle name="20% - Accent6 3 5 3 2 3 6" xfId="31083"/>
    <cellStyle name="20% - Accent6 3 5 3 2 3 7" xfId="31084"/>
    <cellStyle name="20% - Accent6 3 5 3 2 4" xfId="31085"/>
    <cellStyle name="20% - Accent6 3 5 3 2 4 2" xfId="31086"/>
    <cellStyle name="20% - Accent6 3 5 3 2 4 2 2" xfId="31087"/>
    <cellStyle name="20% - Accent6 3 5 3 2 4 3" xfId="31088"/>
    <cellStyle name="20% - Accent6 3 5 3 2 4 3 2" xfId="31089"/>
    <cellStyle name="20% - Accent6 3 5 3 2 4 4" xfId="31090"/>
    <cellStyle name="20% - Accent6 3 5 3 2 4 5" xfId="31091"/>
    <cellStyle name="20% - Accent6 3 5 3 2 4 6" xfId="31092"/>
    <cellStyle name="20% - Accent6 3 5 3 2 4 7" xfId="31093"/>
    <cellStyle name="20% - Accent6 3 5 3 2 5" xfId="31094"/>
    <cellStyle name="20% - Accent6 3 5 3 2 5 2" xfId="31095"/>
    <cellStyle name="20% - Accent6 3 5 3 2 6" xfId="31096"/>
    <cellStyle name="20% - Accent6 3 5 3 2 6 2" xfId="31097"/>
    <cellStyle name="20% - Accent6 3 5 3 2 7" xfId="31098"/>
    <cellStyle name="20% - Accent6 3 5 3 2 8" xfId="31099"/>
    <cellStyle name="20% - Accent6 3 5 3 2 9" xfId="31100"/>
    <cellStyle name="20% - Accent6 3 5 3 3" xfId="31101"/>
    <cellStyle name="20% - Accent6 3 5 3 3 2" xfId="31102"/>
    <cellStyle name="20% - Accent6 3 5 3 3 2 2" xfId="31103"/>
    <cellStyle name="20% - Accent6 3 5 3 3 3" xfId="31104"/>
    <cellStyle name="20% - Accent6 3 5 3 3 3 2" xfId="31105"/>
    <cellStyle name="20% - Accent6 3 5 3 3 4" xfId="31106"/>
    <cellStyle name="20% - Accent6 3 5 3 3 5" xfId="31107"/>
    <cellStyle name="20% - Accent6 3 5 3 3 6" xfId="31108"/>
    <cellStyle name="20% - Accent6 3 5 3 3 7" xfId="31109"/>
    <cellStyle name="20% - Accent6 3 5 3 4" xfId="31110"/>
    <cellStyle name="20% - Accent6 3 5 3 4 2" xfId="31111"/>
    <cellStyle name="20% - Accent6 3 5 3 4 2 2" xfId="31112"/>
    <cellStyle name="20% - Accent6 3 5 3 4 3" xfId="31113"/>
    <cellStyle name="20% - Accent6 3 5 3 4 3 2" xfId="31114"/>
    <cellStyle name="20% - Accent6 3 5 3 4 4" xfId="31115"/>
    <cellStyle name="20% - Accent6 3 5 3 4 5" xfId="31116"/>
    <cellStyle name="20% - Accent6 3 5 3 4 6" xfId="31117"/>
    <cellStyle name="20% - Accent6 3 5 3 4 7" xfId="31118"/>
    <cellStyle name="20% - Accent6 3 5 3 5" xfId="31119"/>
    <cellStyle name="20% - Accent6 3 5 3 5 2" xfId="31120"/>
    <cellStyle name="20% - Accent6 3 5 3 5 2 2" xfId="31121"/>
    <cellStyle name="20% - Accent6 3 5 3 5 3" xfId="31122"/>
    <cellStyle name="20% - Accent6 3 5 3 5 3 2" xfId="31123"/>
    <cellStyle name="20% - Accent6 3 5 3 5 4" xfId="31124"/>
    <cellStyle name="20% - Accent6 3 5 3 5 5" xfId="31125"/>
    <cellStyle name="20% - Accent6 3 5 3 5 6" xfId="31126"/>
    <cellStyle name="20% - Accent6 3 5 3 5 7" xfId="31127"/>
    <cellStyle name="20% - Accent6 3 5 3 6" xfId="31128"/>
    <cellStyle name="20% - Accent6 3 5 3 6 2" xfId="31129"/>
    <cellStyle name="20% - Accent6 3 5 3 7" xfId="31130"/>
    <cellStyle name="20% - Accent6 3 5 3 7 2" xfId="31131"/>
    <cellStyle name="20% - Accent6 3 5 3 8" xfId="31132"/>
    <cellStyle name="20% - Accent6 3 5 3 9" xfId="31133"/>
    <cellStyle name="20% - Accent6 3 5 4" xfId="31134"/>
    <cellStyle name="20% - Accent6 3 5 4 10" xfId="31135"/>
    <cellStyle name="20% - Accent6 3 5 4 2" xfId="31136"/>
    <cellStyle name="20% - Accent6 3 5 4 2 2" xfId="31137"/>
    <cellStyle name="20% - Accent6 3 5 4 2 2 2" xfId="31138"/>
    <cellStyle name="20% - Accent6 3 5 4 2 3" xfId="31139"/>
    <cellStyle name="20% - Accent6 3 5 4 2 3 2" xfId="31140"/>
    <cellStyle name="20% - Accent6 3 5 4 2 4" xfId="31141"/>
    <cellStyle name="20% - Accent6 3 5 4 2 5" xfId="31142"/>
    <cellStyle name="20% - Accent6 3 5 4 2 6" xfId="31143"/>
    <cellStyle name="20% - Accent6 3 5 4 2 7" xfId="31144"/>
    <cellStyle name="20% - Accent6 3 5 4 3" xfId="31145"/>
    <cellStyle name="20% - Accent6 3 5 4 3 2" xfId="31146"/>
    <cellStyle name="20% - Accent6 3 5 4 3 2 2" xfId="31147"/>
    <cellStyle name="20% - Accent6 3 5 4 3 3" xfId="31148"/>
    <cellStyle name="20% - Accent6 3 5 4 3 3 2" xfId="31149"/>
    <cellStyle name="20% - Accent6 3 5 4 3 4" xfId="31150"/>
    <cellStyle name="20% - Accent6 3 5 4 3 5" xfId="31151"/>
    <cellStyle name="20% - Accent6 3 5 4 3 6" xfId="31152"/>
    <cellStyle name="20% - Accent6 3 5 4 3 7" xfId="31153"/>
    <cellStyle name="20% - Accent6 3 5 4 4" xfId="31154"/>
    <cellStyle name="20% - Accent6 3 5 4 4 2" xfId="31155"/>
    <cellStyle name="20% - Accent6 3 5 4 4 2 2" xfId="31156"/>
    <cellStyle name="20% - Accent6 3 5 4 4 3" xfId="31157"/>
    <cellStyle name="20% - Accent6 3 5 4 4 3 2" xfId="31158"/>
    <cellStyle name="20% - Accent6 3 5 4 4 4" xfId="31159"/>
    <cellStyle name="20% - Accent6 3 5 4 4 5" xfId="31160"/>
    <cellStyle name="20% - Accent6 3 5 4 4 6" xfId="31161"/>
    <cellStyle name="20% - Accent6 3 5 4 4 7" xfId="31162"/>
    <cellStyle name="20% - Accent6 3 5 4 5" xfId="31163"/>
    <cellStyle name="20% - Accent6 3 5 4 5 2" xfId="31164"/>
    <cellStyle name="20% - Accent6 3 5 4 6" xfId="31165"/>
    <cellStyle name="20% - Accent6 3 5 4 6 2" xfId="31166"/>
    <cellStyle name="20% - Accent6 3 5 4 7" xfId="31167"/>
    <cellStyle name="20% - Accent6 3 5 4 8" xfId="31168"/>
    <cellStyle name="20% - Accent6 3 5 4 9" xfId="31169"/>
    <cellStyle name="20% - Accent6 3 5 5" xfId="31170"/>
    <cellStyle name="20% - Accent6 3 5 5 2" xfId="31171"/>
    <cellStyle name="20% - Accent6 3 5 5 2 2" xfId="31172"/>
    <cellStyle name="20% - Accent6 3 5 5 3" xfId="31173"/>
    <cellStyle name="20% - Accent6 3 5 5 3 2" xfId="31174"/>
    <cellStyle name="20% - Accent6 3 5 5 4" xfId="31175"/>
    <cellStyle name="20% - Accent6 3 5 5 5" xfId="31176"/>
    <cellStyle name="20% - Accent6 3 5 5 6" xfId="31177"/>
    <cellStyle name="20% - Accent6 3 5 5 7" xfId="31178"/>
    <cellStyle name="20% - Accent6 3 5 6" xfId="31179"/>
    <cellStyle name="20% - Accent6 3 5 6 2" xfId="31180"/>
    <cellStyle name="20% - Accent6 3 5 6 2 2" xfId="31181"/>
    <cellStyle name="20% - Accent6 3 5 6 3" xfId="31182"/>
    <cellStyle name="20% - Accent6 3 5 6 3 2" xfId="31183"/>
    <cellStyle name="20% - Accent6 3 5 6 4" xfId="31184"/>
    <cellStyle name="20% - Accent6 3 5 6 5" xfId="31185"/>
    <cellStyle name="20% - Accent6 3 5 6 6" xfId="31186"/>
    <cellStyle name="20% - Accent6 3 5 6 7" xfId="31187"/>
    <cellStyle name="20% - Accent6 3 5 7" xfId="31188"/>
    <cellStyle name="20% - Accent6 3 5 7 2" xfId="31189"/>
    <cellStyle name="20% - Accent6 3 5 7 2 2" xfId="31190"/>
    <cellStyle name="20% - Accent6 3 5 7 3" xfId="31191"/>
    <cellStyle name="20% - Accent6 3 5 7 3 2" xfId="31192"/>
    <cellStyle name="20% - Accent6 3 5 7 4" xfId="31193"/>
    <cellStyle name="20% - Accent6 3 5 7 5" xfId="31194"/>
    <cellStyle name="20% - Accent6 3 5 7 6" xfId="31195"/>
    <cellStyle name="20% - Accent6 3 5 7 7" xfId="31196"/>
    <cellStyle name="20% - Accent6 3 5 8" xfId="31197"/>
    <cellStyle name="20% - Accent6 3 5 8 2" xfId="31198"/>
    <cellStyle name="20% - Accent6 3 5 9" xfId="31199"/>
    <cellStyle name="20% - Accent6 3 5 9 2" xfId="31200"/>
    <cellStyle name="20% - Accent6 3 6" xfId="31201"/>
    <cellStyle name="20% - Accent6 3 6 10" xfId="31202"/>
    <cellStyle name="20% - Accent6 3 6 11" xfId="31203"/>
    <cellStyle name="20% - Accent6 3 6 12" xfId="31204"/>
    <cellStyle name="20% - Accent6 3 6 13" xfId="31205"/>
    <cellStyle name="20% - Accent6 3 6 2" xfId="31206"/>
    <cellStyle name="20% - Accent6 3 6 2 10" xfId="31207"/>
    <cellStyle name="20% - Accent6 3 6 2 11" xfId="31208"/>
    <cellStyle name="20% - Accent6 3 6 2 2" xfId="31209"/>
    <cellStyle name="20% - Accent6 3 6 2 2 10" xfId="31210"/>
    <cellStyle name="20% - Accent6 3 6 2 2 2" xfId="31211"/>
    <cellStyle name="20% - Accent6 3 6 2 2 2 2" xfId="31212"/>
    <cellStyle name="20% - Accent6 3 6 2 2 2 2 2" xfId="31213"/>
    <cellStyle name="20% - Accent6 3 6 2 2 2 3" xfId="31214"/>
    <cellStyle name="20% - Accent6 3 6 2 2 2 3 2" xfId="31215"/>
    <cellStyle name="20% - Accent6 3 6 2 2 2 4" xfId="31216"/>
    <cellStyle name="20% - Accent6 3 6 2 2 2 5" xfId="31217"/>
    <cellStyle name="20% - Accent6 3 6 2 2 2 6" xfId="31218"/>
    <cellStyle name="20% - Accent6 3 6 2 2 2 7" xfId="31219"/>
    <cellStyle name="20% - Accent6 3 6 2 2 3" xfId="31220"/>
    <cellStyle name="20% - Accent6 3 6 2 2 3 2" xfId="31221"/>
    <cellStyle name="20% - Accent6 3 6 2 2 3 2 2" xfId="31222"/>
    <cellStyle name="20% - Accent6 3 6 2 2 3 3" xfId="31223"/>
    <cellStyle name="20% - Accent6 3 6 2 2 3 3 2" xfId="31224"/>
    <cellStyle name="20% - Accent6 3 6 2 2 3 4" xfId="31225"/>
    <cellStyle name="20% - Accent6 3 6 2 2 3 5" xfId="31226"/>
    <cellStyle name="20% - Accent6 3 6 2 2 3 6" xfId="31227"/>
    <cellStyle name="20% - Accent6 3 6 2 2 3 7" xfId="31228"/>
    <cellStyle name="20% - Accent6 3 6 2 2 4" xfId="31229"/>
    <cellStyle name="20% - Accent6 3 6 2 2 4 2" xfId="31230"/>
    <cellStyle name="20% - Accent6 3 6 2 2 4 2 2" xfId="31231"/>
    <cellStyle name="20% - Accent6 3 6 2 2 4 3" xfId="31232"/>
    <cellStyle name="20% - Accent6 3 6 2 2 4 3 2" xfId="31233"/>
    <cellStyle name="20% - Accent6 3 6 2 2 4 4" xfId="31234"/>
    <cellStyle name="20% - Accent6 3 6 2 2 4 5" xfId="31235"/>
    <cellStyle name="20% - Accent6 3 6 2 2 4 6" xfId="31236"/>
    <cellStyle name="20% - Accent6 3 6 2 2 4 7" xfId="31237"/>
    <cellStyle name="20% - Accent6 3 6 2 2 5" xfId="31238"/>
    <cellStyle name="20% - Accent6 3 6 2 2 5 2" xfId="31239"/>
    <cellStyle name="20% - Accent6 3 6 2 2 6" xfId="31240"/>
    <cellStyle name="20% - Accent6 3 6 2 2 6 2" xfId="31241"/>
    <cellStyle name="20% - Accent6 3 6 2 2 7" xfId="31242"/>
    <cellStyle name="20% - Accent6 3 6 2 2 8" xfId="31243"/>
    <cellStyle name="20% - Accent6 3 6 2 2 9" xfId="31244"/>
    <cellStyle name="20% - Accent6 3 6 2 3" xfId="31245"/>
    <cellStyle name="20% - Accent6 3 6 2 3 2" xfId="31246"/>
    <cellStyle name="20% - Accent6 3 6 2 3 2 2" xfId="31247"/>
    <cellStyle name="20% - Accent6 3 6 2 3 3" xfId="31248"/>
    <cellStyle name="20% - Accent6 3 6 2 3 3 2" xfId="31249"/>
    <cellStyle name="20% - Accent6 3 6 2 3 4" xfId="31250"/>
    <cellStyle name="20% - Accent6 3 6 2 3 5" xfId="31251"/>
    <cellStyle name="20% - Accent6 3 6 2 3 6" xfId="31252"/>
    <cellStyle name="20% - Accent6 3 6 2 3 7" xfId="31253"/>
    <cellStyle name="20% - Accent6 3 6 2 4" xfId="31254"/>
    <cellStyle name="20% - Accent6 3 6 2 4 2" xfId="31255"/>
    <cellStyle name="20% - Accent6 3 6 2 4 2 2" xfId="31256"/>
    <cellStyle name="20% - Accent6 3 6 2 4 3" xfId="31257"/>
    <cellStyle name="20% - Accent6 3 6 2 4 3 2" xfId="31258"/>
    <cellStyle name="20% - Accent6 3 6 2 4 4" xfId="31259"/>
    <cellStyle name="20% - Accent6 3 6 2 4 5" xfId="31260"/>
    <cellStyle name="20% - Accent6 3 6 2 4 6" xfId="31261"/>
    <cellStyle name="20% - Accent6 3 6 2 4 7" xfId="31262"/>
    <cellStyle name="20% - Accent6 3 6 2 5" xfId="31263"/>
    <cellStyle name="20% - Accent6 3 6 2 5 2" xfId="31264"/>
    <cellStyle name="20% - Accent6 3 6 2 5 2 2" xfId="31265"/>
    <cellStyle name="20% - Accent6 3 6 2 5 3" xfId="31266"/>
    <cellStyle name="20% - Accent6 3 6 2 5 3 2" xfId="31267"/>
    <cellStyle name="20% - Accent6 3 6 2 5 4" xfId="31268"/>
    <cellStyle name="20% - Accent6 3 6 2 5 5" xfId="31269"/>
    <cellStyle name="20% - Accent6 3 6 2 5 6" xfId="31270"/>
    <cellStyle name="20% - Accent6 3 6 2 5 7" xfId="31271"/>
    <cellStyle name="20% - Accent6 3 6 2 6" xfId="31272"/>
    <cellStyle name="20% - Accent6 3 6 2 6 2" xfId="31273"/>
    <cellStyle name="20% - Accent6 3 6 2 7" xfId="31274"/>
    <cellStyle name="20% - Accent6 3 6 2 7 2" xfId="31275"/>
    <cellStyle name="20% - Accent6 3 6 2 8" xfId="31276"/>
    <cellStyle name="20% - Accent6 3 6 2 9" xfId="31277"/>
    <cellStyle name="20% - Accent6 3 6 3" xfId="31278"/>
    <cellStyle name="20% - Accent6 3 6 3 10" xfId="31279"/>
    <cellStyle name="20% - Accent6 3 6 3 11" xfId="31280"/>
    <cellStyle name="20% - Accent6 3 6 3 2" xfId="31281"/>
    <cellStyle name="20% - Accent6 3 6 3 2 10" xfId="31282"/>
    <cellStyle name="20% - Accent6 3 6 3 2 2" xfId="31283"/>
    <cellStyle name="20% - Accent6 3 6 3 2 2 2" xfId="31284"/>
    <cellStyle name="20% - Accent6 3 6 3 2 2 2 2" xfId="31285"/>
    <cellStyle name="20% - Accent6 3 6 3 2 2 3" xfId="31286"/>
    <cellStyle name="20% - Accent6 3 6 3 2 2 3 2" xfId="31287"/>
    <cellStyle name="20% - Accent6 3 6 3 2 2 4" xfId="31288"/>
    <cellStyle name="20% - Accent6 3 6 3 2 2 5" xfId="31289"/>
    <cellStyle name="20% - Accent6 3 6 3 2 2 6" xfId="31290"/>
    <cellStyle name="20% - Accent6 3 6 3 2 2 7" xfId="31291"/>
    <cellStyle name="20% - Accent6 3 6 3 2 3" xfId="31292"/>
    <cellStyle name="20% - Accent6 3 6 3 2 3 2" xfId="31293"/>
    <cellStyle name="20% - Accent6 3 6 3 2 3 2 2" xfId="31294"/>
    <cellStyle name="20% - Accent6 3 6 3 2 3 3" xfId="31295"/>
    <cellStyle name="20% - Accent6 3 6 3 2 3 3 2" xfId="31296"/>
    <cellStyle name="20% - Accent6 3 6 3 2 3 4" xfId="31297"/>
    <cellStyle name="20% - Accent6 3 6 3 2 3 5" xfId="31298"/>
    <cellStyle name="20% - Accent6 3 6 3 2 3 6" xfId="31299"/>
    <cellStyle name="20% - Accent6 3 6 3 2 3 7" xfId="31300"/>
    <cellStyle name="20% - Accent6 3 6 3 2 4" xfId="31301"/>
    <cellStyle name="20% - Accent6 3 6 3 2 4 2" xfId="31302"/>
    <cellStyle name="20% - Accent6 3 6 3 2 4 2 2" xfId="31303"/>
    <cellStyle name="20% - Accent6 3 6 3 2 4 3" xfId="31304"/>
    <cellStyle name="20% - Accent6 3 6 3 2 4 3 2" xfId="31305"/>
    <cellStyle name="20% - Accent6 3 6 3 2 4 4" xfId="31306"/>
    <cellStyle name="20% - Accent6 3 6 3 2 4 5" xfId="31307"/>
    <cellStyle name="20% - Accent6 3 6 3 2 4 6" xfId="31308"/>
    <cellStyle name="20% - Accent6 3 6 3 2 4 7" xfId="31309"/>
    <cellStyle name="20% - Accent6 3 6 3 2 5" xfId="31310"/>
    <cellStyle name="20% - Accent6 3 6 3 2 5 2" xfId="31311"/>
    <cellStyle name="20% - Accent6 3 6 3 2 6" xfId="31312"/>
    <cellStyle name="20% - Accent6 3 6 3 2 6 2" xfId="31313"/>
    <cellStyle name="20% - Accent6 3 6 3 2 7" xfId="31314"/>
    <cellStyle name="20% - Accent6 3 6 3 2 8" xfId="31315"/>
    <cellStyle name="20% - Accent6 3 6 3 2 9" xfId="31316"/>
    <cellStyle name="20% - Accent6 3 6 3 3" xfId="31317"/>
    <cellStyle name="20% - Accent6 3 6 3 3 2" xfId="31318"/>
    <cellStyle name="20% - Accent6 3 6 3 3 2 2" xfId="31319"/>
    <cellStyle name="20% - Accent6 3 6 3 3 3" xfId="31320"/>
    <cellStyle name="20% - Accent6 3 6 3 3 3 2" xfId="31321"/>
    <cellStyle name="20% - Accent6 3 6 3 3 4" xfId="31322"/>
    <cellStyle name="20% - Accent6 3 6 3 3 5" xfId="31323"/>
    <cellStyle name="20% - Accent6 3 6 3 3 6" xfId="31324"/>
    <cellStyle name="20% - Accent6 3 6 3 3 7" xfId="31325"/>
    <cellStyle name="20% - Accent6 3 6 3 4" xfId="31326"/>
    <cellStyle name="20% - Accent6 3 6 3 4 2" xfId="31327"/>
    <cellStyle name="20% - Accent6 3 6 3 4 2 2" xfId="31328"/>
    <cellStyle name="20% - Accent6 3 6 3 4 3" xfId="31329"/>
    <cellStyle name="20% - Accent6 3 6 3 4 3 2" xfId="31330"/>
    <cellStyle name="20% - Accent6 3 6 3 4 4" xfId="31331"/>
    <cellStyle name="20% - Accent6 3 6 3 4 5" xfId="31332"/>
    <cellStyle name="20% - Accent6 3 6 3 4 6" xfId="31333"/>
    <cellStyle name="20% - Accent6 3 6 3 4 7" xfId="31334"/>
    <cellStyle name="20% - Accent6 3 6 3 5" xfId="31335"/>
    <cellStyle name="20% - Accent6 3 6 3 5 2" xfId="31336"/>
    <cellStyle name="20% - Accent6 3 6 3 5 2 2" xfId="31337"/>
    <cellStyle name="20% - Accent6 3 6 3 5 3" xfId="31338"/>
    <cellStyle name="20% - Accent6 3 6 3 5 3 2" xfId="31339"/>
    <cellStyle name="20% - Accent6 3 6 3 5 4" xfId="31340"/>
    <cellStyle name="20% - Accent6 3 6 3 5 5" xfId="31341"/>
    <cellStyle name="20% - Accent6 3 6 3 5 6" xfId="31342"/>
    <cellStyle name="20% - Accent6 3 6 3 5 7" xfId="31343"/>
    <cellStyle name="20% - Accent6 3 6 3 6" xfId="31344"/>
    <cellStyle name="20% - Accent6 3 6 3 6 2" xfId="31345"/>
    <cellStyle name="20% - Accent6 3 6 3 7" xfId="31346"/>
    <cellStyle name="20% - Accent6 3 6 3 7 2" xfId="31347"/>
    <cellStyle name="20% - Accent6 3 6 3 8" xfId="31348"/>
    <cellStyle name="20% - Accent6 3 6 3 9" xfId="31349"/>
    <cellStyle name="20% - Accent6 3 6 4" xfId="31350"/>
    <cellStyle name="20% - Accent6 3 6 4 10" xfId="31351"/>
    <cellStyle name="20% - Accent6 3 6 4 2" xfId="31352"/>
    <cellStyle name="20% - Accent6 3 6 4 2 2" xfId="31353"/>
    <cellStyle name="20% - Accent6 3 6 4 2 2 2" xfId="31354"/>
    <cellStyle name="20% - Accent6 3 6 4 2 3" xfId="31355"/>
    <cellStyle name="20% - Accent6 3 6 4 2 3 2" xfId="31356"/>
    <cellStyle name="20% - Accent6 3 6 4 2 4" xfId="31357"/>
    <cellStyle name="20% - Accent6 3 6 4 2 5" xfId="31358"/>
    <cellStyle name="20% - Accent6 3 6 4 2 6" xfId="31359"/>
    <cellStyle name="20% - Accent6 3 6 4 2 7" xfId="31360"/>
    <cellStyle name="20% - Accent6 3 6 4 3" xfId="31361"/>
    <cellStyle name="20% - Accent6 3 6 4 3 2" xfId="31362"/>
    <cellStyle name="20% - Accent6 3 6 4 3 2 2" xfId="31363"/>
    <cellStyle name="20% - Accent6 3 6 4 3 3" xfId="31364"/>
    <cellStyle name="20% - Accent6 3 6 4 3 3 2" xfId="31365"/>
    <cellStyle name="20% - Accent6 3 6 4 3 4" xfId="31366"/>
    <cellStyle name="20% - Accent6 3 6 4 3 5" xfId="31367"/>
    <cellStyle name="20% - Accent6 3 6 4 3 6" xfId="31368"/>
    <cellStyle name="20% - Accent6 3 6 4 3 7" xfId="31369"/>
    <cellStyle name="20% - Accent6 3 6 4 4" xfId="31370"/>
    <cellStyle name="20% - Accent6 3 6 4 4 2" xfId="31371"/>
    <cellStyle name="20% - Accent6 3 6 4 4 2 2" xfId="31372"/>
    <cellStyle name="20% - Accent6 3 6 4 4 3" xfId="31373"/>
    <cellStyle name="20% - Accent6 3 6 4 4 3 2" xfId="31374"/>
    <cellStyle name="20% - Accent6 3 6 4 4 4" xfId="31375"/>
    <cellStyle name="20% - Accent6 3 6 4 4 5" xfId="31376"/>
    <cellStyle name="20% - Accent6 3 6 4 4 6" xfId="31377"/>
    <cellStyle name="20% - Accent6 3 6 4 4 7" xfId="31378"/>
    <cellStyle name="20% - Accent6 3 6 4 5" xfId="31379"/>
    <cellStyle name="20% - Accent6 3 6 4 5 2" xfId="31380"/>
    <cellStyle name="20% - Accent6 3 6 4 6" xfId="31381"/>
    <cellStyle name="20% - Accent6 3 6 4 6 2" xfId="31382"/>
    <cellStyle name="20% - Accent6 3 6 4 7" xfId="31383"/>
    <cellStyle name="20% - Accent6 3 6 4 8" xfId="31384"/>
    <cellStyle name="20% - Accent6 3 6 4 9" xfId="31385"/>
    <cellStyle name="20% - Accent6 3 6 5" xfId="31386"/>
    <cellStyle name="20% - Accent6 3 6 5 2" xfId="31387"/>
    <cellStyle name="20% - Accent6 3 6 5 2 2" xfId="31388"/>
    <cellStyle name="20% - Accent6 3 6 5 3" xfId="31389"/>
    <cellStyle name="20% - Accent6 3 6 5 3 2" xfId="31390"/>
    <cellStyle name="20% - Accent6 3 6 5 4" xfId="31391"/>
    <cellStyle name="20% - Accent6 3 6 5 5" xfId="31392"/>
    <cellStyle name="20% - Accent6 3 6 5 6" xfId="31393"/>
    <cellStyle name="20% - Accent6 3 6 5 7" xfId="31394"/>
    <cellStyle name="20% - Accent6 3 6 6" xfId="31395"/>
    <cellStyle name="20% - Accent6 3 6 6 2" xfId="31396"/>
    <cellStyle name="20% - Accent6 3 6 6 2 2" xfId="31397"/>
    <cellStyle name="20% - Accent6 3 6 6 3" xfId="31398"/>
    <cellStyle name="20% - Accent6 3 6 6 3 2" xfId="31399"/>
    <cellStyle name="20% - Accent6 3 6 6 4" xfId="31400"/>
    <cellStyle name="20% - Accent6 3 6 6 5" xfId="31401"/>
    <cellStyle name="20% - Accent6 3 6 6 6" xfId="31402"/>
    <cellStyle name="20% - Accent6 3 6 6 7" xfId="31403"/>
    <cellStyle name="20% - Accent6 3 6 7" xfId="31404"/>
    <cellStyle name="20% - Accent6 3 6 7 2" xfId="31405"/>
    <cellStyle name="20% - Accent6 3 6 7 2 2" xfId="31406"/>
    <cellStyle name="20% - Accent6 3 6 7 3" xfId="31407"/>
    <cellStyle name="20% - Accent6 3 6 7 3 2" xfId="31408"/>
    <cellStyle name="20% - Accent6 3 6 7 4" xfId="31409"/>
    <cellStyle name="20% - Accent6 3 6 7 5" xfId="31410"/>
    <cellStyle name="20% - Accent6 3 6 7 6" xfId="31411"/>
    <cellStyle name="20% - Accent6 3 6 7 7" xfId="31412"/>
    <cellStyle name="20% - Accent6 3 6 8" xfId="31413"/>
    <cellStyle name="20% - Accent6 3 6 8 2" xfId="31414"/>
    <cellStyle name="20% - Accent6 3 6 9" xfId="31415"/>
    <cellStyle name="20% - Accent6 3 6 9 2" xfId="31416"/>
    <cellStyle name="20% - Accent6 3 7" xfId="31417"/>
    <cellStyle name="20% - Accent6 3 7 10" xfId="31418"/>
    <cellStyle name="20% - Accent6 3 7 11" xfId="31419"/>
    <cellStyle name="20% - Accent6 3 7 2" xfId="31420"/>
    <cellStyle name="20% - Accent6 3 7 2 10" xfId="31421"/>
    <cellStyle name="20% - Accent6 3 7 2 2" xfId="31422"/>
    <cellStyle name="20% - Accent6 3 7 2 2 2" xfId="31423"/>
    <cellStyle name="20% - Accent6 3 7 2 2 2 2" xfId="31424"/>
    <cellStyle name="20% - Accent6 3 7 2 2 3" xfId="31425"/>
    <cellStyle name="20% - Accent6 3 7 2 2 3 2" xfId="31426"/>
    <cellStyle name="20% - Accent6 3 7 2 2 4" xfId="31427"/>
    <cellStyle name="20% - Accent6 3 7 2 2 5" xfId="31428"/>
    <cellStyle name="20% - Accent6 3 7 2 2 6" xfId="31429"/>
    <cellStyle name="20% - Accent6 3 7 2 2 7" xfId="31430"/>
    <cellStyle name="20% - Accent6 3 7 2 3" xfId="31431"/>
    <cellStyle name="20% - Accent6 3 7 2 3 2" xfId="31432"/>
    <cellStyle name="20% - Accent6 3 7 2 3 2 2" xfId="31433"/>
    <cellStyle name="20% - Accent6 3 7 2 3 3" xfId="31434"/>
    <cellStyle name="20% - Accent6 3 7 2 3 3 2" xfId="31435"/>
    <cellStyle name="20% - Accent6 3 7 2 3 4" xfId="31436"/>
    <cellStyle name="20% - Accent6 3 7 2 3 5" xfId="31437"/>
    <cellStyle name="20% - Accent6 3 7 2 3 6" xfId="31438"/>
    <cellStyle name="20% - Accent6 3 7 2 3 7" xfId="31439"/>
    <cellStyle name="20% - Accent6 3 7 2 4" xfId="31440"/>
    <cellStyle name="20% - Accent6 3 7 2 4 2" xfId="31441"/>
    <cellStyle name="20% - Accent6 3 7 2 4 2 2" xfId="31442"/>
    <cellStyle name="20% - Accent6 3 7 2 4 3" xfId="31443"/>
    <cellStyle name="20% - Accent6 3 7 2 4 3 2" xfId="31444"/>
    <cellStyle name="20% - Accent6 3 7 2 4 4" xfId="31445"/>
    <cellStyle name="20% - Accent6 3 7 2 4 5" xfId="31446"/>
    <cellStyle name="20% - Accent6 3 7 2 4 6" xfId="31447"/>
    <cellStyle name="20% - Accent6 3 7 2 4 7" xfId="31448"/>
    <cellStyle name="20% - Accent6 3 7 2 5" xfId="31449"/>
    <cellStyle name="20% - Accent6 3 7 2 5 2" xfId="31450"/>
    <cellStyle name="20% - Accent6 3 7 2 6" xfId="31451"/>
    <cellStyle name="20% - Accent6 3 7 2 6 2" xfId="31452"/>
    <cellStyle name="20% - Accent6 3 7 2 7" xfId="31453"/>
    <cellStyle name="20% - Accent6 3 7 2 8" xfId="31454"/>
    <cellStyle name="20% - Accent6 3 7 2 9" xfId="31455"/>
    <cellStyle name="20% - Accent6 3 7 3" xfId="31456"/>
    <cellStyle name="20% - Accent6 3 7 3 2" xfId="31457"/>
    <cellStyle name="20% - Accent6 3 7 3 2 2" xfId="31458"/>
    <cellStyle name="20% - Accent6 3 7 3 3" xfId="31459"/>
    <cellStyle name="20% - Accent6 3 7 3 3 2" xfId="31460"/>
    <cellStyle name="20% - Accent6 3 7 3 4" xfId="31461"/>
    <cellStyle name="20% - Accent6 3 7 3 5" xfId="31462"/>
    <cellStyle name="20% - Accent6 3 7 3 6" xfId="31463"/>
    <cellStyle name="20% - Accent6 3 7 3 7" xfId="31464"/>
    <cellStyle name="20% - Accent6 3 7 4" xfId="31465"/>
    <cellStyle name="20% - Accent6 3 7 4 2" xfId="31466"/>
    <cellStyle name="20% - Accent6 3 7 4 2 2" xfId="31467"/>
    <cellStyle name="20% - Accent6 3 7 4 3" xfId="31468"/>
    <cellStyle name="20% - Accent6 3 7 4 3 2" xfId="31469"/>
    <cellStyle name="20% - Accent6 3 7 4 4" xfId="31470"/>
    <cellStyle name="20% - Accent6 3 7 4 5" xfId="31471"/>
    <cellStyle name="20% - Accent6 3 7 4 6" xfId="31472"/>
    <cellStyle name="20% - Accent6 3 7 4 7" xfId="31473"/>
    <cellStyle name="20% - Accent6 3 7 5" xfId="31474"/>
    <cellStyle name="20% - Accent6 3 7 5 2" xfId="31475"/>
    <cellStyle name="20% - Accent6 3 7 5 2 2" xfId="31476"/>
    <cellStyle name="20% - Accent6 3 7 5 3" xfId="31477"/>
    <cellStyle name="20% - Accent6 3 7 5 3 2" xfId="31478"/>
    <cellStyle name="20% - Accent6 3 7 5 4" xfId="31479"/>
    <cellStyle name="20% - Accent6 3 7 5 5" xfId="31480"/>
    <cellStyle name="20% - Accent6 3 7 5 6" xfId="31481"/>
    <cellStyle name="20% - Accent6 3 7 5 7" xfId="31482"/>
    <cellStyle name="20% - Accent6 3 7 6" xfId="31483"/>
    <cellStyle name="20% - Accent6 3 7 6 2" xfId="31484"/>
    <cellStyle name="20% - Accent6 3 7 7" xfId="31485"/>
    <cellStyle name="20% - Accent6 3 7 7 2" xfId="31486"/>
    <cellStyle name="20% - Accent6 3 7 8" xfId="31487"/>
    <cellStyle name="20% - Accent6 3 7 9" xfId="31488"/>
    <cellStyle name="20% - Accent6 3 8" xfId="31489"/>
    <cellStyle name="20% - Accent6 3 8 10" xfId="31490"/>
    <cellStyle name="20% - Accent6 3 8 11" xfId="31491"/>
    <cellStyle name="20% - Accent6 3 8 2" xfId="31492"/>
    <cellStyle name="20% - Accent6 3 8 2 10" xfId="31493"/>
    <cellStyle name="20% - Accent6 3 8 2 2" xfId="31494"/>
    <cellStyle name="20% - Accent6 3 8 2 2 2" xfId="31495"/>
    <cellStyle name="20% - Accent6 3 8 2 2 2 2" xfId="31496"/>
    <cellStyle name="20% - Accent6 3 8 2 2 3" xfId="31497"/>
    <cellStyle name="20% - Accent6 3 8 2 2 3 2" xfId="31498"/>
    <cellStyle name="20% - Accent6 3 8 2 2 4" xfId="31499"/>
    <cellStyle name="20% - Accent6 3 8 2 2 5" xfId="31500"/>
    <cellStyle name="20% - Accent6 3 8 2 2 6" xfId="31501"/>
    <cellStyle name="20% - Accent6 3 8 2 2 7" xfId="31502"/>
    <cellStyle name="20% - Accent6 3 8 2 3" xfId="31503"/>
    <cellStyle name="20% - Accent6 3 8 2 3 2" xfId="31504"/>
    <cellStyle name="20% - Accent6 3 8 2 3 2 2" xfId="31505"/>
    <cellStyle name="20% - Accent6 3 8 2 3 3" xfId="31506"/>
    <cellStyle name="20% - Accent6 3 8 2 3 3 2" xfId="31507"/>
    <cellStyle name="20% - Accent6 3 8 2 3 4" xfId="31508"/>
    <cellStyle name="20% - Accent6 3 8 2 3 5" xfId="31509"/>
    <cellStyle name="20% - Accent6 3 8 2 3 6" xfId="31510"/>
    <cellStyle name="20% - Accent6 3 8 2 3 7" xfId="31511"/>
    <cellStyle name="20% - Accent6 3 8 2 4" xfId="31512"/>
    <cellStyle name="20% - Accent6 3 8 2 4 2" xfId="31513"/>
    <cellStyle name="20% - Accent6 3 8 2 4 2 2" xfId="31514"/>
    <cellStyle name="20% - Accent6 3 8 2 4 3" xfId="31515"/>
    <cellStyle name="20% - Accent6 3 8 2 4 3 2" xfId="31516"/>
    <cellStyle name="20% - Accent6 3 8 2 4 4" xfId="31517"/>
    <cellStyle name="20% - Accent6 3 8 2 4 5" xfId="31518"/>
    <cellStyle name="20% - Accent6 3 8 2 4 6" xfId="31519"/>
    <cellStyle name="20% - Accent6 3 8 2 4 7" xfId="31520"/>
    <cellStyle name="20% - Accent6 3 8 2 5" xfId="31521"/>
    <cellStyle name="20% - Accent6 3 8 2 5 2" xfId="31522"/>
    <cellStyle name="20% - Accent6 3 8 2 6" xfId="31523"/>
    <cellStyle name="20% - Accent6 3 8 2 6 2" xfId="31524"/>
    <cellStyle name="20% - Accent6 3 8 2 7" xfId="31525"/>
    <cellStyle name="20% - Accent6 3 8 2 8" xfId="31526"/>
    <cellStyle name="20% - Accent6 3 8 2 9" xfId="31527"/>
    <cellStyle name="20% - Accent6 3 8 3" xfId="31528"/>
    <cellStyle name="20% - Accent6 3 8 3 2" xfId="31529"/>
    <cellStyle name="20% - Accent6 3 8 3 2 2" xfId="31530"/>
    <cellStyle name="20% - Accent6 3 8 3 3" xfId="31531"/>
    <cellStyle name="20% - Accent6 3 8 3 3 2" xfId="31532"/>
    <cellStyle name="20% - Accent6 3 8 3 4" xfId="31533"/>
    <cellStyle name="20% - Accent6 3 8 3 5" xfId="31534"/>
    <cellStyle name="20% - Accent6 3 8 3 6" xfId="31535"/>
    <cellStyle name="20% - Accent6 3 8 3 7" xfId="31536"/>
    <cellStyle name="20% - Accent6 3 8 4" xfId="31537"/>
    <cellStyle name="20% - Accent6 3 8 4 2" xfId="31538"/>
    <cellStyle name="20% - Accent6 3 8 4 2 2" xfId="31539"/>
    <cellStyle name="20% - Accent6 3 8 4 3" xfId="31540"/>
    <cellStyle name="20% - Accent6 3 8 4 3 2" xfId="31541"/>
    <cellStyle name="20% - Accent6 3 8 4 4" xfId="31542"/>
    <cellStyle name="20% - Accent6 3 8 4 5" xfId="31543"/>
    <cellStyle name="20% - Accent6 3 8 4 6" xfId="31544"/>
    <cellStyle name="20% - Accent6 3 8 4 7" xfId="31545"/>
    <cellStyle name="20% - Accent6 3 8 5" xfId="31546"/>
    <cellStyle name="20% - Accent6 3 8 5 2" xfId="31547"/>
    <cellStyle name="20% - Accent6 3 8 5 2 2" xfId="31548"/>
    <cellStyle name="20% - Accent6 3 8 5 3" xfId="31549"/>
    <cellStyle name="20% - Accent6 3 8 5 3 2" xfId="31550"/>
    <cellStyle name="20% - Accent6 3 8 5 4" xfId="31551"/>
    <cellStyle name="20% - Accent6 3 8 5 5" xfId="31552"/>
    <cellStyle name="20% - Accent6 3 8 5 6" xfId="31553"/>
    <cellStyle name="20% - Accent6 3 8 5 7" xfId="31554"/>
    <cellStyle name="20% - Accent6 3 8 6" xfId="31555"/>
    <cellStyle name="20% - Accent6 3 8 6 2" xfId="31556"/>
    <cellStyle name="20% - Accent6 3 8 7" xfId="31557"/>
    <cellStyle name="20% - Accent6 3 8 7 2" xfId="31558"/>
    <cellStyle name="20% - Accent6 3 8 8" xfId="31559"/>
    <cellStyle name="20% - Accent6 3 8 9" xfId="31560"/>
    <cellStyle name="20% - Accent6 3 9" xfId="31561"/>
    <cellStyle name="20% - Accent6 3 9 10" xfId="31562"/>
    <cellStyle name="20% - Accent6 3 9 2" xfId="31563"/>
    <cellStyle name="20% - Accent6 3 9 2 2" xfId="31564"/>
    <cellStyle name="20% - Accent6 3 9 2 2 2" xfId="31565"/>
    <cellStyle name="20% - Accent6 3 9 2 3" xfId="31566"/>
    <cellStyle name="20% - Accent6 3 9 2 3 2" xfId="31567"/>
    <cellStyle name="20% - Accent6 3 9 2 4" xfId="31568"/>
    <cellStyle name="20% - Accent6 3 9 2 5" xfId="31569"/>
    <cellStyle name="20% - Accent6 3 9 2 6" xfId="31570"/>
    <cellStyle name="20% - Accent6 3 9 2 7" xfId="31571"/>
    <cellStyle name="20% - Accent6 3 9 3" xfId="31572"/>
    <cellStyle name="20% - Accent6 3 9 3 2" xfId="31573"/>
    <cellStyle name="20% - Accent6 3 9 3 2 2" xfId="31574"/>
    <cellStyle name="20% - Accent6 3 9 3 3" xfId="31575"/>
    <cellStyle name="20% - Accent6 3 9 3 3 2" xfId="31576"/>
    <cellStyle name="20% - Accent6 3 9 3 4" xfId="31577"/>
    <cellStyle name="20% - Accent6 3 9 3 5" xfId="31578"/>
    <cellStyle name="20% - Accent6 3 9 3 6" xfId="31579"/>
    <cellStyle name="20% - Accent6 3 9 3 7" xfId="31580"/>
    <cellStyle name="20% - Accent6 3 9 4" xfId="31581"/>
    <cellStyle name="20% - Accent6 3 9 4 2" xfId="31582"/>
    <cellStyle name="20% - Accent6 3 9 4 2 2" xfId="31583"/>
    <cellStyle name="20% - Accent6 3 9 4 3" xfId="31584"/>
    <cellStyle name="20% - Accent6 3 9 4 3 2" xfId="31585"/>
    <cellStyle name="20% - Accent6 3 9 4 4" xfId="31586"/>
    <cellStyle name="20% - Accent6 3 9 4 5" xfId="31587"/>
    <cellStyle name="20% - Accent6 3 9 4 6" xfId="31588"/>
    <cellStyle name="20% - Accent6 3 9 4 7" xfId="31589"/>
    <cellStyle name="20% - Accent6 3 9 5" xfId="31590"/>
    <cellStyle name="20% - Accent6 3 9 5 2" xfId="31591"/>
    <cellStyle name="20% - Accent6 3 9 6" xfId="31592"/>
    <cellStyle name="20% - Accent6 3 9 6 2" xfId="31593"/>
    <cellStyle name="20% - Accent6 3 9 7" xfId="31594"/>
    <cellStyle name="20% - Accent6 3 9 8" xfId="31595"/>
    <cellStyle name="20% - Accent6 3 9 9" xfId="31596"/>
    <cellStyle name="20% - Accent6 3_10-15-10-Stmt AU - Period I - Working 1 0" xfId="223"/>
    <cellStyle name="20% - Accent6 4" xfId="224"/>
    <cellStyle name="20% - Accent6 4 2" xfId="225"/>
    <cellStyle name="20% - Accent6 4 3" xfId="226"/>
    <cellStyle name="20% - Accent6 4_10-15-10-Stmt AU - Period I - Working 1 0" xfId="227"/>
    <cellStyle name="20% - Accent6 5" xfId="228"/>
    <cellStyle name="20% - Accent6 5 2" xfId="229"/>
    <cellStyle name="20% - Accent6 5 3" xfId="230"/>
    <cellStyle name="20% - Accent6 5_10-15-10-Stmt AU - Period I - Working 1 0" xfId="231"/>
    <cellStyle name="20% - Accent6 6" xfId="232"/>
    <cellStyle name="20% - Accent6 6 2" xfId="233"/>
    <cellStyle name="20% - Accent6 6 3" xfId="234"/>
    <cellStyle name="20% - Accent6 6_10-15-10-Stmt AU - Period I - Working 1 0" xfId="235"/>
    <cellStyle name="20% - Accent6 7" xfId="236"/>
    <cellStyle name="20% - Accent6 7 2" xfId="237"/>
    <cellStyle name="20% - Accent6 7 3" xfId="238"/>
    <cellStyle name="20% - Accent6 7_10-15-10-Stmt AU - Period I - Working 1 0" xfId="239"/>
    <cellStyle name="20% - Accent6 8" xfId="240"/>
    <cellStyle name="20% - Accent6 9" xfId="241"/>
    <cellStyle name="40% - Accent1 10" xfId="242"/>
    <cellStyle name="40% - Accent1 11" xfId="243"/>
    <cellStyle name="40% - Accent1 12" xfId="244"/>
    <cellStyle name="40% - Accent1 13" xfId="245"/>
    <cellStyle name="40% - Accent1 2" xfId="246"/>
    <cellStyle name="40% - Accent1 2 10" xfId="31597"/>
    <cellStyle name="40% - Accent1 2 10 2" xfId="31598"/>
    <cellStyle name="40% - Accent1 2 10 2 2" xfId="31599"/>
    <cellStyle name="40% - Accent1 2 10 3" xfId="31600"/>
    <cellStyle name="40% - Accent1 2 10 3 2" xfId="31601"/>
    <cellStyle name="40% - Accent1 2 10 4" xfId="31602"/>
    <cellStyle name="40% - Accent1 2 10 5" xfId="31603"/>
    <cellStyle name="40% - Accent1 2 10 6" xfId="31604"/>
    <cellStyle name="40% - Accent1 2 10 7" xfId="31605"/>
    <cellStyle name="40% - Accent1 2 11" xfId="31606"/>
    <cellStyle name="40% - Accent1 2 11 2" xfId="31607"/>
    <cellStyle name="40% - Accent1 2 11 2 2" xfId="31608"/>
    <cellStyle name="40% - Accent1 2 11 3" xfId="31609"/>
    <cellStyle name="40% - Accent1 2 11 3 2" xfId="31610"/>
    <cellStyle name="40% - Accent1 2 11 4" xfId="31611"/>
    <cellStyle name="40% - Accent1 2 11 5" xfId="31612"/>
    <cellStyle name="40% - Accent1 2 11 6" xfId="31613"/>
    <cellStyle name="40% - Accent1 2 11 7" xfId="31614"/>
    <cellStyle name="40% - Accent1 2 12" xfId="31615"/>
    <cellStyle name="40% - Accent1 2 12 2" xfId="31616"/>
    <cellStyle name="40% - Accent1 2 12 2 2" xfId="31617"/>
    <cellStyle name="40% - Accent1 2 12 3" xfId="31618"/>
    <cellStyle name="40% - Accent1 2 12 3 2" xfId="31619"/>
    <cellStyle name="40% - Accent1 2 12 4" xfId="31620"/>
    <cellStyle name="40% - Accent1 2 12 5" xfId="31621"/>
    <cellStyle name="40% - Accent1 2 12 6" xfId="31622"/>
    <cellStyle name="40% - Accent1 2 12 7" xfId="31623"/>
    <cellStyle name="40% - Accent1 2 13" xfId="31624"/>
    <cellStyle name="40% - Accent1 2 13 2" xfId="31625"/>
    <cellStyle name="40% - Accent1 2 14" xfId="31626"/>
    <cellStyle name="40% - Accent1 2 15" xfId="31627"/>
    <cellStyle name="40% - Accent1 2 16" xfId="31628"/>
    <cellStyle name="40% - Accent1 2 17" xfId="31629"/>
    <cellStyle name="40% - Accent1 2 18" xfId="31630"/>
    <cellStyle name="40% - Accent1 2 2" xfId="247"/>
    <cellStyle name="40% - Accent1 2 2 10" xfId="31631"/>
    <cellStyle name="40% - Accent1 2 2 11" xfId="31632"/>
    <cellStyle name="40% - Accent1 2 2 12" xfId="31633"/>
    <cellStyle name="40% - Accent1 2 2 13" xfId="31634"/>
    <cellStyle name="40% - Accent1 2 2 2" xfId="31635"/>
    <cellStyle name="40% - Accent1 2 2 2 10" xfId="31636"/>
    <cellStyle name="40% - Accent1 2 2 2 11" xfId="31637"/>
    <cellStyle name="40% - Accent1 2 2 2 2" xfId="31638"/>
    <cellStyle name="40% - Accent1 2 2 2 2 10" xfId="31639"/>
    <cellStyle name="40% - Accent1 2 2 2 2 2" xfId="31640"/>
    <cellStyle name="40% - Accent1 2 2 2 2 2 2" xfId="31641"/>
    <cellStyle name="40% - Accent1 2 2 2 2 2 2 2" xfId="31642"/>
    <cellStyle name="40% - Accent1 2 2 2 2 2 3" xfId="31643"/>
    <cellStyle name="40% - Accent1 2 2 2 2 2 3 2" xfId="31644"/>
    <cellStyle name="40% - Accent1 2 2 2 2 2 4" xfId="31645"/>
    <cellStyle name="40% - Accent1 2 2 2 2 2 5" xfId="31646"/>
    <cellStyle name="40% - Accent1 2 2 2 2 2 6" xfId="31647"/>
    <cellStyle name="40% - Accent1 2 2 2 2 2 7" xfId="31648"/>
    <cellStyle name="40% - Accent1 2 2 2 2 3" xfId="31649"/>
    <cellStyle name="40% - Accent1 2 2 2 2 3 2" xfId="31650"/>
    <cellStyle name="40% - Accent1 2 2 2 2 3 2 2" xfId="31651"/>
    <cellStyle name="40% - Accent1 2 2 2 2 3 3" xfId="31652"/>
    <cellStyle name="40% - Accent1 2 2 2 2 3 3 2" xfId="31653"/>
    <cellStyle name="40% - Accent1 2 2 2 2 3 4" xfId="31654"/>
    <cellStyle name="40% - Accent1 2 2 2 2 3 5" xfId="31655"/>
    <cellStyle name="40% - Accent1 2 2 2 2 3 6" xfId="31656"/>
    <cellStyle name="40% - Accent1 2 2 2 2 3 7" xfId="31657"/>
    <cellStyle name="40% - Accent1 2 2 2 2 4" xfId="31658"/>
    <cellStyle name="40% - Accent1 2 2 2 2 4 2" xfId="31659"/>
    <cellStyle name="40% - Accent1 2 2 2 2 4 2 2" xfId="31660"/>
    <cellStyle name="40% - Accent1 2 2 2 2 4 3" xfId="31661"/>
    <cellStyle name="40% - Accent1 2 2 2 2 4 3 2" xfId="31662"/>
    <cellStyle name="40% - Accent1 2 2 2 2 4 4" xfId="31663"/>
    <cellStyle name="40% - Accent1 2 2 2 2 4 5" xfId="31664"/>
    <cellStyle name="40% - Accent1 2 2 2 2 4 6" xfId="31665"/>
    <cellStyle name="40% - Accent1 2 2 2 2 4 7" xfId="31666"/>
    <cellStyle name="40% - Accent1 2 2 2 2 5" xfId="31667"/>
    <cellStyle name="40% - Accent1 2 2 2 2 5 2" xfId="31668"/>
    <cellStyle name="40% - Accent1 2 2 2 2 6" xfId="31669"/>
    <cellStyle name="40% - Accent1 2 2 2 2 6 2" xfId="31670"/>
    <cellStyle name="40% - Accent1 2 2 2 2 7" xfId="31671"/>
    <cellStyle name="40% - Accent1 2 2 2 2 8" xfId="31672"/>
    <cellStyle name="40% - Accent1 2 2 2 2 9" xfId="31673"/>
    <cellStyle name="40% - Accent1 2 2 2 3" xfId="31674"/>
    <cellStyle name="40% - Accent1 2 2 2 3 2" xfId="31675"/>
    <cellStyle name="40% - Accent1 2 2 2 3 2 2" xfId="31676"/>
    <cellStyle name="40% - Accent1 2 2 2 3 3" xfId="31677"/>
    <cellStyle name="40% - Accent1 2 2 2 3 3 2" xfId="31678"/>
    <cellStyle name="40% - Accent1 2 2 2 3 4" xfId="31679"/>
    <cellStyle name="40% - Accent1 2 2 2 3 5" xfId="31680"/>
    <cellStyle name="40% - Accent1 2 2 2 3 6" xfId="31681"/>
    <cellStyle name="40% - Accent1 2 2 2 3 7" xfId="31682"/>
    <cellStyle name="40% - Accent1 2 2 2 4" xfId="31683"/>
    <cellStyle name="40% - Accent1 2 2 2 4 2" xfId="31684"/>
    <cellStyle name="40% - Accent1 2 2 2 4 2 2" xfId="31685"/>
    <cellStyle name="40% - Accent1 2 2 2 4 3" xfId="31686"/>
    <cellStyle name="40% - Accent1 2 2 2 4 3 2" xfId="31687"/>
    <cellStyle name="40% - Accent1 2 2 2 4 4" xfId="31688"/>
    <cellStyle name="40% - Accent1 2 2 2 4 5" xfId="31689"/>
    <cellStyle name="40% - Accent1 2 2 2 4 6" xfId="31690"/>
    <cellStyle name="40% - Accent1 2 2 2 4 7" xfId="31691"/>
    <cellStyle name="40% - Accent1 2 2 2 5" xfId="31692"/>
    <cellStyle name="40% - Accent1 2 2 2 5 2" xfId="31693"/>
    <cellStyle name="40% - Accent1 2 2 2 5 2 2" xfId="31694"/>
    <cellStyle name="40% - Accent1 2 2 2 5 3" xfId="31695"/>
    <cellStyle name="40% - Accent1 2 2 2 5 3 2" xfId="31696"/>
    <cellStyle name="40% - Accent1 2 2 2 5 4" xfId="31697"/>
    <cellStyle name="40% - Accent1 2 2 2 5 5" xfId="31698"/>
    <cellStyle name="40% - Accent1 2 2 2 5 6" xfId="31699"/>
    <cellStyle name="40% - Accent1 2 2 2 5 7" xfId="31700"/>
    <cellStyle name="40% - Accent1 2 2 2 6" xfId="31701"/>
    <cellStyle name="40% - Accent1 2 2 2 6 2" xfId="31702"/>
    <cellStyle name="40% - Accent1 2 2 2 7" xfId="31703"/>
    <cellStyle name="40% - Accent1 2 2 2 7 2" xfId="31704"/>
    <cellStyle name="40% - Accent1 2 2 2 8" xfId="31705"/>
    <cellStyle name="40% - Accent1 2 2 2 9" xfId="31706"/>
    <cellStyle name="40% - Accent1 2 2 3" xfId="31707"/>
    <cellStyle name="40% - Accent1 2 2 3 10" xfId="31708"/>
    <cellStyle name="40% - Accent1 2 2 3 11" xfId="31709"/>
    <cellStyle name="40% - Accent1 2 2 3 2" xfId="31710"/>
    <cellStyle name="40% - Accent1 2 2 3 2 10" xfId="31711"/>
    <cellStyle name="40% - Accent1 2 2 3 2 2" xfId="31712"/>
    <cellStyle name="40% - Accent1 2 2 3 2 2 2" xfId="31713"/>
    <cellStyle name="40% - Accent1 2 2 3 2 2 2 2" xfId="31714"/>
    <cellStyle name="40% - Accent1 2 2 3 2 2 3" xfId="31715"/>
    <cellStyle name="40% - Accent1 2 2 3 2 2 3 2" xfId="31716"/>
    <cellStyle name="40% - Accent1 2 2 3 2 2 4" xfId="31717"/>
    <cellStyle name="40% - Accent1 2 2 3 2 2 5" xfId="31718"/>
    <cellStyle name="40% - Accent1 2 2 3 2 2 6" xfId="31719"/>
    <cellStyle name="40% - Accent1 2 2 3 2 2 7" xfId="31720"/>
    <cellStyle name="40% - Accent1 2 2 3 2 3" xfId="31721"/>
    <cellStyle name="40% - Accent1 2 2 3 2 3 2" xfId="31722"/>
    <cellStyle name="40% - Accent1 2 2 3 2 3 2 2" xfId="31723"/>
    <cellStyle name="40% - Accent1 2 2 3 2 3 3" xfId="31724"/>
    <cellStyle name="40% - Accent1 2 2 3 2 3 3 2" xfId="31725"/>
    <cellStyle name="40% - Accent1 2 2 3 2 3 4" xfId="31726"/>
    <cellStyle name="40% - Accent1 2 2 3 2 3 5" xfId="31727"/>
    <cellStyle name="40% - Accent1 2 2 3 2 3 6" xfId="31728"/>
    <cellStyle name="40% - Accent1 2 2 3 2 3 7" xfId="31729"/>
    <cellStyle name="40% - Accent1 2 2 3 2 4" xfId="31730"/>
    <cellStyle name="40% - Accent1 2 2 3 2 4 2" xfId="31731"/>
    <cellStyle name="40% - Accent1 2 2 3 2 4 2 2" xfId="31732"/>
    <cellStyle name="40% - Accent1 2 2 3 2 4 3" xfId="31733"/>
    <cellStyle name="40% - Accent1 2 2 3 2 4 3 2" xfId="31734"/>
    <cellStyle name="40% - Accent1 2 2 3 2 4 4" xfId="31735"/>
    <cellStyle name="40% - Accent1 2 2 3 2 4 5" xfId="31736"/>
    <cellStyle name="40% - Accent1 2 2 3 2 4 6" xfId="31737"/>
    <cellStyle name="40% - Accent1 2 2 3 2 4 7" xfId="31738"/>
    <cellStyle name="40% - Accent1 2 2 3 2 5" xfId="31739"/>
    <cellStyle name="40% - Accent1 2 2 3 2 5 2" xfId="31740"/>
    <cellStyle name="40% - Accent1 2 2 3 2 6" xfId="31741"/>
    <cellStyle name="40% - Accent1 2 2 3 2 6 2" xfId="31742"/>
    <cellStyle name="40% - Accent1 2 2 3 2 7" xfId="31743"/>
    <cellStyle name="40% - Accent1 2 2 3 2 8" xfId="31744"/>
    <cellStyle name="40% - Accent1 2 2 3 2 9" xfId="31745"/>
    <cellStyle name="40% - Accent1 2 2 3 3" xfId="31746"/>
    <cellStyle name="40% - Accent1 2 2 3 3 2" xfId="31747"/>
    <cellStyle name="40% - Accent1 2 2 3 3 2 2" xfId="31748"/>
    <cellStyle name="40% - Accent1 2 2 3 3 3" xfId="31749"/>
    <cellStyle name="40% - Accent1 2 2 3 3 3 2" xfId="31750"/>
    <cellStyle name="40% - Accent1 2 2 3 3 4" xfId="31751"/>
    <cellStyle name="40% - Accent1 2 2 3 3 5" xfId="31752"/>
    <cellStyle name="40% - Accent1 2 2 3 3 6" xfId="31753"/>
    <cellStyle name="40% - Accent1 2 2 3 3 7" xfId="31754"/>
    <cellStyle name="40% - Accent1 2 2 3 4" xfId="31755"/>
    <cellStyle name="40% - Accent1 2 2 3 4 2" xfId="31756"/>
    <cellStyle name="40% - Accent1 2 2 3 4 2 2" xfId="31757"/>
    <cellStyle name="40% - Accent1 2 2 3 4 3" xfId="31758"/>
    <cellStyle name="40% - Accent1 2 2 3 4 3 2" xfId="31759"/>
    <cellStyle name="40% - Accent1 2 2 3 4 4" xfId="31760"/>
    <cellStyle name="40% - Accent1 2 2 3 4 5" xfId="31761"/>
    <cellStyle name="40% - Accent1 2 2 3 4 6" xfId="31762"/>
    <cellStyle name="40% - Accent1 2 2 3 4 7" xfId="31763"/>
    <cellStyle name="40% - Accent1 2 2 3 5" xfId="31764"/>
    <cellStyle name="40% - Accent1 2 2 3 5 2" xfId="31765"/>
    <cellStyle name="40% - Accent1 2 2 3 5 2 2" xfId="31766"/>
    <cellStyle name="40% - Accent1 2 2 3 5 3" xfId="31767"/>
    <cellStyle name="40% - Accent1 2 2 3 5 3 2" xfId="31768"/>
    <cellStyle name="40% - Accent1 2 2 3 5 4" xfId="31769"/>
    <cellStyle name="40% - Accent1 2 2 3 5 5" xfId="31770"/>
    <cellStyle name="40% - Accent1 2 2 3 5 6" xfId="31771"/>
    <cellStyle name="40% - Accent1 2 2 3 5 7" xfId="31772"/>
    <cellStyle name="40% - Accent1 2 2 3 6" xfId="31773"/>
    <cellStyle name="40% - Accent1 2 2 3 6 2" xfId="31774"/>
    <cellStyle name="40% - Accent1 2 2 3 7" xfId="31775"/>
    <cellStyle name="40% - Accent1 2 2 3 7 2" xfId="31776"/>
    <cellStyle name="40% - Accent1 2 2 3 8" xfId="31777"/>
    <cellStyle name="40% - Accent1 2 2 3 9" xfId="31778"/>
    <cellStyle name="40% - Accent1 2 2 4" xfId="31779"/>
    <cellStyle name="40% - Accent1 2 2 4 10" xfId="31780"/>
    <cellStyle name="40% - Accent1 2 2 4 2" xfId="31781"/>
    <cellStyle name="40% - Accent1 2 2 4 2 2" xfId="31782"/>
    <cellStyle name="40% - Accent1 2 2 4 2 2 2" xfId="31783"/>
    <cellStyle name="40% - Accent1 2 2 4 2 3" xfId="31784"/>
    <cellStyle name="40% - Accent1 2 2 4 2 3 2" xfId="31785"/>
    <cellStyle name="40% - Accent1 2 2 4 2 4" xfId="31786"/>
    <cellStyle name="40% - Accent1 2 2 4 2 5" xfId="31787"/>
    <cellStyle name="40% - Accent1 2 2 4 2 6" xfId="31788"/>
    <cellStyle name="40% - Accent1 2 2 4 2 7" xfId="31789"/>
    <cellStyle name="40% - Accent1 2 2 4 3" xfId="31790"/>
    <cellStyle name="40% - Accent1 2 2 4 3 2" xfId="31791"/>
    <cellStyle name="40% - Accent1 2 2 4 3 2 2" xfId="31792"/>
    <cellStyle name="40% - Accent1 2 2 4 3 3" xfId="31793"/>
    <cellStyle name="40% - Accent1 2 2 4 3 3 2" xfId="31794"/>
    <cellStyle name="40% - Accent1 2 2 4 3 4" xfId="31795"/>
    <cellStyle name="40% - Accent1 2 2 4 3 5" xfId="31796"/>
    <cellStyle name="40% - Accent1 2 2 4 3 6" xfId="31797"/>
    <cellStyle name="40% - Accent1 2 2 4 3 7" xfId="31798"/>
    <cellStyle name="40% - Accent1 2 2 4 4" xfId="31799"/>
    <cellStyle name="40% - Accent1 2 2 4 4 2" xfId="31800"/>
    <cellStyle name="40% - Accent1 2 2 4 4 2 2" xfId="31801"/>
    <cellStyle name="40% - Accent1 2 2 4 4 3" xfId="31802"/>
    <cellStyle name="40% - Accent1 2 2 4 4 3 2" xfId="31803"/>
    <cellStyle name="40% - Accent1 2 2 4 4 4" xfId="31804"/>
    <cellStyle name="40% - Accent1 2 2 4 4 5" xfId="31805"/>
    <cellStyle name="40% - Accent1 2 2 4 4 6" xfId="31806"/>
    <cellStyle name="40% - Accent1 2 2 4 4 7" xfId="31807"/>
    <cellStyle name="40% - Accent1 2 2 4 5" xfId="31808"/>
    <cellStyle name="40% - Accent1 2 2 4 5 2" xfId="31809"/>
    <cellStyle name="40% - Accent1 2 2 4 6" xfId="31810"/>
    <cellStyle name="40% - Accent1 2 2 4 6 2" xfId="31811"/>
    <cellStyle name="40% - Accent1 2 2 4 7" xfId="31812"/>
    <cellStyle name="40% - Accent1 2 2 4 8" xfId="31813"/>
    <cellStyle name="40% - Accent1 2 2 4 9" xfId="31814"/>
    <cellStyle name="40% - Accent1 2 2 5" xfId="31815"/>
    <cellStyle name="40% - Accent1 2 2 5 2" xfId="31816"/>
    <cellStyle name="40% - Accent1 2 2 5 2 2" xfId="31817"/>
    <cellStyle name="40% - Accent1 2 2 5 3" xfId="31818"/>
    <cellStyle name="40% - Accent1 2 2 5 3 2" xfId="31819"/>
    <cellStyle name="40% - Accent1 2 2 5 4" xfId="31820"/>
    <cellStyle name="40% - Accent1 2 2 5 5" xfId="31821"/>
    <cellStyle name="40% - Accent1 2 2 5 6" xfId="31822"/>
    <cellStyle name="40% - Accent1 2 2 5 7" xfId="31823"/>
    <cellStyle name="40% - Accent1 2 2 6" xfId="31824"/>
    <cellStyle name="40% - Accent1 2 2 6 2" xfId="31825"/>
    <cellStyle name="40% - Accent1 2 2 6 2 2" xfId="31826"/>
    <cellStyle name="40% - Accent1 2 2 6 3" xfId="31827"/>
    <cellStyle name="40% - Accent1 2 2 6 3 2" xfId="31828"/>
    <cellStyle name="40% - Accent1 2 2 6 4" xfId="31829"/>
    <cellStyle name="40% - Accent1 2 2 6 5" xfId="31830"/>
    <cellStyle name="40% - Accent1 2 2 6 6" xfId="31831"/>
    <cellStyle name="40% - Accent1 2 2 6 7" xfId="31832"/>
    <cellStyle name="40% - Accent1 2 2 7" xfId="31833"/>
    <cellStyle name="40% - Accent1 2 2 7 2" xfId="31834"/>
    <cellStyle name="40% - Accent1 2 2 7 2 2" xfId="31835"/>
    <cellStyle name="40% - Accent1 2 2 7 3" xfId="31836"/>
    <cellStyle name="40% - Accent1 2 2 7 3 2" xfId="31837"/>
    <cellStyle name="40% - Accent1 2 2 7 4" xfId="31838"/>
    <cellStyle name="40% - Accent1 2 2 7 5" xfId="31839"/>
    <cellStyle name="40% - Accent1 2 2 7 6" xfId="31840"/>
    <cellStyle name="40% - Accent1 2 2 7 7" xfId="31841"/>
    <cellStyle name="40% - Accent1 2 2 8" xfId="31842"/>
    <cellStyle name="40% - Accent1 2 2 8 2" xfId="31843"/>
    <cellStyle name="40% - Accent1 2 2 9" xfId="31844"/>
    <cellStyle name="40% - Accent1 2 2 9 2" xfId="31845"/>
    <cellStyle name="40% - Accent1 2 3" xfId="248"/>
    <cellStyle name="40% - Accent1 2 3 10" xfId="31846"/>
    <cellStyle name="40% - Accent1 2 3 11" xfId="31847"/>
    <cellStyle name="40% - Accent1 2 3 12" xfId="31848"/>
    <cellStyle name="40% - Accent1 2 3 13" xfId="31849"/>
    <cellStyle name="40% - Accent1 2 3 2" xfId="31850"/>
    <cellStyle name="40% - Accent1 2 3 2 10" xfId="31851"/>
    <cellStyle name="40% - Accent1 2 3 2 11" xfId="31852"/>
    <cellStyle name="40% - Accent1 2 3 2 2" xfId="31853"/>
    <cellStyle name="40% - Accent1 2 3 2 2 10" xfId="31854"/>
    <cellStyle name="40% - Accent1 2 3 2 2 2" xfId="31855"/>
    <cellStyle name="40% - Accent1 2 3 2 2 2 2" xfId="31856"/>
    <cellStyle name="40% - Accent1 2 3 2 2 2 2 2" xfId="31857"/>
    <cellStyle name="40% - Accent1 2 3 2 2 2 3" xfId="31858"/>
    <cellStyle name="40% - Accent1 2 3 2 2 2 3 2" xfId="31859"/>
    <cellStyle name="40% - Accent1 2 3 2 2 2 4" xfId="31860"/>
    <cellStyle name="40% - Accent1 2 3 2 2 2 5" xfId="31861"/>
    <cellStyle name="40% - Accent1 2 3 2 2 2 6" xfId="31862"/>
    <cellStyle name="40% - Accent1 2 3 2 2 2 7" xfId="31863"/>
    <cellStyle name="40% - Accent1 2 3 2 2 3" xfId="31864"/>
    <cellStyle name="40% - Accent1 2 3 2 2 3 2" xfId="31865"/>
    <cellStyle name="40% - Accent1 2 3 2 2 3 2 2" xfId="31866"/>
    <cellStyle name="40% - Accent1 2 3 2 2 3 3" xfId="31867"/>
    <cellStyle name="40% - Accent1 2 3 2 2 3 3 2" xfId="31868"/>
    <cellStyle name="40% - Accent1 2 3 2 2 3 4" xfId="31869"/>
    <cellStyle name="40% - Accent1 2 3 2 2 3 5" xfId="31870"/>
    <cellStyle name="40% - Accent1 2 3 2 2 3 6" xfId="31871"/>
    <cellStyle name="40% - Accent1 2 3 2 2 3 7" xfId="31872"/>
    <cellStyle name="40% - Accent1 2 3 2 2 4" xfId="31873"/>
    <cellStyle name="40% - Accent1 2 3 2 2 4 2" xfId="31874"/>
    <cellStyle name="40% - Accent1 2 3 2 2 4 2 2" xfId="31875"/>
    <cellStyle name="40% - Accent1 2 3 2 2 4 3" xfId="31876"/>
    <cellStyle name="40% - Accent1 2 3 2 2 4 3 2" xfId="31877"/>
    <cellStyle name="40% - Accent1 2 3 2 2 4 4" xfId="31878"/>
    <cellStyle name="40% - Accent1 2 3 2 2 4 5" xfId="31879"/>
    <cellStyle name="40% - Accent1 2 3 2 2 4 6" xfId="31880"/>
    <cellStyle name="40% - Accent1 2 3 2 2 4 7" xfId="31881"/>
    <cellStyle name="40% - Accent1 2 3 2 2 5" xfId="31882"/>
    <cellStyle name="40% - Accent1 2 3 2 2 5 2" xfId="31883"/>
    <cellStyle name="40% - Accent1 2 3 2 2 6" xfId="31884"/>
    <cellStyle name="40% - Accent1 2 3 2 2 6 2" xfId="31885"/>
    <cellStyle name="40% - Accent1 2 3 2 2 7" xfId="31886"/>
    <cellStyle name="40% - Accent1 2 3 2 2 8" xfId="31887"/>
    <cellStyle name="40% - Accent1 2 3 2 2 9" xfId="31888"/>
    <cellStyle name="40% - Accent1 2 3 2 3" xfId="31889"/>
    <cellStyle name="40% - Accent1 2 3 2 3 2" xfId="31890"/>
    <cellStyle name="40% - Accent1 2 3 2 3 2 2" xfId="31891"/>
    <cellStyle name="40% - Accent1 2 3 2 3 3" xfId="31892"/>
    <cellStyle name="40% - Accent1 2 3 2 3 3 2" xfId="31893"/>
    <cellStyle name="40% - Accent1 2 3 2 3 4" xfId="31894"/>
    <cellStyle name="40% - Accent1 2 3 2 3 5" xfId="31895"/>
    <cellStyle name="40% - Accent1 2 3 2 3 6" xfId="31896"/>
    <cellStyle name="40% - Accent1 2 3 2 3 7" xfId="31897"/>
    <cellStyle name="40% - Accent1 2 3 2 4" xfId="31898"/>
    <cellStyle name="40% - Accent1 2 3 2 4 2" xfId="31899"/>
    <cellStyle name="40% - Accent1 2 3 2 4 2 2" xfId="31900"/>
    <cellStyle name="40% - Accent1 2 3 2 4 3" xfId="31901"/>
    <cellStyle name="40% - Accent1 2 3 2 4 3 2" xfId="31902"/>
    <cellStyle name="40% - Accent1 2 3 2 4 4" xfId="31903"/>
    <cellStyle name="40% - Accent1 2 3 2 4 5" xfId="31904"/>
    <cellStyle name="40% - Accent1 2 3 2 4 6" xfId="31905"/>
    <cellStyle name="40% - Accent1 2 3 2 4 7" xfId="31906"/>
    <cellStyle name="40% - Accent1 2 3 2 5" xfId="31907"/>
    <cellStyle name="40% - Accent1 2 3 2 5 2" xfId="31908"/>
    <cellStyle name="40% - Accent1 2 3 2 5 2 2" xfId="31909"/>
    <cellStyle name="40% - Accent1 2 3 2 5 3" xfId="31910"/>
    <cellStyle name="40% - Accent1 2 3 2 5 3 2" xfId="31911"/>
    <cellStyle name="40% - Accent1 2 3 2 5 4" xfId="31912"/>
    <cellStyle name="40% - Accent1 2 3 2 5 5" xfId="31913"/>
    <cellStyle name="40% - Accent1 2 3 2 5 6" xfId="31914"/>
    <cellStyle name="40% - Accent1 2 3 2 5 7" xfId="31915"/>
    <cellStyle name="40% - Accent1 2 3 2 6" xfId="31916"/>
    <cellStyle name="40% - Accent1 2 3 2 6 2" xfId="31917"/>
    <cellStyle name="40% - Accent1 2 3 2 7" xfId="31918"/>
    <cellStyle name="40% - Accent1 2 3 2 7 2" xfId="31919"/>
    <cellStyle name="40% - Accent1 2 3 2 8" xfId="31920"/>
    <cellStyle name="40% - Accent1 2 3 2 9" xfId="31921"/>
    <cellStyle name="40% - Accent1 2 3 3" xfId="31922"/>
    <cellStyle name="40% - Accent1 2 3 3 10" xfId="31923"/>
    <cellStyle name="40% - Accent1 2 3 3 11" xfId="31924"/>
    <cellStyle name="40% - Accent1 2 3 3 2" xfId="31925"/>
    <cellStyle name="40% - Accent1 2 3 3 2 10" xfId="31926"/>
    <cellStyle name="40% - Accent1 2 3 3 2 2" xfId="31927"/>
    <cellStyle name="40% - Accent1 2 3 3 2 2 2" xfId="31928"/>
    <cellStyle name="40% - Accent1 2 3 3 2 2 2 2" xfId="31929"/>
    <cellStyle name="40% - Accent1 2 3 3 2 2 3" xfId="31930"/>
    <cellStyle name="40% - Accent1 2 3 3 2 2 3 2" xfId="31931"/>
    <cellStyle name="40% - Accent1 2 3 3 2 2 4" xfId="31932"/>
    <cellStyle name="40% - Accent1 2 3 3 2 2 5" xfId="31933"/>
    <cellStyle name="40% - Accent1 2 3 3 2 2 6" xfId="31934"/>
    <cellStyle name="40% - Accent1 2 3 3 2 2 7" xfId="31935"/>
    <cellStyle name="40% - Accent1 2 3 3 2 3" xfId="31936"/>
    <cellStyle name="40% - Accent1 2 3 3 2 3 2" xfId="31937"/>
    <cellStyle name="40% - Accent1 2 3 3 2 3 2 2" xfId="31938"/>
    <cellStyle name="40% - Accent1 2 3 3 2 3 3" xfId="31939"/>
    <cellStyle name="40% - Accent1 2 3 3 2 3 3 2" xfId="31940"/>
    <cellStyle name="40% - Accent1 2 3 3 2 3 4" xfId="31941"/>
    <cellStyle name="40% - Accent1 2 3 3 2 3 5" xfId="31942"/>
    <cellStyle name="40% - Accent1 2 3 3 2 3 6" xfId="31943"/>
    <cellStyle name="40% - Accent1 2 3 3 2 3 7" xfId="31944"/>
    <cellStyle name="40% - Accent1 2 3 3 2 4" xfId="31945"/>
    <cellStyle name="40% - Accent1 2 3 3 2 4 2" xfId="31946"/>
    <cellStyle name="40% - Accent1 2 3 3 2 4 2 2" xfId="31947"/>
    <cellStyle name="40% - Accent1 2 3 3 2 4 3" xfId="31948"/>
    <cellStyle name="40% - Accent1 2 3 3 2 4 3 2" xfId="31949"/>
    <cellStyle name="40% - Accent1 2 3 3 2 4 4" xfId="31950"/>
    <cellStyle name="40% - Accent1 2 3 3 2 4 5" xfId="31951"/>
    <cellStyle name="40% - Accent1 2 3 3 2 4 6" xfId="31952"/>
    <cellStyle name="40% - Accent1 2 3 3 2 4 7" xfId="31953"/>
    <cellStyle name="40% - Accent1 2 3 3 2 5" xfId="31954"/>
    <cellStyle name="40% - Accent1 2 3 3 2 5 2" xfId="31955"/>
    <cellStyle name="40% - Accent1 2 3 3 2 6" xfId="31956"/>
    <cellStyle name="40% - Accent1 2 3 3 2 6 2" xfId="31957"/>
    <cellStyle name="40% - Accent1 2 3 3 2 7" xfId="31958"/>
    <cellStyle name="40% - Accent1 2 3 3 2 8" xfId="31959"/>
    <cellStyle name="40% - Accent1 2 3 3 2 9" xfId="31960"/>
    <cellStyle name="40% - Accent1 2 3 3 3" xfId="31961"/>
    <cellStyle name="40% - Accent1 2 3 3 3 2" xfId="31962"/>
    <cellStyle name="40% - Accent1 2 3 3 3 2 2" xfId="31963"/>
    <cellStyle name="40% - Accent1 2 3 3 3 3" xfId="31964"/>
    <cellStyle name="40% - Accent1 2 3 3 3 3 2" xfId="31965"/>
    <cellStyle name="40% - Accent1 2 3 3 3 4" xfId="31966"/>
    <cellStyle name="40% - Accent1 2 3 3 3 5" xfId="31967"/>
    <cellStyle name="40% - Accent1 2 3 3 3 6" xfId="31968"/>
    <cellStyle name="40% - Accent1 2 3 3 3 7" xfId="31969"/>
    <cellStyle name="40% - Accent1 2 3 3 4" xfId="31970"/>
    <cellStyle name="40% - Accent1 2 3 3 4 2" xfId="31971"/>
    <cellStyle name="40% - Accent1 2 3 3 4 2 2" xfId="31972"/>
    <cellStyle name="40% - Accent1 2 3 3 4 3" xfId="31973"/>
    <cellStyle name="40% - Accent1 2 3 3 4 3 2" xfId="31974"/>
    <cellStyle name="40% - Accent1 2 3 3 4 4" xfId="31975"/>
    <cellStyle name="40% - Accent1 2 3 3 4 5" xfId="31976"/>
    <cellStyle name="40% - Accent1 2 3 3 4 6" xfId="31977"/>
    <cellStyle name="40% - Accent1 2 3 3 4 7" xfId="31978"/>
    <cellStyle name="40% - Accent1 2 3 3 5" xfId="31979"/>
    <cellStyle name="40% - Accent1 2 3 3 5 2" xfId="31980"/>
    <cellStyle name="40% - Accent1 2 3 3 5 2 2" xfId="31981"/>
    <cellStyle name="40% - Accent1 2 3 3 5 3" xfId="31982"/>
    <cellStyle name="40% - Accent1 2 3 3 5 3 2" xfId="31983"/>
    <cellStyle name="40% - Accent1 2 3 3 5 4" xfId="31984"/>
    <cellStyle name="40% - Accent1 2 3 3 5 5" xfId="31985"/>
    <cellStyle name="40% - Accent1 2 3 3 5 6" xfId="31986"/>
    <cellStyle name="40% - Accent1 2 3 3 5 7" xfId="31987"/>
    <cellStyle name="40% - Accent1 2 3 3 6" xfId="31988"/>
    <cellStyle name="40% - Accent1 2 3 3 6 2" xfId="31989"/>
    <cellStyle name="40% - Accent1 2 3 3 7" xfId="31990"/>
    <cellStyle name="40% - Accent1 2 3 3 7 2" xfId="31991"/>
    <cellStyle name="40% - Accent1 2 3 3 8" xfId="31992"/>
    <cellStyle name="40% - Accent1 2 3 3 9" xfId="31993"/>
    <cellStyle name="40% - Accent1 2 3 4" xfId="31994"/>
    <cellStyle name="40% - Accent1 2 3 4 10" xfId="31995"/>
    <cellStyle name="40% - Accent1 2 3 4 2" xfId="31996"/>
    <cellStyle name="40% - Accent1 2 3 4 2 2" xfId="31997"/>
    <cellStyle name="40% - Accent1 2 3 4 2 2 2" xfId="31998"/>
    <cellStyle name="40% - Accent1 2 3 4 2 3" xfId="31999"/>
    <cellStyle name="40% - Accent1 2 3 4 2 3 2" xfId="32000"/>
    <cellStyle name="40% - Accent1 2 3 4 2 4" xfId="32001"/>
    <cellStyle name="40% - Accent1 2 3 4 2 5" xfId="32002"/>
    <cellStyle name="40% - Accent1 2 3 4 2 6" xfId="32003"/>
    <cellStyle name="40% - Accent1 2 3 4 2 7" xfId="32004"/>
    <cellStyle name="40% - Accent1 2 3 4 3" xfId="32005"/>
    <cellStyle name="40% - Accent1 2 3 4 3 2" xfId="32006"/>
    <cellStyle name="40% - Accent1 2 3 4 3 2 2" xfId="32007"/>
    <cellStyle name="40% - Accent1 2 3 4 3 3" xfId="32008"/>
    <cellStyle name="40% - Accent1 2 3 4 3 3 2" xfId="32009"/>
    <cellStyle name="40% - Accent1 2 3 4 3 4" xfId="32010"/>
    <cellStyle name="40% - Accent1 2 3 4 3 5" xfId="32011"/>
    <cellStyle name="40% - Accent1 2 3 4 3 6" xfId="32012"/>
    <cellStyle name="40% - Accent1 2 3 4 3 7" xfId="32013"/>
    <cellStyle name="40% - Accent1 2 3 4 4" xfId="32014"/>
    <cellStyle name="40% - Accent1 2 3 4 4 2" xfId="32015"/>
    <cellStyle name="40% - Accent1 2 3 4 4 2 2" xfId="32016"/>
    <cellStyle name="40% - Accent1 2 3 4 4 3" xfId="32017"/>
    <cellStyle name="40% - Accent1 2 3 4 4 3 2" xfId="32018"/>
    <cellStyle name="40% - Accent1 2 3 4 4 4" xfId="32019"/>
    <cellStyle name="40% - Accent1 2 3 4 4 5" xfId="32020"/>
    <cellStyle name="40% - Accent1 2 3 4 4 6" xfId="32021"/>
    <cellStyle name="40% - Accent1 2 3 4 4 7" xfId="32022"/>
    <cellStyle name="40% - Accent1 2 3 4 5" xfId="32023"/>
    <cellStyle name="40% - Accent1 2 3 4 5 2" xfId="32024"/>
    <cellStyle name="40% - Accent1 2 3 4 6" xfId="32025"/>
    <cellStyle name="40% - Accent1 2 3 4 6 2" xfId="32026"/>
    <cellStyle name="40% - Accent1 2 3 4 7" xfId="32027"/>
    <cellStyle name="40% - Accent1 2 3 4 8" xfId="32028"/>
    <cellStyle name="40% - Accent1 2 3 4 9" xfId="32029"/>
    <cellStyle name="40% - Accent1 2 3 5" xfId="32030"/>
    <cellStyle name="40% - Accent1 2 3 5 2" xfId="32031"/>
    <cellStyle name="40% - Accent1 2 3 5 2 2" xfId="32032"/>
    <cellStyle name="40% - Accent1 2 3 5 3" xfId="32033"/>
    <cellStyle name="40% - Accent1 2 3 5 3 2" xfId="32034"/>
    <cellStyle name="40% - Accent1 2 3 5 4" xfId="32035"/>
    <cellStyle name="40% - Accent1 2 3 5 5" xfId="32036"/>
    <cellStyle name="40% - Accent1 2 3 5 6" xfId="32037"/>
    <cellStyle name="40% - Accent1 2 3 5 7" xfId="32038"/>
    <cellStyle name="40% - Accent1 2 3 6" xfId="32039"/>
    <cellStyle name="40% - Accent1 2 3 6 2" xfId="32040"/>
    <cellStyle name="40% - Accent1 2 3 6 2 2" xfId="32041"/>
    <cellStyle name="40% - Accent1 2 3 6 3" xfId="32042"/>
    <cellStyle name="40% - Accent1 2 3 6 3 2" xfId="32043"/>
    <cellStyle name="40% - Accent1 2 3 6 4" xfId="32044"/>
    <cellStyle name="40% - Accent1 2 3 6 5" xfId="32045"/>
    <cellStyle name="40% - Accent1 2 3 6 6" xfId="32046"/>
    <cellStyle name="40% - Accent1 2 3 6 7" xfId="32047"/>
    <cellStyle name="40% - Accent1 2 3 7" xfId="32048"/>
    <cellStyle name="40% - Accent1 2 3 7 2" xfId="32049"/>
    <cellStyle name="40% - Accent1 2 3 7 2 2" xfId="32050"/>
    <cellStyle name="40% - Accent1 2 3 7 3" xfId="32051"/>
    <cellStyle name="40% - Accent1 2 3 7 3 2" xfId="32052"/>
    <cellStyle name="40% - Accent1 2 3 7 4" xfId="32053"/>
    <cellStyle name="40% - Accent1 2 3 7 5" xfId="32054"/>
    <cellStyle name="40% - Accent1 2 3 7 6" xfId="32055"/>
    <cellStyle name="40% - Accent1 2 3 7 7" xfId="32056"/>
    <cellStyle name="40% - Accent1 2 3 8" xfId="32057"/>
    <cellStyle name="40% - Accent1 2 3 8 2" xfId="32058"/>
    <cellStyle name="40% - Accent1 2 3 9" xfId="32059"/>
    <cellStyle name="40% - Accent1 2 3 9 2" xfId="32060"/>
    <cellStyle name="40% - Accent1 2 4" xfId="32061"/>
    <cellStyle name="40% - Accent1 2 4 10" xfId="32062"/>
    <cellStyle name="40% - Accent1 2 4 11" xfId="32063"/>
    <cellStyle name="40% - Accent1 2 4 12" xfId="32064"/>
    <cellStyle name="40% - Accent1 2 4 13" xfId="32065"/>
    <cellStyle name="40% - Accent1 2 4 2" xfId="32066"/>
    <cellStyle name="40% - Accent1 2 4 2 10" xfId="32067"/>
    <cellStyle name="40% - Accent1 2 4 2 11" xfId="32068"/>
    <cellStyle name="40% - Accent1 2 4 2 2" xfId="32069"/>
    <cellStyle name="40% - Accent1 2 4 2 2 10" xfId="32070"/>
    <cellStyle name="40% - Accent1 2 4 2 2 2" xfId="32071"/>
    <cellStyle name="40% - Accent1 2 4 2 2 2 2" xfId="32072"/>
    <cellStyle name="40% - Accent1 2 4 2 2 2 2 2" xfId="32073"/>
    <cellStyle name="40% - Accent1 2 4 2 2 2 3" xfId="32074"/>
    <cellStyle name="40% - Accent1 2 4 2 2 2 3 2" xfId="32075"/>
    <cellStyle name="40% - Accent1 2 4 2 2 2 4" xfId="32076"/>
    <cellStyle name="40% - Accent1 2 4 2 2 2 5" xfId="32077"/>
    <cellStyle name="40% - Accent1 2 4 2 2 2 6" xfId="32078"/>
    <cellStyle name="40% - Accent1 2 4 2 2 2 7" xfId="32079"/>
    <cellStyle name="40% - Accent1 2 4 2 2 3" xfId="32080"/>
    <cellStyle name="40% - Accent1 2 4 2 2 3 2" xfId="32081"/>
    <cellStyle name="40% - Accent1 2 4 2 2 3 2 2" xfId="32082"/>
    <cellStyle name="40% - Accent1 2 4 2 2 3 3" xfId="32083"/>
    <cellStyle name="40% - Accent1 2 4 2 2 3 3 2" xfId="32084"/>
    <cellStyle name="40% - Accent1 2 4 2 2 3 4" xfId="32085"/>
    <cellStyle name="40% - Accent1 2 4 2 2 3 5" xfId="32086"/>
    <cellStyle name="40% - Accent1 2 4 2 2 3 6" xfId="32087"/>
    <cellStyle name="40% - Accent1 2 4 2 2 3 7" xfId="32088"/>
    <cellStyle name="40% - Accent1 2 4 2 2 4" xfId="32089"/>
    <cellStyle name="40% - Accent1 2 4 2 2 4 2" xfId="32090"/>
    <cellStyle name="40% - Accent1 2 4 2 2 4 2 2" xfId="32091"/>
    <cellStyle name="40% - Accent1 2 4 2 2 4 3" xfId="32092"/>
    <cellStyle name="40% - Accent1 2 4 2 2 4 3 2" xfId="32093"/>
    <cellStyle name="40% - Accent1 2 4 2 2 4 4" xfId="32094"/>
    <cellStyle name="40% - Accent1 2 4 2 2 4 5" xfId="32095"/>
    <cellStyle name="40% - Accent1 2 4 2 2 4 6" xfId="32096"/>
    <cellStyle name="40% - Accent1 2 4 2 2 4 7" xfId="32097"/>
    <cellStyle name="40% - Accent1 2 4 2 2 5" xfId="32098"/>
    <cellStyle name="40% - Accent1 2 4 2 2 5 2" xfId="32099"/>
    <cellStyle name="40% - Accent1 2 4 2 2 6" xfId="32100"/>
    <cellStyle name="40% - Accent1 2 4 2 2 6 2" xfId="32101"/>
    <cellStyle name="40% - Accent1 2 4 2 2 7" xfId="32102"/>
    <cellStyle name="40% - Accent1 2 4 2 2 8" xfId="32103"/>
    <cellStyle name="40% - Accent1 2 4 2 2 9" xfId="32104"/>
    <cellStyle name="40% - Accent1 2 4 2 3" xfId="32105"/>
    <cellStyle name="40% - Accent1 2 4 2 3 2" xfId="32106"/>
    <cellStyle name="40% - Accent1 2 4 2 3 2 2" xfId="32107"/>
    <cellStyle name="40% - Accent1 2 4 2 3 3" xfId="32108"/>
    <cellStyle name="40% - Accent1 2 4 2 3 3 2" xfId="32109"/>
    <cellStyle name="40% - Accent1 2 4 2 3 4" xfId="32110"/>
    <cellStyle name="40% - Accent1 2 4 2 3 5" xfId="32111"/>
    <cellStyle name="40% - Accent1 2 4 2 3 6" xfId="32112"/>
    <cellStyle name="40% - Accent1 2 4 2 3 7" xfId="32113"/>
    <cellStyle name="40% - Accent1 2 4 2 4" xfId="32114"/>
    <cellStyle name="40% - Accent1 2 4 2 4 2" xfId="32115"/>
    <cellStyle name="40% - Accent1 2 4 2 4 2 2" xfId="32116"/>
    <cellStyle name="40% - Accent1 2 4 2 4 3" xfId="32117"/>
    <cellStyle name="40% - Accent1 2 4 2 4 3 2" xfId="32118"/>
    <cellStyle name="40% - Accent1 2 4 2 4 4" xfId="32119"/>
    <cellStyle name="40% - Accent1 2 4 2 4 5" xfId="32120"/>
    <cellStyle name="40% - Accent1 2 4 2 4 6" xfId="32121"/>
    <cellStyle name="40% - Accent1 2 4 2 4 7" xfId="32122"/>
    <cellStyle name="40% - Accent1 2 4 2 5" xfId="32123"/>
    <cellStyle name="40% - Accent1 2 4 2 5 2" xfId="32124"/>
    <cellStyle name="40% - Accent1 2 4 2 5 2 2" xfId="32125"/>
    <cellStyle name="40% - Accent1 2 4 2 5 3" xfId="32126"/>
    <cellStyle name="40% - Accent1 2 4 2 5 3 2" xfId="32127"/>
    <cellStyle name="40% - Accent1 2 4 2 5 4" xfId="32128"/>
    <cellStyle name="40% - Accent1 2 4 2 5 5" xfId="32129"/>
    <cellStyle name="40% - Accent1 2 4 2 5 6" xfId="32130"/>
    <cellStyle name="40% - Accent1 2 4 2 5 7" xfId="32131"/>
    <cellStyle name="40% - Accent1 2 4 2 6" xfId="32132"/>
    <cellStyle name="40% - Accent1 2 4 2 6 2" xfId="32133"/>
    <cellStyle name="40% - Accent1 2 4 2 7" xfId="32134"/>
    <cellStyle name="40% - Accent1 2 4 2 7 2" xfId="32135"/>
    <cellStyle name="40% - Accent1 2 4 2 8" xfId="32136"/>
    <cellStyle name="40% - Accent1 2 4 2 9" xfId="32137"/>
    <cellStyle name="40% - Accent1 2 4 3" xfId="32138"/>
    <cellStyle name="40% - Accent1 2 4 3 10" xfId="32139"/>
    <cellStyle name="40% - Accent1 2 4 3 11" xfId="32140"/>
    <cellStyle name="40% - Accent1 2 4 3 2" xfId="32141"/>
    <cellStyle name="40% - Accent1 2 4 3 2 10" xfId="32142"/>
    <cellStyle name="40% - Accent1 2 4 3 2 2" xfId="32143"/>
    <cellStyle name="40% - Accent1 2 4 3 2 2 2" xfId="32144"/>
    <cellStyle name="40% - Accent1 2 4 3 2 2 2 2" xfId="32145"/>
    <cellStyle name="40% - Accent1 2 4 3 2 2 3" xfId="32146"/>
    <cellStyle name="40% - Accent1 2 4 3 2 2 3 2" xfId="32147"/>
    <cellStyle name="40% - Accent1 2 4 3 2 2 4" xfId="32148"/>
    <cellStyle name="40% - Accent1 2 4 3 2 2 5" xfId="32149"/>
    <cellStyle name="40% - Accent1 2 4 3 2 2 6" xfId="32150"/>
    <cellStyle name="40% - Accent1 2 4 3 2 2 7" xfId="32151"/>
    <cellStyle name="40% - Accent1 2 4 3 2 3" xfId="32152"/>
    <cellStyle name="40% - Accent1 2 4 3 2 3 2" xfId="32153"/>
    <cellStyle name="40% - Accent1 2 4 3 2 3 2 2" xfId="32154"/>
    <cellStyle name="40% - Accent1 2 4 3 2 3 3" xfId="32155"/>
    <cellStyle name="40% - Accent1 2 4 3 2 3 3 2" xfId="32156"/>
    <cellStyle name="40% - Accent1 2 4 3 2 3 4" xfId="32157"/>
    <cellStyle name="40% - Accent1 2 4 3 2 3 5" xfId="32158"/>
    <cellStyle name="40% - Accent1 2 4 3 2 3 6" xfId="32159"/>
    <cellStyle name="40% - Accent1 2 4 3 2 3 7" xfId="32160"/>
    <cellStyle name="40% - Accent1 2 4 3 2 4" xfId="32161"/>
    <cellStyle name="40% - Accent1 2 4 3 2 4 2" xfId="32162"/>
    <cellStyle name="40% - Accent1 2 4 3 2 4 2 2" xfId="32163"/>
    <cellStyle name="40% - Accent1 2 4 3 2 4 3" xfId="32164"/>
    <cellStyle name="40% - Accent1 2 4 3 2 4 3 2" xfId="32165"/>
    <cellStyle name="40% - Accent1 2 4 3 2 4 4" xfId="32166"/>
    <cellStyle name="40% - Accent1 2 4 3 2 4 5" xfId="32167"/>
    <cellStyle name="40% - Accent1 2 4 3 2 4 6" xfId="32168"/>
    <cellStyle name="40% - Accent1 2 4 3 2 4 7" xfId="32169"/>
    <cellStyle name="40% - Accent1 2 4 3 2 5" xfId="32170"/>
    <cellStyle name="40% - Accent1 2 4 3 2 5 2" xfId="32171"/>
    <cellStyle name="40% - Accent1 2 4 3 2 6" xfId="32172"/>
    <cellStyle name="40% - Accent1 2 4 3 2 6 2" xfId="32173"/>
    <cellStyle name="40% - Accent1 2 4 3 2 7" xfId="32174"/>
    <cellStyle name="40% - Accent1 2 4 3 2 8" xfId="32175"/>
    <cellStyle name="40% - Accent1 2 4 3 2 9" xfId="32176"/>
    <cellStyle name="40% - Accent1 2 4 3 3" xfId="32177"/>
    <cellStyle name="40% - Accent1 2 4 3 3 2" xfId="32178"/>
    <cellStyle name="40% - Accent1 2 4 3 3 2 2" xfId="32179"/>
    <cellStyle name="40% - Accent1 2 4 3 3 3" xfId="32180"/>
    <cellStyle name="40% - Accent1 2 4 3 3 3 2" xfId="32181"/>
    <cellStyle name="40% - Accent1 2 4 3 3 4" xfId="32182"/>
    <cellStyle name="40% - Accent1 2 4 3 3 5" xfId="32183"/>
    <cellStyle name="40% - Accent1 2 4 3 3 6" xfId="32184"/>
    <cellStyle name="40% - Accent1 2 4 3 3 7" xfId="32185"/>
    <cellStyle name="40% - Accent1 2 4 3 4" xfId="32186"/>
    <cellStyle name="40% - Accent1 2 4 3 4 2" xfId="32187"/>
    <cellStyle name="40% - Accent1 2 4 3 4 2 2" xfId="32188"/>
    <cellStyle name="40% - Accent1 2 4 3 4 3" xfId="32189"/>
    <cellStyle name="40% - Accent1 2 4 3 4 3 2" xfId="32190"/>
    <cellStyle name="40% - Accent1 2 4 3 4 4" xfId="32191"/>
    <cellStyle name="40% - Accent1 2 4 3 4 5" xfId="32192"/>
    <cellStyle name="40% - Accent1 2 4 3 4 6" xfId="32193"/>
    <cellStyle name="40% - Accent1 2 4 3 4 7" xfId="32194"/>
    <cellStyle name="40% - Accent1 2 4 3 5" xfId="32195"/>
    <cellStyle name="40% - Accent1 2 4 3 5 2" xfId="32196"/>
    <cellStyle name="40% - Accent1 2 4 3 5 2 2" xfId="32197"/>
    <cellStyle name="40% - Accent1 2 4 3 5 3" xfId="32198"/>
    <cellStyle name="40% - Accent1 2 4 3 5 3 2" xfId="32199"/>
    <cellStyle name="40% - Accent1 2 4 3 5 4" xfId="32200"/>
    <cellStyle name="40% - Accent1 2 4 3 5 5" xfId="32201"/>
    <cellStyle name="40% - Accent1 2 4 3 5 6" xfId="32202"/>
    <cellStyle name="40% - Accent1 2 4 3 5 7" xfId="32203"/>
    <cellStyle name="40% - Accent1 2 4 3 6" xfId="32204"/>
    <cellStyle name="40% - Accent1 2 4 3 6 2" xfId="32205"/>
    <cellStyle name="40% - Accent1 2 4 3 7" xfId="32206"/>
    <cellStyle name="40% - Accent1 2 4 3 7 2" xfId="32207"/>
    <cellStyle name="40% - Accent1 2 4 3 8" xfId="32208"/>
    <cellStyle name="40% - Accent1 2 4 3 9" xfId="32209"/>
    <cellStyle name="40% - Accent1 2 4 4" xfId="32210"/>
    <cellStyle name="40% - Accent1 2 4 4 10" xfId="32211"/>
    <cellStyle name="40% - Accent1 2 4 4 2" xfId="32212"/>
    <cellStyle name="40% - Accent1 2 4 4 2 2" xfId="32213"/>
    <cellStyle name="40% - Accent1 2 4 4 2 2 2" xfId="32214"/>
    <cellStyle name="40% - Accent1 2 4 4 2 3" xfId="32215"/>
    <cellStyle name="40% - Accent1 2 4 4 2 3 2" xfId="32216"/>
    <cellStyle name="40% - Accent1 2 4 4 2 4" xfId="32217"/>
    <cellStyle name="40% - Accent1 2 4 4 2 5" xfId="32218"/>
    <cellStyle name="40% - Accent1 2 4 4 2 6" xfId="32219"/>
    <cellStyle name="40% - Accent1 2 4 4 2 7" xfId="32220"/>
    <cellStyle name="40% - Accent1 2 4 4 3" xfId="32221"/>
    <cellStyle name="40% - Accent1 2 4 4 3 2" xfId="32222"/>
    <cellStyle name="40% - Accent1 2 4 4 3 2 2" xfId="32223"/>
    <cellStyle name="40% - Accent1 2 4 4 3 3" xfId="32224"/>
    <cellStyle name="40% - Accent1 2 4 4 3 3 2" xfId="32225"/>
    <cellStyle name="40% - Accent1 2 4 4 3 4" xfId="32226"/>
    <cellStyle name="40% - Accent1 2 4 4 3 5" xfId="32227"/>
    <cellStyle name="40% - Accent1 2 4 4 3 6" xfId="32228"/>
    <cellStyle name="40% - Accent1 2 4 4 3 7" xfId="32229"/>
    <cellStyle name="40% - Accent1 2 4 4 4" xfId="32230"/>
    <cellStyle name="40% - Accent1 2 4 4 4 2" xfId="32231"/>
    <cellStyle name="40% - Accent1 2 4 4 4 2 2" xfId="32232"/>
    <cellStyle name="40% - Accent1 2 4 4 4 3" xfId="32233"/>
    <cellStyle name="40% - Accent1 2 4 4 4 3 2" xfId="32234"/>
    <cellStyle name="40% - Accent1 2 4 4 4 4" xfId="32235"/>
    <cellStyle name="40% - Accent1 2 4 4 4 5" xfId="32236"/>
    <cellStyle name="40% - Accent1 2 4 4 4 6" xfId="32237"/>
    <cellStyle name="40% - Accent1 2 4 4 4 7" xfId="32238"/>
    <cellStyle name="40% - Accent1 2 4 4 5" xfId="32239"/>
    <cellStyle name="40% - Accent1 2 4 4 5 2" xfId="32240"/>
    <cellStyle name="40% - Accent1 2 4 4 6" xfId="32241"/>
    <cellStyle name="40% - Accent1 2 4 4 6 2" xfId="32242"/>
    <cellStyle name="40% - Accent1 2 4 4 7" xfId="32243"/>
    <cellStyle name="40% - Accent1 2 4 4 8" xfId="32244"/>
    <cellStyle name="40% - Accent1 2 4 4 9" xfId="32245"/>
    <cellStyle name="40% - Accent1 2 4 5" xfId="32246"/>
    <cellStyle name="40% - Accent1 2 4 5 2" xfId="32247"/>
    <cellStyle name="40% - Accent1 2 4 5 2 2" xfId="32248"/>
    <cellStyle name="40% - Accent1 2 4 5 3" xfId="32249"/>
    <cellStyle name="40% - Accent1 2 4 5 3 2" xfId="32250"/>
    <cellStyle name="40% - Accent1 2 4 5 4" xfId="32251"/>
    <cellStyle name="40% - Accent1 2 4 5 5" xfId="32252"/>
    <cellStyle name="40% - Accent1 2 4 5 6" xfId="32253"/>
    <cellStyle name="40% - Accent1 2 4 5 7" xfId="32254"/>
    <cellStyle name="40% - Accent1 2 4 6" xfId="32255"/>
    <cellStyle name="40% - Accent1 2 4 6 2" xfId="32256"/>
    <cellStyle name="40% - Accent1 2 4 6 2 2" xfId="32257"/>
    <cellStyle name="40% - Accent1 2 4 6 3" xfId="32258"/>
    <cellStyle name="40% - Accent1 2 4 6 3 2" xfId="32259"/>
    <cellStyle name="40% - Accent1 2 4 6 4" xfId="32260"/>
    <cellStyle name="40% - Accent1 2 4 6 5" xfId="32261"/>
    <cellStyle name="40% - Accent1 2 4 6 6" xfId="32262"/>
    <cellStyle name="40% - Accent1 2 4 6 7" xfId="32263"/>
    <cellStyle name="40% - Accent1 2 4 7" xfId="32264"/>
    <cellStyle name="40% - Accent1 2 4 7 2" xfId="32265"/>
    <cellStyle name="40% - Accent1 2 4 7 2 2" xfId="32266"/>
    <cellStyle name="40% - Accent1 2 4 7 3" xfId="32267"/>
    <cellStyle name="40% - Accent1 2 4 7 3 2" xfId="32268"/>
    <cellStyle name="40% - Accent1 2 4 7 4" xfId="32269"/>
    <cellStyle name="40% - Accent1 2 4 7 5" xfId="32270"/>
    <cellStyle name="40% - Accent1 2 4 7 6" xfId="32271"/>
    <cellStyle name="40% - Accent1 2 4 7 7" xfId="32272"/>
    <cellStyle name="40% - Accent1 2 4 8" xfId="32273"/>
    <cellStyle name="40% - Accent1 2 4 8 2" xfId="32274"/>
    <cellStyle name="40% - Accent1 2 4 9" xfId="32275"/>
    <cellStyle name="40% - Accent1 2 4 9 2" xfId="32276"/>
    <cellStyle name="40% - Accent1 2 5" xfId="32277"/>
    <cellStyle name="40% - Accent1 2 5 10" xfId="32278"/>
    <cellStyle name="40% - Accent1 2 5 11" xfId="32279"/>
    <cellStyle name="40% - Accent1 2 5 12" xfId="32280"/>
    <cellStyle name="40% - Accent1 2 5 13" xfId="32281"/>
    <cellStyle name="40% - Accent1 2 5 2" xfId="32282"/>
    <cellStyle name="40% - Accent1 2 5 2 10" xfId="32283"/>
    <cellStyle name="40% - Accent1 2 5 2 11" xfId="32284"/>
    <cellStyle name="40% - Accent1 2 5 2 2" xfId="32285"/>
    <cellStyle name="40% - Accent1 2 5 2 2 10" xfId="32286"/>
    <cellStyle name="40% - Accent1 2 5 2 2 2" xfId="32287"/>
    <cellStyle name="40% - Accent1 2 5 2 2 2 2" xfId="32288"/>
    <cellStyle name="40% - Accent1 2 5 2 2 2 2 2" xfId="32289"/>
    <cellStyle name="40% - Accent1 2 5 2 2 2 3" xfId="32290"/>
    <cellStyle name="40% - Accent1 2 5 2 2 2 3 2" xfId="32291"/>
    <cellStyle name="40% - Accent1 2 5 2 2 2 4" xfId="32292"/>
    <cellStyle name="40% - Accent1 2 5 2 2 2 5" xfId="32293"/>
    <cellStyle name="40% - Accent1 2 5 2 2 2 6" xfId="32294"/>
    <cellStyle name="40% - Accent1 2 5 2 2 2 7" xfId="32295"/>
    <cellStyle name="40% - Accent1 2 5 2 2 3" xfId="32296"/>
    <cellStyle name="40% - Accent1 2 5 2 2 3 2" xfId="32297"/>
    <cellStyle name="40% - Accent1 2 5 2 2 3 2 2" xfId="32298"/>
    <cellStyle name="40% - Accent1 2 5 2 2 3 3" xfId="32299"/>
    <cellStyle name="40% - Accent1 2 5 2 2 3 3 2" xfId="32300"/>
    <cellStyle name="40% - Accent1 2 5 2 2 3 4" xfId="32301"/>
    <cellStyle name="40% - Accent1 2 5 2 2 3 5" xfId="32302"/>
    <cellStyle name="40% - Accent1 2 5 2 2 3 6" xfId="32303"/>
    <cellStyle name="40% - Accent1 2 5 2 2 3 7" xfId="32304"/>
    <cellStyle name="40% - Accent1 2 5 2 2 4" xfId="32305"/>
    <cellStyle name="40% - Accent1 2 5 2 2 4 2" xfId="32306"/>
    <cellStyle name="40% - Accent1 2 5 2 2 4 2 2" xfId="32307"/>
    <cellStyle name="40% - Accent1 2 5 2 2 4 3" xfId="32308"/>
    <cellStyle name="40% - Accent1 2 5 2 2 4 3 2" xfId="32309"/>
    <cellStyle name="40% - Accent1 2 5 2 2 4 4" xfId="32310"/>
    <cellStyle name="40% - Accent1 2 5 2 2 4 5" xfId="32311"/>
    <cellStyle name="40% - Accent1 2 5 2 2 4 6" xfId="32312"/>
    <cellStyle name="40% - Accent1 2 5 2 2 4 7" xfId="32313"/>
    <cellStyle name="40% - Accent1 2 5 2 2 5" xfId="32314"/>
    <cellStyle name="40% - Accent1 2 5 2 2 5 2" xfId="32315"/>
    <cellStyle name="40% - Accent1 2 5 2 2 6" xfId="32316"/>
    <cellStyle name="40% - Accent1 2 5 2 2 6 2" xfId="32317"/>
    <cellStyle name="40% - Accent1 2 5 2 2 7" xfId="32318"/>
    <cellStyle name="40% - Accent1 2 5 2 2 8" xfId="32319"/>
    <cellStyle name="40% - Accent1 2 5 2 2 9" xfId="32320"/>
    <cellStyle name="40% - Accent1 2 5 2 3" xfId="32321"/>
    <cellStyle name="40% - Accent1 2 5 2 3 2" xfId="32322"/>
    <cellStyle name="40% - Accent1 2 5 2 3 2 2" xfId="32323"/>
    <cellStyle name="40% - Accent1 2 5 2 3 3" xfId="32324"/>
    <cellStyle name="40% - Accent1 2 5 2 3 3 2" xfId="32325"/>
    <cellStyle name="40% - Accent1 2 5 2 3 4" xfId="32326"/>
    <cellStyle name="40% - Accent1 2 5 2 3 5" xfId="32327"/>
    <cellStyle name="40% - Accent1 2 5 2 3 6" xfId="32328"/>
    <cellStyle name="40% - Accent1 2 5 2 3 7" xfId="32329"/>
    <cellStyle name="40% - Accent1 2 5 2 4" xfId="32330"/>
    <cellStyle name="40% - Accent1 2 5 2 4 2" xfId="32331"/>
    <cellStyle name="40% - Accent1 2 5 2 4 2 2" xfId="32332"/>
    <cellStyle name="40% - Accent1 2 5 2 4 3" xfId="32333"/>
    <cellStyle name="40% - Accent1 2 5 2 4 3 2" xfId="32334"/>
    <cellStyle name="40% - Accent1 2 5 2 4 4" xfId="32335"/>
    <cellStyle name="40% - Accent1 2 5 2 4 5" xfId="32336"/>
    <cellStyle name="40% - Accent1 2 5 2 4 6" xfId="32337"/>
    <cellStyle name="40% - Accent1 2 5 2 4 7" xfId="32338"/>
    <cellStyle name="40% - Accent1 2 5 2 5" xfId="32339"/>
    <cellStyle name="40% - Accent1 2 5 2 5 2" xfId="32340"/>
    <cellStyle name="40% - Accent1 2 5 2 5 2 2" xfId="32341"/>
    <cellStyle name="40% - Accent1 2 5 2 5 3" xfId="32342"/>
    <cellStyle name="40% - Accent1 2 5 2 5 3 2" xfId="32343"/>
    <cellStyle name="40% - Accent1 2 5 2 5 4" xfId="32344"/>
    <cellStyle name="40% - Accent1 2 5 2 5 5" xfId="32345"/>
    <cellStyle name="40% - Accent1 2 5 2 5 6" xfId="32346"/>
    <cellStyle name="40% - Accent1 2 5 2 5 7" xfId="32347"/>
    <cellStyle name="40% - Accent1 2 5 2 6" xfId="32348"/>
    <cellStyle name="40% - Accent1 2 5 2 6 2" xfId="32349"/>
    <cellStyle name="40% - Accent1 2 5 2 7" xfId="32350"/>
    <cellStyle name="40% - Accent1 2 5 2 7 2" xfId="32351"/>
    <cellStyle name="40% - Accent1 2 5 2 8" xfId="32352"/>
    <cellStyle name="40% - Accent1 2 5 2 9" xfId="32353"/>
    <cellStyle name="40% - Accent1 2 5 3" xfId="32354"/>
    <cellStyle name="40% - Accent1 2 5 3 10" xfId="32355"/>
    <cellStyle name="40% - Accent1 2 5 3 11" xfId="32356"/>
    <cellStyle name="40% - Accent1 2 5 3 2" xfId="32357"/>
    <cellStyle name="40% - Accent1 2 5 3 2 10" xfId="32358"/>
    <cellStyle name="40% - Accent1 2 5 3 2 2" xfId="32359"/>
    <cellStyle name="40% - Accent1 2 5 3 2 2 2" xfId="32360"/>
    <cellStyle name="40% - Accent1 2 5 3 2 2 2 2" xfId="32361"/>
    <cellStyle name="40% - Accent1 2 5 3 2 2 3" xfId="32362"/>
    <cellStyle name="40% - Accent1 2 5 3 2 2 3 2" xfId="32363"/>
    <cellStyle name="40% - Accent1 2 5 3 2 2 4" xfId="32364"/>
    <cellStyle name="40% - Accent1 2 5 3 2 2 5" xfId="32365"/>
    <cellStyle name="40% - Accent1 2 5 3 2 2 6" xfId="32366"/>
    <cellStyle name="40% - Accent1 2 5 3 2 2 7" xfId="32367"/>
    <cellStyle name="40% - Accent1 2 5 3 2 3" xfId="32368"/>
    <cellStyle name="40% - Accent1 2 5 3 2 3 2" xfId="32369"/>
    <cellStyle name="40% - Accent1 2 5 3 2 3 2 2" xfId="32370"/>
    <cellStyle name="40% - Accent1 2 5 3 2 3 3" xfId="32371"/>
    <cellStyle name="40% - Accent1 2 5 3 2 3 3 2" xfId="32372"/>
    <cellStyle name="40% - Accent1 2 5 3 2 3 4" xfId="32373"/>
    <cellStyle name="40% - Accent1 2 5 3 2 3 5" xfId="32374"/>
    <cellStyle name="40% - Accent1 2 5 3 2 3 6" xfId="32375"/>
    <cellStyle name="40% - Accent1 2 5 3 2 3 7" xfId="32376"/>
    <cellStyle name="40% - Accent1 2 5 3 2 4" xfId="32377"/>
    <cellStyle name="40% - Accent1 2 5 3 2 4 2" xfId="32378"/>
    <cellStyle name="40% - Accent1 2 5 3 2 4 2 2" xfId="32379"/>
    <cellStyle name="40% - Accent1 2 5 3 2 4 3" xfId="32380"/>
    <cellStyle name="40% - Accent1 2 5 3 2 4 3 2" xfId="32381"/>
    <cellStyle name="40% - Accent1 2 5 3 2 4 4" xfId="32382"/>
    <cellStyle name="40% - Accent1 2 5 3 2 4 5" xfId="32383"/>
    <cellStyle name="40% - Accent1 2 5 3 2 4 6" xfId="32384"/>
    <cellStyle name="40% - Accent1 2 5 3 2 4 7" xfId="32385"/>
    <cellStyle name="40% - Accent1 2 5 3 2 5" xfId="32386"/>
    <cellStyle name="40% - Accent1 2 5 3 2 5 2" xfId="32387"/>
    <cellStyle name="40% - Accent1 2 5 3 2 6" xfId="32388"/>
    <cellStyle name="40% - Accent1 2 5 3 2 6 2" xfId="32389"/>
    <cellStyle name="40% - Accent1 2 5 3 2 7" xfId="32390"/>
    <cellStyle name="40% - Accent1 2 5 3 2 8" xfId="32391"/>
    <cellStyle name="40% - Accent1 2 5 3 2 9" xfId="32392"/>
    <cellStyle name="40% - Accent1 2 5 3 3" xfId="32393"/>
    <cellStyle name="40% - Accent1 2 5 3 3 2" xfId="32394"/>
    <cellStyle name="40% - Accent1 2 5 3 3 2 2" xfId="32395"/>
    <cellStyle name="40% - Accent1 2 5 3 3 3" xfId="32396"/>
    <cellStyle name="40% - Accent1 2 5 3 3 3 2" xfId="32397"/>
    <cellStyle name="40% - Accent1 2 5 3 3 4" xfId="32398"/>
    <cellStyle name="40% - Accent1 2 5 3 3 5" xfId="32399"/>
    <cellStyle name="40% - Accent1 2 5 3 3 6" xfId="32400"/>
    <cellStyle name="40% - Accent1 2 5 3 3 7" xfId="32401"/>
    <cellStyle name="40% - Accent1 2 5 3 4" xfId="32402"/>
    <cellStyle name="40% - Accent1 2 5 3 4 2" xfId="32403"/>
    <cellStyle name="40% - Accent1 2 5 3 4 2 2" xfId="32404"/>
    <cellStyle name="40% - Accent1 2 5 3 4 3" xfId="32405"/>
    <cellStyle name="40% - Accent1 2 5 3 4 3 2" xfId="32406"/>
    <cellStyle name="40% - Accent1 2 5 3 4 4" xfId="32407"/>
    <cellStyle name="40% - Accent1 2 5 3 4 5" xfId="32408"/>
    <cellStyle name="40% - Accent1 2 5 3 4 6" xfId="32409"/>
    <cellStyle name="40% - Accent1 2 5 3 4 7" xfId="32410"/>
    <cellStyle name="40% - Accent1 2 5 3 5" xfId="32411"/>
    <cellStyle name="40% - Accent1 2 5 3 5 2" xfId="32412"/>
    <cellStyle name="40% - Accent1 2 5 3 5 2 2" xfId="32413"/>
    <cellStyle name="40% - Accent1 2 5 3 5 3" xfId="32414"/>
    <cellStyle name="40% - Accent1 2 5 3 5 3 2" xfId="32415"/>
    <cellStyle name="40% - Accent1 2 5 3 5 4" xfId="32416"/>
    <cellStyle name="40% - Accent1 2 5 3 5 5" xfId="32417"/>
    <cellStyle name="40% - Accent1 2 5 3 5 6" xfId="32418"/>
    <cellStyle name="40% - Accent1 2 5 3 5 7" xfId="32419"/>
    <cellStyle name="40% - Accent1 2 5 3 6" xfId="32420"/>
    <cellStyle name="40% - Accent1 2 5 3 6 2" xfId="32421"/>
    <cellStyle name="40% - Accent1 2 5 3 7" xfId="32422"/>
    <cellStyle name="40% - Accent1 2 5 3 7 2" xfId="32423"/>
    <cellStyle name="40% - Accent1 2 5 3 8" xfId="32424"/>
    <cellStyle name="40% - Accent1 2 5 3 9" xfId="32425"/>
    <cellStyle name="40% - Accent1 2 5 4" xfId="32426"/>
    <cellStyle name="40% - Accent1 2 5 4 10" xfId="32427"/>
    <cellStyle name="40% - Accent1 2 5 4 2" xfId="32428"/>
    <cellStyle name="40% - Accent1 2 5 4 2 2" xfId="32429"/>
    <cellStyle name="40% - Accent1 2 5 4 2 2 2" xfId="32430"/>
    <cellStyle name="40% - Accent1 2 5 4 2 3" xfId="32431"/>
    <cellStyle name="40% - Accent1 2 5 4 2 3 2" xfId="32432"/>
    <cellStyle name="40% - Accent1 2 5 4 2 4" xfId="32433"/>
    <cellStyle name="40% - Accent1 2 5 4 2 5" xfId="32434"/>
    <cellStyle name="40% - Accent1 2 5 4 2 6" xfId="32435"/>
    <cellStyle name="40% - Accent1 2 5 4 2 7" xfId="32436"/>
    <cellStyle name="40% - Accent1 2 5 4 3" xfId="32437"/>
    <cellStyle name="40% - Accent1 2 5 4 3 2" xfId="32438"/>
    <cellStyle name="40% - Accent1 2 5 4 3 2 2" xfId="32439"/>
    <cellStyle name="40% - Accent1 2 5 4 3 3" xfId="32440"/>
    <cellStyle name="40% - Accent1 2 5 4 3 3 2" xfId="32441"/>
    <cellStyle name="40% - Accent1 2 5 4 3 4" xfId="32442"/>
    <cellStyle name="40% - Accent1 2 5 4 3 5" xfId="32443"/>
    <cellStyle name="40% - Accent1 2 5 4 3 6" xfId="32444"/>
    <cellStyle name="40% - Accent1 2 5 4 3 7" xfId="32445"/>
    <cellStyle name="40% - Accent1 2 5 4 4" xfId="32446"/>
    <cellStyle name="40% - Accent1 2 5 4 4 2" xfId="32447"/>
    <cellStyle name="40% - Accent1 2 5 4 4 2 2" xfId="32448"/>
    <cellStyle name="40% - Accent1 2 5 4 4 3" xfId="32449"/>
    <cellStyle name="40% - Accent1 2 5 4 4 3 2" xfId="32450"/>
    <cellStyle name="40% - Accent1 2 5 4 4 4" xfId="32451"/>
    <cellStyle name="40% - Accent1 2 5 4 4 5" xfId="32452"/>
    <cellStyle name="40% - Accent1 2 5 4 4 6" xfId="32453"/>
    <cellStyle name="40% - Accent1 2 5 4 4 7" xfId="32454"/>
    <cellStyle name="40% - Accent1 2 5 4 5" xfId="32455"/>
    <cellStyle name="40% - Accent1 2 5 4 5 2" xfId="32456"/>
    <cellStyle name="40% - Accent1 2 5 4 6" xfId="32457"/>
    <cellStyle name="40% - Accent1 2 5 4 6 2" xfId="32458"/>
    <cellStyle name="40% - Accent1 2 5 4 7" xfId="32459"/>
    <cellStyle name="40% - Accent1 2 5 4 8" xfId="32460"/>
    <cellStyle name="40% - Accent1 2 5 4 9" xfId="32461"/>
    <cellStyle name="40% - Accent1 2 5 5" xfId="32462"/>
    <cellStyle name="40% - Accent1 2 5 5 2" xfId="32463"/>
    <cellStyle name="40% - Accent1 2 5 5 2 2" xfId="32464"/>
    <cellStyle name="40% - Accent1 2 5 5 3" xfId="32465"/>
    <cellStyle name="40% - Accent1 2 5 5 3 2" xfId="32466"/>
    <cellStyle name="40% - Accent1 2 5 5 4" xfId="32467"/>
    <cellStyle name="40% - Accent1 2 5 5 5" xfId="32468"/>
    <cellStyle name="40% - Accent1 2 5 5 6" xfId="32469"/>
    <cellStyle name="40% - Accent1 2 5 5 7" xfId="32470"/>
    <cellStyle name="40% - Accent1 2 5 6" xfId="32471"/>
    <cellStyle name="40% - Accent1 2 5 6 2" xfId="32472"/>
    <cellStyle name="40% - Accent1 2 5 6 2 2" xfId="32473"/>
    <cellStyle name="40% - Accent1 2 5 6 3" xfId="32474"/>
    <cellStyle name="40% - Accent1 2 5 6 3 2" xfId="32475"/>
    <cellStyle name="40% - Accent1 2 5 6 4" xfId="32476"/>
    <cellStyle name="40% - Accent1 2 5 6 5" xfId="32477"/>
    <cellStyle name="40% - Accent1 2 5 6 6" xfId="32478"/>
    <cellStyle name="40% - Accent1 2 5 6 7" xfId="32479"/>
    <cellStyle name="40% - Accent1 2 5 7" xfId="32480"/>
    <cellStyle name="40% - Accent1 2 5 7 2" xfId="32481"/>
    <cellStyle name="40% - Accent1 2 5 7 2 2" xfId="32482"/>
    <cellStyle name="40% - Accent1 2 5 7 3" xfId="32483"/>
    <cellStyle name="40% - Accent1 2 5 7 3 2" xfId="32484"/>
    <cellStyle name="40% - Accent1 2 5 7 4" xfId="32485"/>
    <cellStyle name="40% - Accent1 2 5 7 5" xfId="32486"/>
    <cellStyle name="40% - Accent1 2 5 7 6" xfId="32487"/>
    <cellStyle name="40% - Accent1 2 5 7 7" xfId="32488"/>
    <cellStyle name="40% - Accent1 2 5 8" xfId="32489"/>
    <cellStyle name="40% - Accent1 2 5 8 2" xfId="32490"/>
    <cellStyle name="40% - Accent1 2 5 9" xfId="32491"/>
    <cellStyle name="40% - Accent1 2 5 9 2" xfId="32492"/>
    <cellStyle name="40% - Accent1 2 6" xfId="32493"/>
    <cellStyle name="40% - Accent1 2 6 10" xfId="32494"/>
    <cellStyle name="40% - Accent1 2 6 11" xfId="32495"/>
    <cellStyle name="40% - Accent1 2 6 12" xfId="32496"/>
    <cellStyle name="40% - Accent1 2 6 13" xfId="32497"/>
    <cellStyle name="40% - Accent1 2 6 2" xfId="32498"/>
    <cellStyle name="40% - Accent1 2 6 2 10" xfId="32499"/>
    <cellStyle name="40% - Accent1 2 6 2 11" xfId="32500"/>
    <cellStyle name="40% - Accent1 2 6 2 2" xfId="32501"/>
    <cellStyle name="40% - Accent1 2 6 2 2 10" xfId="32502"/>
    <cellStyle name="40% - Accent1 2 6 2 2 2" xfId="32503"/>
    <cellStyle name="40% - Accent1 2 6 2 2 2 2" xfId="32504"/>
    <cellStyle name="40% - Accent1 2 6 2 2 2 2 2" xfId="32505"/>
    <cellStyle name="40% - Accent1 2 6 2 2 2 3" xfId="32506"/>
    <cellStyle name="40% - Accent1 2 6 2 2 2 3 2" xfId="32507"/>
    <cellStyle name="40% - Accent1 2 6 2 2 2 4" xfId="32508"/>
    <cellStyle name="40% - Accent1 2 6 2 2 2 5" xfId="32509"/>
    <cellStyle name="40% - Accent1 2 6 2 2 2 6" xfId="32510"/>
    <cellStyle name="40% - Accent1 2 6 2 2 2 7" xfId="32511"/>
    <cellStyle name="40% - Accent1 2 6 2 2 3" xfId="32512"/>
    <cellStyle name="40% - Accent1 2 6 2 2 3 2" xfId="32513"/>
    <cellStyle name="40% - Accent1 2 6 2 2 3 2 2" xfId="32514"/>
    <cellStyle name="40% - Accent1 2 6 2 2 3 3" xfId="32515"/>
    <cellStyle name="40% - Accent1 2 6 2 2 3 3 2" xfId="32516"/>
    <cellStyle name="40% - Accent1 2 6 2 2 3 4" xfId="32517"/>
    <cellStyle name="40% - Accent1 2 6 2 2 3 5" xfId="32518"/>
    <cellStyle name="40% - Accent1 2 6 2 2 3 6" xfId="32519"/>
    <cellStyle name="40% - Accent1 2 6 2 2 3 7" xfId="32520"/>
    <cellStyle name="40% - Accent1 2 6 2 2 4" xfId="32521"/>
    <cellStyle name="40% - Accent1 2 6 2 2 4 2" xfId="32522"/>
    <cellStyle name="40% - Accent1 2 6 2 2 4 2 2" xfId="32523"/>
    <cellStyle name="40% - Accent1 2 6 2 2 4 3" xfId="32524"/>
    <cellStyle name="40% - Accent1 2 6 2 2 4 3 2" xfId="32525"/>
    <cellStyle name="40% - Accent1 2 6 2 2 4 4" xfId="32526"/>
    <cellStyle name="40% - Accent1 2 6 2 2 4 5" xfId="32527"/>
    <cellStyle name="40% - Accent1 2 6 2 2 4 6" xfId="32528"/>
    <cellStyle name="40% - Accent1 2 6 2 2 4 7" xfId="32529"/>
    <cellStyle name="40% - Accent1 2 6 2 2 5" xfId="32530"/>
    <cellStyle name="40% - Accent1 2 6 2 2 5 2" xfId="32531"/>
    <cellStyle name="40% - Accent1 2 6 2 2 6" xfId="32532"/>
    <cellStyle name="40% - Accent1 2 6 2 2 6 2" xfId="32533"/>
    <cellStyle name="40% - Accent1 2 6 2 2 7" xfId="32534"/>
    <cellStyle name="40% - Accent1 2 6 2 2 8" xfId="32535"/>
    <cellStyle name="40% - Accent1 2 6 2 2 9" xfId="32536"/>
    <cellStyle name="40% - Accent1 2 6 2 3" xfId="32537"/>
    <cellStyle name="40% - Accent1 2 6 2 3 2" xfId="32538"/>
    <cellStyle name="40% - Accent1 2 6 2 3 2 2" xfId="32539"/>
    <cellStyle name="40% - Accent1 2 6 2 3 3" xfId="32540"/>
    <cellStyle name="40% - Accent1 2 6 2 3 3 2" xfId="32541"/>
    <cellStyle name="40% - Accent1 2 6 2 3 4" xfId="32542"/>
    <cellStyle name="40% - Accent1 2 6 2 3 5" xfId="32543"/>
    <cellStyle name="40% - Accent1 2 6 2 3 6" xfId="32544"/>
    <cellStyle name="40% - Accent1 2 6 2 3 7" xfId="32545"/>
    <cellStyle name="40% - Accent1 2 6 2 4" xfId="32546"/>
    <cellStyle name="40% - Accent1 2 6 2 4 2" xfId="32547"/>
    <cellStyle name="40% - Accent1 2 6 2 4 2 2" xfId="32548"/>
    <cellStyle name="40% - Accent1 2 6 2 4 3" xfId="32549"/>
    <cellStyle name="40% - Accent1 2 6 2 4 3 2" xfId="32550"/>
    <cellStyle name="40% - Accent1 2 6 2 4 4" xfId="32551"/>
    <cellStyle name="40% - Accent1 2 6 2 4 5" xfId="32552"/>
    <cellStyle name="40% - Accent1 2 6 2 4 6" xfId="32553"/>
    <cellStyle name="40% - Accent1 2 6 2 4 7" xfId="32554"/>
    <cellStyle name="40% - Accent1 2 6 2 5" xfId="32555"/>
    <cellStyle name="40% - Accent1 2 6 2 5 2" xfId="32556"/>
    <cellStyle name="40% - Accent1 2 6 2 5 2 2" xfId="32557"/>
    <cellStyle name="40% - Accent1 2 6 2 5 3" xfId="32558"/>
    <cellStyle name="40% - Accent1 2 6 2 5 3 2" xfId="32559"/>
    <cellStyle name="40% - Accent1 2 6 2 5 4" xfId="32560"/>
    <cellStyle name="40% - Accent1 2 6 2 5 5" xfId="32561"/>
    <cellStyle name="40% - Accent1 2 6 2 5 6" xfId="32562"/>
    <cellStyle name="40% - Accent1 2 6 2 5 7" xfId="32563"/>
    <cellStyle name="40% - Accent1 2 6 2 6" xfId="32564"/>
    <cellStyle name="40% - Accent1 2 6 2 6 2" xfId="32565"/>
    <cellStyle name="40% - Accent1 2 6 2 7" xfId="32566"/>
    <cellStyle name="40% - Accent1 2 6 2 7 2" xfId="32567"/>
    <cellStyle name="40% - Accent1 2 6 2 8" xfId="32568"/>
    <cellStyle name="40% - Accent1 2 6 2 9" xfId="32569"/>
    <cellStyle name="40% - Accent1 2 6 3" xfId="32570"/>
    <cellStyle name="40% - Accent1 2 6 3 10" xfId="32571"/>
    <cellStyle name="40% - Accent1 2 6 3 11" xfId="32572"/>
    <cellStyle name="40% - Accent1 2 6 3 2" xfId="32573"/>
    <cellStyle name="40% - Accent1 2 6 3 2 10" xfId="32574"/>
    <cellStyle name="40% - Accent1 2 6 3 2 2" xfId="32575"/>
    <cellStyle name="40% - Accent1 2 6 3 2 2 2" xfId="32576"/>
    <cellStyle name="40% - Accent1 2 6 3 2 2 2 2" xfId="32577"/>
    <cellStyle name="40% - Accent1 2 6 3 2 2 3" xfId="32578"/>
    <cellStyle name="40% - Accent1 2 6 3 2 2 3 2" xfId="32579"/>
    <cellStyle name="40% - Accent1 2 6 3 2 2 4" xfId="32580"/>
    <cellStyle name="40% - Accent1 2 6 3 2 2 5" xfId="32581"/>
    <cellStyle name="40% - Accent1 2 6 3 2 2 6" xfId="32582"/>
    <cellStyle name="40% - Accent1 2 6 3 2 2 7" xfId="32583"/>
    <cellStyle name="40% - Accent1 2 6 3 2 3" xfId="32584"/>
    <cellStyle name="40% - Accent1 2 6 3 2 3 2" xfId="32585"/>
    <cellStyle name="40% - Accent1 2 6 3 2 3 2 2" xfId="32586"/>
    <cellStyle name="40% - Accent1 2 6 3 2 3 3" xfId="32587"/>
    <cellStyle name="40% - Accent1 2 6 3 2 3 3 2" xfId="32588"/>
    <cellStyle name="40% - Accent1 2 6 3 2 3 4" xfId="32589"/>
    <cellStyle name="40% - Accent1 2 6 3 2 3 5" xfId="32590"/>
    <cellStyle name="40% - Accent1 2 6 3 2 3 6" xfId="32591"/>
    <cellStyle name="40% - Accent1 2 6 3 2 3 7" xfId="32592"/>
    <cellStyle name="40% - Accent1 2 6 3 2 4" xfId="32593"/>
    <cellStyle name="40% - Accent1 2 6 3 2 4 2" xfId="32594"/>
    <cellStyle name="40% - Accent1 2 6 3 2 4 2 2" xfId="32595"/>
    <cellStyle name="40% - Accent1 2 6 3 2 4 3" xfId="32596"/>
    <cellStyle name="40% - Accent1 2 6 3 2 4 3 2" xfId="32597"/>
    <cellStyle name="40% - Accent1 2 6 3 2 4 4" xfId="32598"/>
    <cellStyle name="40% - Accent1 2 6 3 2 4 5" xfId="32599"/>
    <cellStyle name="40% - Accent1 2 6 3 2 4 6" xfId="32600"/>
    <cellStyle name="40% - Accent1 2 6 3 2 4 7" xfId="32601"/>
    <cellStyle name="40% - Accent1 2 6 3 2 5" xfId="32602"/>
    <cellStyle name="40% - Accent1 2 6 3 2 5 2" xfId="32603"/>
    <cellStyle name="40% - Accent1 2 6 3 2 6" xfId="32604"/>
    <cellStyle name="40% - Accent1 2 6 3 2 6 2" xfId="32605"/>
    <cellStyle name="40% - Accent1 2 6 3 2 7" xfId="32606"/>
    <cellStyle name="40% - Accent1 2 6 3 2 8" xfId="32607"/>
    <cellStyle name="40% - Accent1 2 6 3 2 9" xfId="32608"/>
    <cellStyle name="40% - Accent1 2 6 3 3" xfId="32609"/>
    <cellStyle name="40% - Accent1 2 6 3 3 2" xfId="32610"/>
    <cellStyle name="40% - Accent1 2 6 3 3 2 2" xfId="32611"/>
    <cellStyle name="40% - Accent1 2 6 3 3 3" xfId="32612"/>
    <cellStyle name="40% - Accent1 2 6 3 3 3 2" xfId="32613"/>
    <cellStyle name="40% - Accent1 2 6 3 3 4" xfId="32614"/>
    <cellStyle name="40% - Accent1 2 6 3 3 5" xfId="32615"/>
    <cellStyle name="40% - Accent1 2 6 3 3 6" xfId="32616"/>
    <cellStyle name="40% - Accent1 2 6 3 3 7" xfId="32617"/>
    <cellStyle name="40% - Accent1 2 6 3 4" xfId="32618"/>
    <cellStyle name="40% - Accent1 2 6 3 4 2" xfId="32619"/>
    <cellStyle name="40% - Accent1 2 6 3 4 2 2" xfId="32620"/>
    <cellStyle name="40% - Accent1 2 6 3 4 3" xfId="32621"/>
    <cellStyle name="40% - Accent1 2 6 3 4 3 2" xfId="32622"/>
    <cellStyle name="40% - Accent1 2 6 3 4 4" xfId="32623"/>
    <cellStyle name="40% - Accent1 2 6 3 4 5" xfId="32624"/>
    <cellStyle name="40% - Accent1 2 6 3 4 6" xfId="32625"/>
    <cellStyle name="40% - Accent1 2 6 3 4 7" xfId="32626"/>
    <cellStyle name="40% - Accent1 2 6 3 5" xfId="32627"/>
    <cellStyle name="40% - Accent1 2 6 3 5 2" xfId="32628"/>
    <cellStyle name="40% - Accent1 2 6 3 5 2 2" xfId="32629"/>
    <cellStyle name="40% - Accent1 2 6 3 5 3" xfId="32630"/>
    <cellStyle name="40% - Accent1 2 6 3 5 3 2" xfId="32631"/>
    <cellStyle name="40% - Accent1 2 6 3 5 4" xfId="32632"/>
    <cellStyle name="40% - Accent1 2 6 3 5 5" xfId="32633"/>
    <cellStyle name="40% - Accent1 2 6 3 5 6" xfId="32634"/>
    <cellStyle name="40% - Accent1 2 6 3 5 7" xfId="32635"/>
    <cellStyle name="40% - Accent1 2 6 3 6" xfId="32636"/>
    <cellStyle name="40% - Accent1 2 6 3 6 2" xfId="32637"/>
    <cellStyle name="40% - Accent1 2 6 3 7" xfId="32638"/>
    <cellStyle name="40% - Accent1 2 6 3 7 2" xfId="32639"/>
    <cellStyle name="40% - Accent1 2 6 3 8" xfId="32640"/>
    <cellStyle name="40% - Accent1 2 6 3 9" xfId="32641"/>
    <cellStyle name="40% - Accent1 2 6 4" xfId="32642"/>
    <cellStyle name="40% - Accent1 2 6 4 10" xfId="32643"/>
    <cellStyle name="40% - Accent1 2 6 4 2" xfId="32644"/>
    <cellStyle name="40% - Accent1 2 6 4 2 2" xfId="32645"/>
    <cellStyle name="40% - Accent1 2 6 4 2 2 2" xfId="32646"/>
    <cellStyle name="40% - Accent1 2 6 4 2 3" xfId="32647"/>
    <cellStyle name="40% - Accent1 2 6 4 2 3 2" xfId="32648"/>
    <cellStyle name="40% - Accent1 2 6 4 2 4" xfId="32649"/>
    <cellStyle name="40% - Accent1 2 6 4 2 5" xfId="32650"/>
    <cellStyle name="40% - Accent1 2 6 4 2 6" xfId="32651"/>
    <cellStyle name="40% - Accent1 2 6 4 2 7" xfId="32652"/>
    <cellStyle name="40% - Accent1 2 6 4 3" xfId="32653"/>
    <cellStyle name="40% - Accent1 2 6 4 3 2" xfId="32654"/>
    <cellStyle name="40% - Accent1 2 6 4 3 2 2" xfId="32655"/>
    <cellStyle name="40% - Accent1 2 6 4 3 3" xfId="32656"/>
    <cellStyle name="40% - Accent1 2 6 4 3 3 2" xfId="32657"/>
    <cellStyle name="40% - Accent1 2 6 4 3 4" xfId="32658"/>
    <cellStyle name="40% - Accent1 2 6 4 3 5" xfId="32659"/>
    <cellStyle name="40% - Accent1 2 6 4 3 6" xfId="32660"/>
    <cellStyle name="40% - Accent1 2 6 4 3 7" xfId="32661"/>
    <cellStyle name="40% - Accent1 2 6 4 4" xfId="32662"/>
    <cellStyle name="40% - Accent1 2 6 4 4 2" xfId="32663"/>
    <cellStyle name="40% - Accent1 2 6 4 4 2 2" xfId="32664"/>
    <cellStyle name="40% - Accent1 2 6 4 4 3" xfId="32665"/>
    <cellStyle name="40% - Accent1 2 6 4 4 3 2" xfId="32666"/>
    <cellStyle name="40% - Accent1 2 6 4 4 4" xfId="32667"/>
    <cellStyle name="40% - Accent1 2 6 4 4 5" xfId="32668"/>
    <cellStyle name="40% - Accent1 2 6 4 4 6" xfId="32669"/>
    <cellStyle name="40% - Accent1 2 6 4 4 7" xfId="32670"/>
    <cellStyle name="40% - Accent1 2 6 4 5" xfId="32671"/>
    <cellStyle name="40% - Accent1 2 6 4 5 2" xfId="32672"/>
    <cellStyle name="40% - Accent1 2 6 4 6" xfId="32673"/>
    <cellStyle name="40% - Accent1 2 6 4 6 2" xfId="32674"/>
    <cellStyle name="40% - Accent1 2 6 4 7" xfId="32675"/>
    <cellStyle name="40% - Accent1 2 6 4 8" xfId="32676"/>
    <cellStyle name="40% - Accent1 2 6 4 9" xfId="32677"/>
    <cellStyle name="40% - Accent1 2 6 5" xfId="32678"/>
    <cellStyle name="40% - Accent1 2 6 5 2" xfId="32679"/>
    <cellStyle name="40% - Accent1 2 6 5 2 2" xfId="32680"/>
    <cellStyle name="40% - Accent1 2 6 5 3" xfId="32681"/>
    <cellStyle name="40% - Accent1 2 6 5 3 2" xfId="32682"/>
    <cellStyle name="40% - Accent1 2 6 5 4" xfId="32683"/>
    <cellStyle name="40% - Accent1 2 6 5 5" xfId="32684"/>
    <cellStyle name="40% - Accent1 2 6 5 6" xfId="32685"/>
    <cellStyle name="40% - Accent1 2 6 5 7" xfId="32686"/>
    <cellStyle name="40% - Accent1 2 6 6" xfId="32687"/>
    <cellStyle name="40% - Accent1 2 6 6 2" xfId="32688"/>
    <cellStyle name="40% - Accent1 2 6 6 2 2" xfId="32689"/>
    <cellStyle name="40% - Accent1 2 6 6 3" xfId="32690"/>
    <cellStyle name="40% - Accent1 2 6 6 3 2" xfId="32691"/>
    <cellStyle name="40% - Accent1 2 6 6 4" xfId="32692"/>
    <cellStyle name="40% - Accent1 2 6 6 5" xfId="32693"/>
    <cellStyle name="40% - Accent1 2 6 6 6" xfId="32694"/>
    <cellStyle name="40% - Accent1 2 6 6 7" xfId="32695"/>
    <cellStyle name="40% - Accent1 2 6 7" xfId="32696"/>
    <cellStyle name="40% - Accent1 2 6 7 2" xfId="32697"/>
    <cellStyle name="40% - Accent1 2 6 7 2 2" xfId="32698"/>
    <cellStyle name="40% - Accent1 2 6 7 3" xfId="32699"/>
    <cellStyle name="40% - Accent1 2 6 7 3 2" xfId="32700"/>
    <cellStyle name="40% - Accent1 2 6 7 4" xfId="32701"/>
    <cellStyle name="40% - Accent1 2 6 7 5" xfId="32702"/>
    <cellStyle name="40% - Accent1 2 6 7 6" xfId="32703"/>
    <cellStyle name="40% - Accent1 2 6 7 7" xfId="32704"/>
    <cellStyle name="40% - Accent1 2 6 8" xfId="32705"/>
    <cellStyle name="40% - Accent1 2 6 8 2" xfId="32706"/>
    <cellStyle name="40% - Accent1 2 6 9" xfId="32707"/>
    <cellStyle name="40% - Accent1 2 6 9 2" xfId="32708"/>
    <cellStyle name="40% - Accent1 2 7" xfId="32709"/>
    <cellStyle name="40% - Accent1 2 7 10" xfId="32710"/>
    <cellStyle name="40% - Accent1 2 7 11" xfId="32711"/>
    <cellStyle name="40% - Accent1 2 7 2" xfId="32712"/>
    <cellStyle name="40% - Accent1 2 7 2 10" xfId="32713"/>
    <cellStyle name="40% - Accent1 2 7 2 2" xfId="32714"/>
    <cellStyle name="40% - Accent1 2 7 2 2 2" xfId="32715"/>
    <cellStyle name="40% - Accent1 2 7 2 2 2 2" xfId="32716"/>
    <cellStyle name="40% - Accent1 2 7 2 2 3" xfId="32717"/>
    <cellStyle name="40% - Accent1 2 7 2 2 3 2" xfId="32718"/>
    <cellStyle name="40% - Accent1 2 7 2 2 4" xfId="32719"/>
    <cellStyle name="40% - Accent1 2 7 2 2 5" xfId="32720"/>
    <cellStyle name="40% - Accent1 2 7 2 2 6" xfId="32721"/>
    <cellStyle name="40% - Accent1 2 7 2 2 7" xfId="32722"/>
    <cellStyle name="40% - Accent1 2 7 2 3" xfId="32723"/>
    <cellStyle name="40% - Accent1 2 7 2 3 2" xfId="32724"/>
    <cellStyle name="40% - Accent1 2 7 2 3 2 2" xfId="32725"/>
    <cellStyle name="40% - Accent1 2 7 2 3 3" xfId="32726"/>
    <cellStyle name="40% - Accent1 2 7 2 3 3 2" xfId="32727"/>
    <cellStyle name="40% - Accent1 2 7 2 3 4" xfId="32728"/>
    <cellStyle name="40% - Accent1 2 7 2 3 5" xfId="32729"/>
    <cellStyle name="40% - Accent1 2 7 2 3 6" xfId="32730"/>
    <cellStyle name="40% - Accent1 2 7 2 3 7" xfId="32731"/>
    <cellStyle name="40% - Accent1 2 7 2 4" xfId="32732"/>
    <cellStyle name="40% - Accent1 2 7 2 4 2" xfId="32733"/>
    <cellStyle name="40% - Accent1 2 7 2 4 2 2" xfId="32734"/>
    <cellStyle name="40% - Accent1 2 7 2 4 3" xfId="32735"/>
    <cellStyle name="40% - Accent1 2 7 2 4 3 2" xfId="32736"/>
    <cellStyle name="40% - Accent1 2 7 2 4 4" xfId="32737"/>
    <cellStyle name="40% - Accent1 2 7 2 4 5" xfId="32738"/>
    <cellStyle name="40% - Accent1 2 7 2 4 6" xfId="32739"/>
    <cellStyle name="40% - Accent1 2 7 2 4 7" xfId="32740"/>
    <cellStyle name="40% - Accent1 2 7 2 5" xfId="32741"/>
    <cellStyle name="40% - Accent1 2 7 2 5 2" xfId="32742"/>
    <cellStyle name="40% - Accent1 2 7 2 6" xfId="32743"/>
    <cellStyle name="40% - Accent1 2 7 2 6 2" xfId="32744"/>
    <cellStyle name="40% - Accent1 2 7 2 7" xfId="32745"/>
    <cellStyle name="40% - Accent1 2 7 2 8" xfId="32746"/>
    <cellStyle name="40% - Accent1 2 7 2 9" xfId="32747"/>
    <cellStyle name="40% - Accent1 2 7 3" xfId="32748"/>
    <cellStyle name="40% - Accent1 2 7 3 2" xfId="32749"/>
    <cellStyle name="40% - Accent1 2 7 3 2 2" xfId="32750"/>
    <cellStyle name="40% - Accent1 2 7 3 3" xfId="32751"/>
    <cellStyle name="40% - Accent1 2 7 3 3 2" xfId="32752"/>
    <cellStyle name="40% - Accent1 2 7 3 4" xfId="32753"/>
    <cellStyle name="40% - Accent1 2 7 3 5" xfId="32754"/>
    <cellStyle name="40% - Accent1 2 7 3 6" xfId="32755"/>
    <cellStyle name="40% - Accent1 2 7 3 7" xfId="32756"/>
    <cellStyle name="40% - Accent1 2 7 4" xfId="32757"/>
    <cellStyle name="40% - Accent1 2 7 4 2" xfId="32758"/>
    <cellStyle name="40% - Accent1 2 7 4 2 2" xfId="32759"/>
    <cellStyle name="40% - Accent1 2 7 4 3" xfId="32760"/>
    <cellStyle name="40% - Accent1 2 7 4 3 2" xfId="32761"/>
    <cellStyle name="40% - Accent1 2 7 4 4" xfId="32762"/>
    <cellStyle name="40% - Accent1 2 7 4 5" xfId="32763"/>
    <cellStyle name="40% - Accent1 2 7 4 6" xfId="32764"/>
    <cellStyle name="40% - Accent1 2 7 4 7" xfId="32765"/>
    <cellStyle name="40% - Accent1 2 7 5" xfId="32766"/>
    <cellStyle name="40% - Accent1 2 7 5 2" xfId="32767"/>
    <cellStyle name="40% - Accent1 2 7 5 2 2" xfId="32768"/>
    <cellStyle name="40% - Accent1 2 7 5 3" xfId="32769"/>
    <cellStyle name="40% - Accent1 2 7 5 3 2" xfId="32770"/>
    <cellStyle name="40% - Accent1 2 7 5 4" xfId="32771"/>
    <cellStyle name="40% - Accent1 2 7 5 5" xfId="32772"/>
    <cellStyle name="40% - Accent1 2 7 5 6" xfId="32773"/>
    <cellStyle name="40% - Accent1 2 7 5 7" xfId="32774"/>
    <cellStyle name="40% - Accent1 2 7 6" xfId="32775"/>
    <cellStyle name="40% - Accent1 2 7 6 2" xfId="32776"/>
    <cellStyle name="40% - Accent1 2 7 7" xfId="32777"/>
    <cellStyle name="40% - Accent1 2 7 7 2" xfId="32778"/>
    <cellStyle name="40% - Accent1 2 7 8" xfId="32779"/>
    <cellStyle name="40% - Accent1 2 7 9" xfId="32780"/>
    <cellStyle name="40% - Accent1 2 8" xfId="32781"/>
    <cellStyle name="40% - Accent1 2 8 10" xfId="32782"/>
    <cellStyle name="40% - Accent1 2 8 11" xfId="32783"/>
    <cellStyle name="40% - Accent1 2 8 2" xfId="32784"/>
    <cellStyle name="40% - Accent1 2 8 2 10" xfId="32785"/>
    <cellStyle name="40% - Accent1 2 8 2 2" xfId="32786"/>
    <cellStyle name="40% - Accent1 2 8 2 2 2" xfId="32787"/>
    <cellStyle name="40% - Accent1 2 8 2 2 2 2" xfId="32788"/>
    <cellStyle name="40% - Accent1 2 8 2 2 3" xfId="32789"/>
    <cellStyle name="40% - Accent1 2 8 2 2 3 2" xfId="32790"/>
    <cellStyle name="40% - Accent1 2 8 2 2 4" xfId="32791"/>
    <cellStyle name="40% - Accent1 2 8 2 2 5" xfId="32792"/>
    <cellStyle name="40% - Accent1 2 8 2 2 6" xfId="32793"/>
    <cellStyle name="40% - Accent1 2 8 2 2 7" xfId="32794"/>
    <cellStyle name="40% - Accent1 2 8 2 3" xfId="32795"/>
    <cellStyle name="40% - Accent1 2 8 2 3 2" xfId="32796"/>
    <cellStyle name="40% - Accent1 2 8 2 3 2 2" xfId="32797"/>
    <cellStyle name="40% - Accent1 2 8 2 3 3" xfId="32798"/>
    <cellStyle name="40% - Accent1 2 8 2 3 3 2" xfId="32799"/>
    <cellStyle name="40% - Accent1 2 8 2 3 4" xfId="32800"/>
    <cellStyle name="40% - Accent1 2 8 2 3 5" xfId="32801"/>
    <cellStyle name="40% - Accent1 2 8 2 3 6" xfId="32802"/>
    <cellStyle name="40% - Accent1 2 8 2 3 7" xfId="32803"/>
    <cellStyle name="40% - Accent1 2 8 2 4" xfId="32804"/>
    <cellStyle name="40% - Accent1 2 8 2 4 2" xfId="32805"/>
    <cellStyle name="40% - Accent1 2 8 2 4 2 2" xfId="32806"/>
    <cellStyle name="40% - Accent1 2 8 2 4 3" xfId="32807"/>
    <cellStyle name="40% - Accent1 2 8 2 4 3 2" xfId="32808"/>
    <cellStyle name="40% - Accent1 2 8 2 4 4" xfId="32809"/>
    <cellStyle name="40% - Accent1 2 8 2 4 5" xfId="32810"/>
    <cellStyle name="40% - Accent1 2 8 2 4 6" xfId="32811"/>
    <cellStyle name="40% - Accent1 2 8 2 4 7" xfId="32812"/>
    <cellStyle name="40% - Accent1 2 8 2 5" xfId="32813"/>
    <cellStyle name="40% - Accent1 2 8 2 5 2" xfId="32814"/>
    <cellStyle name="40% - Accent1 2 8 2 6" xfId="32815"/>
    <cellStyle name="40% - Accent1 2 8 2 6 2" xfId="32816"/>
    <cellStyle name="40% - Accent1 2 8 2 7" xfId="32817"/>
    <cellStyle name="40% - Accent1 2 8 2 8" xfId="32818"/>
    <cellStyle name="40% - Accent1 2 8 2 9" xfId="32819"/>
    <cellStyle name="40% - Accent1 2 8 3" xfId="32820"/>
    <cellStyle name="40% - Accent1 2 8 3 2" xfId="32821"/>
    <cellStyle name="40% - Accent1 2 8 3 2 2" xfId="32822"/>
    <cellStyle name="40% - Accent1 2 8 3 3" xfId="32823"/>
    <cellStyle name="40% - Accent1 2 8 3 3 2" xfId="32824"/>
    <cellStyle name="40% - Accent1 2 8 3 4" xfId="32825"/>
    <cellStyle name="40% - Accent1 2 8 3 5" xfId="32826"/>
    <cellStyle name="40% - Accent1 2 8 3 6" xfId="32827"/>
    <cellStyle name="40% - Accent1 2 8 3 7" xfId="32828"/>
    <cellStyle name="40% - Accent1 2 8 4" xfId="32829"/>
    <cellStyle name="40% - Accent1 2 8 4 2" xfId="32830"/>
    <cellStyle name="40% - Accent1 2 8 4 2 2" xfId="32831"/>
    <cellStyle name="40% - Accent1 2 8 4 3" xfId="32832"/>
    <cellStyle name="40% - Accent1 2 8 4 3 2" xfId="32833"/>
    <cellStyle name="40% - Accent1 2 8 4 4" xfId="32834"/>
    <cellStyle name="40% - Accent1 2 8 4 5" xfId="32835"/>
    <cellStyle name="40% - Accent1 2 8 4 6" xfId="32836"/>
    <cellStyle name="40% - Accent1 2 8 4 7" xfId="32837"/>
    <cellStyle name="40% - Accent1 2 8 5" xfId="32838"/>
    <cellStyle name="40% - Accent1 2 8 5 2" xfId="32839"/>
    <cellStyle name="40% - Accent1 2 8 5 2 2" xfId="32840"/>
    <cellStyle name="40% - Accent1 2 8 5 3" xfId="32841"/>
    <cellStyle name="40% - Accent1 2 8 5 3 2" xfId="32842"/>
    <cellStyle name="40% - Accent1 2 8 5 4" xfId="32843"/>
    <cellStyle name="40% - Accent1 2 8 5 5" xfId="32844"/>
    <cellStyle name="40% - Accent1 2 8 5 6" xfId="32845"/>
    <cellStyle name="40% - Accent1 2 8 5 7" xfId="32846"/>
    <cellStyle name="40% - Accent1 2 8 6" xfId="32847"/>
    <cellStyle name="40% - Accent1 2 8 6 2" xfId="32848"/>
    <cellStyle name="40% - Accent1 2 8 7" xfId="32849"/>
    <cellStyle name="40% - Accent1 2 8 7 2" xfId="32850"/>
    <cellStyle name="40% - Accent1 2 8 8" xfId="32851"/>
    <cellStyle name="40% - Accent1 2 8 9" xfId="32852"/>
    <cellStyle name="40% - Accent1 2 9" xfId="32853"/>
    <cellStyle name="40% - Accent1 2 9 10" xfId="32854"/>
    <cellStyle name="40% - Accent1 2 9 2" xfId="32855"/>
    <cellStyle name="40% - Accent1 2 9 2 2" xfId="32856"/>
    <cellStyle name="40% - Accent1 2 9 2 2 2" xfId="32857"/>
    <cellStyle name="40% - Accent1 2 9 2 3" xfId="32858"/>
    <cellStyle name="40% - Accent1 2 9 2 3 2" xfId="32859"/>
    <cellStyle name="40% - Accent1 2 9 2 4" xfId="32860"/>
    <cellStyle name="40% - Accent1 2 9 2 5" xfId="32861"/>
    <cellStyle name="40% - Accent1 2 9 2 6" xfId="32862"/>
    <cellStyle name="40% - Accent1 2 9 2 7" xfId="32863"/>
    <cellStyle name="40% - Accent1 2 9 3" xfId="32864"/>
    <cellStyle name="40% - Accent1 2 9 3 2" xfId="32865"/>
    <cellStyle name="40% - Accent1 2 9 3 2 2" xfId="32866"/>
    <cellStyle name="40% - Accent1 2 9 3 3" xfId="32867"/>
    <cellStyle name="40% - Accent1 2 9 3 3 2" xfId="32868"/>
    <cellStyle name="40% - Accent1 2 9 3 4" xfId="32869"/>
    <cellStyle name="40% - Accent1 2 9 3 5" xfId="32870"/>
    <cellStyle name="40% - Accent1 2 9 3 6" xfId="32871"/>
    <cellStyle name="40% - Accent1 2 9 3 7" xfId="32872"/>
    <cellStyle name="40% - Accent1 2 9 4" xfId="32873"/>
    <cellStyle name="40% - Accent1 2 9 4 2" xfId="32874"/>
    <cellStyle name="40% - Accent1 2 9 4 2 2" xfId="32875"/>
    <cellStyle name="40% - Accent1 2 9 4 3" xfId="32876"/>
    <cellStyle name="40% - Accent1 2 9 4 3 2" xfId="32877"/>
    <cellStyle name="40% - Accent1 2 9 4 4" xfId="32878"/>
    <cellStyle name="40% - Accent1 2 9 4 5" xfId="32879"/>
    <cellStyle name="40% - Accent1 2 9 4 6" xfId="32880"/>
    <cellStyle name="40% - Accent1 2 9 4 7" xfId="32881"/>
    <cellStyle name="40% - Accent1 2 9 5" xfId="32882"/>
    <cellStyle name="40% - Accent1 2 9 5 2" xfId="32883"/>
    <cellStyle name="40% - Accent1 2 9 6" xfId="32884"/>
    <cellStyle name="40% - Accent1 2 9 6 2" xfId="32885"/>
    <cellStyle name="40% - Accent1 2 9 7" xfId="32886"/>
    <cellStyle name="40% - Accent1 2 9 8" xfId="32887"/>
    <cellStyle name="40% - Accent1 2 9 9" xfId="32888"/>
    <cellStyle name="40% - Accent1 2_10-15-10-Stmt AU - Period I - Working 1 0" xfId="249"/>
    <cellStyle name="40% - Accent1 3" xfId="250"/>
    <cellStyle name="40% - Accent1 3 10" xfId="32889"/>
    <cellStyle name="40% - Accent1 3 10 2" xfId="32890"/>
    <cellStyle name="40% - Accent1 3 10 2 2" xfId="32891"/>
    <cellStyle name="40% - Accent1 3 10 3" xfId="32892"/>
    <cellStyle name="40% - Accent1 3 10 3 2" xfId="32893"/>
    <cellStyle name="40% - Accent1 3 10 4" xfId="32894"/>
    <cellStyle name="40% - Accent1 3 10 5" xfId="32895"/>
    <cellStyle name="40% - Accent1 3 10 6" xfId="32896"/>
    <cellStyle name="40% - Accent1 3 10 7" xfId="32897"/>
    <cellStyle name="40% - Accent1 3 11" xfId="32898"/>
    <cellStyle name="40% - Accent1 3 11 2" xfId="32899"/>
    <cellStyle name="40% - Accent1 3 11 2 2" xfId="32900"/>
    <cellStyle name="40% - Accent1 3 11 3" xfId="32901"/>
    <cellStyle name="40% - Accent1 3 11 3 2" xfId="32902"/>
    <cellStyle name="40% - Accent1 3 11 4" xfId="32903"/>
    <cellStyle name="40% - Accent1 3 11 5" xfId="32904"/>
    <cellStyle name="40% - Accent1 3 11 6" xfId="32905"/>
    <cellStyle name="40% - Accent1 3 11 7" xfId="32906"/>
    <cellStyle name="40% - Accent1 3 12" xfId="32907"/>
    <cellStyle name="40% - Accent1 3 12 2" xfId="32908"/>
    <cellStyle name="40% - Accent1 3 12 2 2" xfId="32909"/>
    <cellStyle name="40% - Accent1 3 12 3" xfId="32910"/>
    <cellStyle name="40% - Accent1 3 12 3 2" xfId="32911"/>
    <cellStyle name="40% - Accent1 3 12 4" xfId="32912"/>
    <cellStyle name="40% - Accent1 3 12 5" xfId="32913"/>
    <cellStyle name="40% - Accent1 3 12 6" xfId="32914"/>
    <cellStyle name="40% - Accent1 3 12 7" xfId="32915"/>
    <cellStyle name="40% - Accent1 3 13" xfId="32916"/>
    <cellStyle name="40% - Accent1 3 13 2" xfId="32917"/>
    <cellStyle name="40% - Accent1 3 14" xfId="32918"/>
    <cellStyle name="40% - Accent1 3 14 2" xfId="32919"/>
    <cellStyle name="40% - Accent1 3 15" xfId="32920"/>
    <cellStyle name="40% - Accent1 3 16" xfId="32921"/>
    <cellStyle name="40% - Accent1 3 17" xfId="32922"/>
    <cellStyle name="40% - Accent1 3 18" xfId="32923"/>
    <cellStyle name="40% - Accent1 3 2" xfId="251"/>
    <cellStyle name="40% - Accent1 3 2 10" xfId="32924"/>
    <cellStyle name="40% - Accent1 3 2 11" xfId="32925"/>
    <cellStyle name="40% - Accent1 3 2 12" xfId="32926"/>
    <cellStyle name="40% - Accent1 3 2 13" xfId="32927"/>
    <cellStyle name="40% - Accent1 3 2 2" xfId="32928"/>
    <cellStyle name="40% - Accent1 3 2 2 10" xfId="32929"/>
    <cellStyle name="40% - Accent1 3 2 2 11" xfId="32930"/>
    <cellStyle name="40% - Accent1 3 2 2 2" xfId="32931"/>
    <cellStyle name="40% - Accent1 3 2 2 2 10" xfId="32932"/>
    <cellStyle name="40% - Accent1 3 2 2 2 2" xfId="32933"/>
    <cellStyle name="40% - Accent1 3 2 2 2 2 2" xfId="32934"/>
    <cellStyle name="40% - Accent1 3 2 2 2 2 2 2" xfId="32935"/>
    <cellStyle name="40% - Accent1 3 2 2 2 2 3" xfId="32936"/>
    <cellStyle name="40% - Accent1 3 2 2 2 2 3 2" xfId="32937"/>
    <cellStyle name="40% - Accent1 3 2 2 2 2 4" xfId="32938"/>
    <cellStyle name="40% - Accent1 3 2 2 2 2 5" xfId="32939"/>
    <cellStyle name="40% - Accent1 3 2 2 2 2 6" xfId="32940"/>
    <cellStyle name="40% - Accent1 3 2 2 2 2 7" xfId="32941"/>
    <cellStyle name="40% - Accent1 3 2 2 2 3" xfId="32942"/>
    <cellStyle name="40% - Accent1 3 2 2 2 3 2" xfId="32943"/>
    <cellStyle name="40% - Accent1 3 2 2 2 3 2 2" xfId="32944"/>
    <cellStyle name="40% - Accent1 3 2 2 2 3 3" xfId="32945"/>
    <cellStyle name="40% - Accent1 3 2 2 2 3 3 2" xfId="32946"/>
    <cellStyle name="40% - Accent1 3 2 2 2 3 4" xfId="32947"/>
    <cellStyle name="40% - Accent1 3 2 2 2 3 5" xfId="32948"/>
    <cellStyle name="40% - Accent1 3 2 2 2 3 6" xfId="32949"/>
    <cellStyle name="40% - Accent1 3 2 2 2 3 7" xfId="32950"/>
    <cellStyle name="40% - Accent1 3 2 2 2 4" xfId="32951"/>
    <cellStyle name="40% - Accent1 3 2 2 2 4 2" xfId="32952"/>
    <cellStyle name="40% - Accent1 3 2 2 2 4 2 2" xfId="32953"/>
    <cellStyle name="40% - Accent1 3 2 2 2 4 3" xfId="32954"/>
    <cellStyle name="40% - Accent1 3 2 2 2 4 3 2" xfId="32955"/>
    <cellStyle name="40% - Accent1 3 2 2 2 4 4" xfId="32956"/>
    <cellStyle name="40% - Accent1 3 2 2 2 4 5" xfId="32957"/>
    <cellStyle name="40% - Accent1 3 2 2 2 4 6" xfId="32958"/>
    <cellStyle name="40% - Accent1 3 2 2 2 4 7" xfId="32959"/>
    <cellStyle name="40% - Accent1 3 2 2 2 5" xfId="32960"/>
    <cellStyle name="40% - Accent1 3 2 2 2 5 2" xfId="32961"/>
    <cellStyle name="40% - Accent1 3 2 2 2 6" xfId="32962"/>
    <cellStyle name="40% - Accent1 3 2 2 2 6 2" xfId="32963"/>
    <cellStyle name="40% - Accent1 3 2 2 2 7" xfId="32964"/>
    <cellStyle name="40% - Accent1 3 2 2 2 8" xfId="32965"/>
    <cellStyle name="40% - Accent1 3 2 2 2 9" xfId="32966"/>
    <cellStyle name="40% - Accent1 3 2 2 3" xfId="32967"/>
    <cellStyle name="40% - Accent1 3 2 2 3 2" xfId="32968"/>
    <cellStyle name="40% - Accent1 3 2 2 3 2 2" xfId="32969"/>
    <cellStyle name="40% - Accent1 3 2 2 3 3" xfId="32970"/>
    <cellStyle name="40% - Accent1 3 2 2 3 3 2" xfId="32971"/>
    <cellStyle name="40% - Accent1 3 2 2 3 4" xfId="32972"/>
    <cellStyle name="40% - Accent1 3 2 2 3 5" xfId="32973"/>
    <cellStyle name="40% - Accent1 3 2 2 3 6" xfId="32974"/>
    <cellStyle name="40% - Accent1 3 2 2 3 7" xfId="32975"/>
    <cellStyle name="40% - Accent1 3 2 2 4" xfId="32976"/>
    <cellStyle name="40% - Accent1 3 2 2 4 2" xfId="32977"/>
    <cellStyle name="40% - Accent1 3 2 2 4 2 2" xfId="32978"/>
    <cellStyle name="40% - Accent1 3 2 2 4 3" xfId="32979"/>
    <cellStyle name="40% - Accent1 3 2 2 4 3 2" xfId="32980"/>
    <cellStyle name="40% - Accent1 3 2 2 4 4" xfId="32981"/>
    <cellStyle name="40% - Accent1 3 2 2 4 5" xfId="32982"/>
    <cellStyle name="40% - Accent1 3 2 2 4 6" xfId="32983"/>
    <cellStyle name="40% - Accent1 3 2 2 4 7" xfId="32984"/>
    <cellStyle name="40% - Accent1 3 2 2 5" xfId="32985"/>
    <cellStyle name="40% - Accent1 3 2 2 5 2" xfId="32986"/>
    <cellStyle name="40% - Accent1 3 2 2 5 2 2" xfId="32987"/>
    <cellStyle name="40% - Accent1 3 2 2 5 3" xfId="32988"/>
    <cellStyle name="40% - Accent1 3 2 2 5 3 2" xfId="32989"/>
    <cellStyle name="40% - Accent1 3 2 2 5 4" xfId="32990"/>
    <cellStyle name="40% - Accent1 3 2 2 5 5" xfId="32991"/>
    <cellStyle name="40% - Accent1 3 2 2 5 6" xfId="32992"/>
    <cellStyle name="40% - Accent1 3 2 2 5 7" xfId="32993"/>
    <cellStyle name="40% - Accent1 3 2 2 6" xfId="32994"/>
    <cellStyle name="40% - Accent1 3 2 2 6 2" xfId="32995"/>
    <cellStyle name="40% - Accent1 3 2 2 7" xfId="32996"/>
    <cellStyle name="40% - Accent1 3 2 2 7 2" xfId="32997"/>
    <cellStyle name="40% - Accent1 3 2 2 8" xfId="32998"/>
    <cellStyle name="40% - Accent1 3 2 2 9" xfId="32999"/>
    <cellStyle name="40% - Accent1 3 2 3" xfId="33000"/>
    <cellStyle name="40% - Accent1 3 2 3 10" xfId="33001"/>
    <cellStyle name="40% - Accent1 3 2 3 11" xfId="33002"/>
    <cellStyle name="40% - Accent1 3 2 3 2" xfId="33003"/>
    <cellStyle name="40% - Accent1 3 2 3 2 10" xfId="33004"/>
    <cellStyle name="40% - Accent1 3 2 3 2 2" xfId="33005"/>
    <cellStyle name="40% - Accent1 3 2 3 2 2 2" xfId="33006"/>
    <cellStyle name="40% - Accent1 3 2 3 2 2 2 2" xfId="33007"/>
    <cellStyle name="40% - Accent1 3 2 3 2 2 3" xfId="33008"/>
    <cellStyle name="40% - Accent1 3 2 3 2 2 3 2" xfId="33009"/>
    <cellStyle name="40% - Accent1 3 2 3 2 2 4" xfId="33010"/>
    <cellStyle name="40% - Accent1 3 2 3 2 2 5" xfId="33011"/>
    <cellStyle name="40% - Accent1 3 2 3 2 2 6" xfId="33012"/>
    <cellStyle name="40% - Accent1 3 2 3 2 2 7" xfId="33013"/>
    <cellStyle name="40% - Accent1 3 2 3 2 3" xfId="33014"/>
    <cellStyle name="40% - Accent1 3 2 3 2 3 2" xfId="33015"/>
    <cellStyle name="40% - Accent1 3 2 3 2 3 2 2" xfId="33016"/>
    <cellStyle name="40% - Accent1 3 2 3 2 3 3" xfId="33017"/>
    <cellStyle name="40% - Accent1 3 2 3 2 3 3 2" xfId="33018"/>
    <cellStyle name="40% - Accent1 3 2 3 2 3 4" xfId="33019"/>
    <cellStyle name="40% - Accent1 3 2 3 2 3 5" xfId="33020"/>
    <cellStyle name="40% - Accent1 3 2 3 2 3 6" xfId="33021"/>
    <cellStyle name="40% - Accent1 3 2 3 2 3 7" xfId="33022"/>
    <cellStyle name="40% - Accent1 3 2 3 2 4" xfId="33023"/>
    <cellStyle name="40% - Accent1 3 2 3 2 4 2" xfId="33024"/>
    <cellStyle name="40% - Accent1 3 2 3 2 4 2 2" xfId="33025"/>
    <cellStyle name="40% - Accent1 3 2 3 2 4 3" xfId="33026"/>
    <cellStyle name="40% - Accent1 3 2 3 2 4 3 2" xfId="33027"/>
    <cellStyle name="40% - Accent1 3 2 3 2 4 4" xfId="33028"/>
    <cellStyle name="40% - Accent1 3 2 3 2 4 5" xfId="33029"/>
    <cellStyle name="40% - Accent1 3 2 3 2 4 6" xfId="33030"/>
    <cellStyle name="40% - Accent1 3 2 3 2 4 7" xfId="33031"/>
    <cellStyle name="40% - Accent1 3 2 3 2 5" xfId="33032"/>
    <cellStyle name="40% - Accent1 3 2 3 2 5 2" xfId="33033"/>
    <cellStyle name="40% - Accent1 3 2 3 2 6" xfId="33034"/>
    <cellStyle name="40% - Accent1 3 2 3 2 6 2" xfId="33035"/>
    <cellStyle name="40% - Accent1 3 2 3 2 7" xfId="33036"/>
    <cellStyle name="40% - Accent1 3 2 3 2 8" xfId="33037"/>
    <cellStyle name="40% - Accent1 3 2 3 2 9" xfId="33038"/>
    <cellStyle name="40% - Accent1 3 2 3 3" xfId="33039"/>
    <cellStyle name="40% - Accent1 3 2 3 3 2" xfId="33040"/>
    <cellStyle name="40% - Accent1 3 2 3 3 2 2" xfId="33041"/>
    <cellStyle name="40% - Accent1 3 2 3 3 3" xfId="33042"/>
    <cellStyle name="40% - Accent1 3 2 3 3 3 2" xfId="33043"/>
    <cellStyle name="40% - Accent1 3 2 3 3 4" xfId="33044"/>
    <cellStyle name="40% - Accent1 3 2 3 3 5" xfId="33045"/>
    <cellStyle name="40% - Accent1 3 2 3 3 6" xfId="33046"/>
    <cellStyle name="40% - Accent1 3 2 3 3 7" xfId="33047"/>
    <cellStyle name="40% - Accent1 3 2 3 4" xfId="33048"/>
    <cellStyle name="40% - Accent1 3 2 3 4 2" xfId="33049"/>
    <cellStyle name="40% - Accent1 3 2 3 4 2 2" xfId="33050"/>
    <cellStyle name="40% - Accent1 3 2 3 4 3" xfId="33051"/>
    <cellStyle name="40% - Accent1 3 2 3 4 3 2" xfId="33052"/>
    <cellStyle name="40% - Accent1 3 2 3 4 4" xfId="33053"/>
    <cellStyle name="40% - Accent1 3 2 3 4 5" xfId="33054"/>
    <cellStyle name="40% - Accent1 3 2 3 4 6" xfId="33055"/>
    <cellStyle name="40% - Accent1 3 2 3 4 7" xfId="33056"/>
    <cellStyle name="40% - Accent1 3 2 3 5" xfId="33057"/>
    <cellStyle name="40% - Accent1 3 2 3 5 2" xfId="33058"/>
    <cellStyle name="40% - Accent1 3 2 3 5 2 2" xfId="33059"/>
    <cellStyle name="40% - Accent1 3 2 3 5 3" xfId="33060"/>
    <cellStyle name="40% - Accent1 3 2 3 5 3 2" xfId="33061"/>
    <cellStyle name="40% - Accent1 3 2 3 5 4" xfId="33062"/>
    <cellStyle name="40% - Accent1 3 2 3 5 5" xfId="33063"/>
    <cellStyle name="40% - Accent1 3 2 3 5 6" xfId="33064"/>
    <cellStyle name="40% - Accent1 3 2 3 5 7" xfId="33065"/>
    <cellStyle name="40% - Accent1 3 2 3 6" xfId="33066"/>
    <cellStyle name="40% - Accent1 3 2 3 6 2" xfId="33067"/>
    <cellStyle name="40% - Accent1 3 2 3 7" xfId="33068"/>
    <cellStyle name="40% - Accent1 3 2 3 7 2" xfId="33069"/>
    <cellStyle name="40% - Accent1 3 2 3 8" xfId="33070"/>
    <cellStyle name="40% - Accent1 3 2 3 9" xfId="33071"/>
    <cellStyle name="40% - Accent1 3 2 4" xfId="33072"/>
    <cellStyle name="40% - Accent1 3 2 4 10" xfId="33073"/>
    <cellStyle name="40% - Accent1 3 2 4 2" xfId="33074"/>
    <cellStyle name="40% - Accent1 3 2 4 2 2" xfId="33075"/>
    <cellStyle name="40% - Accent1 3 2 4 2 2 2" xfId="33076"/>
    <cellStyle name="40% - Accent1 3 2 4 2 3" xfId="33077"/>
    <cellStyle name="40% - Accent1 3 2 4 2 3 2" xfId="33078"/>
    <cellStyle name="40% - Accent1 3 2 4 2 4" xfId="33079"/>
    <cellStyle name="40% - Accent1 3 2 4 2 5" xfId="33080"/>
    <cellStyle name="40% - Accent1 3 2 4 2 6" xfId="33081"/>
    <cellStyle name="40% - Accent1 3 2 4 2 7" xfId="33082"/>
    <cellStyle name="40% - Accent1 3 2 4 3" xfId="33083"/>
    <cellStyle name="40% - Accent1 3 2 4 3 2" xfId="33084"/>
    <cellStyle name="40% - Accent1 3 2 4 3 2 2" xfId="33085"/>
    <cellStyle name="40% - Accent1 3 2 4 3 3" xfId="33086"/>
    <cellStyle name="40% - Accent1 3 2 4 3 3 2" xfId="33087"/>
    <cellStyle name="40% - Accent1 3 2 4 3 4" xfId="33088"/>
    <cellStyle name="40% - Accent1 3 2 4 3 5" xfId="33089"/>
    <cellStyle name="40% - Accent1 3 2 4 3 6" xfId="33090"/>
    <cellStyle name="40% - Accent1 3 2 4 3 7" xfId="33091"/>
    <cellStyle name="40% - Accent1 3 2 4 4" xfId="33092"/>
    <cellStyle name="40% - Accent1 3 2 4 4 2" xfId="33093"/>
    <cellStyle name="40% - Accent1 3 2 4 4 2 2" xfId="33094"/>
    <cellStyle name="40% - Accent1 3 2 4 4 3" xfId="33095"/>
    <cellStyle name="40% - Accent1 3 2 4 4 3 2" xfId="33096"/>
    <cellStyle name="40% - Accent1 3 2 4 4 4" xfId="33097"/>
    <cellStyle name="40% - Accent1 3 2 4 4 5" xfId="33098"/>
    <cellStyle name="40% - Accent1 3 2 4 4 6" xfId="33099"/>
    <cellStyle name="40% - Accent1 3 2 4 4 7" xfId="33100"/>
    <cellStyle name="40% - Accent1 3 2 4 5" xfId="33101"/>
    <cellStyle name="40% - Accent1 3 2 4 5 2" xfId="33102"/>
    <cellStyle name="40% - Accent1 3 2 4 6" xfId="33103"/>
    <cellStyle name="40% - Accent1 3 2 4 6 2" xfId="33104"/>
    <cellStyle name="40% - Accent1 3 2 4 7" xfId="33105"/>
    <cellStyle name="40% - Accent1 3 2 4 8" xfId="33106"/>
    <cellStyle name="40% - Accent1 3 2 4 9" xfId="33107"/>
    <cellStyle name="40% - Accent1 3 2 5" xfId="33108"/>
    <cellStyle name="40% - Accent1 3 2 5 2" xfId="33109"/>
    <cellStyle name="40% - Accent1 3 2 5 2 2" xfId="33110"/>
    <cellStyle name="40% - Accent1 3 2 5 3" xfId="33111"/>
    <cellStyle name="40% - Accent1 3 2 5 3 2" xfId="33112"/>
    <cellStyle name="40% - Accent1 3 2 5 4" xfId="33113"/>
    <cellStyle name="40% - Accent1 3 2 5 5" xfId="33114"/>
    <cellStyle name="40% - Accent1 3 2 5 6" xfId="33115"/>
    <cellStyle name="40% - Accent1 3 2 5 7" xfId="33116"/>
    <cellStyle name="40% - Accent1 3 2 6" xfId="33117"/>
    <cellStyle name="40% - Accent1 3 2 6 2" xfId="33118"/>
    <cellStyle name="40% - Accent1 3 2 6 2 2" xfId="33119"/>
    <cellStyle name="40% - Accent1 3 2 6 3" xfId="33120"/>
    <cellStyle name="40% - Accent1 3 2 6 3 2" xfId="33121"/>
    <cellStyle name="40% - Accent1 3 2 6 4" xfId="33122"/>
    <cellStyle name="40% - Accent1 3 2 6 5" xfId="33123"/>
    <cellStyle name="40% - Accent1 3 2 6 6" xfId="33124"/>
    <cellStyle name="40% - Accent1 3 2 6 7" xfId="33125"/>
    <cellStyle name="40% - Accent1 3 2 7" xfId="33126"/>
    <cellStyle name="40% - Accent1 3 2 7 2" xfId="33127"/>
    <cellStyle name="40% - Accent1 3 2 7 2 2" xfId="33128"/>
    <cellStyle name="40% - Accent1 3 2 7 3" xfId="33129"/>
    <cellStyle name="40% - Accent1 3 2 7 3 2" xfId="33130"/>
    <cellStyle name="40% - Accent1 3 2 7 4" xfId="33131"/>
    <cellStyle name="40% - Accent1 3 2 7 5" xfId="33132"/>
    <cellStyle name="40% - Accent1 3 2 7 6" xfId="33133"/>
    <cellStyle name="40% - Accent1 3 2 7 7" xfId="33134"/>
    <cellStyle name="40% - Accent1 3 2 8" xfId="33135"/>
    <cellStyle name="40% - Accent1 3 2 8 2" xfId="33136"/>
    <cellStyle name="40% - Accent1 3 2 9" xfId="33137"/>
    <cellStyle name="40% - Accent1 3 2 9 2" xfId="33138"/>
    <cellStyle name="40% - Accent1 3 3" xfId="252"/>
    <cellStyle name="40% - Accent1 3 3 10" xfId="33139"/>
    <cellStyle name="40% - Accent1 3 3 11" xfId="33140"/>
    <cellStyle name="40% - Accent1 3 3 12" xfId="33141"/>
    <cellStyle name="40% - Accent1 3 3 13" xfId="33142"/>
    <cellStyle name="40% - Accent1 3 3 2" xfId="33143"/>
    <cellStyle name="40% - Accent1 3 3 2 10" xfId="33144"/>
    <cellStyle name="40% - Accent1 3 3 2 11" xfId="33145"/>
    <cellStyle name="40% - Accent1 3 3 2 2" xfId="33146"/>
    <cellStyle name="40% - Accent1 3 3 2 2 10" xfId="33147"/>
    <cellStyle name="40% - Accent1 3 3 2 2 2" xfId="33148"/>
    <cellStyle name="40% - Accent1 3 3 2 2 2 2" xfId="33149"/>
    <cellStyle name="40% - Accent1 3 3 2 2 2 2 2" xfId="33150"/>
    <cellStyle name="40% - Accent1 3 3 2 2 2 3" xfId="33151"/>
    <cellStyle name="40% - Accent1 3 3 2 2 2 3 2" xfId="33152"/>
    <cellStyle name="40% - Accent1 3 3 2 2 2 4" xfId="33153"/>
    <cellStyle name="40% - Accent1 3 3 2 2 2 5" xfId="33154"/>
    <cellStyle name="40% - Accent1 3 3 2 2 2 6" xfId="33155"/>
    <cellStyle name="40% - Accent1 3 3 2 2 2 7" xfId="33156"/>
    <cellStyle name="40% - Accent1 3 3 2 2 3" xfId="33157"/>
    <cellStyle name="40% - Accent1 3 3 2 2 3 2" xfId="33158"/>
    <cellStyle name="40% - Accent1 3 3 2 2 3 2 2" xfId="33159"/>
    <cellStyle name="40% - Accent1 3 3 2 2 3 3" xfId="33160"/>
    <cellStyle name="40% - Accent1 3 3 2 2 3 3 2" xfId="33161"/>
    <cellStyle name="40% - Accent1 3 3 2 2 3 4" xfId="33162"/>
    <cellStyle name="40% - Accent1 3 3 2 2 3 5" xfId="33163"/>
    <cellStyle name="40% - Accent1 3 3 2 2 3 6" xfId="33164"/>
    <cellStyle name="40% - Accent1 3 3 2 2 3 7" xfId="33165"/>
    <cellStyle name="40% - Accent1 3 3 2 2 4" xfId="33166"/>
    <cellStyle name="40% - Accent1 3 3 2 2 4 2" xfId="33167"/>
    <cellStyle name="40% - Accent1 3 3 2 2 4 2 2" xfId="33168"/>
    <cellStyle name="40% - Accent1 3 3 2 2 4 3" xfId="33169"/>
    <cellStyle name="40% - Accent1 3 3 2 2 4 3 2" xfId="33170"/>
    <cellStyle name="40% - Accent1 3 3 2 2 4 4" xfId="33171"/>
    <cellStyle name="40% - Accent1 3 3 2 2 4 5" xfId="33172"/>
    <cellStyle name="40% - Accent1 3 3 2 2 4 6" xfId="33173"/>
    <cellStyle name="40% - Accent1 3 3 2 2 4 7" xfId="33174"/>
    <cellStyle name="40% - Accent1 3 3 2 2 5" xfId="33175"/>
    <cellStyle name="40% - Accent1 3 3 2 2 5 2" xfId="33176"/>
    <cellStyle name="40% - Accent1 3 3 2 2 6" xfId="33177"/>
    <cellStyle name="40% - Accent1 3 3 2 2 6 2" xfId="33178"/>
    <cellStyle name="40% - Accent1 3 3 2 2 7" xfId="33179"/>
    <cellStyle name="40% - Accent1 3 3 2 2 8" xfId="33180"/>
    <cellStyle name="40% - Accent1 3 3 2 2 9" xfId="33181"/>
    <cellStyle name="40% - Accent1 3 3 2 3" xfId="33182"/>
    <cellStyle name="40% - Accent1 3 3 2 3 2" xfId="33183"/>
    <cellStyle name="40% - Accent1 3 3 2 3 2 2" xfId="33184"/>
    <cellStyle name="40% - Accent1 3 3 2 3 3" xfId="33185"/>
    <cellStyle name="40% - Accent1 3 3 2 3 3 2" xfId="33186"/>
    <cellStyle name="40% - Accent1 3 3 2 3 4" xfId="33187"/>
    <cellStyle name="40% - Accent1 3 3 2 3 5" xfId="33188"/>
    <cellStyle name="40% - Accent1 3 3 2 3 6" xfId="33189"/>
    <cellStyle name="40% - Accent1 3 3 2 3 7" xfId="33190"/>
    <cellStyle name="40% - Accent1 3 3 2 4" xfId="33191"/>
    <cellStyle name="40% - Accent1 3 3 2 4 2" xfId="33192"/>
    <cellStyle name="40% - Accent1 3 3 2 4 2 2" xfId="33193"/>
    <cellStyle name="40% - Accent1 3 3 2 4 3" xfId="33194"/>
    <cellStyle name="40% - Accent1 3 3 2 4 3 2" xfId="33195"/>
    <cellStyle name="40% - Accent1 3 3 2 4 4" xfId="33196"/>
    <cellStyle name="40% - Accent1 3 3 2 4 5" xfId="33197"/>
    <cellStyle name="40% - Accent1 3 3 2 4 6" xfId="33198"/>
    <cellStyle name="40% - Accent1 3 3 2 4 7" xfId="33199"/>
    <cellStyle name="40% - Accent1 3 3 2 5" xfId="33200"/>
    <cellStyle name="40% - Accent1 3 3 2 5 2" xfId="33201"/>
    <cellStyle name="40% - Accent1 3 3 2 5 2 2" xfId="33202"/>
    <cellStyle name="40% - Accent1 3 3 2 5 3" xfId="33203"/>
    <cellStyle name="40% - Accent1 3 3 2 5 3 2" xfId="33204"/>
    <cellStyle name="40% - Accent1 3 3 2 5 4" xfId="33205"/>
    <cellStyle name="40% - Accent1 3 3 2 5 5" xfId="33206"/>
    <cellStyle name="40% - Accent1 3 3 2 5 6" xfId="33207"/>
    <cellStyle name="40% - Accent1 3 3 2 5 7" xfId="33208"/>
    <cellStyle name="40% - Accent1 3 3 2 6" xfId="33209"/>
    <cellStyle name="40% - Accent1 3 3 2 6 2" xfId="33210"/>
    <cellStyle name="40% - Accent1 3 3 2 7" xfId="33211"/>
    <cellStyle name="40% - Accent1 3 3 2 7 2" xfId="33212"/>
    <cellStyle name="40% - Accent1 3 3 2 8" xfId="33213"/>
    <cellStyle name="40% - Accent1 3 3 2 9" xfId="33214"/>
    <cellStyle name="40% - Accent1 3 3 3" xfId="33215"/>
    <cellStyle name="40% - Accent1 3 3 3 10" xfId="33216"/>
    <cellStyle name="40% - Accent1 3 3 3 11" xfId="33217"/>
    <cellStyle name="40% - Accent1 3 3 3 2" xfId="33218"/>
    <cellStyle name="40% - Accent1 3 3 3 2 10" xfId="33219"/>
    <cellStyle name="40% - Accent1 3 3 3 2 2" xfId="33220"/>
    <cellStyle name="40% - Accent1 3 3 3 2 2 2" xfId="33221"/>
    <cellStyle name="40% - Accent1 3 3 3 2 2 2 2" xfId="33222"/>
    <cellStyle name="40% - Accent1 3 3 3 2 2 3" xfId="33223"/>
    <cellStyle name="40% - Accent1 3 3 3 2 2 3 2" xfId="33224"/>
    <cellStyle name="40% - Accent1 3 3 3 2 2 4" xfId="33225"/>
    <cellStyle name="40% - Accent1 3 3 3 2 2 5" xfId="33226"/>
    <cellStyle name="40% - Accent1 3 3 3 2 2 6" xfId="33227"/>
    <cellStyle name="40% - Accent1 3 3 3 2 2 7" xfId="33228"/>
    <cellStyle name="40% - Accent1 3 3 3 2 3" xfId="33229"/>
    <cellStyle name="40% - Accent1 3 3 3 2 3 2" xfId="33230"/>
    <cellStyle name="40% - Accent1 3 3 3 2 3 2 2" xfId="33231"/>
    <cellStyle name="40% - Accent1 3 3 3 2 3 3" xfId="33232"/>
    <cellStyle name="40% - Accent1 3 3 3 2 3 3 2" xfId="33233"/>
    <cellStyle name="40% - Accent1 3 3 3 2 3 4" xfId="33234"/>
    <cellStyle name="40% - Accent1 3 3 3 2 3 5" xfId="33235"/>
    <cellStyle name="40% - Accent1 3 3 3 2 3 6" xfId="33236"/>
    <cellStyle name="40% - Accent1 3 3 3 2 3 7" xfId="33237"/>
    <cellStyle name="40% - Accent1 3 3 3 2 4" xfId="33238"/>
    <cellStyle name="40% - Accent1 3 3 3 2 4 2" xfId="33239"/>
    <cellStyle name="40% - Accent1 3 3 3 2 4 2 2" xfId="33240"/>
    <cellStyle name="40% - Accent1 3 3 3 2 4 3" xfId="33241"/>
    <cellStyle name="40% - Accent1 3 3 3 2 4 3 2" xfId="33242"/>
    <cellStyle name="40% - Accent1 3 3 3 2 4 4" xfId="33243"/>
    <cellStyle name="40% - Accent1 3 3 3 2 4 5" xfId="33244"/>
    <cellStyle name="40% - Accent1 3 3 3 2 4 6" xfId="33245"/>
    <cellStyle name="40% - Accent1 3 3 3 2 4 7" xfId="33246"/>
    <cellStyle name="40% - Accent1 3 3 3 2 5" xfId="33247"/>
    <cellStyle name="40% - Accent1 3 3 3 2 5 2" xfId="33248"/>
    <cellStyle name="40% - Accent1 3 3 3 2 6" xfId="33249"/>
    <cellStyle name="40% - Accent1 3 3 3 2 6 2" xfId="33250"/>
    <cellStyle name="40% - Accent1 3 3 3 2 7" xfId="33251"/>
    <cellStyle name="40% - Accent1 3 3 3 2 8" xfId="33252"/>
    <cellStyle name="40% - Accent1 3 3 3 2 9" xfId="33253"/>
    <cellStyle name="40% - Accent1 3 3 3 3" xfId="33254"/>
    <cellStyle name="40% - Accent1 3 3 3 3 2" xfId="33255"/>
    <cellStyle name="40% - Accent1 3 3 3 3 2 2" xfId="33256"/>
    <cellStyle name="40% - Accent1 3 3 3 3 3" xfId="33257"/>
    <cellStyle name="40% - Accent1 3 3 3 3 3 2" xfId="33258"/>
    <cellStyle name="40% - Accent1 3 3 3 3 4" xfId="33259"/>
    <cellStyle name="40% - Accent1 3 3 3 3 5" xfId="33260"/>
    <cellStyle name="40% - Accent1 3 3 3 3 6" xfId="33261"/>
    <cellStyle name="40% - Accent1 3 3 3 3 7" xfId="33262"/>
    <cellStyle name="40% - Accent1 3 3 3 4" xfId="33263"/>
    <cellStyle name="40% - Accent1 3 3 3 4 2" xfId="33264"/>
    <cellStyle name="40% - Accent1 3 3 3 4 2 2" xfId="33265"/>
    <cellStyle name="40% - Accent1 3 3 3 4 3" xfId="33266"/>
    <cellStyle name="40% - Accent1 3 3 3 4 3 2" xfId="33267"/>
    <cellStyle name="40% - Accent1 3 3 3 4 4" xfId="33268"/>
    <cellStyle name="40% - Accent1 3 3 3 4 5" xfId="33269"/>
    <cellStyle name="40% - Accent1 3 3 3 4 6" xfId="33270"/>
    <cellStyle name="40% - Accent1 3 3 3 4 7" xfId="33271"/>
    <cellStyle name="40% - Accent1 3 3 3 5" xfId="33272"/>
    <cellStyle name="40% - Accent1 3 3 3 5 2" xfId="33273"/>
    <cellStyle name="40% - Accent1 3 3 3 5 2 2" xfId="33274"/>
    <cellStyle name="40% - Accent1 3 3 3 5 3" xfId="33275"/>
    <cellStyle name="40% - Accent1 3 3 3 5 3 2" xfId="33276"/>
    <cellStyle name="40% - Accent1 3 3 3 5 4" xfId="33277"/>
    <cellStyle name="40% - Accent1 3 3 3 5 5" xfId="33278"/>
    <cellStyle name="40% - Accent1 3 3 3 5 6" xfId="33279"/>
    <cellStyle name="40% - Accent1 3 3 3 5 7" xfId="33280"/>
    <cellStyle name="40% - Accent1 3 3 3 6" xfId="33281"/>
    <cellStyle name="40% - Accent1 3 3 3 6 2" xfId="33282"/>
    <cellStyle name="40% - Accent1 3 3 3 7" xfId="33283"/>
    <cellStyle name="40% - Accent1 3 3 3 7 2" xfId="33284"/>
    <cellStyle name="40% - Accent1 3 3 3 8" xfId="33285"/>
    <cellStyle name="40% - Accent1 3 3 3 9" xfId="33286"/>
    <cellStyle name="40% - Accent1 3 3 4" xfId="33287"/>
    <cellStyle name="40% - Accent1 3 3 4 10" xfId="33288"/>
    <cellStyle name="40% - Accent1 3 3 4 2" xfId="33289"/>
    <cellStyle name="40% - Accent1 3 3 4 2 2" xfId="33290"/>
    <cellStyle name="40% - Accent1 3 3 4 2 2 2" xfId="33291"/>
    <cellStyle name="40% - Accent1 3 3 4 2 3" xfId="33292"/>
    <cellStyle name="40% - Accent1 3 3 4 2 3 2" xfId="33293"/>
    <cellStyle name="40% - Accent1 3 3 4 2 4" xfId="33294"/>
    <cellStyle name="40% - Accent1 3 3 4 2 5" xfId="33295"/>
    <cellStyle name="40% - Accent1 3 3 4 2 6" xfId="33296"/>
    <cellStyle name="40% - Accent1 3 3 4 2 7" xfId="33297"/>
    <cellStyle name="40% - Accent1 3 3 4 3" xfId="33298"/>
    <cellStyle name="40% - Accent1 3 3 4 3 2" xfId="33299"/>
    <cellStyle name="40% - Accent1 3 3 4 3 2 2" xfId="33300"/>
    <cellStyle name="40% - Accent1 3 3 4 3 3" xfId="33301"/>
    <cellStyle name="40% - Accent1 3 3 4 3 3 2" xfId="33302"/>
    <cellStyle name="40% - Accent1 3 3 4 3 4" xfId="33303"/>
    <cellStyle name="40% - Accent1 3 3 4 3 5" xfId="33304"/>
    <cellStyle name="40% - Accent1 3 3 4 3 6" xfId="33305"/>
    <cellStyle name="40% - Accent1 3 3 4 3 7" xfId="33306"/>
    <cellStyle name="40% - Accent1 3 3 4 4" xfId="33307"/>
    <cellStyle name="40% - Accent1 3 3 4 4 2" xfId="33308"/>
    <cellStyle name="40% - Accent1 3 3 4 4 2 2" xfId="33309"/>
    <cellStyle name="40% - Accent1 3 3 4 4 3" xfId="33310"/>
    <cellStyle name="40% - Accent1 3 3 4 4 3 2" xfId="33311"/>
    <cellStyle name="40% - Accent1 3 3 4 4 4" xfId="33312"/>
    <cellStyle name="40% - Accent1 3 3 4 4 5" xfId="33313"/>
    <cellStyle name="40% - Accent1 3 3 4 4 6" xfId="33314"/>
    <cellStyle name="40% - Accent1 3 3 4 4 7" xfId="33315"/>
    <cellStyle name="40% - Accent1 3 3 4 5" xfId="33316"/>
    <cellStyle name="40% - Accent1 3 3 4 5 2" xfId="33317"/>
    <cellStyle name="40% - Accent1 3 3 4 6" xfId="33318"/>
    <cellStyle name="40% - Accent1 3 3 4 6 2" xfId="33319"/>
    <cellStyle name="40% - Accent1 3 3 4 7" xfId="33320"/>
    <cellStyle name="40% - Accent1 3 3 4 8" xfId="33321"/>
    <cellStyle name="40% - Accent1 3 3 4 9" xfId="33322"/>
    <cellStyle name="40% - Accent1 3 3 5" xfId="33323"/>
    <cellStyle name="40% - Accent1 3 3 5 2" xfId="33324"/>
    <cellStyle name="40% - Accent1 3 3 5 2 2" xfId="33325"/>
    <cellStyle name="40% - Accent1 3 3 5 3" xfId="33326"/>
    <cellStyle name="40% - Accent1 3 3 5 3 2" xfId="33327"/>
    <cellStyle name="40% - Accent1 3 3 5 4" xfId="33328"/>
    <cellStyle name="40% - Accent1 3 3 5 5" xfId="33329"/>
    <cellStyle name="40% - Accent1 3 3 5 6" xfId="33330"/>
    <cellStyle name="40% - Accent1 3 3 5 7" xfId="33331"/>
    <cellStyle name="40% - Accent1 3 3 6" xfId="33332"/>
    <cellStyle name="40% - Accent1 3 3 6 2" xfId="33333"/>
    <cellStyle name="40% - Accent1 3 3 6 2 2" xfId="33334"/>
    <cellStyle name="40% - Accent1 3 3 6 3" xfId="33335"/>
    <cellStyle name="40% - Accent1 3 3 6 3 2" xfId="33336"/>
    <cellStyle name="40% - Accent1 3 3 6 4" xfId="33337"/>
    <cellStyle name="40% - Accent1 3 3 6 5" xfId="33338"/>
    <cellStyle name="40% - Accent1 3 3 6 6" xfId="33339"/>
    <cellStyle name="40% - Accent1 3 3 6 7" xfId="33340"/>
    <cellStyle name="40% - Accent1 3 3 7" xfId="33341"/>
    <cellStyle name="40% - Accent1 3 3 7 2" xfId="33342"/>
    <cellStyle name="40% - Accent1 3 3 7 2 2" xfId="33343"/>
    <cellStyle name="40% - Accent1 3 3 7 3" xfId="33344"/>
    <cellStyle name="40% - Accent1 3 3 7 3 2" xfId="33345"/>
    <cellStyle name="40% - Accent1 3 3 7 4" xfId="33346"/>
    <cellStyle name="40% - Accent1 3 3 7 5" xfId="33347"/>
    <cellStyle name="40% - Accent1 3 3 7 6" xfId="33348"/>
    <cellStyle name="40% - Accent1 3 3 7 7" xfId="33349"/>
    <cellStyle name="40% - Accent1 3 3 8" xfId="33350"/>
    <cellStyle name="40% - Accent1 3 3 8 2" xfId="33351"/>
    <cellStyle name="40% - Accent1 3 3 9" xfId="33352"/>
    <cellStyle name="40% - Accent1 3 3 9 2" xfId="33353"/>
    <cellStyle name="40% - Accent1 3 4" xfId="33354"/>
    <cellStyle name="40% - Accent1 3 4 10" xfId="33355"/>
    <cellStyle name="40% - Accent1 3 4 11" xfId="33356"/>
    <cellStyle name="40% - Accent1 3 4 12" xfId="33357"/>
    <cellStyle name="40% - Accent1 3 4 13" xfId="33358"/>
    <cellStyle name="40% - Accent1 3 4 2" xfId="33359"/>
    <cellStyle name="40% - Accent1 3 4 2 10" xfId="33360"/>
    <cellStyle name="40% - Accent1 3 4 2 11" xfId="33361"/>
    <cellStyle name="40% - Accent1 3 4 2 2" xfId="33362"/>
    <cellStyle name="40% - Accent1 3 4 2 2 10" xfId="33363"/>
    <cellStyle name="40% - Accent1 3 4 2 2 2" xfId="33364"/>
    <cellStyle name="40% - Accent1 3 4 2 2 2 2" xfId="33365"/>
    <cellStyle name="40% - Accent1 3 4 2 2 2 2 2" xfId="33366"/>
    <cellStyle name="40% - Accent1 3 4 2 2 2 3" xfId="33367"/>
    <cellStyle name="40% - Accent1 3 4 2 2 2 3 2" xfId="33368"/>
    <cellStyle name="40% - Accent1 3 4 2 2 2 4" xfId="33369"/>
    <cellStyle name="40% - Accent1 3 4 2 2 2 5" xfId="33370"/>
    <cellStyle name="40% - Accent1 3 4 2 2 2 6" xfId="33371"/>
    <cellStyle name="40% - Accent1 3 4 2 2 2 7" xfId="33372"/>
    <cellStyle name="40% - Accent1 3 4 2 2 3" xfId="33373"/>
    <cellStyle name="40% - Accent1 3 4 2 2 3 2" xfId="33374"/>
    <cellStyle name="40% - Accent1 3 4 2 2 3 2 2" xfId="33375"/>
    <cellStyle name="40% - Accent1 3 4 2 2 3 3" xfId="33376"/>
    <cellStyle name="40% - Accent1 3 4 2 2 3 3 2" xfId="33377"/>
    <cellStyle name="40% - Accent1 3 4 2 2 3 4" xfId="33378"/>
    <cellStyle name="40% - Accent1 3 4 2 2 3 5" xfId="33379"/>
    <cellStyle name="40% - Accent1 3 4 2 2 3 6" xfId="33380"/>
    <cellStyle name="40% - Accent1 3 4 2 2 3 7" xfId="33381"/>
    <cellStyle name="40% - Accent1 3 4 2 2 4" xfId="33382"/>
    <cellStyle name="40% - Accent1 3 4 2 2 4 2" xfId="33383"/>
    <cellStyle name="40% - Accent1 3 4 2 2 4 2 2" xfId="33384"/>
    <cellStyle name="40% - Accent1 3 4 2 2 4 3" xfId="33385"/>
    <cellStyle name="40% - Accent1 3 4 2 2 4 3 2" xfId="33386"/>
    <cellStyle name="40% - Accent1 3 4 2 2 4 4" xfId="33387"/>
    <cellStyle name="40% - Accent1 3 4 2 2 4 5" xfId="33388"/>
    <cellStyle name="40% - Accent1 3 4 2 2 4 6" xfId="33389"/>
    <cellStyle name="40% - Accent1 3 4 2 2 4 7" xfId="33390"/>
    <cellStyle name="40% - Accent1 3 4 2 2 5" xfId="33391"/>
    <cellStyle name="40% - Accent1 3 4 2 2 5 2" xfId="33392"/>
    <cellStyle name="40% - Accent1 3 4 2 2 6" xfId="33393"/>
    <cellStyle name="40% - Accent1 3 4 2 2 6 2" xfId="33394"/>
    <cellStyle name="40% - Accent1 3 4 2 2 7" xfId="33395"/>
    <cellStyle name="40% - Accent1 3 4 2 2 8" xfId="33396"/>
    <cellStyle name="40% - Accent1 3 4 2 2 9" xfId="33397"/>
    <cellStyle name="40% - Accent1 3 4 2 3" xfId="33398"/>
    <cellStyle name="40% - Accent1 3 4 2 3 2" xfId="33399"/>
    <cellStyle name="40% - Accent1 3 4 2 3 2 2" xfId="33400"/>
    <cellStyle name="40% - Accent1 3 4 2 3 3" xfId="33401"/>
    <cellStyle name="40% - Accent1 3 4 2 3 3 2" xfId="33402"/>
    <cellStyle name="40% - Accent1 3 4 2 3 4" xfId="33403"/>
    <cellStyle name="40% - Accent1 3 4 2 3 5" xfId="33404"/>
    <cellStyle name="40% - Accent1 3 4 2 3 6" xfId="33405"/>
    <cellStyle name="40% - Accent1 3 4 2 3 7" xfId="33406"/>
    <cellStyle name="40% - Accent1 3 4 2 4" xfId="33407"/>
    <cellStyle name="40% - Accent1 3 4 2 4 2" xfId="33408"/>
    <cellStyle name="40% - Accent1 3 4 2 4 2 2" xfId="33409"/>
    <cellStyle name="40% - Accent1 3 4 2 4 3" xfId="33410"/>
    <cellStyle name="40% - Accent1 3 4 2 4 3 2" xfId="33411"/>
    <cellStyle name="40% - Accent1 3 4 2 4 4" xfId="33412"/>
    <cellStyle name="40% - Accent1 3 4 2 4 5" xfId="33413"/>
    <cellStyle name="40% - Accent1 3 4 2 4 6" xfId="33414"/>
    <cellStyle name="40% - Accent1 3 4 2 4 7" xfId="33415"/>
    <cellStyle name="40% - Accent1 3 4 2 5" xfId="33416"/>
    <cellStyle name="40% - Accent1 3 4 2 5 2" xfId="33417"/>
    <cellStyle name="40% - Accent1 3 4 2 5 2 2" xfId="33418"/>
    <cellStyle name="40% - Accent1 3 4 2 5 3" xfId="33419"/>
    <cellStyle name="40% - Accent1 3 4 2 5 3 2" xfId="33420"/>
    <cellStyle name="40% - Accent1 3 4 2 5 4" xfId="33421"/>
    <cellStyle name="40% - Accent1 3 4 2 5 5" xfId="33422"/>
    <cellStyle name="40% - Accent1 3 4 2 5 6" xfId="33423"/>
    <cellStyle name="40% - Accent1 3 4 2 5 7" xfId="33424"/>
    <cellStyle name="40% - Accent1 3 4 2 6" xfId="33425"/>
    <cellStyle name="40% - Accent1 3 4 2 6 2" xfId="33426"/>
    <cellStyle name="40% - Accent1 3 4 2 7" xfId="33427"/>
    <cellStyle name="40% - Accent1 3 4 2 7 2" xfId="33428"/>
    <cellStyle name="40% - Accent1 3 4 2 8" xfId="33429"/>
    <cellStyle name="40% - Accent1 3 4 2 9" xfId="33430"/>
    <cellStyle name="40% - Accent1 3 4 3" xfId="33431"/>
    <cellStyle name="40% - Accent1 3 4 3 10" xfId="33432"/>
    <cellStyle name="40% - Accent1 3 4 3 11" xfId="33433"/>
    <cellStyle name="40% - Accent1 3 4 3 2" xfId="33434"/>
    <cellStyle name="40% - Accent1 3 4 3 2 10" xfId="33435"/>
    <cellStyle name="40% - Accent1 3 4 3 2 2" xfId="33436"/>
    <cellStyle name="40% - Accent1 3 4 3 2 2 2" xfId="33437"/>
    <cellStyle name="40% - Accent1 3 4 3 2 2 2 2" xfId="33438"/>
    <cellStyle name="40% - Accent1 3 4 3 2 2 3" xfId="33439"/>
    <cellStyle name="40% - Accent1 3 4 3 2 2 3 2" xfId="33440"/>
    <cellStyle name="40% - Accent1 3 4 3 2 2 4" xfId="33441"/>
    <cellStyle name="40% - Accent1 3 4 3 2 2 5" xfId="33442"/>
    <cellStyle name="40% - Accent1 3 4 3 2 2 6" xfId="33443"/>
    <cellStyle name="40% - Accent1 3 4 3 2 2 7" xfId="33444"/>
    <cellStyle name="40% - Accent1 3 4 3 2 3" xfId="33445"/>
    <cellStyle name="40% - Accent1 3 4 3 2 3 2" xfId="33446"/>
    <cellStyle name="40% - Accent1 3 4 3 2 3 2 2" xfId="33447"/>
    <cellStyle name="40% - Accent1 3 4 3 2 3 3" xfId="33448"/>
    <cellStyle name="40% - Accent1 3 4 3 2 3 3 2" xfId="33449"/>
    <cellStyle name="40% - Accent1 3 4 3 2 3 4" xfId="33450"/>
    <cellStyle name="40% - Accent1 3 4 3 2 3 5" xfId="33451"/>
    <cellStyle name="40% - Accent1 3 4 3 2 3 6" xfId="33452"/>
    <cellStyle name="40% - Accent1 3 4 3 2 3 7" xfId="33453"/>
    <cellStyle name="40% - Accent1 3 4 3 2 4" xfId="33454"/>
    <cellStyle name="40% - Accent1 3 4 3 2 4 2" xfId="33455"/>
    <cellStyle name="40% - Accent1 3 4 3 2 4 2 2" xfId="33456"/>
    <cellStyle name="40% - Accent1 3 4 3 2 4 3" xfId="33457"/>
    <cellStyle name="40% - Accent1 3 4 3 2 4 3 2" xfId="33458"/>
    <cellStyle name="40% - Accent1 3 4 3 2 4 4" xfId="33459"/>
    <cellStyle name="40% - Accent1 3 4 3 2 4 5" xfId="33460"/>
    <cellStyle name="40% - Accent1 3 4 3 2 4 6" xfId="33461"/>
    <cellStyle name="40% - Accent1 3 4 3 2 4 7" xfId="33462"/>
    <cellStyle name="40% - Accent1 3 4 3 2 5" xfId="33463"/>
    <cellStyle name="40% - Accent1 3 4 3 2 5 2" xfId="33464"/>
    <cellStyle name="40% - Accent1 3 4 3 2 6" xfId="33465"/>
    <cellStyle name="40% - Accent1 3 4 3 2 6 2" xfId="33466"/>
    <cellStyle name="40% - Accent1 3 4 3 2 7" xfId="33467"/>
    <cellStyle name="40% - Accent1 3 4 3 2 8" xfId="33468"/>
    <cellStyle name="40% - Accent1 3 4 3 2 9" xfId="33469"/>
    <cellStyle name="40% - Accent1 3 4 3 3" xfId="33470"/>
    <cellStyle name="40% - Accent1 3 4 3 3 2" xfId="33471"/>
    <cellStyle name="40% - Accent1 3 4 3 3 2 2" xfId="33472"/>
    <cellStyle name="40% - Accent1 3 4 3 3 3" xfId="33473"/>
    <cellStyle name="40% - Accent1 3 4 3 3 3 2" xfId="33474"/>
    <cellStyle name="40% - Accent1 3 4 3 3 4" xfId="33475"/>
    <cellStyle name="40% - Accent1 3 4 3 3 5" xfId="33476"/>
    <cellStyle name="40% - Accent1 3 4 3 3 6" xfId="33477"/>
    <cellStyle name="40% - Accent1 3 4 3 3 7" xfId="33478"/>
    <cellStyle name="40% - Accent1 3 4 3 4" xfId="33479"/>
    <cellStyle name="40% - Accent1 3 4 3 4 2" xfId="33480"/>
    <cellStyle name="40% - Accent1 3 4 3 4 2 2" xfId="33481"/>
    <cellStyle name="40% - Accent1 3 4 3 4 3" xfId="33482"/>
    <cellStyle name="40% - Accent1 3 4 3 4 3 2" xfId="33483"/>
    <cellStyle name="40% - Accent1 3 4 3 4 4" xfId="33484"/>
    <cellStyle name="40% - Accent1 3 4 3 4 5" xfId="33485"/>
    <cellStyle name="40% - Accent1 3 4 3 4 6" xfId="33486"/>
    <cellStyle name="40% - Accent1 3 4 3 4 7" xfId="33487"/>
    <cellStyle name="40% - Accent1 3 4 3 5" xfId="33488"/>
    <cellStyle name="40% - Accent1 3 4 3 5 2" xfId="33489"/>
    <cellStyle name="40% - Accent1 3 4 3 5 2 2" xfId="33490"/>
    <cellStyle name="40% - Accent1 3 4 3 5 3" xfId="33491"/>
    <cellStyle name="40% - Accent1 3 4 3 5 3 2" xfId="33492"/>
    <cellStyle name="40% - Accent1 3 4 3 5 4" xfId="33493"/>
    <cellStyle name="40% - Accent1 3 4 3 5 5" xfId="33494"/>
    <cellStyle name="40% - Accent1 3 4 3 5 6" xfId="33495"/>
    <cellStyle name="40% - Accent1 3 4 3 5 7" xfId="33496"/>
    <cellStyle name="40% - Accent1 3 4 3 6" xfId="33497"/>
    <cellStyle name="40% - Accent1 3 4 3 6 2" xfId="33498"/>
    <cellStyle name="40% - Accent1 3 4 3 7" xfId="33499"/>
    <cellStyle name="40% - Accent1 3 4 3 7 2" xfId="33500"/>
    <cellStyle name="40% - Accent1 3 4 3 8" xfId="33501"/>
    <cellStyle name="40% - Accent1 3 4 3 9" xfId="33502"/>
    <cellStyle name="40% - Accent1 3 4 4" xfId="33503"/>
    <cellStyle name="40% - Accent1 3 4 4 10" xfId="33504"/>
    <cellStyle name="40% - Accent1 3 4 4 2" xfId="33505"/>
    <cellStyle name="40% - Accent1 3 4 4 2 2" xfId="33506"/>
    <cellStyle name="40% - Accent1 3 4 4 2 2 2" xfId="33507"/>
    <cellStyle name="40% - Accent1 3 4 4 2 3" xfId="33508"/>
    <cellStyle name="40% - Accent1 3 4 4 2 3 2" xfId="33509"/>
    <cellStyle name="40% - Accent1 3 4 4 2 4" xfId="33510"/>
    <cellStyle name="40% - Accent1 3 4 4 2 5" xfId="33511"/>
    <cellStyle name="40% - Accent1 3 4 4 2 6" xfId="33512"/>
    <cellStyle name="40% - Accent1 3 4 4 2 7" xfId="33513"/>
    <cellStyle name="40% - Accent1 3 4 4 3" xfId="33514"/>
    <cellStyle name="40% - Accent1 3 4 4 3 2" xfId="33515"/>
    <cellStyle name="40% - Accent1 3 4 4 3 2 2" xfId="33516"/>
    <cellStyle name="40% - Accent1 3 4 4 3 3" xfId="33517"/>
    <cellStyle name="40% - Accent1 3 4 4 3 3 2" xfId="33518"/>
    <cellStyle name="40% - Accent1 3 4 4 3 4" xfId="33519"/>
    <cellStyle name="40% - Accent1 3 4 4 3 5" xfId="33520"/>
    <cellStyle name="40% - Accent1 3 4 4 3 6" xfId="33521"/>
    <cellStyle name="40% - Accent1 3 4 4 3 7" xfId="33522"/>
    <cellStyle name="40% - Accent1 3 4 4 4" xfId="33523"/>
    <cellStyle name="40% - Accent1 3 4 4 4 2" xfId="33524"/>
    <cellStyle name="40% - Accent1 3 4 4 4 2 2" xfId="33525"/>
    <cellStyle name="40% - Accent1 3 4 4 4 3" xfId="33526"/>
    <cellStyle name="40% - Accent1 3 4 4 4 3 2" xfId="33527"/>
    <cellStyle name="40% - Accent1 3 4 4 4 4" xfId="33528"/>
    <cellStyle name="40% - Accent1 3 4 4 4 5" xfId="33529"/>
    <cellStyle name="40% - Accent1 3 4 4 4 6" xfId="33530"/>
    <cellStyle name="40% - Accent1 3 4 4 4 7" xfId="33531"/>
    <cellStyle name="40% - Accent1 3 4 4 5" xfId="33532"/>
    <cellStyle name="40% - Accent1 3 4 4 5 2" xfId="33533"/>
    <cellStyle name="40% - Accent1 3 4 4 6" xfId="33534"/>
    <cellStyle name="40% - Accent1 3 4 4 6 2" xfId="33535"/>
    <cellStyle name="40% - Accent1 3 4 4 7" xfId="33536"/>
    <cellStyle name="40% - Accent1 3 4 4 8" xfId="33537"/>
    <cellStyle name="40% - Accent1 3 4 4 9" xfId="33538"/>
    <cellStyle name="40% - Accent1 3 4 5" xfId="33539"/>
    <cellStyle name="40% - Accent1 3 4 5 2" xfId="33540"/>
    <cellStyle name="40% - Accent1 3 4 5 2 2" xfId="33541"/>
    <cellStyle name="40% - Accent1 3 4 5 3" xfId="33542"/>
    <cellStyle name="40% - Accent1 3 4 5 3 2" xfId="33543"/>
    <cellStyle name="40% - Accent1 3 4 5 4" xfId="33544"/>
    <cellStyle name="40% - Accent1 3 4 5 5" xfId="33545"/>
    <cellStyle name="40% - Accent1 3 4 5 6" xfId="33546"/>
    <cellStyle name="40% - Accent1 3 4 5 7" xfId="33547"/>
    <cellStyle name="40% - Accent1 3 4 6" xfId="33548"/>
    <cellStyle name="40% - Accent1 3 4 6 2" xfId="33549"/>
    <cellStyle name="40% - Accent1 3 4 6 2 2" xfId="33550"/>
    <cellStyle name="40% - Accent1 3 4 6 3" xfId="33551"/>
    <cellStyle name="40% - Accent1 3 4 6 3 2" xfId="33552"/>
    <cellStyle name="40% - Accent1 3 4 6 4" xfId="33553"/>
    <cellStyle name="40% - Accent1 3 4 6 5" xfId="33554"/>
    <cellStyle name="40% - Accent1 3 4 6 6" xfId="33555"/>
    <cellStyle name="40% - Accent1 3 4 6 7" xfId="33556"/>
    <cellStyle name="40% - Accent1 3 4 7" xfId="33557"/>
    <cellStyle name="40% - Accent1 3 4 7 2" xfId="33558"/>
    <cellStyle name="40% - Accent1 3 4 7 2 2" xfId="33559"/>
    <cellStyle name="40% - Accent1 3 4 7 3" xfId="33560"/>
    <cellStyle name="40% - Accent1 3 4 7 3 2" xfId="33561"/>
    <cellStyle name="40% - Accent1 3 4 7 4" xfId="33562"/>
    <cellStyle name="40% - Accent1 3 4 7 5" xfId="33563"/>
    <cellStyle name="40% - Accent1 3 4 7 6" xfId="33564"/>
    <cellStyle name="40% - Accent1 3 4 7 7" xfId="33565"/>
    <cellStyle name="40% - Accent1 3 4 8" xfId="33566"/>
    <cellStyle name="40% - Accent1 3 4 8 2" xfId="33567"/>
    <cellStyle name="40% - Accent1 3 4 9" xfId="33568"/>
    <cellStyle name="40% - Accent1 3 4 9 2" xfId="33569"/>
    <cellStyle name="40% - Accent1 3 5" xfId="33570"/>
    <cellStyle name="40% - Accent1 3 5 10" xfId="33571"/>
    <cellStyle name="40% - Accent1 3 5 11" xfId="33572"/>
    <cellStyle name="40% - Accent1 3 5 12" xfId="33573"/>
    <cellStyle name="40% - Accent1 3 5 13" xfId="33574"/>
    <cellStyle name="40% - Accent1 3 5 2" xfId="33575"/>
    <cellStyle name="40% - Accent1 3 5 2 10" xfId="33576"/>
    <cellStyle name="40% - Accent1 3 5 2 11" xfId="33577"/>
    <cellStyle name="40% - Accent1 3 5 2 2" xfId="33578"/>
    <cellStyle name="40% - Accent1 3 5 2 2 10" xfId="33579"/>
    <cellStyle name="40% - Accent1 3 5 2 2 2" xfId="33580"/>
    <cellStyle name="40% - Accent1 3 5 2 2 2 2" xfId="33581"/>
    <cellStyle name="40% - Accent1 3 5 2 2 2 2 2" xfId="33582"/>
    <cellStyle name="40% - Accent1 3 5 2 2 2 3" xfId="33583"/>
    <cellStyle name="40% - Accent1 3 5 2 2 2 3 2" xfId="33584"/>
    <cellStyle name="40% - Accent1 3 5 2 2 2 4" xfId="33585"/>
    <cellStyle name="40% - Accent1 3 5 2 2 2 5" xfId="33586"/>
    <cellStyle name="40% - Accent1 3 5 2 2 2 6" xfId="33587"/>
    <cellStyle name="40% - Accent1 3 5 2 2 2 7" xfId="33588"/>
    <cellStyle name="40% - Accent1 3 5 2 2 3" xfId="33589"/>
    <cellStyle name="40% - Accent1 3 5 2 2 3 2" xfId="33590"/>
    <cellStyle name="40% - Accent1 3 5 2 2 3 2 2" xfId="33591"/>
    <cellStyle name="40% - Accent1 3 5 2 2 3 3" xfId="33592"/>
    <cellStyle name="40% - Accent1 3 5 2 2 3 3 2" xfId="33593"/>
    <cellStyle name="40% - Accent1 3 5 2 2 3 4" xfId="33594"/>
    <cellStyle name="40% - Accent1 3 5 2 2 3 5" xfId="33595"/>
    <cellStyle name="40% - Accent1 3 5 2 2 3 6" xfId="33596"/>
    <cellStyle name="40% - Accent1 3 5 2 2 3 7" xfId="33597"/>
    <cellStyle name="40% - Accent1 3 5 2 2 4" xfId="33598"/>
    <cellStyle name="40% - Accent1 3 5 2 2 4 2" xfId="33599"/>
    <cellStyle name="40% - Accent1 3 5 2 2 4 2 2" xfId="33600"/>
    <cellStyle name="40% - Accent1 3 5 2 2 4 3" xfId="33601"/>
    <cellStyle name="40% - Accent1 3 5 2 2 4 3 2" xfId="33602"/>
    <cellStyle name="40% - Accent1 3 5 2 2 4 4" xfId="33603"/>
    <cellStyle name="40% - Accent1 3 5 2 2 4 5" xfId="33604"/>
    <cellStyle name="40% - Accent1 3 5 2 2 4 6" xfId="33605"/>
    <cellStyle name="40% - Accent1 3 5 2 2 4 7" xfId="33606"/>
    <cellStyle name="40% - Accent1 3 5 2 2 5" xfId="33607"/>
    <cellStyle name="40% - Accent1 3 5 2 2 5 2" xfId="33608"/>
    <cellStyle name="40% - Accent1 3 5 2 2 6" xfId="33609"/>
    <cellStyle name="40% - Accent1 3 5 2 2 6 2" xfId="33610"/>
    <cellStyle name="40% - Accent1 3 5 2 2 7" xfId="33611"/>
    <cellStyle name="40% - Accent1 3 5 2 2 8" xfId="33612"/>
    <cellStyle name="40% - Accent1 3 5 2 2 9" xfId="33613"/>
    <cellStyle name="40% - Accent1 3 5 2 3" xfId="33614"/>
    <cellStyle name="40% - Accent1 3 5 2 3 2" xfId="33615"/>
    <cellStyle name="40% - Accent1 3 5 2 3 2 2" xfId="33616"/>
    <cellStyle name="40% - Accent1 3 5 2 3 3" xfId="33617"/>
    <cellStyle name="40% - Accent1 3 5 2 3 3 2" xfId="33618"/>
    <cellStyle name="40% - Accent1 3 5 2 3 4" xfId="33619"/>
    <cellStyle name="40% - Accent1 3 5 2 3 5" xfId="33620"/>
    <cellStyle name="40% - Accent1 3 5 2 3 6" xfId="33621"/>
    <cellStyle name="40% - Accent1 3 5 2 3 7" xfId="33622"/>
    <cellStyle name="40% - Accent1 3 5 2 4" xfId="33623"/>
    <cellStyle name="40% - Accent1 3 5 2 4 2" xfId="33624"/>
    <cellStyle name="40% - Accent1 3 5 2 4 2 2" xfId="33625"/>
    <cellStyle name="40% - Accent1 3 5 2 4 3" xfId="33626"/>
    <cellStyle name="40% - Accent1 3 5 2 4 3 2" xfId="33627"/>
    <cellStyle name="40% - Accent1 3 5 2 4 4" xfId="33628"/>
    <cellStyle name="40% - Accent1 3 5 2 4 5" xfId="33629"/>
    <cellStyle name="40% - Accent1 3 5 2 4 6" xfId="33630"/>
    <cellStyle name="40% - Accent1 3 5 2 4 7" xfId="33631"/>
    <cellStyle name="40% - Accent1 3 5 2 5" xfId="33632"/>
    <cellStyle name="40% - Accent1 3 5 2 5 2" xfId="33633"/>
    <cellStyle name="40% - Accent1 3 5 2 5 2 2" xfId="33634"/>
    <cellStyle name="40% - Accent1 3 5 2 5 3" xfId="33635"/>
    <cellStyle name="40% - Accent1 3 5 2 5 3 2" xfId="33636"/>
    <cellStyle name="40% - Accent1 3 5 2 5 4" xfId="33637"/>
    <cellStyle name="40% - Accent1 3 5 2 5 5" xfId="33638"/>
    <cellStyle name="40% - Accent1 3 5 2 5 6" xfId="33639"/>
    <cellStyle name="40% - Accent1 3 5 2 5 7" xfId="33640"/>
    <cellStyle name="40% - Accent1 3 5 2 6" xfId="33641"/>
    <cellStyle name="40% - Accent1 3 5 2 6 2" xfId="33642"/>
    <cellStyle name="40% - Accent1 3 5 2 7" xfId="33643"/>
    <cellStyle name="40% - Accent1 3 5 2 7 2" xfId="33644"/>
    <cellStyle name="40% - Accent1 3 5 2 8" xfId="33645"/>
    <cellStyle name="40% - Accent1 3 5 2 9" xfId="33646"/>
    <cellStyle name="40% - Accent1 3 5 3" xfId="33647"/>
    <cellStyle name="40% - Accent1 3 5 3 10" xfId="33648"/>
    <cellStyle name="40% - Accent1 3 5 3 11" xfId="33649"/>
    <cellStyle name="40% - Accent1 3 5 3 2" xfId="33650"/>
    <cellStyle name="40% - Accent1 3 5 3 2 10" xfId="33651"/>
    <cellStyle name="40% - Accent1 3 5 3 2 2" xfId="33652"/>
    <cellStyle name="40% - Accent1 3 5 3 2 2 2" xfId="33653"/>
    <cellStyle name="40% - Accent1 3 5 3 2 2 2 2" xfId="33654"/>
    <cellStyle name="40% - Accent1 3 5 3 2 2 3" xfId="33655"/>
    <cellStyle name="40% - Accent1 3 5 3 2 2 3 2" xfId="33656"/>
    <cellStyle name="40% - Accent1 3 5 3 2 2 4" xfId="33657"/>
    <cellStyle name="40% - Accent1 3 5 3 2 2 5" xfId="33658"/>
    <cellStyle name="40% - Accent1 3 5 3 2 2 6" xfId="33659"/>
    <cellStyle name="40% - Accent1 3 5 3 2 2 7" xfId="33660"/>
    <cellStyle name="40% - Accent1 3 5 3 2 3" xfId="33661"/>
    <cellStyle name="40% - Accent1 3 5 3 2 3 2" xfId="33662"/>
    <cellStyle name="40% - Accent1 3 5 3 2 3 2 2" xfId="33663"/>
    <cellStyle name="40% - Accent1 3 5 3 2 3 3" xfId="33664"/>
    <cellStyle name="40% - Accent1 3 5 3 2 3 3 2" xfId="33665"/>
    <cellStyle name="40% - Accent1 3 5 3 2 3 4" xfId="33666"/>
    <cellStyle name="40% - Accent1 3 5 3 2 3 5" xfId="33667"/>
    <cellStyle name="40% - Accent1 3 5 3 2 3 6" xfId="33668"/>
    <cellStyle name="40% - Accent1 3 5 3 2 3 7" xfId="33669"/>
    <cellStyle name="40% - Accent1 3 5 3 2 4" xfId="33670"/>
    <cellStyle name="40% - Accent1 3 5 3 2 4 2" xfId="33671"/>
    <cellStyle name="40% - Accent1 3 5 3 2 4 2 2" xfId="33672"/>
    <cellStyle name="40% - Accent1 3 5 3 2 4 3" xfId="33673"/>
    <cellStyle name="40% - Accent1 3 5 3 2 4 3 2" xfId="33674"/>
    <cellStyle name="40% - Accent1 3 5 3 2 4 4" xfId="33675"/>
    <cellStyle name="40% - Accent1 3 5 3 2 4 5" xfId="33676"/>
    <cellStyle name="40% - Accent1 3 5 3 2 4 6" xfId="33677"/>
    <cellStyle name="40% - Accent1 3 5 3 2 4 7" xfId="33678"/>
    <cellStyle name="40% - Accent1 3 5 3 2 5" xfId="33679"/>
    <cellStyle name="40% - Accent1 3 5 3 2 5 2" xfId="33680"/>
    <cellStyle name="40% - Accent1 3 5 3 2 6" xfId="33681"/>
    <cellStyle name="40% - Accent1 3 5 3 2 6 2" xfId="33682"/>
    <cellStyle name="40% - Accent1 3 5 3 2 7" xfId="33683"/>
    <cellStyle name="40% - Accent1 3 5 3 2 8" xfId="33684"/>
    <cellStyle name="40% - Accent1 3 5 3 2 9" xfId="33685"/>
    <cellStyle name="40% - Accent1 3 5 3 3" xfId="33686"/>
    <cellStyle name="40% - Accent1 3 5 3 3 2" xfId="33687"/>
    <cellStyle name="40% - Accent1 3 5 3 3 2 2" xfId="33688"/>
    <cellStyle name="40% - Accent1 3 5 3 3 3" xfId="33689"/>
    <cellStyle name="40% - Accent1 3 5 3 3 3 2" xfId="33690"/>
    <cellStyle name="40% - Accent1 3 5 3 3 4" xfId="33691"/>
    <cellStyle name="40% - Accent1 3 5 3 3 5" xfId="33692"/>
    <cellStyle name="40% - Accent1 3 5 3 3 6" xfId="33693"/>
    <cellStyle name="40% - Accent1 3 5 3 3 7" xfId="33694"/>
    <cellStyle name="40% - Accent1 3 5 3 4" xfId="33695"/>
    <cellStyle name="40% - Accent1 3 5 3 4 2" xfId="33696"/>
    <cellStyle name="40% - Accent1 3 5 3 4 2 2" xfId="33697"/>
    <cellStyle name="40% - Accent1 3 5 3 4 3" xfId="33698"/>
    <cellStyle name="40% - Accent1 3 5 3 4 3 2" xfId="33699"/>
    <cellStyle name="40% - Accent1 3 5 3 4 4" xfId="33700"/>
    <cellStyle name="40% - Accent1 3 5 3 4 5" xfId="33701"/>
    <cellStyle name="40% - Accent1 3 5 3 4 6" xfId="33702"/>
    <cellStyle name="40% - Accent1 3 5 3 4 7" xfId="33703"/>
    <cellStyle name="40% - Accent1 3 5 3 5" xfId="33704"/>
    <cellStyle name="40% - Accent1 3 5 3 5 2" xfId="33705"/>
    <cellStyle name="40% - Accent1 3 5 3 5 2 2" xfId="33706"/>
    <cellStyle name="40% - Accent1 3 5 3 5 3" xfId="33707"/>
    <cellStyle name="40% - Accent1 3 5 3 5 3 2" xfId="33708"/>
    <cellStyle name="40% - Accent1 3 5 3 5 4" xfId="33709"/>
    <cellStyle name="40% - Accent1 3 5 3 5 5" xfId="33710"/>
    <cellStyle name="40% - Accent1 3 5 3 5 6" xfId="33711"/>
    <cellStyle name="40% - Accent1 3 5 3 5 7" xfId="33712"/>
    <cellStyle name="40% - Accent1 3 5 3 6" xfId="33713"/>
    <cellStyle name="40% - Accent1 3 5 3 6 2" xfId="33714"/>
    <cellStyle name="40% - Accent1 3 5 3 7" xfId="33715"/>
    <cellStyle name="40% - Accent1 3 5 3 7 2" xfId="33716"/>
    <cellStyle name="40% - Accent1 3 5 3 8" xfId="33717"/>
    <cellStyle name="40% - Accent1 3 5 3 9" xfId="33718"/>
    <cellStyle name="40% - Accent1 3 5 4" xfId="33719"/>
    <cellStyle name="40% - Accent1 3 5 4 10" xfId="33720"/>
    <cellStyle name="40% - Accent1 3 5 4 2" xfId="33721"/>
    <cellStyle name="40% - Accent1 3 5 4 2 2" xfId="33722"/>
    <cellStyle name="40% - Accent1 3 5 4 2 2 2" xfId="33723"/>
    <cellStyle name="40% - Accent1 3 5 4 2 3" xfId="33724"/>
    <cellStyle name="40% - Accent1 3 5 4 2 3 2" xfId="33725"/>
    <cellStyle name="40% - Accent1 3 5 4 2 4" xfId="33726"/>
    <cellStyle name="40% - Accent1 3 5 4 2 5" xfId="33727"/>
    <cellStyle name="40% - Accent1 3 5 4 2 6" xfId="33728"/>
    <cellStyle name="40% - Accent1 3 5 4 2 7" xfId="33729"/>
    <cellStyle name="40% - Accent1 3 5 4 3" xfId="33730"/>
    <cellStyle name="40% - Accent1 3 5 4 3 2" xfId="33731"/>
    <cellStyle name="40% - Accent1 3 5 4 3 2 2" xfId="33732"/>
    <cellStyle name="40% - Accent1 3 5 4 3 3" xfId="33733"/>
    <cellStyle name="40% - Accent1 3 5 4 3 3 2" xfId="33734"/>
    <cellStyle name="40% - Accent1 3 5 4 3 4" xfId="33735"/>
    <cellStyle name="40% - Accent1 3 5 4 3 5" xfId="33736"/>
    <cellStyle name="40% - Accent1 3 5 4 3 6" xfId="33737"/>
    <cellStyle name="40% - Accent1 3 5 4 3 7" xfId="33738"/>
    <cellStyle name="40% - Accent1 3 5 4 4" xfId="33739"/>
    <cellStyle name="40% - Accent1 3 5 4 4 2" xfId="33740"/>
    <cellStyle name="40% - Accent1 3 5 4 4 2 2" xfId="33741"/>
    <cellStyle name="40% - Accent1 3 5 4 4 3" xfId="33742"/>
    <cellStyle name="40% - Accent1 3 5 4 4 3 2" xfId="33743"/>
    <cellStyle name="40% - Accent1 3 5 4 4 4" xfId="33744"/>
    <cellStyle name="40% - Accent1 3 5 4 4 5" xfId="33745"/>
    <cellStyle name="40% - Accent1 3 5 4 4 6" xfId="33746"/>
    <cellStyle name="40% - Accent1 3 5 4 4 7" xfId="33747"/>
    <cellStyle name="40% - Accent1 3 5 4 5" xfId="33748"/>
    <cellStyle name="40% - Accent1 3 5 4 5 2" xfId="33749"/>
    <cellStyle name="40% - Accent1 3 5 4 6" xfId="33750"/>
    <cellStyle name="40% - Accent1 3 5 4 6 2" xfId="33751"/>
    <cellStyle name="40% - Accent1 3 5 4 7" xfId="33752"/>
    <cellStyle name="40% - Accent1 3 5 4 8" xfId="33753"/>
    <cellStyle name="40% - Accent1 3 5 4 9" xfId="33754"/>
    <cellStyle name="40% - Accent1 3 5 5" xfId="33755"/>
    <cellStyle name="40% - Accent1 3 5 5 2" xfId="33756"/>
    <cellStyle name="40% - Accent1 3 5 5 2 2" xfId="33757"/>
    <cellStyle name="40% - Accent1 3 5 5 3" xfId="33758"/>
    <cellStyle name="40% - Accent1 3 5 5 3 2" xfId="33759"/>
    <cellStyle name="40% - Accent1 3 5 5 4" xfId="33760"/>
    <cellStyle name="40% - Accent1 3 5 5 5" xfId="33761"/>
    <cellStyle name="40% - Accent1 3 5 5 6" xfId="33762"/>
    <cellStyle name="40% - Accent1 3 5 5 7" xfId="33763"/>
    <cellStyle name="40% - Accent1 3 5 6" xfId="33764"/>
    <cellStyle name="40% - Accent1 3 5 6 2" xfId="33765"/>
    <cellStyle name="40% - Accent1 3 5 6 2 2" xfId="33766"/>
    <cellStyle name="40% - Accent1 3 5 6 3" xfId="33767"/>
    <cellStyle name="40% - Accent1 3 5 6 3 2" xfId="33768"/>
    <cellStyle name="40% - Accent1 3 5 6 4" xfId="33769"/>
    <cellStyle name="40% - Accent1 3 5 6 5" xfId="33770"/>
    <cellStyle name="40% - Accent1 3 5 6 6" xfId="33771"/>
    <cellStyle name="40% - Accent1 3 5 6 7" xfId="33772"/>
    <cellStyle name="40% - Accent1 3 5 7" xfId="33773"/>
    <cellStyle name="40% - Accent1 3 5 7 2" xfId="33774"/>
    <cellStyle name="40% - Accent1 3 5 7 2 2" xfId="33775"/>
    <cellStyle name="40% - Accent1 3 5 7 3" xfId="33776"/>
    <cellStyle name="40% - Accent1 3 5 7 3 2" xfId="33777"/>
    <cellStyle name="40% - Accent1 3 5 7 4" xfId="33778"/>
    <cellStyle name="40% - Accent1 3 5 7 5" xfId="33779"/>
    <cellStyle name="40% - Accent1 3 5 7 6" xfId="33780"/>
    <cellStyle name="40% - Accent1 3 5 7 7" xfId="33781"/>
    <cellStyle name="40% - Accent1 3 5 8" xfId="33782"/>
    <cellStyle name="40% - Accent1 3 5 8 2" xfId="33783"/>
    <cellStyle name="40% - Accent1 3 5 9" xfId="33784"/>
    <cellStyle name="40% - Accent1 3 5 9 2" xfId="33785"/>
    <cellStyle name="40% - Accent1 3 6" xfId="33786"/>
    <cellStyle name="40% - Accent1 3 6 10" xfId="33787"/>
    <cellStyle name="40% - Accent1 3 6 11" xfId="33788"/>
    <cellStyle name="40% - Accent1 3 6 12" xfId="33789"/>
    <cellStyle name="40% - Accent1 3 6 13" xfId="33790"/>
    <cellStyle name="40% - Accent1 3 6 2" xfId="33791"/>
    <cellStyle name="40% - Accent1 3 6 2 10" xfId="33792"/>
    <cellStyle name="40% - Accent1 3 6 2 11" xfId="33793"/>
    <cellStyle name="40% - Accent1 3 6 2 2" xfId="33794"/>
    <cellStyle name="40% - Accent1 3 6 2 2 10" xfId="33795"/>
    <cellStyle name="40% - Accent1 3 6 2 2 2" xfId="33796"/>
    <cellStyle name="40% - Accent1 3 6 2 2 2 2" xfId="33797"/>
    <cellStyle name="40% - Accent1 3 6 2 2 2 2 2" xfId="33798"/>
    <cellStyle name="40% - Accent1 3 6 2 2 2 3" xfId="33799"/>
    <cellStyle name="40% - Accent1 3 6 2 2 2 3 2" xfId="33800"/>
    <cellStyle name="40% - Accent1 3 6 2 2 2 4" xfId="33801"/>
    <cellStyle name="40% - Accent1 3 6 2 2 2 5" xfId="33802"/>
    <cellStyle name="40% - Accent1 3 6 2 2 2 6" xfId="33803"/>
    <cellStyle name="40% - Accent1 3 6 2 2 2 7" xfId="33804"/>
    <cellStyle name="40% - Accent1 3 6 2 2 3" xfId="33805"/>
    <cellStyle name="40% - Accent1 3 6 2 2 3 2" xfId="33806"/>
    <cellStyle name="40% - Accent1 3 6 2 2 3 2 2" xfId="33807"/>
    <cellStyle name="40% - Accent1 3 6 2 2 3 3" xfId="33808"/>
    <cellStyle name="40% - Accent1 3 6 2 2 3 3 2" xfId="33809"/>
    <cellStyle name="40% - Accent1 3 6 2 2 3 4" xfId="33810"/>
    <cellStyle name="40% - Accent1 3 6 2 2 3 5" xfId="33811"/>
    <cellStyle name="40% - Accent1 3 6 2 2 3 6" xfId="33812"/>
    <cellStyle name="40% - Accent1 3 6 2 2 3 7" xfId="33813"/>
    <cellStyle name="40% - Accent1 3 6 2 2 4" xfId="33814"/>
    <cellStyle name="40% - Accent1 3 6 2 2 4 2" xfId="33815"/>
    <cellStyle name="40% - Accent1 3 6 2 2 4 2 2" xfId="33816"/>
    <cellStyle name="40% - Accent1 3 6 2 2 4 3" xfId="33817"/>
    <cellStyle name="40% - Accent1 3 6 2 2 4 3 2" xfId="33818"/>
    <cellStyle name="40% - Accent1 3 6 2 2 4 4" xfId="33819"/>
    <cellStyle name="40% - Accent1 3 6 2 2 4 5" xfId="33820"/>
    <cellStyle name="40% - Accent1 3 6 2 2 4 6" xfId="33821"/>
    <cellStyle name="40% - Accent1 3 6 2 2 4 7" xfId="33822"/>
    <cellStyle name="40% - Accent1 3 6 2 2 5" xfId="33823"/>
    <cellStyle name="40% - Accent1 3 6 2 2 5 2" xfId="33824"/>
    <cellStyle name="40% - Accent1 3 6 2 2 6" xfId="33825"/>
    <cellStyle name="40% - Accent1 3 6 2 2 6 2" xfId="33826"/>
    <cellStyle name="40% - Accent1 3 6 2 2 7" xfId="33827"/>
    <cellStyle name="40% - Accent1 3 6 2 2 8" xfId="33828"/>
    <cellStyle name="40% - Accent1 3 6 2 2 9" xfId="33829"/>
    <cellStyle name="40% - Accent1 3 6 2 3" xfId="33830"/>
    <cellStyle name="40% - Accent1 3 6 2 3 2" xfId="33831"/>
    <cellStyle name="40% - Accent1 3 6 2 3 2 2" xfId="33832"/>
    <cellStyle name="40% - Accent1 3 6 2 3 3" xfId="33833"/>
    <cellStyle name="40% - Accent1 3 6 2 3 3 2" xfId="33834"/>
    <cellStyle name="40% - Accent1 3 6 2 3 4" xfId="33835"/>
    <cellStyle name="40% - Accent1 3 6 2 3 5" xfId="33836"/>
    <cellStyle name="40% - Accent1 3 6 2 3 6" xfId="33837"/>
    <cellStyle name="40% - Accent1 3 6 2 3 7" xfId="33838"/>
    <cellStyle name="40% - Accent1 3 6 2 4" xfId="33839"/>
    <cellStyle name="40% - Accent1 3 6 2 4 2" xfId="33840"/>
    <cellStyle name="40% - Accent1 3 6 2 4 2 2" xfId="33841"/>
    <cellStyle name="40% - Accent1 3 6 2 4 3" xfId="33842"/>
    <cellStyle name="40% - Accent1 3 6 2 4 3 2" xfId="33843"/>
    <cellStyle name="40% - Accent1 3 6 2 4 4" xfId="33844"/>
    <cellStyle name="40% - Accent1 3 6 2 4 5" xfId="33845"/>
    <cellStyle name="40% - Accent1 3 6 2 4 6" xfId="33846"/>
    <cellStyle name="40% - Accent1 3 6 2 4 7" xfId="33847"/>
    <cellStyle name="40% - Accent1 3 6 2 5" xfId="33848"/>
    <cellStyle name="40% - Accent1 3 6 2 5 2" xfId="33849"/>
    <cellStyle name="40% - Accent1 3 6 2 5 2 2" xfId="33850"/>
    <cellStyle name="40% - Accent1 3 6 2 5 3" xfId="33851"/>
    <cellStyle name="40% - Accent1 3 6 2 5 3 2" xfId="33852"/>
    <cellStyle name="40% - Accent1 3 6 2 5 4" xfId="33853"/>
    <cellStyle name="40% - Accent1 3 6 2 5 5" xfId="33854"/>
    <cellStyle name="40% - Accent1 3 6 2 5 6" xfId="33855"/>
    <cellStyle name="40% - Accent1 3 6 2 5 7" xfId="33856"/>
    <cellStyle name="40% - Accent1 3 6 2 6" xfId="33857"/>
    <cellStyle name="40% - Accent1 3 6 2 6 2" xfId="33858"/>
    <cellStyle name="40% - Accent1 3 6 2 7" xfId="33859"/>
    <cellStyle name="40% - Accent1 3 6 2 7 2" xfId="33860"/>
    <cellStyle name="40% - Accent1 3 6 2 8" xfId="33861"/>
    <cellStyle name="40% - Accent1 3 6 2 9" xfId="33862"/>
    <cellStyle name="40% - Accent1 3 6 3" xfId="33863"/>
    <cellStyle name="40% - Accent1 3 6 3 10" xfId="33864"/>
    <cellStyle name="40% - Accent1 3 6 3 11" xfId="33865"/>
    <cellStyle name="40% - Accent1 3 6 3 2" xfId="33866"/>
    <cellStyle name="40% - Accent1 3 6 3 2 10" xfId="33867"/>
    <cellStyle name="40% - Accent1 3 6 3 2 2" xfId="33868"/>
    <cellStyle name="40% - Accent1 3 6 3 2 2 2" xfId="33869"/>
    <cellStyle name="40% - Accent1 3 6 3 2 2 2 2" xfId="33870"/>
    <cellStyle name="40% - Accent1 3 6 3 2 2 3" xfId="33871"/>
    <cellStyle name="40% - Accent1 3 6 3 2 2 3 2" xfId="33872"/>
    <cellStyle name="40% - Accent1 3 6 3 2 2 4" xfId="33873"/>
    <cellStyle name="40% - Accent1 3 6 3 2 2 5" xfId="33874"/>
    <cellStyle name="40% - Accent1 3 6 3 2 2 6" xfId="33875"/>
    <cellStyle name="40% - Accent1 3 6 3 2 2 7" xfId="33876"/>
    <cellStyle name="40% - Accent1 3 6 3 2 3" xfId="33877"/>
    <cellStyle name="40% - Accent1 3 6 3 2 3 2" xfId="33878"/>
    <cellStyle name="40% - Accent1 3 6 3 2 3 2 2" xfId="33879"/>
    <cellStyle name="40% - Accent1 3 6 3 2 3 3" xfId="33880"/>
    <cellStyle name="40% - Accent1 3 6 3 2 3 3 2" xfId="33881"/>
    <cellStyle name="40% - Accent1 3 6 3 2 3 4" xfId="33882"/>
    <cellStyle name="40% - Accent1 3 6 3 2 3 5" xfId="33883"/>
    <cellStyle name="40% - Accent1 3 6 3 2 3 6" xfId="33884"/>
    <cellStyle name="40% - Accent1 3 6 3 2 3 7" xfId="33885"/>
    <cellStyle name="40% - Accent1 3 6 3 2 4" xfId="33886"/>
    <cellStyle name="40% - Accent1 3 6 3 2 4 2" xfId="33887"/>
    <cellStyle name="40% - Accent1 3 6 3 2 4 2 2" xfId="33888"/>
    <cellStyle name="40% - Accent1 3 6 3 2 4 3" xfId="33889"/>
    <cellStyle name="40% - Accent1 3 6 3 2 4 3 2" xfId="33890"/>
    <cellStyle name="40% - Accent1 3 6 3 2 4 4" xfId="33891"/>
    <cellStyle name="40% - Accent1 3 6 3 2 4 5" xfId="33892"/>
    <cellStyle name="40% - Accent1 3 6 3 2 4 6" xfId="33893"/>
    <cellStyle name="40% - Accent1 3 6 3 2 4 7" xfId="33894"/>
    <cellStyle name="40% - Accent1 3 6 3 2 5" xfId="33895"/>
    <cellStyle name="40% - Accent1 3 6 3 2 5 2" xfId="33896"/>
    <cellStyle name="40% - Accent1 3 6 3 2 6" xfId="33897"/>
    <cellStyle name="40% - Accent1 3 6 3 2 6 2" xfId="33898"/>
    <cellStyle name="40% - Accent1 3 6 3 2 7" xfId="33899"/>
    <cellStyle name="40% - Accent1 3 6 3 2 8" xfId="33900"/>
    <cellStyle name="40% - Accent1 3 6 3 2 9" xfId="33901"/>
    <cellStyle name="40% - Accent1 3 6 3 3" xfId="33902"/>
    <cellStyle name="40% - Accent1 3 6 3 3 2" xfId="33903"/>
    <cellStyle name="40% - Accent1 3 6 3 3 2 2" xfId="33904"/>
    <cellStyle name="40% - Accent1 3 6 3 3 3" xfId="33905"/>
    <cellStyle name="40% - Accent1 3 6 3 3 3 2" xfId="33906"/>
    <cellStyle name="40% - Accent1 3 6 3 3 4" xfId="33907"/>
    <cellStyle name="40% - Accent1 3 6 3 3 5" xfId="33908"/>
    <cellStyle name="40% - Accent1 3 6 3 3 6" xfId="33909"/>
    <cellStyle name="40% - Accent1 3 6 3 3 7" xfId="33910"/>
    <cellStyle name="40% - Accent1 3 6 3 4" xfId="33911"/>
    <cellStyle name="40% - Accent1 3 6 3 4 2" xfId="33912"/>
    <cellStyle name="40% - Accent1 3 6 3 4 2 2" xfId="33913"/>
    <cellStyle name="40% - Accent1 3 6 3 4 3" xfId="33914"/>
    <cellStyle name="40% - Accent1 3 6 3 4 3 2" xfId="33915"/>
    <cellStyle name="40% - Accent1 3 6 3 4 4" xfId="33916"/>
    <cellStyle name="40% - Accent1 3 6 3 4 5" xfId="33917"/>
    <cellStyle name="40% - Accent1 3 6 3 4 6" xfId="33918"/>
    <cellStyle name="40% - Accent1 3 6 3 4 7" xfId="33919"/>
    <cellStyle name="40% - Accent1 3 6 3 5" xfId="33920"/>
    <cellStyle name="40% - Accent1 3 6 3 5 2" xfId="33921"/>
    <cellStyle name="40% - Accent1 3 6 3 5 2 2" xfId="33922"/>
    <cellStyle name="40% - Accent1 3 6 3 5 3" xfId="33923"/>
    <cellStyle name="40% - Accent1 3 6 3 5 3 2" xfId="33924"/>
    <cellStyle name="40% - Accent1 3 6 3 5 4" xfId="33925"/>
    <cellStyle name="40% - Accent1 3 6 3 5 5" xfId="33926"/>
    <cellStyle name="40% - Accent1 3 6 3 5 6" xfId="33927"/>
    <cellStyle name="40% - Accent1 3 6 3 5 7" xfId="33928"/>
    <cellStyle name="40% - Accent1 3 6 3 6" xfId="33929"/>
    <cellStyle name="40% - Accent1 3 6 3 6 2" xfId="33930"/>
    <cellStyle name="40% - Accent1 3 6 3 7" xfId="33931"/>
    <cellStyle name="40% - Accent1 3 6 3 7 2" xfId="33932"/>
    <cellStyle name="40% - Accent1 3 6 3 8" xfId="33933"/>
    <cellStyle name="40% - Accent1 3 6 3 9" xfId="33934"/>
    <cellStyle name="40% - Accent1 3 6 4" xfId="33935"/>
    <cellStyle name="40% - Accent1 3 6 4 10" xfId="33936"/>
    <cellStyle name="40% - Accent1 3 6 4 2" xfId="33937"/>
    <cellStyle name="40% - Accent1 3 6 4 2 2" xfId="33938"/>
    <cellStyle name="40% - Accent1 3 6 4 2 2 2" xfId="33939"/>
    <cellStyle name="40% - Accent1 3 6 4 2 3" xfId="33940"/>
    <cellStyle name="40% - Accent1 3 6 4 2 3 2" xfId="33941"/>
    <cellStyle name="40% - Accent1 3 6 4 2 4" xfId="33942"/>
    <cellStyle name="40% - Accent1 3 6 4 2 5" xfId="33943"/>
    <cellStyle name="40% - Accent1 3 6 4 2 6" xfId="33944"/>
    <cellStyle name="40% - Accent1 3 6 4 2 7" xfId="33945"/>
    <cellStyle name="40% - Accent1 3 6 4 3" xfId="33946"/>
    <cellStyle name="40% - Accent1 3 6 4 3 2" xfId="33947"/>
    <cellStyle name="40% - Accent1 3 6 4 3 2 2" xfId="33948"/>
    <cellStyle name="40% - Accent1 3 6 4 3 3" xfId="33949"/>
    <cellStyle name="40% - Accent1 3 6 4 3 3 2" xfId="33950"/>
    <cellStyle name="40% - Accent1 3 6 4 3 4" xfId="33951"/>
    <cellStyle name="40% - Accent1 3 6 4 3 5" xfId="33952"/>
    <cellStyle name="40% - Accent1 3 6 4 3 6" xfId="33953"/>
    <cellStyle name="40% - Accent1 3 6 4 3 7" xfId="33954"/>
    <cellStyle name="40% - Accent1 3 6 4 4" xfId="33955"/>
    <cellStyle name="40% - Accent1 3 6 4 4 2" xfId="33956"/>
    <cellStyle name="40% - Accent1 3 6 4 4 2 2" xfId="33957"/>
    <cellStyle name="40% - Accent1 3 6 4 4 3" xfId="33958"/>
    <cellStyle name="40% - Accent1 3 6 4 4 3 2" xfId="33959"/>
    <cellStyle name="40% - Accent1 3 6 4 4 4" xfId="33960"/>
    <cellStyle name="40% - Accent1 3 6 4 4 5" xfId="33961"/>
    <cellStyle name="40% - Accent1 3 6 4 4 6" xfId="33962"/>
    <cellStyle name="40% - Accent1 3 6 4 4 7" xfId="33963"/>
    <cellStyle name="40% - Accent1 3 6 4 5" xfId="33964"/>
    <cellStyle name="40% - Accent1 3 6 4 5 2" xfId="33965"/>
    <cellStyle name="40% - Accent1 3 6 4 6" xfId="33966"/>
    <cellStyle name="40% - Accent1 3 6 4 6 2" xfId="33967"/>
    <cellStyle name="40% - Accent1 3 6 4 7" xfId="33968"/>
    <cellStyle name="40% - Accent1 3 6 4 8" xfId="33969"/>
    <cellStyle name="40% - Accent1 3 6 4 9" xfId="33970"/>
    <cellStyle name="40% - Accent1 3 6 5" xfId="33971"/>
    <cellStyle name="40% - Accent1 3 6 5 2" xfId="33972"/>
    <cellStyle name="40% - Accent1 3 6 5 2 2" xfId="33973"/>
    <cellStyle name="40% - Accent1 3 6 5 3" xfId="33974"/>
    <cellStyle name="40% - Accent1 3 6 5 3 2" xfId="33975"/>
    <cellStyle name="40% - Accent1 3 6 5 4" xfId="33976"/>
    <cellStyle name="40% - Accent1 3 6 5 5" xfId="33977"/>
    <cellStyle name="40% - Accent1 3 6 5 6" xfId="33978"/>
    <cellStyle name="40% - Accent1 3 6 5 7" xfId="33979"/>
    <cellStyle name="40% - Accent1 3 6 6" xfId="33980"/>
    <cellStyle name="40% - Accent1 3 6 6 2" xfId="33981"/>
    <cellStyle name="40% - Accent1 3 6 6 2 2" xfId="33982"/>
    <cellStyle name="40% - Accent1 3 6 6 3" xfId="33983"/>
    <cellStyle name="40% - Accent1 3 6 6 3 2" xfId="33984"/>
    <cellStyle name="40% - Accent1 3 6 6 4" xfId="33985"/>
    <cellStyle name="40% - Accent1 3 6 6 5" xfId="33986"/>
    <cellStyle name="40% - Accent1 3 6 6 6" xfId="33987"/>
    <cellStyle name="40% - Accent1 3 6 6 7" xfId="33988"/>
    <cellStyle name="40% - Accent1 3 6 7" xfId="33989"/>
    <cellStyle name="40% - Accent1 3 6 7 2" xfId="33990"/>
    <cellStyle name="40% - Accent1 3 6 7 2 2" xfId="33991"/>
    <cellStyle name="40% - Accent1 3 6 7 3" xfId="33992"/>
    <cellStyle name="40% - Accent1 3 6 7 3 2" xfId="33993"/>
    <cellStyle name="40% - Accent1 3 6 7 4" xfId="33994"/>
    <cellStyle name="40% - Accent1 3 6 7 5" xfId="33995"/>
    <cellStyle name="40% - Accent1 3 6 7 6" xfId="33996"/>
    <cellStyle name="40% - Accent1 3 6 7 7" xfId="33997"/>
    <cellStyle name="40% - Accent1 3 6 8" xfId="33998"/>
    <cellStyle name="40% - Accent1 3 6 8 2" xfId="33999"/>
    <cellStyle name="40% - Accent1 3 6 9" xfId="34000"/>
    <cellStyle name="40% - Accent1 3 6 9 2" xfId="34001"/>
    <cellStyle name="40% - Accent1 3 7" xfId="34002"/>
    <cellStyle name="40% - Accent1 3 7 10" xfId="34003"/>
    <cellStyle name="40% - Accent1 3 7 11" xfId="34004"/>
    <cellStyle name="40% - Accent1 3 7 2" xfId="34005"/>
    <cellStyle name="40% - Accent1 3 7 2 10" xfId="34006"/>
    <cellStyle name="40% - Accent1 3 7 2 2" xfId="34007"/>
    <cellStyle name="40% - Accent1 3 7 2 2 2" xfId="34008"/>
    <cellStyle name="40% - Accent1 3 7 2 2 2 2" xfId="34009"/>
    <cellStyle name="40% - Accent1 3 7 2 2 3" xfId="34010"/>
    <cellStyle name="40% - Accent1 3 7 2 2 3 2" xfId="34011"/>
    <cellStyle name="40% - Accent1 3 7 2 2 4" xfId="34012"/>
    <cellStyle name="40% - Accent1 3 7 2 2 5" xfId="34013"/>
    <cellStyle name="40% - Accent1 3 7 2 2 6" xfId="34014"/>
    <cellStyle name="40% - Accent1 3 7 2 2 7" xfId="34015"/>
    <cellStyle name="40% - Accent1 3 7 2 3" xfId="34016"/>
    <cellStyle name="40% - Accent1 3 7 2 3 2" xfId="34017"/>
    <cellStyle name="40% - Accent1 3 7 2 3 2 2" xfId="34018"/>
    <cellStyle name="40% - Accent1 3 7 2 3 3" xfId="34019"/>
    <cellStyle name="40% - Accent1 3 7 2 3 3 2" xfId="34020"/>
    <cellStyle name="40% - Accent1 3 7 2 3 4" xfId="34021"/>
    <cellStyle name="40% - Accent1 3 7 2 3 5" xfId="34022"/>
    <cellStyle name="40% - Accent1 3 7 2 3 6" xfId="34023"/>
    <cellStyle name="40% - Accent1 3 7 2 3 7" xfId="34024"/>
    <cellStyle name="40% - Accent1 3 7 2 4" xfId="34025"/>
    <cellStyle name="40% - Accent1 3 7 2 4 2" xfId="34026"/>
    <cellStyle name="40% - Accent1 3 7 2 4 2 2" xfId="34027"/>
    <cellStyle name="40% - Accent1 3 7 2 4 3" xfId="34028"/>
    <cellStyle name="40% - Accent1 3 7 2 4 3 2" xfId="34029"/>
    <cellStyle name="40% - Accent1 3 7 2 4 4" xfId="34030"/>
    <cellStyle name="40% - Accent1 3 7 2 4 5" xfId="34031"/>
    <cellStyle name="40% - Accent1 3 7 2 4 6" xfId="34032"/>
    <cellStyle name="40% - Accent1 3 7 2 4 7" xfId="34033"/>
    <cellStyle name="40% - Accent1 3 7 2 5" xfId="34034"/>
    <cellStyle name="40% - Accent1 3 7 2 5 2" xfId="34035"/>
    <cellStyle name="40% - Accent1 3 7 2 6" xfId="34036"/>
    <cellStyle name="40% - Accent1 3 7 2 6 2" xfId="34037"/>
    <cellStyle name="40% - Accent1 3 7 2 7" xfId="34038"/>
    <cellStyle name="40% - Accent1 3 7 2 8" xfId="34039"/>
    <cellStyle name="40% - Accent1 3 7 2 9" xfId="34040"/>
    <cellStyle name="40% - Accent1 3 7 3" xfId="34041"/>
    <cellStyle name="40% - Accent1 3 7 3 2" xfId="34042"/>
    <cellStyle name="40% - Accent1 3 7 3 2 2" xfId="34043"/>
    <cellStyle name="40% - Accent1 3 7 3 3" xfId="34044"/>
    <cellStyle name="40% - Accent1 3 7 3 3 2" xfId="34045"/>
    <cellStyle name="40% - Accent1 3 7 3 4" xfId="34046"/>
    <cellStyle name="40% - Accent1 3 7 3 5" xfId="34047"/>
    <cellStyle name="40% - Accent1 3 7 3 6" xfId="34048"/>
    <cellStyle name="40% - Accent1 3 7 3 7" xfId="34049"/>
    <cellStyle name="40% - Accent1 3 7 4" xfId="34050"/>
    <cellStyle name="40% - Accent1 3 7 4 2" xfId="34051"/>
    <cellStyle name="40% - Accent1 3 7 4 2 2" xfId="34052"/>
    <cellStyle name="40% - Accent1 3 7 4 3" xfId="34053"/>
    <cellStyle name="40% - Accent1 3 7 4 3 2" xfId="34054"/>
    <cellStyle name="40% - Accent1 3 7 4 4" xfId="34055"/>
    <cellStyle name="40% - Accent1 3 7 4 5" xfId="34056"/>
    <cellStyle name="40% - Accent1 3 7 4 6" xfId="34057"/>
    <cellStyle name="40% - Accent1 3 7 4 7" xfId="34058"/>
    <cellStyle name="40% - Accent1 3 7 5" xfId="34059"/>
    <cellStyle name="40% - Accent1 3 7 5 2" xfId="34060"/>
    <cellStyle name="40% - Accent1 3 7 5 2 2" xfId="34061"/>
    <cellStyle name="40% - Accent1 3 7 5 3" xfId="34062"/>
    <cellStyle name="40% - Accent1 3 7 5 3 2" xfId="34063"/>
    <cellStyle name="40% - Accent1 3 7 5 4" xfId="34064"/>
    <cellStyle name="40% - Accent1 3 7 5 5" xfId="34065"/>
    <cellStyle name="40% - Accent1 3 7 5 6" xfId="34066"/>
    <cellStyle name="40% - Accent1 3 7 5 7" xfId="34067"/>
    <cellStyle name="40% - Accent1 3 7 6" xfId="34068"/>
    <cellStyle name="40% - Accent1 3 7 6 2" xfId="34069"/>
    <cellStyle name="40% - Accent1 3 7 7" xfId="34070"/>
    <cellStyle name="40% - Accent1 3 7 7 2" xfId="34071"/>
    <cellStyle name="40% - Accent1 3 7 8" xfId="34072"/>
    <cellStyle name="40% - Accent1 3 7 9" xfId="34073"/>
    <cellStyle name="40% - Accent1 3 8" xfId="34074"/>
    <cellStyle name="40% - Accent1 3 8 10" xfId="34075"/>
    <cellStyle name="40% - Accent1 3 8 11" xfId="34076"/>
    <cellStyle name="40% - Accent1 3 8 2" xfId="34077"/>
    <cellStyle name="40% - Accent1 3 8 2 10" xfId="34078"/>
    <cellStyle name="40% - Accent1 3 8 2 2" xfId="34079"/>
    <cellStyle name="40% - Accent1 3 8 2 2 2" xfId="34080"/>
    <cellStyle name="40% - Accent1 3 8 2 2 2 2" xfId="34081"/>
    <cellStyle name="40% - Accent1 3 8 2 2 3" xfId="34082"/>
    <cellStyle name="40% - Accent1 3 8 2 2 3 2" xfId="34083"/>
    <cellStyle name="40% - Accent1 3 8 2 2 4" xfId="34084"/>
    <cellStyle name="40% - Accent1 3 8 2 2 5" xfId="34085"/>
    <cellStyle name="40% - Accent1 3 8 2 2 6" xfId="34086"/>
    <cellStyle name="40% - Accent1 3 8 2 2 7" xfId="34087"/>
    <cellStyle name="40% - Accent1 3 8 2 3" xfId="34088"/>
    <cellStyle name="40% - Accent1 3 8 2 3 2" xfId="34089"/>
    <cellStyle name="40% - Accent1 3 8 2 3 2 2" xfId="34090"/>
    <cellStyle name="40% - Accent1 3 8 2 3 3" xfId="34091"/>
    <cellStyle name="40% - Accent1 3 8 2 3 3 2" xfId="34092"/>
    <cellStyle name="40% - Accent1 3 8 2 3 4" xfId="34093"/>
    <cellStyle name="40% - Accent1 3 8 2 3 5" xfId="34094"/>
    <cellStyle name="40% - Accent1 3 8 2 3 6" xfId="34095"/>
    <cellStyle name="40% - Accent1 3 8 2 3 7" xfId="34096"/>
    <cellStyle name="40% - Accent1 3 8 2 4" xfId="34097"/>
    <cellStyle name="40% - Accent1 3 8 2 4 2" xfId="34098"/>
    <cellStyle name="40% - Accent1 3 8 2 4 2 2" xfId="34099"/>
    <cellStyle name="40% - Accent1 3 8 2 4 3" xfId="34100"/>
    <cellStyle name="40% - Accent1 3 8 2 4 3 2" xfId="34101"/>
    <cellStyle name="40% - Accent1 3 8 2 4 4" xfId="34102"/>
    <cellStyle name="40% - Accent1 3 8 2 4 5" xfId="34103"/>
    <cellStyle name="40% - Accent1 3 8 2 4 6" xfId="34104"/>
    <cellStyle name="40% - Accent1 3 8 2 4 7" xfId="34105"/>
    <cellStyle name="40% - Accent1 3 8 2 5" xfId="34106"/>
    <cellStyle name="40% - Accent1 3 8 2 5 2" xfId="34107"/>
    <cellStyle name="40% - Accent1 3 8 2 6" xfId="34108"/>
    <cellStyle name="40% - Accent1 3 8 2 6 2" xfId="34109"/>
    <cellStyle name="40% - Accent1 3 8 2 7" xfId="34110"/>
    <cellStyle name="40% - Accent1 3 8 2 8" xfId="34111"/>
    <cellStyle name="40% - Accent1 3 8 2 9" xfId="34112"/>
    <cellStyle name="40% - Accent1 3 8 3" xfId="34113"/>
    <cellStyle name="40% - Accent1 3 8 3 2" xfId="34114"/>
    <cellStyle name="40% - Accent1 3 8 3 2 2" xfId="34115"/>
    <cellStyle name="40% - Accent1 3 8 3 3" xfId="34116"/>
    <cellStyle name="40% - Accent1 3 8 3 3 2" xfId="34117"/>
    <cellStyle name="40% - Accent1 3 8 3 4" xfId="34118"/>
    <cellStyle name="40% - Accent1 3 8 3 5" xfId="34119"/>
    <cellStyle name="40% - Accent1 3 8 3 6" xfId="34120"/>
    <cellStyle name="40% - Accent1 3 8 3 7" xfId="34121"/>
    <cellStyle name="40% - Accent1 3 8 4" xfId="34122"/>
    <cellStyle name="40% - Accent1 3 8 4 2" xfId="34123"/>
    <cellStyle name="40% - Accent1 3 8 4 2 2" xfId="34124"/>
    <cellStyle name="40% - Accent1 3 8 4 3" xfId="34125"/>
    <cellStyle name="40% - Accent1 3 8 4 3 2" xfId="34126"/>
    <cellStyle name="40% - Accent1 3 8 4 4" xfId="34127"/>
    <cellStyle name="40% - Accent1 3 8 4 5" xfId="34128"/>
    <cellStyle name="40% - Accent1 3 8 4 6" xfId="34129"/>
    <cellStyle name="40% - Accent1 3 8 4 7" xfId="34130"/>
    <cellStyle name="40% - Accent1 3 8 5" xfId="34131"/>
    <cellStyle name="40% - Accent1 3 8 5 2" xfId="34132"/>
    <cellStyle name="40% - Accent1 3 8 5 2 2" xfId="34133"/>
    <cellStyle name="40% - Accent1 3 8 5 3" xfId="34134"/>
    <cellStyle name="40% - Accent1 3 8 5 3 2" xfId="34135"/>
    <cellStyle name="40% - Accent1 3 8 5 4" xfId="34136"/>
    <cellStyle name="40% - Accent1 3 8 5 5" xfId="34137"/>
    <cellStyle name="40% - Accent1 3 8 5 6" xfId="34138"/>
    <cellStyle name="40% - Accent1 3 8 5 7" xfId="34139"/>
    <cellStyle name="40% - Accent1 3 8 6" xfId="34140"/>
    <cellStyle name="40% - Accent1 3 8 6 2" xfId="34141"/>
    <cellStyle name="40% - Accent1 3 8 7" xfId="34142"/>
    <cellStyle name="40% - Accent1 3 8 7 2" xfId="34143"/>
    <cellStyle name="40% - Accent1 3 8 8" xfId="34144"/>
    <cellStyle name="40% - Accent1 3 8 9" xfId="34145"/>
    <cellStyle name="40% - Accent1 3 9" xfId="34146"/>
    <cellStyle name="40% - Accent1 3 9 10" xfId="34147"/>
    <cellStyle name="40% - Accent1 3 9 2" xfId="34148"/>
    <cellStyle name="40% - Accent1 3 9 2 2" xfId="34149"/>
    <cellStyle name="40% - Accent1 3 9 2 2 2" xfId="34150"/>
    <cellStyle name="40% - Accent1 3 9 2 3" xfId="34151"/>
    <cellStyle name="40% - Accent1 3 9 2 3 2" xfId="34152"/>
    <cellStyle name="40% - Accent1 3 9 2 4" xfId="34153"/>
    <cellStyle name="40% - Accent1 3 9 2 5" xfId="34154"/>
    <cellStyle name="40% - Accent1 3 9 2 6" xfId="34155"/>
    <cellStyle name="40% - Accent1 3 9 2 7" xfId="34156"/>
    <cellStyle name="40% - Accent1 3 9 3" xfId="34157"/>
    <cellStyle name="40% - Accent1 3 9 3 2" xfId="34158"/>
    <cellStyle name="40% - Accent1 3 9 3 2 2" xfId="34159"/>
    <cellStyle name="40% - Accent1 3 9 3 3" xfId="34160"/>
    <cellStyle name="40% - Accent1 3 9 3 3 2" xfId="34161"/>
    <cellStyle name="40% - Accent1 3 9 3 4" xfId="34162"/>
    <cellStyle name="40% - Accent1 3 9 3 5" xfId="34163"/>
    <cellStyle name="40% - Accent1 3 9 3 6" xfId="34164"/>
    <cellStyle name="40% - Accent1 3 9 3 7" xfId="34165"/>
    <cellStyle name="40% - Accent1 3 9 4" xfId="34166"/>
    <cellStyle name="40% - Accent1 3 9 4 2" xfId="34167"/>
    <cellStyle name="40% - Accent1 3 9 4 2 2" xfId="34168"/>
    <cellStyle name="40% - Accent1 3 9 4 3" xfId="34169"/>
    <cellStyle name="40% - Accent1 3 9 4 3 2" xfId="34170"/>
    <cellStyle name="40% - Accent1 3 9 4 4" xfId="34171"/>
    <cellStyle name="40% - Accent1 3 9 4 5" xfId="34172"/>
    <cellStyle name="40% - Accent1 3 9 4 6" xfId="34173"/>
    <cellStyle name="40% - Accent1 3 9 4 7" xfId="34174"/>
    <cellStyle name="40% - Accent1 3 9 5" xfId="34175"/>
    <cellStyle name="40% - Accent1 3 9 5 2" xfId="34176"/>
    <cellStyle name="40% - Accent1 3 9 6" xfId="34177"/>
    <cellStyle name="40% - Accent1 3 9 6 2" xfId="34178"/>
    <cellStyle name="40% - Accent1 3 9 7" xfId="34179"/>
    <cellStyle name="40% - Accent1 3 9 8" xfId="34180"/>
    <cellStyle name="40% - Accent1 3 9 9" xfId="34181"/>
    <cellStyle name="40% - Accent1 3_10-15-10-Stmt AU - Period I - Working 1 0" xfId="253"/>
    <cellStyle name="40% - Accent1 4" xfId="254"/>
    <cellStyle name="40% - Accent1 4 2" xfId="255"/>
    <cellStyle name="40% - Accent1 4 3" xfId="256"/>
    <cellStyle name="40% - Accent1 4_10-15-10-Stmt AU - Period I - Working 1 0" xfId="257"/>
    <cellStyle name="40% - Accent1 5" xfId="258"/>
    <cellStyle name="40% - Accent1 5 2" xfId="259"/>
    <cellStyle name="40% - Accent1 5 3" xfId="260"/>
    <cellStyle name="40% - Accent1 5_10-15-10-Stmt AU - Period I - Working 1 0" xfId="261"/>
    <cellStyle name="40% - Accent1 6" xfId="262"/>
    <cellStyle name="40% - Accent1 6 2" xfId="263"/>
    <cellStyle name="40% - Accent1 6 3" xfId="264"/>
    <cellStyle name="40% - Accent1 6_10-15-10-Stmt AU - Period I - Working 1 0" xfId="265"/>
    <cellStyle name="40% - Accent1 7" xfId="266"/>
    <cellStyle name="40% - Accent1 7 2" xfId="267"/>
    <cellStyle name="40% - Accent1 7 3" xfId="268"/>
    <cellStyle name="40% - Accent1 7_10-15-10-Stmt AU - Period I - Working 1 0" xfId="269"/>
    <cellStyle name="40% - Accent1 8" xfId="270"/>
    <cellStyle name="40% - Accent1 9" xfId="271"/>
    <cellStyle name="40% - Accent2 10" xfId="272"/>
    <cellStyle name="40% - Accent2 11" xfId="273"/>
    <cellStyle name="40% - Accent2 12" xfId="274"/>
    <cellStyle name="40% - Accent2 13" xfId="275"/>
    <cellStyle name="40% - Accent2 2" xfId="276"/>
    <cellStyle name="40% - Accent2 2 10" xfId="34182"/>
    <cellStyle name="40% - Accent2 2 10 2" xfId="34183"/>
    <cellStyle name="40% - Accent2 2 10 2 2" xfId="34184"/>
    <cellStyle name="40% - Accent2 2 10 3" xfId="34185"/>
    <cellStyle name="40% - Accent2 2 10 3 2" xfId="34186"/>
    <cellStyle name="40% - Accent2 2 10 4" xfId="34187"/>
    <cellStyle name="40% - Accent2 2 10 5" xfId="34188"/>
    <cellStyle name="40% - Accent2 2 10 6" xfId="34189"/>
    <cellStyle name="40% - Accent2 2 10 7" xfId="34190"/>
    <cellStyle name="40% - Accent2 2 11" xfId="34191"/>
    <cellStyle name="40% - Accent2 2 11 2" xfId="34192"/>
    <cellStyle name="40% - Accent2 2 11 2 2" xfId="34193"/>
    <cellStyle name="40% - Accent2 2 11 3" xfId="34194"/>
    <cellStyle name="40% - Accent2 2 11 3 2" xfId="34195"/>
    <cellStyle name="40% - Accent2 2 11 4" xfId="34196"/>
    <cellStyle name="40% - Accent2 2 11 5" xfId="34197"/>
    <cellStyle name="40% - Accent2 2 11 6" xfId="34198"/>
    <cellStyle name="40% - Accent2 2 11 7" xfId="34199"/>
    <cellStyle name="40% - Accent2 2 12" xfId="34200"/>
    <cellStyle name="40% - Accent2 2 12 2" xfId="34201"/>
    <cellStyle name="40% - Accent2 2 12 2 2" xfId="34202"/>
    <cellStyle name="40% - Accent2 2 12 3" xfId="34203"/>
    <cellStyle name="40% - Accent2 2 12 3 2" xfId="34204"/>
    <cellStyle name="40% - Accent2 2 12 4" xfId="34205"/>
    <cellStyle name="40% - Accent2 2 12 5" xfId="34206"/>
    <cellStyle name="40% - Accent2 2 12 6" xfId="34207"/>
    <cellStyle name="40% - Accent2 2 12 7" xfId="34208"/>
    <cellStyle name="40% - Accent2 2 13" xfId="34209"/>
    <cellStyle name="40% - Accent2 2 13 2" xfId="34210"/>
    <cellStyle name="40% - Accent2 2 14" xfId="34211"/>
    <cellStyle name="40% - Accent2 2 14 2" xfId="34212"/>
    <cellStyle name="40% - Accent2 2 15" xfId="34213"/>
    <cellStyle name="40% - Accent2 2 16" xfId="34214"/>
    <cellStyle name="40% - Accent2 2 17" xfId="34215"/>
    <cellStyle name="40% - Accent2 2 18" xfId="34216"/>
    <cellStyle name="40% - Accent2 2 2" xfId="277"/>
    <cellStyle name="40% - Accent2 2 2 10" xfId="34217"/>
    <cellStyle name="40% - Accent2 2 2 11" xfId="34218"/>
    <cellStyle name="40% - Accent2 2 2 12" xfId="34219"/>
    <cellStyle name="40% - Accent2 2 2 13" xfId="34220"/>
    <cellStyle name="40% - Accent2 2 2 2" xfId="34221"/>
    <cellStyle name="40% - Accent2 2 2 2 10" xfId="34222"/>
    <cellStyle name="40% - Accent2 2 2 2 11" xfId="34223"/>
    <cellStyle name="40% - Accent2 2 2 2 2" xfId="34224"/>
    <cellStyle name="40% - Accent2 2 2 2 2 10" xfId="34225"/>
    <cellStyle name="40% - Accent2 2 2 2 2 2" xfId="34226"/>
    <cellStyle name="40% - Accent2 2 2 2 2 2 2" xfId="34227"/>
    <cellStyle name="40% - Accent2 2 2 2 2 2 2 2" xfId="34228"/>
    <cellStyle name="40% - Accent2 2 2 2 2 2 3" xfId="34229"/>
    <cellStyle name="40% - Accent2 2 2 2 2 2 3 2" xfId="34230"/>
    <cellStyle name="40% - Accent2 2 2 2 2 2 4" xfId="34231"/>
    <cellStyle name="40% - Accent2 2 2 2 2 2 5" xfId="34232"/>
    <cellStyle name="40% - Accent2 2 2 2 2 2 6" xfId="34233"/>
    <cellStyle name="40% - Accent2 2 2 2 2 2 7" xfId="34234"/>
    <cellStyle name="40% - Accent2 2 2 2 2 3" xfId="34235"/>
    <cellStyle name="40% - Accent2 2 2 2 2 3 2" xfId="34236"/>
    <cellStyle name="40% - Accent2 2 2 2 2 3 2 2" xfId="34237"/>
    <cellStyle name="40% - Accent2 2 2 2 2 3 3" xfId="34238"/>
    <cellStyle name="40% - Accent2 2 2 2 2 3 3 2" xfId="34239"/>
    <cellStyle name="40% - Accent2 2 2 2 2 3 4" xfId="34240"/>
    <cellStyle name="40% - Accent2 2 2 2 2 3 5" xfId="34241"/>
    <cellStyle name="40% - Accent2 2 2 2 2 3 6" xfId="34242"/>
    <cellStyle name="40% - Accent2 2 2 2 2 3 7" xfId="34243"/>
    <cellStyle name="40% - Accent2 2 2 2 2 4" xfId="34244"/>
    <cellStyle name="40% - Accent2 2 2 2 2 4 2" xfId="34245"/>
    <cellStyle name="40% - Accent2 2 2 2 2 4 2 2" xfId="34246"/>
    <cellStyle name="40% - Accent2 2 2 2 2 4 3" xfId="34247"/>
    <cellStyle name="40% - Accent2 2 2 2 2 4 3 2" xfId="34248"/>
    <cellStyle name="40% - Accent2 2 2 2 2 4 4" xfId="34249"/>
    <cellStyle name="40% - Accent2 2 2 2 2 4 5" xfId="34250"/>
    <cellStyle name="40% - Accent2 2 2 2 2 4 6" xfId="34251"/>
    <cellStyle name="40% - Accent2 2 2 2 2 4 7" xfId="34252"/>
    <cellStyle name="40% - Accent2 2 2 2 2 5" xfId="34253"/>
    <cellStyle name="40% - Accent2 2 2 2 2 5 2" xfId="34254"/>
    <cellStyle name="40% - Accent2 2 2 2 2 6" xfId="34255"/>
    <cellStyle name="40% - Accent2 2 2 2 2 6 2" xfId="34256"/>
    <cellStyle name="40% - Accent2 2 2 2 2 7" xfId="34257"/>
    <cellStyle name="40% - Accent2 2 2 2 2 8" xfId="34258"/>
    <cellStyle name="40% - Accent2 2 2 2 2 9" xfId="34259"/>
    <cellStyle name="40% - Accent2 2 2 2 3" xfId="34260"/>
    <cellStyle name="40% - Accent2 2 2 2 3 2" xfId="34261"/>
    <cellStyle name="40% - Accent2 2 2 2 3 2 2" xfId="34262"/>
    <cellStyle name="40% - Accent2 2 2 2 3 3" xfId="34263"/>
    <cellStyle name="40% - Accent2 2 2 2 3 3 2" xfId="34264"/>
    <cellStyle name="40% - Accent2 2 2 2 3 4" xfId="34265"/>
    <cellStyle name="40% - Accent2 2 2 2 3 5" xfId="34266"/>
    <cellStyle name="40% - Accent2 2 2 2 3 6" xfId="34267"/>
    <cellStyle name="40% - Accent2 2 2 2 3 7" xfId="34268"/>
    <cellStyle name="40% - Accent2 2 2 2 4" xfId="34269"/>
    <cellStyle name="40% - Accent2 2 2 2 4 2" xfId="34270"/>
    <cellStyle name="40% - Accent2 2 2 2 4 2 2" xfId="34271"/>
    <cellStyle name="40% - Accent2 2 2 2 4 3" xfId="34272"/>
    <cellStyle name="40% - Accent2 2 2 2 4 3 2" xfId="34273"/>
    <cellStyle name="40% - Accent2 2 2 2 4 4" xfId="34274"/>
    <cellStyle name="40% - Accent2 2 2 2 4 5" xfId="34275"/>
    <cellStyle name="40% - Accent2 2 2 2 4 6" xfId="34276"/>
    <cellStyle name="40% - Accent2 2 2 2 4 7" xfId="34277"/>
    <cellStyle name="40% - Accent2 2 2 2 5" xfId="34278"/>
    <cellStyle name="40% - Accent2 2 2 2 5 2" xfId="34279"/>
    <cellStyle name="40% - Accent2 2 2 2 5 2 2" xfId="34280"/>
    <cellStyle name="40% - Accent2 2 2 2 5 3" xfId="34281"/>
    <cellStyle name="40% - Accent2 2 2 2 5 3 2" xfId="34282"/>
    <cellStyle name="40% - Accent2 2 2 2 5 4" xfId="34283"/>
    <cellStyle name="40% - Accent2 2 2 2 5 5" xfId="34284"/>
    <cellStyle name="40% - Accent2 2 2 2 5 6" xfId="34285"/>
    <cellStyle name="40% - Accent2 2 2 2 5 7" xfId="34286"/>
    <cellStyle name="40% - Accent2 2 2 2 6" xfId="34287"/>
    <cellStyle name="40% - Accent2 2 2 2 6 2" xfId="34288"/>
    <cellStyle name="40% - Accent2 2 2 2 7" xfId="34289"/>
    <cellStyle name="40% - Accent2 2 2 2 7 2" xfId="34290"/>
    <cellStyle name="40% - Accent2 2 2 2 8" xfId="34291"/>
    <cellStyle name="40% - Accent2 2 2 2 9" xfId="34292"/>
    <cellStyle name="40% - Accent2 2 2 3" xfId="34293"/>
    <cellStyle name="40% - Accent2 2 2 3 10" xfId="34294"/>
    <cellStyle name="40% - Accent2 2 2 3 11" xfId="34295"/>
    <cellStyle name="40% - Accent2 2 2 3 2" xfId="34296"/>
    <cellStyle name="40% - Accent2 2 2 3 2 10" xfId="34297"/>
    <cellStyle name="40% - Accent2 2 2 3 2 2" xfId="34298"/>
    <cellStyle name="40% - Accent2 2 2 3 2 2 2" xfId="34299"/>
    <cellStyle name="40% - Accent2 2 2 3 2 2 2 2" xfId="34300"/>
    <cellStyle name="40% - Accent2 2 2 3 2 2 3" xfId="34301"/>
    <cellStyle name="40% - Accent2 2 2 3 2 2 3 2" xfId="34302"/>
    <cellStyle name="40% - Accent2 2 2 3 2 2 4" xfId="34303"/>
    <cellStyle name="40% - Accent2 2 2 3 2 2 5" xfId="34304"/>
    <cellStyle name="40% - Accent2 2 2 3 2 2 6" xfId="34305"/>
    <cellStyle name="40% - Accent2 2 2 3 2 2 7" xfId="34306"/>
    <cellStyle name="40% - Accent2 2 2 3 2 3" xfId="34307"/>
    <cellStyle name="40% - Accent2 2 2 3 2 3 2" xfId="34308"/>
    <cellStyle name="40% - Accent2 2 2 3 2 3 2 2" xfId="34309"/>
    <cellStyle name="40% - Accent2 2 2 3 2 3 3" xfId="34310"/>
    <cellStyle name="40% - Accent2 2 2 3 2 3 3 2" xfId="34311"/>
    <cellStyle name="40% - Accent2 2 2 3 2 3 4" xfId="34312"/>
    <cellStyle name="40% - Accent2 2 2 3 2 3 5" xfId="34313"/>
    <cellStyle name="40% - Accent2 2 2 3 2 3 6" xfId="34314"/>
    <cellStyle name="40% - Accent2 2 2 3 2 3 7" xfId="34315"/>
    <cellStyle name="40% - Accent2 2 2 3 2 4" xfId="34316"/>
    <cellStyle name="40% - Accent2 2 2 3 2 4 2" xfId="34317"/>
    <cellStyle name="40% - Accent2 2 2 3 2 4 2 2" xfId="34318"/>
    <cellStyle name="40% - Accent2 2 2 3 2 4 3" xfId="34319"/>
    <cellStyle name="40% - Accent2 2 2 3 2 4 3 2" xfId="34320"/>
    <cellStyle name="40% - Accent2 2 2 3 2 4 4" xfId="34321"/>
    <cellStyle name="40% - Accent2 2 2 3 2 4 5" xfId="34322"/>
    <cellStyle name="40% - Accent2 2 2 3 2 4 6" xfId="34323"/>
    <cellStyle name="40% - Accent2 2 2 3 2 4 7" xfId="34324"/>
    <cellStyle name="40% - Accent2 2 2 3 2 5" xfId="34325"/>
    <cellStyle name="40% - Accent2 2 2 3 2 5 2" xfId="34326"/>
    <cellStyle name="40% - Accent2 2 2 3 2 6" xfId="34327"/>
    <cellStyle name="40% - Accent2 2 2 3 2 6 2" xfId="34328"/>
    <cellStyle name="40% - Accent2 2 2 3 2 7" xfId="34329"/>
    <cellStyle name="40% - Accent2 2 2 3 2 8" xfId="34330"/>
    <cellStyle name="40% - Accent2 2 2 3 2 9" xfId="34331"/>
    <cellStyle name="40% - Accent2 2 2 3 3" xfId="34332"/>
    <cellStyle name="40% - Accent2 2 2 3 3 2" xfId="34333"/>
    <cellStyle name="40% - Accent2 2 2 3 3 2 2" xfId="34334"/>
    <cellStyle name="40% - Accent2 2 2 3 3 3" xfId="34335"/>
    <cellStyle name="40% - Accent2 2 2 3 3 3 2" xfId="34336"/>
    <cellStyle name="40% - Accent2 2 2 3 3 4" xfId="34337"/>
    <cellStyle name="40% - Accent2 2 2 3 3 5" xfId="34338"/>
    <cellStyle name="40% - Accent2 2 2 3 3 6" xfId="34339"/>
    <cellStyle name="40% - Accent2 2 2 3 3 7" xfId="34340"/>
    <cellStyle name="40% - Accent2 2 2 3 4" xfId="34341"/>
    <cellStyle name="40% - Accent2 2 2 3 4 2" xfId="34342"/>
    <cellStyle name="40% - Accent2 2 2 3 4 2 2" xfId="34343"/>
    <cellStyle name="40% - Accent2 2 2 3 4 3" xfId="34344"/>
    <cellStyle name="40% - Accent2 2 2 3 4 3 2" xfId="34345"/>
    <cellStyle name="40% - Accent2 2 2 3 4 4" xfId="34346"/>
    <cellStyle name="40% - Accent2 2 2 3 4 5" xfId="34347"/>
    <cellStyle name="40% - Accent2 2 2 3 4 6" xfId="34348"/>
    <cellStyle name="40% - Accent2 2 2 3 4 7" xfId="34349"/>
    <cellStyle name="40% - Accent2 2 2 3 5" xfId="34350"/>
    <cellStyle name="40% - Accent2 2 2 3 5 2" xfId="34351"/>
    <cellStyle name="40% - Accent2 2 2 3 5 2 2" xfId="34352"/>
    <cellStyle name="40% - Accent2 2 2 3 5 3" xfId="34353"/>
    <cellStyle name="40% - Accent2 2 2 3 5 3 2" xfId="34354"/>
    <cellStyle name="40% - Accent2 2 2 3 5 4" xfId="34355"/>
    <cellStyle name="40% - Accent2 2 2 3 5 5" xfId="34356"/>
    <cellStyle name="40% - Accent2 2 2 3 5 6" xfId="34357"/>
    <cellStyle name="40% - Accent2 2 2 3 5 7" xfId="34358"/>
    <cellStyle name="40% - Accent2 2 2 3 6" xfId="34359"/>
    <cellStyle name="40% - Accent2 2 2 3 6 2" xfId="34360"/>
    <cellStyle name="40% - Accent2 2 2 3 7" xfId="34361"/>
    <cellStyle name="40% - Accent2 2 2 3 7 2" xfId="34362"/>
    <cellStyle name="40% - Accent2 2 2 3 8" xfId="34363"/>
    <cellStyle name="40% - Accent2 2 2 3 9" xfId="34364"/>
    <cellStyle name="40% - Accent2 2 2 4" xfId="34365"/>
    <cellStyle name="40% - Accent2 2 2 4 10" xfId="34366"/>
    <cellStyle name="40% - Accent2 2 2 4 2" xfId="34367"/>
    <cellStyle name="40% - Accent2 2 2 4 2 2" xfId="34368"/>
    <cellStyle name="40% - Accent2 2 2 4 2 2 2" xfId="34369"/>
    <cellStyle name="40% - Accent2 2 2 4 2 3" xfId="34370"/>
    <cellStyle name="40% - Accent2 2 2 4 2 3 2" xfId="34371"/>
    <cellStyle name="40% - Accent2 2 2 4 2 4" xfId="34372"/>
    <cellStyle name="40% - Accent2 2 2 4 2 5" xfId="34373"/>
    <cellStyle name="40% - Accent2 2 2 4 2 6" xfId="34374"/>
    <cellStyle name="40% - Accent2 2 2 4 2 7" xfId="34375"/>
    <cellStyle name="40% - Accent2 2 2 4 3" xfId="34376"/>
    <cellStyle name="40% - Accent2 2 2 4 3 2" xfId="34377"/>
    <cellStyle name="40% - Accent2 2 2 4 3 2 2" xfId="34378"/>
    <cellStyle name="40% - Accent2 2 2 4 3 3" xfId="34379"/>
    <cellStyle name="40% - Accent2 2 2 4 3 3 2" xfId="34380"/>
    <cellStyle name="40% - Accent2 2 2 4 3 4" xfId="34381"/>
    <cellStyle name="40% - Accent2 2 2 4 3 5" xfId="34382"/>
    <cellStyle name="40% - Accent2 2 2 4 3 6" xfId="34383"/>
    <cellStyle name="40% - Accent2 2 2 4 3 7" xfId="34384"/>
    <cellStyle name="40% - Accent2 2 2 4 4" xfId="34385"/>
    <cellStyle name="40% - Accent2 2 2 4 4 2" xfId="34386"/>
    <cellStyle name="40% - Accent2 2 2 4 4 2 2" xfId="34387"/>
    <cellStyle name="40% - Accent2 2 2 4 4 3" xfId="34388"/>
    <cellStyle name="40% - Accent2 2 2 4 4 3 2" xfId="34389"/>
    <cellStyle name="40% - Accent2 2 2 4 4 4" xfId="34390"/>
    <cellStyle name="40% - Accent2 2 2 4 4 5" xfId="34391"/>
    <cellStyle name="40% - Accent2 2 2 4 4 6" xfId="34392"/>
    <cellStyle name="40% - Accent2 2 2 4 4 7" xfId="34393"/>
    <cellStyle name="40% - Accent2 2 2 4 5" xfId="34394"/>
    <cellStyle name="40% - Accent2 2 2 4 5 2" xfId="34395"/>
    <cellStyle name="40% - Accent2 2 2 4 6" xfId="34396"/>
    <cellStyle name="40% - Accent2 2 2 4 6 2" xfId="34397"/>
    <cellStyle name="40% - Accent2 2 2 4 7" xfId="34398"/>
    <cellStyle name="40% - Accent2 2 2 4 8" xfId="34399"/>
    <cellStyle name="40% - Accent2 2 2 4 9" xfId="34400"/>
    <cellStyle name="40% - Accent2 2 2 5" xfId="34401"/>
    <cellStyle name="40% - Accent2 2 2 5 2" xfId="34402"/>
    <cellStyle name="40% - Accent2 2 2 5 2 2" xfId="34403"/>
    <cellStyle name="40% - Accent2 2 2 5 3" xfId="34404"/>
    <cellStyle name="40% - Accent2 2 2 5 3 2" xfId="34405"/>
    <cellStyle name="40% - Accent2 2 2 5 4" xfId="34406"/>
    <cellStyle name="40% - Accent2 2 2 5 5" xfId="34407"/>
    <cellStyle name="40% - Accent2 2 2 5 6" xfId="34408"/>
    <cellStyle name="40% - Accent2 2 2 5 7" xfId="34409"/>
    <cellStyle name="40% - Accent2 2 2 6" xfId="34410"/>
    <cellStyle name="40% - Accent2 2 2 6 2" xfId="34411"/>
    <cellStyle name="40% - Accent2 2 2 6 2 2" xfId="34412"/>
    <cellStyle name="40% - Accent2 2 2 6 3" xfId="34413"/>
    <cellStyle name="40% - Accent2 2 2 6 3 2" xfId="34414"/>
    <cellStyle name="40% - Accent2 2 2 6 4" xfId="34415"/>
    <cellStyle name="40% - Accent2 2 2 6 5" xfId="34416"/>
    <cellStyle name="40% - Accent2 2 2 6 6" xfId="34417"/>
    <cellStyle name="40% - Accent2 2 2 6 7" xfId="34418"/>
    <cellStyle name="40% - Accent2 2 2 7" xfId="34419"/>
    <cellStyle name="40% - Accent2 2 2 7 2" xfId="34420"/>
    <cellStyle name="40% - Accent2 2 2 7 2 2" xfId="34421"/>
    <cellStyle name="40% - Accent2 2 2 7 3" xfId="34422"/>
    <cellStyle name="40% - Accent2 2 2 7 3 2" xfId="34423"/>
    <cellStyle name="40% - Accent2 2 2 7 4" xfId="34424"/>
    <cellStyle name="40% - Accent2 2 2 7 5" xfId="34425"/>
    <cellStyle name="40% - Accent2 2 2 7 6" xfId="34426"/>
    <cellStyle name="40% - Accent2 2 2 7 7" xfId="34427"/>
    <cellStyle name="40% - Accent2 2 2 8" xfId="34428"/>
    <cellStyle name="40% - Accent2 2 2 8 2" xfId="34429"/>
    <cellStyle name="40% - Accent2 2 2 9" xfId="34430"/>
    <cellStyle name="40% - Accent2 2 2 9 2" xfId="34431"/>
    <cellStyle name="40% - Accent2 2 3" xfId="278"/>
    <cellStyle name="40% - Accent2 2 3 10" xfId="34432"/>
    <cellStyle name="40% - Accent2 2 3 11" xfId="34433"/>
    <cellStyle name="40% - Accent2 2 3 12" xfId="34434"/>
    <cellStyle name="40% - Accent2 2 3 13" xfId="34435"/>
    <cellStyle name="40% - Accent2 2 3 2" xfId="34436"/>
    <cellStyle name="40% - Accent2 2 3 2 10" xfId="34437"/>
    <cellStyle name="40% - Accent2 2 3 2 11" xfId="34438"/>
    <cellStyle name="40% - Accent2 2 3 2 2" xfId="34439"/>
    <cellStyle name="40% - Accent2 2 3 2 2 10" xfId="34440"/>
    <cellStyle name="40% - Accent2 2 3 2 2 2" xfId="34441"/>
    <cellStyle name="40% - Accent2 2 3 2 2 2 2" xfId="34442"/>
    <cellStyle name="40% - Accent2 2 3 2 2 2 2 2" xfId="34443"/>
    <cellStyle name="40% - Accent2 2 3 2 2 2 3" xfId="34444"/>
    <cellStyle name="40% - Accent2 2 3 2 2 2 3 2" xfId="34445"/>
    <cellStyle name="40% - Accent2 2 3 2 2 2 4" xfId="34446"/>
    <cellStyle name="40% - Accent2 2 3 2 2 2 5" xfId="34447"/>
    <cellStyle name="40% - Accent2 2 3 2 2 2 6" xfId="34448"/>
    <cellStyle name="40% - Accent2 2 3 2 2 2 7" xfId="34449"/>
    <cellStyle name="40% - Accent2 2 3 2 2 3" xfId="34450"/>
    <cellStyle name="40% - Accent2 2 3 2 2 3 2" xfId="34451"/>
    <cellStyle name="40% - Accent2 2 3 2 2 3 2 2" xfId="34452"/>
    <cellStyle name="40% - Accent2 2 3 2 2 3 3" xfId="34453"/>
    <cellStyle name="40% - Accent2 2 3 2 2 3 3 2" xfId="34454"/>
    <cellStyle name="40% - Accent2 2 3 2 2 3 4" xfId="34455"/>
    <cellStyle name="40% - Accent2 2 3 2 2 3 5" xfId="34456"/>
    <cellStyle name="40% - Accent2 2 3 2 2 3 6" xfId="34457"/>
    <cellStyle name="40% - Accent2 2 3 2 2 3 7" xfId="34458"/>
    <cellStyle name="40% - Accent2 2 3 2 2 4" xfId="34459"/>
    <cellStyle name="40% - Accent2 2 3 2 2 4 2" xfId="34460"/>
    <cellStyle name="40% - Accent2 2 3 2 2 4 2 2" xfId="34461"/>
    <cellStyle name="40% - Accent2 2 3 2 2 4 3" xfId="34462"/>
    <cellStyle name="40% - Accent2 2 3 2 2 4 3 2" xfId="34463"/>
    <cellStyle name="40% - Accent2 2 3 2 2 4 4" xfId="34464"/>
    <cellStyle name="40% - Accent2 2 3 2 2 4 5" xfId="34465"/>
    <cellStyle name="40% - Accent2 2 3 2 2 4 6" xfId="34466"/>
    <cellStyle name="40% - Accent2 2 3 2 2 4 7" xfId="34467"/>
    <cellStyle name="40% - Accent2 2 3 2 2 5" xfId="34468"/>
    <cellStyle name="40% - Accent2 2 3 2 2 5 2" xfId="34469"/>
    <cellStyle name="40% - Accent2 2 3 2 2 6" xfId="34470"/>
    <cellStyle name="40% - Accent2 2 3 2 2 6 2" xfId="34471"/>
    <cellStyle name="40% - Accent2 2 3 2 2 7" xfId="34472"/>
    <cellStyle name="40% - Accent2 2 3 2 2 8" xfId="34473"/>
    <cellStyle name="40% - Accent2 2 3 2 2 9" xfId="34474"/>
    <cellStyle name="40% - Accent2 2 3 2 3" xfId="34475"/>
    <cellStyle name="40% - Accent2 2 3 2 3 2" xfId="34476"/>
    <cellStyle name="40% - Accent2 2 3 2 3 2 2" xfId="34477"/>
    <cellStyle name="40% - Accent2 2 3 2 3 3" xfId="34478"/>
    <cellStyle name="40% - Accent2 2 3 2 3 3 2" xfId="34479"/>
    <cellStyle name="40% - Accent2 2 3 2 3 4" xfId="34480"/>
    <cellStyle name="40% - Accent2 2 3 2 3 5" xfId="34481"/>
    <cellStyle name="40% - Accent2 2 3 2 3 6" xfId="34482"/>
    <cellStyle name="40% - Accent2 2 3 2 3 7" xfId="34483"/>
    <cellStyle name="40% - Accent2 2 3 2 4" xfId="34484"/>
    <cellStyle name="40% - Accent2 2 3 2 4 2" xfId="34485"/>
    <cellStyle name="40% - Accent2 2 3 2 4 2 2" xfId="34486"/>
    <cellStyle name="40% - Accent2 2 3 2 4 3" xfId="34487"/>
    <cellStyle name="40% - Accent2 2 3 2 4 3 2" xfId="34488"/>
    <cellStyle name="40% - Accent2 2 3 2 4 4" xfId="34489"/>
    <cellStyle name="40% - Accent2 2 3 2 4 5" xfId="34490"/>
    <cellStyle name="40% - Accent2 2 3 2 4 6" xfId="34491"/>
    <cellStyle name="40% - Accent2 2 3 2 4 7" xfId="34492"/>
    <cellStyle name="40% - Accent2 2 3 2 5" xfId="34493"/>
    <cellStyle name="40% - Accent2 2 3 2 5 2" xfId="34494"/>
    <cellStyle name="40% - Accent2 2 3 2 5 2 2" xfId="34495"/>
    <cellStyle name="40% - Accent2 2 3 2 5 3" xfId="34496"/>
    <cellStyle name="40% - Accent2 2 3 2 5 3 2" xfId="34497"/>
    <cellStyle name="40% - Accent2 2 3 2 5 4" xfId="34498"/>
    <cellStyle name="40% - Accent2 2 3 2 5 5" xfId="34499"/>
    <cellStyle name="40% - Accent2 2 3 2 5 6" xfId="34500"/>
    <cellStyle name="40% - Accent2 2 3 2 5 7" xfId="34501"/>
    <cellStyle name="40% - Accent2 2 3 2 6" xfId="34502"/>
    <cellStyle name="40% - Accent2 2 3 2 6 2" xfId="34503"/>
    <cellStyle name="40% - Accent2 2 3 2 7" xfId="34504"/>
    <cellStyle name="40% - Accent2 2 3 2 7 2" xfId="34505"/>
    <cellStyle name="40% - Accent2 2 3 2 8" xfId="34506"/>
    <cellStyle name="40% - Accent2 2 3 2 9" xfId="34507"/>
    <cellStyle name="40% - Accent2 2 3 3" xfId="34508"/>
    <cellStyle name="40% - Accent2 2 3 3 10" xfId="34509"/>
    <cellStyle name="40% - Accent2 2 3 3 11" xfId="34510"/>
    <cellStyle name="40% - Accent2 2 3 3 2" xfId="34511"/>
    <cellStyle name="40% - Accent2 2 3 3 2 10" xfId="34512"/>
    <cellStyle name="40% - Accent2 2 3 3 2 2" xfId="34513"/>
    <cellStyle name="40% - Accent2 2 3 3 2 2 2" xfId="34514"/>
    <cellStyle name="40% - Accent2 2 3 3 2 2 2 2" xfId="34515"/>
    <cellStyle name="40% - Accent2 2 3 3 2 2 3" xfId="34516"/>
    <cellStyle name="40% - Accent2 2 3 3 2 2 3 2" xfId="34517"/>
    <cellStyle name="40% - Accent2 2 3 3 2 2 4" xfId="34518"/>
    <cellStyle name="40% - Accent2 2 3 3 2 2 5" xfId="34519"/>
    <cellStyle name="40% - Accent2 2 3 3 2 2 6" xfId="34520"/>
    <cellStyle name="40% - Accent2 2 3 3 2 2 7" xfId="34521"/>
    <cellStyle name="40% - Accent2 2 3 3 2 3" xfId="34522"/>
    <cellStyle name="40% - Accent2 2 3 3 2 3 2" xfId="34523"/>
    <cellStyle name="40% - Accent2 2 3 3 2 3 2 2" xfId="34524"/>
    <cellStyle name="40% - Accent2 2 3 3 2 3 3" xfId="34525"/>
    <cellStyle name="40% - Accent2 2 3 3 2 3 3 2" xfId="34526"/>
    <cellStyle name="40% - Accent2 2 3 3 2 3 4" xfId="34527"/>
    <cellStyle name="40% - Accent2 2 3 3 2 3 5" xfId="34528"/>
    <cellStyle name="40% - Accent2 2 3 3 2 3 6" xfId="34529"/>
    <cellStyle name="40% - Accent2 2 3 3 2 3 7" xfId="34530"/>
    <cellStyle name="40% - Accent2 2 3 3 2 4" xfId="34531"/>
    <cellStyle name="40% - Accent2 2 3 3 2 4 2" xfId="34532"/>
    <cellStyle name="40% - Accent2 2 3 3 2 4 2 2" xfId="34533"/>
    <cellStyle name="40% - Accent2 2 3 3 2 4 3" xfId="34534"/>
    <cellStyle name="40% - Accent2 2 3 3 2 4 3 2" xfId="34535"/>
    <cellStyle name="40% - Accent2 2 3 3 2 4 4" xfId="34536"/>
    <cellStyle name="40% - Accent2 2 3 3 2 4 5" xfId="34537"/>
    <cellStyle name="40% - Accent2 2 3 3 2 4 6" xfId="34538"/>
    <cellStyle name="40% - Accent2 2 3 3 2 4 7" xfId="34539"/>
    <cellStyle name="40% - Accent2 2 3 3 2 5" xfId="34540"/>
    <cellStyle name="40% - Accent2 2 3 3 2 5 2" xfId="34541"/>
    <cellStyle name="40% - Accent2 2 3 3 2 6" xfId="34542"/>
    <cellStyle name="40% - Accent2 2 3 3 2 6 2" xfId="34543"/>
    <cellStyle name="40% - Accent2 2 3 3 2 7" xfId="34544"/>
    <cellStyle name="40% - Accent2 2 3 3 2 8" xfId="34545"/>
    <cellStyle name="40% - Accent2 2 3 3 2 9" xfId="34546"/>
    <cellStyle name="40% - Accent2 2 3 3 3" xfId="34547"/>
    <cellStyle name="40% - Accent2 2 3 3 3 2" xfId="34548"/>
    <cellStyle name="40% - Accent2 2 3 3 3 2 2" xfId="34549"/>
    <cellStyle name="40% - Accent2 2 3 3 3 3" xfId="34550"/>
    <cellStyle name="40% - Accent2 2 3 3 3 3 2" xfId="34551"/>
    <cellStyle name="40% - Accent2 2 3 3 3 4" xfId="34552"/>
    <cellStyle name="40% - Accent2 2 3 3 3 5" xfId="34553"/>
    <cellStyle name="40% - Accent2 2 3 3 3 6" xfId="34554"/>
    <cellStyle name="40% - Accent2 2 3 3 3 7" xfId="34555"/>
    <cellStyle name="40% - Accent2 2 3 3 4" xfId="34556"/>
    <cellStyle name="40% - Accent2 2 3 3 4 2" xfId="34557"/>
    <cellStyle name="40% - Accent2 2 3 3 4 2 2" xfId="34558"/>
    <cellStyle name="40% - Accent2 2 3 3 4 3" xfId="34559"/>
    <cellStyle name="40% - Accent2 2 3 3 4 3 2" xfId="34560"/>
    <cellStyle name="40% - Accent2 2 3 3 4 4" xfId="34561"/>
    <cellStyle name="40% - Accent2 2 3 3 4 5" xfId="34562"/>
    <cellStyle name="40% - Accent2 2 3 3 4 6" xfId="34563"/>
    <cellStyle name="40% - Accent2 2 3 3 4 7" xfId="34564"/>
    <cellStyle name="40% - Accent2 2 3 3 5" xfId="34565"/>
    <cellStyle name="40% - Accent2 2 3 3 5 2" xfId="34566"/>
    <cellStyle name="40% - Accent2 2 3 3 5 2 2" xfId="34567"/>
    <cellStyle name="40% - Accent2 2 3 3 5 3" xfId="34568"/>
    <cellStyle name="40% - Accent2 2 3 3 5 3 2" xfId="34569"/>
    <cellStyle name="40% - Accent2 2 3 3 5 4" xfId="34570"/>
    <cellStyle name="40% - Accent2 2 3 3 5 5" xfId="34571"/>
    <cellStyle name="40% - Accent2 2 3 3 5 6" xfId="34572"/>
    <cellStyle name="40% - Accent2 2 3 3 5 7" xfId="34573"/>
    <cellStyle name="40% - Accent2 2 3 3 6" xfId="34574"/>
    <cellStyle name="40% - Accent2 2 3 3 6 2" xfId="34575"/>
    <cellStyle name="40% - Accent2 2 3 3 7" xfId="34576"/>
    <cellStyle name="40% - Accent2 2 3 3 7 2" xfId="34577"/>
    <cellStyle name="40% - Accent2 2 3 3 8" xfId="34578"/>
    <cellStyle name="40% - Accent2 2 3 3 9" xfId="34579"/>
    <cellStyle name="40% - Accent2 2 3 4" xfId="34580"/>
    <cellStyle name="40% - Accent2 2 3 4 10" xfId="34581"/>
    <cellStyle name="40% - Accent2 2 3 4 2" xfId="34582"/>
    <cellStyle name="40% - Accent2 2 3 4 2 2" xfId="34583"/>
    <cellStyle name="40% - Accent2 2 3 4 2 2 2" xfId="34584"/>
    <cellStyle name="40% - Accent2 2 3 4 2 3" xfId="34585"/>
    <cellStyle name="40% - Accent2 2 3 4 2 3 2" xfId="34586"/>
    <cellStyle name="40% - Accent2 2 3 4 2 4" xfId="34587"/>
    <cellStyle name="40% - Accent2 2 3 4 2 5" xfId="34588"/>
    <cellStyle name="40% - Accent2 2 3 4 2 6" xfId="34589"/>
    <cellStyle name="40% - Accent2 2 3 4 2 7" xfId="34590"/>
    <cellStyle name="40% - Accent2 2 3 4 3" xfId="34591"/>
    <cellStyle name="40% - Accent2 2 3 4 3 2" xfId="34592"/>
    <cellStyle name="40% - Accent2 2 3 4 3 2 2" xfId="34593"/>
    <cellStyle name="40% - Accent2 2 3 4 3 3" xfId="34594"/>
    <cellStyle name="40% - Accent2 2 3 4 3 3 2" xfId="34595"/>
    <cellStyle name="40% - Accent2 2 3 4 3 4" xfId="34596"/>
    <cellStyle name="40% - Accent2 2 3 4 3 5" xfId="34597"/>
    <cellStyle name="40% - Accent2 2 3 4 3 6" xfId="34598"/>
    <cellStyle name="40% - Accent2 2 3 4 3 7" xfId="34599"/>
    <cellStyle name="40% - Accent2 2 3 4 4" xfId="34600"/>
    <cellStyle name="40% - Accent2 2 3 4 4 2" xfId="34601"/>
    <cellStyle name="40% - Accent2 2 3 4 4 2 2" xfId="34602"/>
    <cellStyle name="40% - Accent2 2 3 4 4 3" xfId="34603"/>
    <cellStyle name="40% - Accent2 2 3 4 4 3 2" xfId="34604"/>
    <cellStyle name="40% - Accent2 2 3 4 4 4" xfId="34605"/>
    <cellStyle name="40% - Accent2 2 3 4 4 5" xfId="34606"/>
    <cellStyle name="40% - Accent2 2 3 4 4 6" xfId="34607"/>
    <cellStyle name="40% - Accent2 2 3 4 4 7" xfId="34608"/>
    <cellStyle name="40% - Accent2 2 3 4 5" xfId="34609"/>
    <cellStyle name="40% - Accent2 2 3 4 5 2" xfId="34610"/>
    <cellStyle name="40% - Accent2 2 3 4 6" xfId="34611"/>
    <cellStyle name="40% - Accent2 2 3 4 6 2" xfId="34612"/>
    <cellStyle name="40% - Accent2 2 3 4 7" xfId="34613"/>
    <cellStyle name="40% - Accent2 2 3 4 8" xfId="34614"/>
    <cellStyle name="40% - Accent2 2 3 4 9" xfId="34615"/>
    <cellStyle name="40% - Accent2 2 3 5" xfId="34616"/>
    <cellStyle name="40% - Accent2 2 3 5 2" xfId="34617"/>
    <cellStyle name="40% - Accent2 2 3 5 2 2" xfId="34618"/>
    <cellStyle name="40% - Accent2 2 3 5 3" xfId="34619"/>
    <cellStyle name="40% - Accent2 2 3 5 3 2" xfId="34620"/>
    <cellStyle name="40% - Accent2 2 3 5 4" xfId="34621"/>
    <cellStyle name="40% - Accent2 2 3 5 5" xfId="34622"/>
    <cellStyle name="40% - Accent2 2 3 5 6" xfId="34623"/>
    <cellStyle name="40% - Accent2 2 3 5 7" xfId="34624"/>
    <cellStyle name="40% - Accent2 2 3 6" xfId="34625"/>
    <cellStyle name="40% - Accent2 2 3 6 2" xfId="34626"/>
    <cellStyle name="40% - Accent2 2 3 6 2 2" xfId="34627"/>
    <cellStyle name="40% - Accent2 2 3 6 3" xfId="34628"/>
    <cellStyle name="40% - Accent2 2 3 6 3 2" xfId="34629"/>
    <cellStyle name="40% - Accent2 2 3 6 4" xfId="34630"/>
    <cellStyle name="40% - Accent2 2 3 6 5" xfId="34631"/>
    <cellStyle name="40% - Accent2 2 3 6 6" xfId="34632"/>
    <cellStyle name="40% - Accent2 2 3 6 7" xfId="34633"/>
    <cellStyle name="40% - Accent2 2 3 7" xfId="34634"/>
    <cellStyle name="40% - Accent2 2 3 7 2" xfId="34635"/>
    <cellStyle name="40% - Accent2 2 3 7 2 2" xfId="34636"/>
    <cellStyle name="40% - Accent2 2 3 7 3" xfId="34637"/>
    <cellStyle name="40% - Accent2 2 3 7 3 2" xfId="34638"/>
    <cellStyle name="40% - Accent2 2 3 7 4" xfId="34639"/>
    <cellStyle name="40% - Accent2 2 3 7 5" xfId="34640"/>
    <cellStyle name="40% - Accent2 2 3 7 6" xfId="34641"/>
    <cellStyle name="40% - Accent2 2 3 7 7" xfId="34642"/>
    <cellStyle name="40% - Accent2 2 3 8" xfId="34643"/>
    <cellStyle name="40% - Accent2 2 3 8 2" xfId="34644"/>
    <cellStyle name="40% - Accent2 2 3 9" xfId="34645"/>
    <cellStyle name="40% - Accent2 2 3 9 2" xfId="34646"/>
    <cellStyle name="40% - Accent2 2 4" xfId="34647"/>
    <cellStyle name="40% - Accent2 2 4 10" xfId="34648"/>
    <cellStyle name="40% - Accent2 2 4 11" xfId="34649"/>
    <cellStyle name="40% - Accent2 2 4 12" xfId="34650"/>
    <cellStyle name="40% - Accent2 2 4 13" xfId="34651"/>
    <cellStyle name="40% - Accent2 2 4 2" xfId="34652"/>
    <cellStyle name="40% - Accent2 2 4 2 10" xfId="34653"/>
    <cellStyle name="40% - Accent2 2 4 2 11" xfId="34654"/>
    <cellStyle name="40% - Accent2 2 4 2 2" xfId="34655"/>
    <cellStyle name="40% - Accent2 2 4 2 2 10" xfId="34656"/>
    <cellStyle name="40% - Accent2 2 4 2 2 2" xfId="34657"/>
    <cellStyle name="40% - Accent2 2 4 2 2 2 2" xfId="34658"/>
    <cellStyle name="40% - Accent2 2 4 2 2 2 2 2" xfId="34659"/>
    <cellStyle name="40% - Accent2 2 4 2 2 2 3" xfId="34660"/>
    <cellStyle name="40% - Accent2 2 4 2 2 2 3 2" xfId="34661"/>
    <cellStyle name="40% - Accent2 2 4 2 2 2 4" xfId="34662"/>
    <cellStyle name="40% - Accent2 2 4 2 2 2 5" xfId="34663"/>
    <cellStyle name="40% - Accent2 2 4 2 2 2 6" xfId="34664"/>
    <cellStyle name="40% - Accent2 2 4 2 2 2 7" xfId="34665"/>
    <cellStyle name="40% - Accent2 2 4 2 2 3" xfId="34666"/>
    <cellStyle name="40% - Accent2 2 4 2 2 3 2" xfId="34667"/>
    <cellStyle name="40% - Accent2 2 4 2 2 3 2 2" xfId="34668"/>
    <cellStyle name="40% - Accent2 2 4 2 2 3 3" xfId="34669"/>
    <cellStyle name="40% - Accent2 2 4 2 2 3 3 2" xfId="34670"/>
    <cellStyle name="40% - Accent2 2 4 2 2 3 4" xfId="34671"/>
    <cellStyle name="40% - Accent2 2 4 2 2 3 5" xfId="34672"/>
    <cellStyle name="40% - Accent2 2 4 2 2 3 6" xfId="34673"/>
    <cellStyle name="40% - Accent2 2 4 2 2 3 7" xfId="34674"/>
    <cellStyle name="40% - Accent2 2 4 2 2 4" xfId="34675"/>
    <cellStyle name="40% - Accent2 2 4 2 2 4 2" xfId="34676"/>
    <cellStyle name="40% - Accent2 2 4 2 2 4 2 2" xfId="34677"/>
    <cellStyle name="40% - Accent2 2 4 2 2 4 3" xfId="34678"/>
    <cellStyle name="40% - Accent2 2 4 2 2 4 3 2" xfId="34679"/>
    <cellStyle name="40% - Accent2 2 4 2 2 4 4" xfId="34680"/>
    <cellStyle name="40% - Accent2 2 4 2 2 4 5" xfId="34681"/>
    <cellStyle name="40% - Accent2 2 4 2 2 4 6" xfId="34682"/>
    <cellStyle name="40% - Accent2 2 4 2 2 4 7" xfId="34683"/>
    <cellStyle name="40% - Accent2 2 4 2 2 5" xfId="34684"/>
    <cellStyle name="40% - Accent2 2 4 2 2 5 2" xfId="34685"/>
    <cellStyle name="40% - Accent2 2 4 2 2 6" xfId="34686"/>
    <cellStyle name="40% - Accent2 2 4 2 2 6 2" xfId="34687"/>
    <cellStyle name="40% - Accent2 2 4 2 2 7" xfId="34688"/>
    <cellStyle name="40% - Accent2 2 4 2 2 8" xfId="34689"/>
    <cellStyle name="40% - Accent2 2 4 2 2 9" xfId="34690"/>
    <cellStyle name="40% - Accent2 2 4 2 3" xfId="34691"/>
    <cellStyle name="40% - Accent2 2 4 2 3 2" xfId="34692"/>
    <cellStyle name="40% - Accent2 2 4 2 3 2 2" xfId="34693"/>
    <cellStyle name="40% - Accent2 2 4 2 3 3" xfId="34694"/>
    <cellStyle name="40% - Accent2 2 4 2 3 3 2" xfId="34695"/>
    <cellStyle name="40% - Accent2 2 4 2 3 4" xfId="34696"/>
    <cellStyle name="40% - Accent2 2 4 2 3 5" xfId="34697"/>
    <cellStyle name="40% - Accent2 2 4 2 3 6" xfId="34698"/>
    <cellStyle name="40% - Accent2 2 4 2 3 7" xfId="34699"/>
    <cellStyle name="40% - Accent2 2 4 2 4" xfId="34700"/>
    <cellStyle name="40% - Accent2 2 4 2 4 2" xfId="34701"/>
    <cellStyle name="40% - Accent2 2 4 2 4 2 2" xfId="34702"/>
    <cellStyle name="40% - Accent2 2 4 2 4 3" xfId="34703"/>
    <cellStyle name="40% - Accent2 2 4 2 4 3 2" xfId="34704"/>
    <cellStyle name="40% - Accent2 2 4 2 4 4" xfId="34705"/>
    <cellStyle name="40% - Accent2 2 4 2 4 5" xfId="34706"/>
    <cellStyle name="40% - Accent2 2 4 2 4 6" xfId="34707"/>
    <cellStyle name="40% - Accent2 2 4 2 4 7" xfId="34708"/>
    <cellStyle name="40% - Accent2 2 4 2 5" xfId="34709"/>
    <cellStyle name="40% - Accent2 2 4 2 5 2" xfId="34710"/>
    <cellStyle name="40% - Accent2 2 4 2 5 2 2" xfId="34711"/>
    <cellStyle name="40% - Accent2 2 4 2 5 3" xfId="34712"/>
    <cellStyle name="40% - Accent2 2 4 2 5 3 2" xfId="34713"/>
    <cellStyle name="40% - Accent2 2 4 2 5 4" xfId="34714"/>
    <cellStyle name="40% - Accent2 2 4 2 5 5" xfId="34715"/>
    <cellStyle name="40% - Accent2 2 4 2 5 6" xfId="34716"/>
    <cellStyle name="40% - Accent2 2 4 2 5 7" xfId="34717"/>
    <cellStyle name="40% - Accent2 2 4 2 6" xfId="34718"/>
    <cellStyle name="40% - Accent2 2 4 2 6 2" xfId="34719"/>
    <cellStyle name="40% - Accent2 2 4 2 7" xfId="34720"/>
    <cellStyle name="40% - Accent2 2 4 2 7 2" xfId="34721"/>
    <cellStyle name="40% - Accent2 2 4 2 8" xfId="34722"/>
    <cellStyle name="40% - Accent2 2 4 2 9" xfId="34723"/>
    <cellStyle name="40% - Accent2 2 4 3" xfId="34724"/>
    <cellStyle name="40% - Accent2 2 4 3 10" xfId="34725"/>
    <cellStyle name="40% - Accent2 2 4 3 11" xfId="34726"/>
    <cellStyle name="40% - Accent2 2 4 3 2" xfId="34727"/>
    <cellStyle name="40% - Accent2 2 4 3 2 10" xfId="34728"/>
    <cellStyle name="40% - Accent2 2 4 3 2 2" xfId="34729"/>
    <cellStyle name="40% - Accent2 2 4 3 2 2 2" xfId="34730"/>
    <cellStyle name="40% - Accent2 2 4 3 2 2 2 2" xfId="34731"/>
    <cellStyle name="40% - Accent2 2 4 3 2 2 3" xfId="34732"/>
    <cellStyle name="40% - Accent2 2 4 3 2 2 3 2" xfId="34733"/>
    <cellStyle name="40% - Accent2 2 4 3 2 2 4" xfId="34734"/>
    <cellStyle name="40% - Accent2 2 4 3 2 2 5" xfId="34735"/>
    <cellStyle name="40% - Accent2 2 4 3 2 2 6" xfId="34736"/>
    <cellStyle name="40% - Accent2 2 4 3 2 2 7" xfId="34737"/>
    <cellStyle name="40% - Accent2 2 4 3 2 3" xfId="34738"/>
    <cellStyle name="40% - Accent2 2 4 3 2 3 2" xfId="34739"/>
    <cellStyle name="40% - Accent2 2 4 3 2 3 2 2" xfId="34740"/>
    <cellStyle name="40% - Accent2 2 4 3 2 3 3" xfId="34741"/>
    <cellStyle name="40% - Accent2 2 4 3 2 3 3 2" xfId="34742"/>
    <cellStyle name="40% - Accent2 2 4 3 2 3 4" xfId="34743"/>
    <cellStyle name="40% - Accent2 2 4 3 2 3 5" xfId="34744"/>
    <cellStyle name="40% - Accent2 2 4 3 2 3 6" xfId="34745"/>
    <cellStyle name="40% - Accent2 2 4 3 2 3 7" xfId="34746"/>
    <cellStyle name="40% - Accent2 2 4 3 2 4" xfId="34747"/>
    <cellStyle name="40% - Accent2 2 4 3 2 4 2" xfId="34748"/>
    <cellStyle name="40% - Accent2 2 4 3 2 4 2 2" xfId="34749"/>
    <cellStyle name="40% - Accent2 2 4 3 2 4 3" xfId="34750"/>
    <cellStyle name="40% - Accent2 2 4 3 2 4 3 2" xfId="34751"/>
    <cellStyle name="40% - Accent2 2 4 3 2 4 4" xfId="34752"/>
    <cellStyle name="40% - Accent2 2 4 3 2 4 5" xfId="34753"/>
    <cellStyle name="40% - Accent2 2 4 3 2 4 6" xfId="34754"/>
    <cellStyle name="40% - Accent2 2 4 3 2 4 7" xfId="34755"/>
    <cellStyle name="40% - Accent2 2 4 3 2 5" xfId="34756"/>
    <cellStyle name="40% - Accent2 2 4 3 2 5 2" xfId="34757"/>
    <cellStyle name="40% - Accent2 2 4 3 2 6" xfId="34758"/>
    <cellStyle name="40% - Accent2 2 4 3 2 6 2" xfId="34759"/>
    <cellStyle name="40% - Accent2 2 4 3 2 7" xfId="34760"/>
    <cellStyle name="40% - Accent2 2 4 3 2 8" xfId="34761"/>
    <cellStyle name="40% - Accent2 2 4 3 2 9" xfId="34762"/>
    <cellStyle name="40% - Accent2 2 4 3 3" xfId="34763"/>
    <cellStyle name="40% - Accent2 2 4 3 3 2" xfId="34764"/>
    <cellStyle name="40% - Accent2 2 4 3 3 2 2" xfId="34765"/>
    <cellStyle name="40% - Accent2 2 4 3 3 3" xfId="34766"/>
    <cellStyle name="40% - Accent2 2 4 3 3 3 2" xfId="34767"/>
    <cellStyle name="40% - Accent2 2 4 3 3 4" xfId="34768"/>
    <cellStyle name="40% - Accent2 2 4 3 3 5" xfId="34769"/>
    <cellStyle name="40% - Accent2 2 4 3 3 6" xfId="34770"/>
    <cellStyle name="40% - Accent2 2 4 3 3 7" xfId="34771"/>
    <cellStyle name="40% - Accent2 2 4 3 4" xfId="34772"/>
    <cellStyle name="40% - Accent2 2 4 3 4 2" xfId="34773"/>
    <cellStyle name="40% - Accent2 2 4 3 4 2 2" xfId="34774"/>
    <cellStyle name="40% - Accent2 2 4 3 4 3" xfId="34775"/>
    <cellStyle name="40% - Accent2 2 4 3 4 3 2" xfId="34776"/>
    <cellStyle name="40% - Accent2 2 4 3 4 4" xfId="34777"/>
    <cellStyle name="40% - Accent2 2 4 3 4 5" xfId="34778"/>
    <cellStyle name="40% - Accent2 2 4 3 4 6" xfId="34779"/>
    <cellStyle name="40% - Accent2 2 4 3 4 7" xfId="34780"/>
    <cellStyle name="40% - Accent2 2 4 3 5" xfId="34781"/>
    <cellStyle name="40% - Accent2 2 4 3 5 2" xfId="34782"/>
    <cellStyle name="40% - Accent2 2 4 3 5 2 2" xfId="34783"/>
    <cellStyle name="40% - Accent2 2 4 3 5 3" xfId="34784"/>
    <cellStyle name="40% - Accent2 2 4 3 5 3 2" xfId="34785"/>
    <cellStyle name="40% - Accent2 2 4 3 5 4" xfId="34786"/>
    <cellStyle name="40% - Accent2 2 4 3 5 5" xfId="34787"/>
    <cellStyle name="40% - Accent2 2 4 3 5 6" xfId="34788"/>
    <cellStyle name="40% - Accent2 2 4 3 5 7" xfId="34789"/>
    <cellStyle name="40% - Accent2 2 4 3 6" xfId="34790"/>
    <cellStyle name="40% - Accent2 2 4 3 6 2" xfId="34791"/>
    <cellStyle name="40% - Accent2 2 4 3 7" xfId="34792"/>
    <cellStyle name="40% - Accent2 2 4 3 7 2" xfId="34793"/>
    <cellStyle name="40% - Accent2 2 4 3 8" xfId="34794"/>
    <cellStyle name="40% - Accent2 2 4 3 9" xfId="34795"/>
    <cellStyle name="40% - Accent2 2 4 4" xfId="34796"/>
    <cellStyle name="40% - Accent2 2 4 4 10" xfId="34797"/>
    <cellStyle name="40% - Accent2 2 4 4 2" xfId="34798"/>
    <cellStyle name="40% - Accent2 2 4 4 2 2" xfId="34799"/>
    <cellStyle name="40% - Accent2 2 4 4 2 2 2" xfId="34800"/>
    <cellStyle name="40% - Accent2 2 4 4 2 3" xfId="34801"/>
    <cellStyle name="40% - Accent2 2 4 4 2 3 2" xfId="34802"/>
    <cellStyle name="40% - Accent2 2 4 4 2 4" xfId="34803"/>
    <cellStyle name="40% - Accent2 2 4 4 2 5" xfId="34804"/>
    <cellStyle name="40% - Accent2 2 4 4 2 6" xfId="34805"/>
    <cellStyle name="40% - Accent2 2 4 4 2 7" xfId="34806"/>
    <cellStyle name="40% - Accent2 2 4 4 3" xfId="34807"/>
    <cellStyle name="40% - Accent2 2 4 4 3 2" xfId="34808"/>
    <cellStyle name="40% - Accent2 2 4 4 3 2 2" xfId="34809"/>
    <cellStyle name="40% - Accent2 2 4 4 3 3" xfId="34810"/>
    <cellStyle name="40% - Accent2 2 4 4 3 3 2" xfId="34811"/>
    <cellStyle name="40% - Accent2 2 4 4 3 4" xfId="34812"/>
    <cellStyle name="40% - Accent2 2 4 4 3 5" xfId="34813"/>
    <cellStyle name="40% - Accent2 2 4 4 3 6" xfId="34814"/>
    <cellStyle name="40% - Accent2 2 4 4 3 7" xfId="34815"/>
    <cellStyle name="40% - Accent2 2 4 4 4" xfId="34816"/>
    <cellStyle name="40% - Accent2 2 4 4 4 2" xfId="34817"/>
    <cellStyle name="40% - Accent2 2 4 4 4 2 2" xfId="34818"/>
    <cellStyle name="40% - Accent2 2 4 4 4 3" xfId="34819"/>
    <cellStyle name="40% - Accent2 2 4 4 4 3 2" xfId="34820"/>
    <cellStyle name="40% - Accent2 2 4 4 4 4" xfId="34821"/>
    <cellStyle name="40% - Accent2 2 4 4 4 5" xfId="34822"/>
    <cellStyle name="40% - Accent2 2 4 4 4 6" xfId="34823"/>
    <cellStyle name="40% - Accent2 2 4 4 4 7" xfId="34824"/>
    <cellStyle name="40% - Accent2 2 4 4 5" xfId="34825"/>
    <cellStyle name="40% - Accent2 2 4 4 5 2" xfId="34826"/>
    <cellStyle name="40% - Accent2 2 4 4 6" xfId="34827"/>
    <cellStyle name="40% - Accent2 2 4 4 6 2" xfId="34828"/>
    <cellStyle name="40% - Accent2 2 4 4 7" xfId="34829"/>
    <cellStyle name="40% - Accent2 2 4 4 8" xfId="34830"/>
    <cellStyle name="40% - Accent2 2 4 4 9" xfId="34831"/>
    <cellStyle name="40% - Accent2 2 4 5" xfId="34832"/>
    <cellStyle name="40% - Accent2 2 4 5 2" xfId="34833"/>
    <cellStyle name="40% - Accent2 2 4 5 2 2" xfId="34834"/>
    <cellStyle name="40% - Accent2 2 4 5 3" xfId="34835"/>
    <cellStyle name="40% - Accent2 2 4 5 3 2" xfId="34836"/>
    <cellStyle name="40% - Accent2 2 4 5 4" xfId="34837"/>
    <cellStyle name="40% - Accent2 2 4 5 5" xfId="34838"/>
    <cellStyle name="40% - Accent2 2 4 5 6" xfId="34839"/>
    <cellStyle name="40% - Accent2 2 4 5 7" xfId="34840"/>
    <cellStyle name="40% - Accent2 2 4 6" xfId="34841"/>
    <cellStyle name="40% - Accent2 2 4 6 2" xfId="34842"/>
    <cellStyle name="40% - Accent2 2 4 6 2 2" xfId="34843"/>
    <cellStyle name="40% - Accent2 2 4 6 3" xfId="34844"/>
    <cellStyle name="40% - Accent2 2 4 6 3 2" xfId="34845"/>
    <cellStyle name="40% - Accent2 2 4 6 4" xfId="34846"/>
    <cellStyle name="40% - Accent2 2 4 6 5" xfId="34847"/>
    <cellStyle name="40% - Accent2 2 4 6 6" xfId="34848"/>
    <cellStyle name="40% - Accent2 2 4 6 7" xfId="34849"/>
    <cellStyle name="40% - Accent2 2 4 7" xfId="34850"/>
    <cellStyle name="40% - Accent2 2 4 7 2" xfId="34851"/>
    <cellStyle name="40% - Accent2 2 4 7 2 2" xfId="34852"/>
    <cellStyle name="40% - Accent2 2 4 7 3" xfId="34853"/>
    <cellStyle name="40% - Accent2 2 4 7 3 2" xfId="34854"/>
    <cellStyle name="40% - Accent2 2 4 7 4" xfId="34855"/>
    <cellStyle name="40% - Accent2 2 4 7 5" xfId="34856"/>
    <cellStyle name="40% - Accent2 2 4 7 6" xfId="34857"/>
    <cellStyle name="40% - Accent2 2 4 7 7" xfId="34858"/>
    <cellStyle name="40% - Accent2 2 4 8" xfId="34859"/>
    <cellStyle name="40% - Accent2 2 4 8 2" xfId="34860"/>
    <cellStyle name="40% - Accent2 2 4 9" xfId="34861"/>
    <cellStyle name="40% - Accent2 2 4 9 2" xfId="34862"/>
    <cellStyle name="40% - Accent2 2 5" xfId="34863"/>
    <cellStyle name="40% - Accent2 2 5 10" xfId="34864"/>
    <cellStyle name="40% - Accent2 2 5 11" xfId="34865"/>
    <cellStyle name="40% - Accent2 2 5 12" xfId="34866"/>
    <cellStyle name="40% - Accent2 2 5 13" xfId="34867"/>
    <cellStyle name="40% - Accent2 2 5 2" xfId="34868"/>
    <cellStyle name="40% - Accent2 2 5 2 10" xfId="34869"/>
    <cellStyle name="40% - Accent2 2 5 2 11" xfId="34870"/>
    <cellStyle name="40% - Accent2 2 5 2 2" xfId="34871"/>
    <cellStyle name="40% - Accent2 2 5 2 2 10" xfId="34872"/>
    <cellStyle name="40% - Accent2 2 5 2 2 2" xfId="34873"/>
    <cellStyle name="40% - Accent2 2 5 2 2 2 2" xfId="34874"/>
    <cellStyle name="40% - Accent2 2 5 2 2 2 2 2" xfId="34875"/>
    <cellStyle name="40% - Accent2 2 5 2 2 2 3" xfId="34876"/>
    <cellStyle name="40% - Accent2 2 5 2 2 2 3 2" xfId="34877"/>
    <cellStyle name="40% - Accent2 2 5 2 2 2 4" xfId="34878"/>
    <cellStyle name="40% - Accent2 2 5 2 2 2 5" xfId="34879"/>
    <cellStyle name="40% - Accent2 2 5 2 2 2 6" xfId="34880"/>
    <cellStyle name="40% - Accent2 2 5 2 2 2 7" xfId="34881"/>
    <cellStyle name="40% - Accent2 2 5 2 2 3" xfId="34882"/>
    <cellStyle name="40% - Accent2 2 5 2 2 3 2" xfId="34883"/>
    <cellStyle name="40% - Accent2 2 5 2 2 3 2 2" xfId="34884"/>
    <cellStyle name="40% - Accent2 2 5 2 2 3 3" xfId="34885"/>
    <cellStyle name="40% - Accent2 2 5 2 2 3 3 2" xfId="34886"/>
    <cellStyle name="40% - Accent2 2 5 2 2 3 4" xfId="34887"/>
    <cellStyle name="40% - Accent2 2 5 2 2 3 5" xfId="34888"/>
    <cellStyle name="40% - Accent2 2 5 2 2 3 6" xfId="34889"/>
    <cellStyle name="40% - Accent2 2 5 2 2 3 7" xfId="34890"/>
    <cellStyle name="40% - Accent2 2 5 2 2 4" xfId="34891"/>
    <cellStyle name="40% - Accent2 2 5 2 2 4 2" xfId="34892"/>
    <cellStyle name="40% - Accent2 2 5 2 2 4 2 2" xfId="34893"/>
    <cellStyle name="40% - Accent2 2 5 2 2 4 3" xfId="34894"/>
    <cellStyle name="40% - Accent2 2 5 2 2 4 3 2" xfId="34895"/>
    <cellStyle name="40% - Accent2 2 5 2 2 4 4" xfId="34896"/>
    <cellStyle name="40% - Accent2 2 5 2 2 4 5" xfId="34897"/>
    <cellStyle name="40% - Accent2 2 5 2 2 4 6" xfId="34898"/>
    <cellStyle name="40% - Accent2 2 5 2 2 4 7" xfId="34899"/>
    <cellStyle name="40% - Accent2 2 5 2 2 5" xfId="34900"/>
    <cellStyle name="40% - Accent2 2 5 2 2 5 2" xfId="34901"/>
    <cellStyle name="40% - Accent2 2 5 2 2 6" xfId="34902"/>
    <cellStyle name="40% - Accent2 2 5 2 2 6 2" xfId="34903"/>
    <cellStyle name="40% - Accent2 2 5 2 2 7" xfId="34904"/>
    <cellStyle name="40% - Accent2 2 5 2 2 8" xfId="34905"/>
    <cellStyle name="40% - Accent2 2 5 2 2 9" xfId="34906"/>
    <cellStyle name="40% - Accent2 2 5 2 3" xfId="34907"/>
    <cellStyle name="40% - Accent2 2 5 2 3 2" xfId="34908"/>
    <cellStyle name="40% - Accent2 2 5 2 3 2 2" xfId="34909"/>
    <cellStyle name="40% - Accent2 2 5 2 3 3" xfId="34910"/>
    <cellStyle name="40% - Accent2 2 5 2 3 3 2" xfId="34911"/>
    <cellStyle name="40% - Accent2 2 5 2 3 4" xfId="34912"/>
    <cellStyle name="40% - Accent2 2 5 2 3 5" xfId="34913"/>
    <cellStyle name="40% - Accent2 2 5 2 3 6" xfId="34914"/>
    <cellStyle name="40% - Accent2 2 5 2 3 7" xfId="34915"/>
    <cellStyle name="40% - Accent2 2 5 2 4" xfId="34916"/>
    <cellStyle name="40% - Accent2 2 5 2 4 2" xfId="34917"/>
    <cellStyle name="40% - Accent2 2 5 2 4 2 2" xfId="34918"/>
    <cellStyle name="40% - Accent2 2 5 2 4 3" xfId="34919"/>
    <cellStyle name="40% - Accent2 2 5 2 4 3 2" xfId="34920"/>
    <cellStyle name="40% - Accent2 2 5 2 4 4" xfId="34921"/>
    <cellStyle name="40% - Accent2 2 5 2 4 5" xfId="34922"/>
    <cellStyle name="40% - Accent2 2 5 2 4 6" xfId="34923"/>
    <cellStyle name="40% - Accent2 2 5 2 4 7" xfId="34924"/>
    <cellStyle name="40% - Accent2 2 5 2 5" xfId="34925"/>
    <cellStyle name="40% - Accent2 2 5 2 5 2" xfId="34926"/>
    <cellStyle name="40% - Accent2 2 5 2 5 2 2" xfId="34927"/>
    <cellStyle name="40% - Accent2 2 5 2 5 3" xfId="34928"/>
    <cellStyle name="40% - Accent2 2 5 2 5 3 2" xfId="34929"/>
    <cellStyle name="40% - Accent2 2 5 2 5 4" xfId="34930"/>
    <cellStyle name="40% - Accent2 2 5 2 5 5" xfId="34931"/>
    <cellStyle name="40% - Accent2 2 5 2 5 6" xfId="34932"/>
    <cellStyle name="40% - Accent2 2 5 2 5 7" xfId="34933"/>
    <cellStyle name="40% - Accent2 2 5 2 6" xfId="34934"/>
    <cellStyle name="40% - Accent2 2 5 2 6 2" xfId="34935"/>
    <cellStyle name="40% - Accent2 2 5 2 7" xfId="34936"/>
    <cellStyle name="40% - Accent2 2 5 2 7 2" xfId="34937"/>
    <cellStyle name="40% - Accent2 2 5 2 8" xfId="34938"/>
    <cellStyle name="40% - Accent2 2 5 2 9" xfId="34939"/>
    <cellStyle name="40% - Accent2 2 5 3" xfId="34940"/>
    <cellStyle name="40% - Accent2 2 5 3 10" xfId="34941"/>
    <cellStyle name="40% - Accent2 2 5 3 11" xfId="34942"/>
    <cellStyle name="40% - Accent2 2 5 3 2" xfId="34943"/>
    <cellStyle name="40% - Accent2 2 5 3 2 10" xfId="34944"/>
    <cellStyle name="40% - Accent2 2 5 3 2 2" xfId="34945"/>
    <cellStyle name="40% - Accent2 2 5 3 2 2 2" xfId="34946"/>
    <cellStyle name="40% - Accent2 2 5 3 2 2 2 2" xfId="34947"/>
    <cellStyle name="40% - Accent2 2 5 3 2 2 3" xfId="34948"/>
    <cellStyle name="40% - Accent2 2 5 3 2 2 3 2" xfId="34949"/>
    <cellStyle name="40% - Accent2 2 5 3 2 2 4" xfId="34950"/>
    <cellStyle name="40% - Accent2 2 5 3 2 2 5" xfId="34951"/>
    <cellStyle name="40% - Accent2 2 5 3 2 2 6" xfId="34952"/>
    <cellStyle name="40% - Accent2 2 5 3 2 2 7" xfId="34953"/>
    <cellStyle name="40% - Accent2 2 5 3 2 3" xfId="34954"/>
    <cellStyle name="40% - Accent2 2 5 3 2 3 2" xfId="34955"/>
    <cellStyle name="40% - Accent2 2 5 3 2 3 2 2" xfId="34956"/>
    <cellStyle name="40% - Accent2 2 5 3 2 3 3" xfId="34957"/>
    <cellStyle name="40% - Accent2 2 5 3 2 3 3 2" xfId="34958"/>
    <cellStyle name="40% - Accent2 2 5 3 2 3 4" xfId="34959"/>
    <cellStyle name="40% - Accent2 2 5 3 2 3 5" xfId="34960"/>
    <cellStyle name="40% - Accent2 2 5 3 2 3 6" xfId="34961"/>
    <cellStyle name="40% - Accent2 2 5 3 2 3 7" xfId="34962"/>
    <cellStyle name="40% - Accent2 2 5 3 2 4" xfId="34963"/>
    <cellStyle name="40% - Accent2 2 5 3 2 4 2" xfId="34964"/>
    <cellStyle name="40% - Accent2 2 5 3 2 4 2 2" xfId="34965"/>
    <cellStyle name="40% - Accent2 2 5 3 2 4 3" xfId="34966"/>
    <cellStyle name="40% - Accent2 2 5 3 2 4 3 2" xfId="34967"/>
    <cellStyle name="40% - Accent2 2 5 3 2 4 4" xfId="34968"/>
    <cellStyle name="40% - Accent2 2 5 3 2 4 5" xfId="34969"/>
    <cellStyle name="40% - Accent2 2 5 3 2 4 6" xfId="34970"/>
    <cellStyle name="40% - Accent2 2 5 3 2 4 7" xfId="34971"/>
    <cellStyle name="40% - Accent2 2 5 3 2 5" xfId="34972"/>
    <cellStyle name="40% - Accent2 2 5 3 2 5 2" xfId="34973"/>
    <cellStyle name="40% - Accent2 2 5 3 2 6" xfId="34974"/>
    <cellStyle name="40% - Accent2 2 5 3 2 6 2" xfId="34975"/>
    <cellStyle name="40% - Accent2 2 5 3 2 7" xfId="34976"/>
    <cellStyle name="40% - Accent2 2 5 3 2 8" xfId="34977"/>
    <cellStyle name="40% - Accent2 2 5 3 2 9" xfId="34978"/>
    <cellStyle name="40% - Accent2 2 5 3 3" xfId="34979"/>
    <cellStyle name="40% - Accent2 2 5 3 3 2" xfId="34980"/>
    <cellStyle name="40% - Accent2 2 5 3 3 2 2" xfId="34981"/>
    <cellStyle name="40% - Accent2 2 5 3 3 3" xfId="34982"/>
    <cellStyle name="40% - Accent2 2 5 3 3 3 2" xfId="34983"/>
    <cellStyle name="40% - Accent2 2 5 3 3 4" xfId="34984"/>
    <cellStyle name="40% - Accent2 2 5 3 3 5" xfId="34985"/>
    <cellStyle name="40% - Accent2 2 5 3 3 6" xfId="34986"/>
    <cellStyle name="40% - Accent2 2 5 3 3 7" xfId="34987"/>
    <cellStyle name="40% - Accent2 2 5 3 4" xfId="34988"/>
    <cellStyle name="40% - Accent2 2 5 3 4 2" xfId="34989"/>
    <cellStyle name="40% - Accent2 2 5 3 4 2 2" xfId="34990"/>
    <cellStyle name="40% - Accent2 2 5 3 4 3" xfId="34991"/>
    <cellStyle name="40% - Accent2 2 5 3 4 3 2" xfId="34992"/>
    <cellStyle name="40% - Accent2 2 5 3 4 4" xfId="34993"/>
    <cellStyle name="40% - Accent2 2 5 3 4 5" xfId="34994"/>
    <cellStyle name="40% - Accent2 2 5 3 4 6" xfId="34995"/>
    <cellStyle name="40% - Accent2 2 5 3 4 7" xfId="34996"/>
    <cellStyle name="40% - Accent2 2 5 3 5" xfId="34997"/>
    <cellStyle name="40% - Accent2 2 5 3 5 2" xfId="34998"/>
    <cellStyle name="40% - Accent2 2 5 3 5 2 2" xfId="34999"/>
    <cellStyle name="40% - Accent2 2 5 3 5 3" xfId="35000"/>
    <cellStyle name="40% - Accent2 2 5 3 5 3 2" xfId="35001"/>
    <cellStyle name="40% - Accent2 2 5 3 5 4" xfId="35002"/>
    <cellStyle name="40% - Accent2 2 5 3 5 5" xfId="35003"/>
    <cellStyle name="40% - Accent2 2 5 3 5 6" xfId="35004"/>
    <cellStyle name="40% - Accent2 2 5 3 5 7" xfId="35005"/>
    <cellStyle name="40% - Accent2 2 5 3 6" xfId="35006"/>
    <cellStyle name="40% - Accent2 2 5 3 6 2" xfId="35007"/>
    <cellStyle name="40% - Accent2 2 5 3 7" xfId="35008"/>
    <cellStyle name="40% - Accent2 2 5 3 7 2" xfId="35009"/>
    <cellStyle name="40% - Accent2 2 5 3 8" xfId="35010"/>
    <cellStyle name="40% - Accent2 2 5 3 9" xfId="35011"/>
    <cellStyle name="40% - Accent2 2 5 4" xfId="35012"/>
    <cellStyle name="40% - Accent2 2 5 4 10" xfId="35013"/>
    <cellStyle name="40% - Accent2 2 5 4 2" xfId="35014"/>
    <cellStyle name="40% - Accent2 2 5 4 2 2" xfId="35015"/>
    <cellStyle name="40% - Accent2 2 5 4 2 2 2" xfId="35016"/>
    <cellStyle name="40% - Accent2 2 5 4 2 3" xfId="35017"/>
    <cellStyle name="40% - Accent2 2 5 4 2 3 2" xfId="35018"/>
    <cellStyle name="40% - Accent2 2 5 4 2 4" xfId="35019"/>
    <cellStyle name="40% - Accent2 2 5 4 2 5" xfId="35020"/>
    <cellStyle name="40% - Accent2 2 5 4 2 6" xfId="35021"/>
    <cellStyle name="40% - Accent2 2 5 4 2 7" xfId="35022"/>
    <cellStyle name="40% - Accent2 2 5 4 3" xfId="35023"/>
    <cellStyle name="40% - Accent2 2 5 4 3 2" xfId="35024"/>
    <cellStyle name="40% - Accent2 2 5 4 3 2 2" xfId="35025"/>
    <cellStyle name="40% - Accent2 2 5 4 3 3" xfId="35026"/>
    <cellStyle name="40% - Accent2 2 5 4 3 3 2" xfId="35027"/>
    <cellStyle name="40% - Accent2 2 5 4 3 4" xfId="35028"/>
    <cellStyle name="40% - Accent2 2 5 4 3 5" xfId="35029"/>
    <cellStyle name="40% - Accent2 2 5 4 3 6" xfId="35030"/>
    <cellStyle name="40% - Accent2 2 5 4 3 7" xfId="35031"/>
    <cellStyle name="40% - Accent2 2 5 4 4" xfId="35032"/>
    <cellStyle name="40% - Accent2 2 5 4 4 2" xfId="35033"/>
    <cellStyle name="40% - Accent2 2 5 4 4 2 2" xfId="35034"/>
    <cellStyle name="40% - Accent2 2 5 4 4 3" xfId="35035"/>
    <cellStyle name="40% - Accent2 2 5 4 4 3 2" xfId="35036"/>
    <cellStyle name="40% - Accent2 2 5 4 4 4" xfId="35037"/>
    <cellStyle name="40% - Accent2 2 5 4 4 5" xfId="35038"/>
    <cellStyle name="40% - Accent2 2 5 4 4 6" xfId="35039"/>
    <cellStyle name="40% - Accent2 2 5 4 4 7" xfId="35040"/>
    <cellStyle name="40% - Accent2 2 5 4 5" xfId="35041"/>
    <cellStyle name="40% - Accent2 2 5 4 5 2" xfId="35042"/>
    <cellStyle name="40% - Accent2 2 5 4 6" xfId="35043"/>
    <cellStyle name="40% - Accent2 2 5 4 6 2" xfId="35044"/>
    <cellStyle name="40% - Accent2 2 5 4 7" xfId="35045"/>
    <cellStyle name="40% - Accent2 2 5 4 8" xfId="35046"/>
    <cellStyle name="40% - Accent2 2 5 4 9" xfId="35047"/>
    <cellStyle name="40% - Accent2 2 5 5" xfId="35048"/>
    <cellStyle name="40% - Accent2 2 5 5 2" xfId="35049"/>
    <cellStyle name="40% - Accent2 2 5 5 2 2" xfId="35050"/>
    <cellStyle name="40% - Accent2 2 5 5 3" xfId="35051"/>
    <cellStyle name="40% - Accent2 2 5 5 3 2" xfId="35052"/>
    <cellStyle name="40% - Accent2 2 5 5 4" xfId="35053"/>
    <cellStyle name="40% - Accent2 2 5 5 5" xfId="35054"/>
    <cellStyle name="40% - Accent2 2 5 5 6" xfId="35055"/>
    <cellStyle name="40% - Accent2 2 5 5 7" xfId="35056"/>
    <cellStyle name="40% - Accent2 2 5 6" xfId="35057"/>
    <cellStyle name="40% - Accent2 2 5 6 2" xfId="35058"/>
    <cellStyle name="40% - Accent2 2 5 6 2 2" xfId="35059"/>
    <cellStyle name="40% - Accent2 2 5 6 3" xfId="35060"/>
    <cellStyle name="40% - Accent2 2 5 6 3 2" xfId="35061"/>
    <cellStyle name="40% - Accent2 2 5 6 4" xfId="35062"/>
    <cellStyle name="40% - Accent2 2 5 6 5" xfId="35063"/>
    <cellStyle name="40% - Accent2 2 5 6 6" xfId="35064"/>
    <cellStyle name="40% - Accent2 2 5 6 7" xfId="35065"/>
    <cellStyle name="40% - Accent2 2 5 7" xfId="35066"/>
    <cellStyle name="40% - Accent2 2 5 7 2" xfId="35067"/>
    <cellStyle name="40% - Accent2 2 5 7 2 2" xfId="35068"/>
    <cellStyle name="40% - Accent2 2 5 7 3" xfId="35069"/>
    <cellStyle name="40% - Accent2 2 5 7 3 2" xfId="35070"/>
    <cellStyle name="40% - Accent2 2 5 7 4" xfId="35071"/>
    <cellStyle name="40% - Accent2 2 5 7 5" xfId="35072"/>
    <cellStyle name="40% - Accent2 2 5 7 6" xfId="35073"/>
    <cellStyle name="40% - Accent2 2 5 7 7" xfId="35074"/>
    <cellStyle name="40% - Accent2 2 5 8" xfId="35075"/>
    <cellStyle name="40% - Accent2 2 5 8 2" xfId="35076"/>
    <cellStyle name="40% - Accent2 2 5 9" xfId="35077"/>
    <cellStyle name="40% - Accent2 2 5 9 2" xfId="35078"/>
    <cellStyle name="40% - Accent2 2 6" xfId="35079"/>
    <cellStyle name="40% - Accent2 2 6 10" xfId="35080"/>
    <cellStyle name="40% - Accent2 2 6 11" xfId="35081"/>
    <cellStyle name="40% - Accent2 2 6 12" xfId="35082"/>
    <cellStyle name="40% - Accent2 2 6 13" xfId="35083"/>
    <cellStyle name="40% - Accent2 2 6 2" xfId="35084"/>
    <cellStyle name="40% - Accent2 2 6 2 10" xfId="35085"/>
    <cellStyle name="40% - Accent2 2 6 2 11" xfId="35086"/>
    <cellStyle name="40% - Accent2 2 6 2 2" xfId="35087"/>
    <cellStyle name="40% - Accent2 2 6 2 2 10" xfId="35088"/>
    <cellStyle name="40% - Accent2 2 6 2 2 2" xfId="35089"/>
    <cellStyle name="40% - Accent2 2 6 2 2 2 2" xfId="35090"/>
    <cellStyle name="40% - Accent2 2 6 2 2 2 2 2" xfId="35091"/>
    <cellStyle name="40% - Accent2 2 6 2 2 2 3" xfId="35092"/>
    <cellStyle name="40% - Accent2 2 6 2 2 2 3 2" xfId="35093"/>
    <cellStyle name="40% - Accent2 2 6 2 2 2 4" xfId="35094"/>
    <cellStyle name="40% - Accent2 2 6 2 2 2 5" xfId="35095"/>
    <cellStyle name="40% - Accent2 2 6 2 2 2 6" xfId="35096"/>
    <cellStyle name="40% - Accent2 2 6 2 2 2 7" xfId="35097"/>
    <cellStyle name="40% - Accent2 2 6 2 2 3" xfId="35098"/>
    <cellStyle name="40% - Accent2 2 6 2 2 3 2" xfId="35099"/>
    <cellStyle name="40% - Accent2 2 6 2 2 3 2 2" xfId="35100"/>
    <cellStyle name="40% - Accent2 2 6 2 2 3 3" xfId="35101"/>
    <cellStyle name="40% - Accent2 2 6 2 2 3 3 2" xfId="35102"/>
    <cellStyle name="40% - Accent2 2 6 2 2 3 4" xfId="35103"/>
    <cellStyle name="40% - Accent2 2 6 2 2 3 5" xfId="35104"/>
    <cellStyle name="40% - Accent2 2 6 2 2 3 6" xfId="35105"/>
    <cellStyle name="40% - Accent2 2 6 2 2 3 7" xfId="35106"/>
    <cellStyle name="40% - Accent2 2 6 2 2 4" xfId="35107"/>
    <cellStyle name="40% - Accent2 2 6 2 2 4 2" xfId="35108"/>
    <cellStyle name="40% - Accent2 2 6 2 2 4 2 2" xfId="35109"/>
    <cellStyle name="40% - Accent2 2 6 2 2 4 3" xfId="35110"/>
    <cellStyle name="40% - Accent2 2 6 2 2 4 3 2" xfId="35111"/>
    <cellStyle name="40% - Accent2 2 6 2 2 4 4" xfId="35112"/>
    <cellStyle name="40% - Accent2 2 6 2 2 4 5" xfId="35113"/>
    <cellStyle name="40% - Accent2 2 6 2 2 4 6" xfId="35114"/>
    <cellStyle name="40% - Accent2 2 6 2 2 4 7" xfId="35115"/>
    <cellStyle name="40% - Accent2 2 6 2 2 5" xfId="35116"/>
    <cellStyle name="40% - Accent2 2 6 2 2 5 2" xfId="35117"/>
    <cellStyle name="40% - Accent2 2 6 2 2 6" xfId="35118"/>
    <cellStyle name="40% - Accent2 2 6 2 2 6 2" xfId="35119"/>
    <cellStyle name="40% - Accent2 2 6 2 2 7" xfId="35120"/>
    <cellStyle name="40% - Accent2 2 6 2 2 8" xfId="35121"/>
    <cellStyle name="40% - Accent2 2 6 2 2 9" xfId="35122"/>
    <cellStyle name="40% - Accent2 2 6 2 3" xfId="35123"/>
    <cellStyle name="40% - Accent2 2 6 2 3 2" xfId="35124"/>
    <cellStyle name="40% - Accent2 2 6 2 3 2 2" xfId="35125"/>
    <cellStyle name="40% - Accent2 2 6 2 3 3" xfId="35126"/>
    <cellStyle name="40% - Accent2 2 6 2 3 3 2" xfId="35127"/>
    <cellStyle name="40% - Accent2 2 6 2 3 4" xfId="35128"/>
    <cellStyle name="40% - Accent2 2 6 2 3 5" xfId="35129"/>
    <cellStyle name="40% - Accent2 2 6 2 3 6" xfId="35130"/>
    <cellStyle name="40% - Accent2 2 6 2 3 7" xfId="35131"/>
    <cellStyle name="40% - Accent2 2 6 2 4" xfId="35132"/>
    <cellStyle name="40% - Accent2 2 6 2 4 2" xfId="35133"/>
    <cellStyle name="40% - Accent2 2 6 2 4 2 2" xfId="35134"/>
    <cellStyle name="40% - Accent2 2 6 2 4 3" xfId="35135"/>
    <cellStyle name="40% - Accent2 2 6 2 4 3 2" xfId="35136"/>
    <cellStyle name="40% - Accent2 2 6 2 4 4" xfId="35137"/>
    <cellStyle name="40% - Accent2 2 6 2 4 5" xfId="35138"/>
    <cellStyle name="40% - Accent2 2 6 2 4 6" xfId="35139"/>
    <cellStyle name="40% - Accent2 2 6 2 4 7" xfId="35140"/>
    <cellStyle name="40% - Accent2 2 6 2 5" xfId="35141"/>
    <cellStyle name="40% - Accent2 2 6 2 5 2" xfId="35142"/>
    <cellStyle name="40% - Accent2 2 6 2 5 2 2" xfId="35143"/>
    <cellStyle name="40% - Accent2 2 6 2 5 3" xfId="35144"/>
    <cellStyle name="40% - Accent2 2 6 2 5 3 2" xfId="35145"/>
    <cellStyle name="40% - Accent2 2 6 2 5 4" xfId="35146"/>
    <cellStyle name="40% - Accent2 2 6 2 5 5" xfId="35147"/>
    <cellStyle name="40% - Accent2 2 6 2 5 6" xfId="35148"/>
    <cellStyle name="40% - Accent2 2 6 2 5 7" xfId="35149"/>
    <cellStyle name="40% - Accent2 2 6 2 6" xfId="35150"/>
    <cellStyle name="40% - Accent2 2 6 2 6 2" xfId="35151"/>
    <cellStyle name="40% - Accent2 2 6 2 7" xfId="35152"/>
    <cellStyle name="40% - Accent2 2 6 2 7 2" xfId="35153"/>
    <cellStyle name="40% - Accent2 2 6 2 8" xfId="35154"/>
    <cellStyle name="40% - Accent2 2 6 2 9" xfId="35155"/>
    <cellStyle name="40% - Accent2 2 6 3" xfId="35156"/>
    <cellStyle name="40% - Accent2 2 6 3 10" xfId="35157"/>
    <cellStyle name="40% - Accent2 2 6 3 11" xfId="35158"/>
    <cellStyle name="40% - Accent2 2 6 3 2" xfId="35159"/>
    <cellStyle name="40% - Accent2 2 6 3 2 10" xfId="35160"/>
    <cellStyle name="40% - Accent2 2 6 3 2 2" xfId="35161"/>
    <cellStyle name="40% - Accent2 2 6 3 2 2 2" xfId="35162"/>
    <cellStyle name="40% - Accent2 2 6 3 2 2 2 2" xfId="35163"/>
    <cellStyle name="40% - Accent2 2 6 3 2 2 3" xfId="35164"/>
    <cellStyle name="40% - Accent2 2 6 3 2 2 3 2" xfId="35165"/>
    <cellStyle name="40% - Accent2 2 6 3 2 2 4" xfId="35166"/>
    <cellStyle name="40% - Accent2 2 6 3 2 2 5" xfId="35167"/>
    <cellStyle name="40% - Accent2 2 6 3 2 2 6" xfId="35168"/>
    <cellStyle name="40% - Accent2 2 6 3 2 2 7" xfId="35169"/>
    <cellStyle name="40% - Accent2 2 6 3 2 3" xfId="35170"/>
    <cellStyle name="40% - Accent2 2 6 3 2 3 2" xfId="35171"/>
    <cellStyle name="40% - Accent2 2 6 3 2 3 2 2" xfId="35172"/>
    <cellStyle name="40% - Accent2 2 6 3 2 3 3" xfId="35173"/>
    <cellStyle name="40% - Accent2 2 6 3 2 3 3 2" xfId="35174"/>
    <cellStyle name="40% - Accent2 2 6 3 2 3 4" xfId="35175"/>
    <cellStyle name="40% - Accent2 2 6 3 2 3 5" xfId="35176"/>
    <cellStyle name="40% - Accent2 2 6 3 2 3 6" xfId="35177"/>
    <cellStyle name="40% - Accent2 2 6 3 2 3 7" xfId="35178"/>
    <cellStyle name="40% - Accent2 2 6 3 2 4" xfId="35179"/>
    <cellStyle name="40% - Accent2 2 6 3 2 4 2" xfId="35180"/>
    <cellStyle name="40% - Accent2 2 6 3 2 4 2 2" xfId="35181"/>
    <cellStyle name="40% - Accent2 2 6 3 2 4 3" xfId="35182"/>
    <cellStyle name="40% - Accent2 2 6 3 2 4 3 2" xfId="35183"/>
    <cellStyle name="40% - Accent2 2 6 3 2 4 4" xfId="35184"/>
    <cellStyle name="40% - Accent2 2 6 3 2 4 5" xfId="35185"/>
    <cellStyle name="40% - Accent2 2 6 3 2 4 6" xfId="35186"/>
    <cellStyle name="40% - Accent2 2 6 3 2 4 7" xfId="35187"/>
    <cellStyle name="40% - Accent2 2 6 3 2 5" xfId="35188"/>
    <cellStyle name="40% - Accent2 2 6 3 2 5 2" xfId="35189"/>
    <cellStyle name="40% - Accent2 2 6 3 2 6" xfId="35190"/>
    <cellStyle name="40% - Accent2 2 6 3 2 6 2" xfId="35191"/>
    <cellStyle name="40% - Accent2 2 6 3 2 7" xfId="35192"/>
    <cellStyle name="40% - Accent2 2 6 3 2 8" xfId="35193"/>
    <cellStyle name="40% - Accent2 2 6 3 2 9" xfId="35194"/>
    <cellStyle name="40% - Accent2 2 6 3 3" xfId="35195"/>
    <cellStyle name="40% - Accent2 2 6 3 3 2" xfId="35196"/>
    <cellStyle name="40% - Accent2 2 6 3 3 2 2" xfId="35197"/>
    <cellStyle name="40% - Accent2 2 6 3 3 3" xfId="35198"/>
    <cellStyle name="40% - Accent2 2 6 3 3 3 2" xfId="35199"/>
    <cellStyle name="40% - Accent2 2 6 3 3 4" xfId="35200"/>
    <cellStyle name="40% - Accent2 2 6 3 3 5" xfId="35201"/>
    <cellStyle name="40% - Accent2 2 6 3 3 6" xfId="35202"/>
    <cellStyle name="40% - Accent2 2 6 3 3 7" xfId="35203"/>
    <cellStyle name="40% - Accent2 2 6 3 4" xfId="35204"/>
    <cellStyle name="40% - Accent2 2 6 3 4 2" xfId="35205"/>
    <cellStyle name="40% - Accent2 2 6 3 4 2 2" xfId="35206"/>
    <cellStyle name="40% - Accent2 2 6 3 4 3" xfId="35207"/>
    <cellStyle name="40% - Accent2 2 6 3 4 3 2" xfId="35208"/>
    <cellStyle name="40% - Accent2 2 6 3 4 4" xfId="35209"/>
    <cellStyle name="40% - Accent2 2 6 3 4 5" xfId="35210"/>
    <cellStyle name="40% - Accent2 2 6 3 4 6" xfId="35211"/>
    <cellStyle name="40% - Accent2 2 6 3 4 7" xfId="35212"/>
    <cellStyle name="40% - Accent2 2 6 3 5" xfId="35213"/>
    <cellStyle name="40% - Accent2 2 6 3 5 2" xfId="35214"/>
    <cellStyle name="40% - Accent2 2 6 3 5 2 2" xfId="35215"/>
    <cellStyle name="40% - Accent2 2 6 3 5 3" xfId="35216"/>
    <cellStyle name="40% - Accent2 2 6 3 5 3 2" xfId="35217"/>
    <cellStyle name="40% - Accent2 2 6 3 5 4" xfId="35218"/>
    <cellStyle name="40% - Accent2 2 6 3 5 5" xfId="35219"/>
    <cellStyle name="40% - Accent2 2 6 3 5 6" xfId="35220"/>
    <cellStyle name="40% - Accent2 2 6 3 5 7" xfId="35221"/>
    <cellStyle name="40% - Accent2 2 6 3 6" xfId="35222"/>
    <cellStyle name="40% - Accent2 2 6 3 6 2" xfId="35223"/>
    <cellStyle name="40% - Accent2 2 6 3 7" xfId="35224"/>
    <cellStyle name="40% - Accent2 2 6 3 7 2" xfId="35225"/>
    <cellStyle name="40% - Accent2 2 6 3 8" xfId="35226"/>
    <cellStyle name="40% - Accent2 2 6 3 9" xfId="35227"/>
    <cellStyle name="40% - Accent2 2 6 4" xfId="35228"/>
    <cellStyle name="40% - Accent2 2 6 4 10" xfId="35229"/>
    <cellStyle name="40% - Accent2 2 6 4 2" xfId="35230"/>
    <cellStyle name="40% - Accent2 2 6 4 2 2" xfId="35231"/>
    <cellStyle name="40% - Accent2 2 6 4 2 2 2" xfId="35232"/>
    <cellStyle name="40% - Accent2 2 6 4 2 3" xfId="35233"/>
    <cellStyle name="40% - Accent2 2 6 4 2 3 2" xfId="35234"/>
    <cellStyle name="40% - Accent2 2 6 4 2 4" xfId="35235"/>
    <cellStyle name="40% - Accent2 2 6 4 2 5" xfId="35236"/>
    <cellStyle name="40% - Accent2 2 6 4 2 6" xfId="35237"/>
    <cellStyle name="40% - Accent2 2 6 4 2 7" xfId="35238"/>
    <cellStyle name="40% - Accent2 2 6 4 3" xfId="35239"/>
    <cellStyle name="40% - Accent2 2 6 4 3 2" xfId="35240"/>
    <cellStyle name="40% - Accent2 2 6 4 3 2 2" xfId="35241"/>
    <cellStyle name="40% - Accent2 2 6 4 3 3" xfId="35242"/>
    <cellStyle name="40% - Accent2 2 6 4 3 3 2" xfId="35243"/>
    <cellStyle name="40% - Accent2 2 6 4 3 4" xfId="35244"/>
    <cellStyle name="40% - Accent2 2 6 4 3 5" xfId="35245"/>
    <cellStyle name="40% - Accent2 2 6 4 3 6" xfId="35246"/>
    <cellStyle name="40% - Accent2 2 6 4 3 7" xfId="35247"/>
    <cellStyle name="40% - Accent2 2 6 4 4" xfId="35248"/>
    <cellStyle name="40% - Accent2 2 6 4 4 2" xfId="35249"/>
    <cellStyle name="40% - Accent2 2 6 4 4 2 2" xfId="35250"/>
    <cellStyle name="40% - Accent2 2 6 4 4 3" xfId="35251"/>
    <cellStyle name="40% - Accent2 2 6 4 4 3 2" xfId="35252"/>
    <cellStyle name="40% - Accent2 2 6 4 4 4" xfId="35253"/>
    <cellStyle name="40% - Accent2 2 6 4 4 5" xfId="35254"/>
    <cellStyle name="40% - Accent2 2 6 4 4 6" xfId="35255"/>
    <cellStyle name="40% - Accent2 2 6 4 4 7" xfId="35256"/>
    <cellStyle name="40% - Accent2 2 6 4 5" xfId="35257"/>
    <cellStyle name="40% - Accent2 2 6 4 5 2" xfId="35258"/>
    <cellStyle name="40% - Accent2 2 6 4 6" xfId="35259"/>
    <cellStyle name="40% - Accent2 2 6 4 6 2" xfId="35260"/>
    <cellStyle name="40% - Accent2 2 6 4 7" xfId="35261"/>
    <cellStyle name="40% - Accent2 2 6 4 8" xfId="35262"/>
    <cellStyle name="40% - Accent2 2 6 4 9" xfId="35263"/>
    <cellStyle name="40% - Accent2 2 6 5" xfId="35264"/>
    <cellStyle name="40% - Accent2 2 6 5 2" xfId="35265"/>
    <cellStyle name="40% - Accent2 2 6 5 2 2" xfId="35266"/>
    <cellStyle name="40% - Accent2 2 6 5 3" xfId="35267"/>
    <cellStyle name="40% - Accent2 2 6 5 3 2" xfId="35268"/>
    <cellStyle name="40% - Accent2 2 6 5 4" xfId="35269"/>
    <cellStyle name="40% - Accent2 2 6 5 5" xfId="35270"/>
    <cellStyle name="40% - Accent2 2 6 5 6" xfId="35271"/>
    <cellStyle name="40% - Accent2 2 6 5 7" xfId="35272"/>
    <cellStyle name="40% - Accent2 2 6 6" xfId="35273"/>
    <cellStyle name="40% - Accent2 2 6 6 2" xfId="35274"/>
    <cellStyle name="40% - Accent2 2 6 6 2 2" xfId="35275"/>
    <cellStyle name="40% - Accent2 2 6 6 3" xfId="35276"/>
    <cellStyle name="40% - Accent2 2 6 6 3 2" xfId="35277"/>
    <cellStyle name="40% - Accent2 2 6 6 4" xfId="35278"/>
    <cellStyle name="40% - Accent2 2 6 6 5" xfId="35279"/>
    <cellStyle name="40% - Accent2 2 6 6 6" xfId="35280"/>
    <cellStyle name="40% - Accent2 2 6 6 7" xfId="35281"/>
    <cellStyle name="40% - Accent2 2 6 7" xfId="35282"/>
    <cellStyle name="40% - Accent2 2 6 7 2" xfId="35283"/>
    <cellStyle name="40% - Accent2 2 6 7 2 2" xfId="35284"/>
    <cellStyle name="40% - Accent2 2 6 7 3" xfId="35285"/>
    <cellStyle name="40% - Accent2 2 6 7 3 2" xfId="35286"/>
    <cellStyle name="40% - Accent2 2 6 7 4" xfId="35287"/>
    <cellStyle name="40% - Accent2 2 6 7 5" xfId="35288"/>
    <cellStyle name="40% - Accent2 2 6 7 6" xfId="35289"/>
    <cellStyle name="40% - Accent2 2 6 7 7" xfId="35290"/>
    <cellStyle name="40% - Accent2 2 6 8" xfId="35291"/>
    <cellStyle name="40% - Accent2 2 6 8 2" xfId="35292"/>
    <cellStyle name="40% - Accent2 2 6 9" xfId="35293"/>
    <cellStyle name="40% - Accent2 2 6 9 2" xfId="35294"/>
    <cellStyle name="40% - Accent2 2 7" xfId="35295"/>
    <cellStyle name="40% - Accent2 2 7 10" xfId="35296"/>
    <cellStyle name="40% - Accent2 2 7 11" xfId="35297"/>
    <cellStyle name="40% - Accent2 2 7 2" xfId="35298"/>
    <cellStyle name="40% - Accent2 2 7 2 10" xfId="35299"/>
    <cellStyle name="40% - Accent2 2 7 2 2" xfId="35300"/>
    <cellStyle name="40% - Accent2 2 7 2 2 2" xfId="35301"/>
    <cellStyle name="40% - Accent2 2 7 2 2 2 2" xfId="35302"/>
    <cellStyle name="40% - Accent2 2 7 2 2 3" xfId="35303"/>
    <cellStyle name="40% - Accent2 2 7 2 2 3 2" xfId="35304"/>
    <cellStyle name="40% - Accent2 2 7 2 2 4" xfId="35305"/>
    <cellStyle name="40% - Accent2 2 7 2 2 5" xfId="35306"/>
    <cellStyle name="40% - Accent2 2 7 2 2 6" xfId="35307"/>
    <cellStyle name="40% - Accent2 2 7 2 2 7" xfId="35308"/>
    <cellStyle name="40% - Accent2 2 7 2 3" xfId="35309"/>
    <cellStyle name="40% - Accent2 2 7 2 3 2" xfId="35310"/>
    <cellStyle name="40% - Accent2 2 7 2 3 2 2" xfId="35311"/>
    <cellStyle name="40% - Accent2 2 7 2 3 3" xfId="35312"/>
    <cellStyle name="40% - Accent2 2 7 2 3 3 2" xfId="35313"/>
    <cellStyle name="40% - Accent2 2 7 2 3 4" xfId="35314"/>
    <cellStyle name="40% - Accent2 2 7 2 3 5" xfId="35315"/>
    <cellStyle name="40% - Accent2 2 7 2 3 6" xfId="35316"/>
    <cellStyle name="40% - Accent2 2 7 2 3 7" xfId="35317"/>
    <cellStyle name="40% - Accent2 2 7 2 4" xfId="35318"/>
    <cellStyle name="40% - Accent2 2 7 2 4 2" xfId="35319"/>
    <cellStyle name="40% - Accent2 2 7 2 4 2 2" xfId="35320"/>
    <cellStyle name="40% - Accent2 2 7 2 4 3" xfId="35321"/>
    <cellStyle name="40% - Accent2 2 7 2 4 3 2" xfId="35322"/>
    <cellStyle name="40% - Accent2 2 7 2 4 4" xfId="35323"/>
    <cellStyle name="40% - Accent2 2 7 2 4 5" xfId="35324"/>
    <cellStyle name="40% - Accent2 2 7 2 4 6" xfId="35325"/>
    <cellStyle name="40% - Accent2 2 7 2 4 7" xfId="35326"/>
    <cellStyle name="40% - Accent2 2 7 2 5" xfId="35327"/>
    <cellStyle name="40% - Accent2 2 7 2 5 2" xfId="35328"/>
    <cellStyle name="40% - Accent2 2 7 2 6" xfId="35329"/>
    <cellStyle name="40% - Accent2 2 7 2 6 2" xfId="35330"/>
    <cellStyle name="40% - Accent2 2 7 2 7" xfId="35331"/>
    <cellStyle name="40% - Accent2 2 7 2 8" xfId="35332"/>
    <cellStyle name="40% - Accent2 2 7 2 9" xfId="35333"/>
    <cellStyle name="40% - Accent2 2 7 3" xfId="35334"/>
    <cellStyle name="40% - Accent2 2 7 3 2" xfId="35335"/>
    <cellStyle name="40% - Accent2 2 7 3 2 2" xfId="35336"/>
    <cellStyle name="40% - Accent2 2 7 3 3" xfId="35337"/>
    <cellStyle name="40% - Accent2 2 7 3 3 2" xfId="35338"/>
    <cellStyle name="40% - Accent2 2 7 3 4" xfId="35339"/>
    <cellStyle name="40% - Accent2 2 7 3 5" xfId="35340"/>
    <cellStyle name="40% - Accent2 2 7 3 6" xfId="35341"/>
    <cellStyle name="40% - Accent2 2 7 3 7" xfId="35342"/>
    <cellStyle name="40% - Accent2 2 7 4" xfId="35343"/>
    <cellStyle name="40% - Accent2 2 7 4 2" xfId="35344"/>
    <cellStyle name="40% - Accent2 2 7 4 2 2" xfId="35345"/>
    <cellStyle name="40% - Accent2 2 7 4 3" xfId="35346"/>
    <cellStyle name="40% - Accent2 2 7 4 3 2" xfId="35347"/>
    <cellStyle name="40% - Accent2 2 7 4 4" xfId="35348"/>
    <cellStyle name="40% - Accent2 2 7 4 5" xfId="35349"/>
    <cellStyle name="40% - Accent2 2 7 4 6" xfId="35350"/>
    <cellStyle name="40% - Accent2 2 7 4 7" xfId="35351"/>
    <cellStyle name="40% - Accent2 2 7 5" xfId="35352"/>
    <cellStyle name="40% - Accent2 2 7 5 2" xfId="35353"/>
    <cellStyle name="40% - Accent2 2 7 5 2 2" xfId="35354"/>
    <cellStyle name="40% - Accent2 2 7 5 3" xfId="35355"/>
    <cellStyle name="40% - Accent2 2 7 5 3 2" xfId="35356"/>
    <cellStyle name="40% - Accent2 2 7 5 4" xfId="35357"/>
    <cellStyle name="40% - Accent2 2 7 5 5" xfId="35358"/>
    <cellStyle name="40% - Accent2 2 7 5 6" xfId="35359"/>
    <cellStyle name="40% - Accent2 2 7 5 7" xfId="35360"/>
    <cellStyle name="40% - Accent2 2 7 6" xfId="35361"/>
    <cellStyle name="40% - Accent2 2 7 6 2" xfId="35362"/>
    <cellStyle name="40% - Accent2 2 7 7" xfId="35363"/>
    <cellStyle name="40% - Accent2 2 7 7 2" xfId="35364"/>
    <cellStyle name="40% - Accent2 2 7 8" xfId="35365"/>
    <cellStyle name="40% - Accent2 2 7 9" xfId="35366"/>
    <cellStyle name="40% - Accent2 2 8" xfId="35367"/>
    <cellStyle name="40% - Accent2 2 8 10" xfId="35368"/>
    <cellStyle name="40% - Accent2 2 8 11" xfId="35369"/>
    <cellStyle name="40% - Accent2 2 8 2" xfId="35370"/>
    <cellStyle name="40% - Accent2 2 8 2 10" xfId="35371"/>
    <cellStyle name="40% - Accent2 2 8 2 2" xfId="35372"/>
    <cellStyle name="40% - Accent2 2 8 2 2 2" xfId="35373"/>
    <cellStyle name="40% - Accent2 2 8 2 2 2 2" xfId="35374"/>
    <cellStyle name="40% - Accent2 2 8 2 2 3" xfId="35375"/>
    <cellStyle name="40% - Accent2 2 8 2 2 3 2" xfId="35376"/>
    <cellStyle name="40% - Accent2 2 8 2 2 4" xfId="35377"/>
    <cellStyle name="40% - Accent2 2 8 2 2 5" xfId="35378"/>
    <cellStyle name="40% - Accent2 2 8 2 2 6" xfId="35379"/>
    <cellStyle name="40% - Accent2 2 8 2 2 7" xfId="35380"/>
    <cellStyle name="40% - Accent2 2 8 2 3" xfId="35381"/>
    <cellStyle name="40% - Accent2 2 8 2 3 2" xfId="35382"/>
    <cellStyle name="40% - Accent2 2 8 2 3 2 2" xfId="35383"/>
    <cellStyle name="40% - Accent2 2 8 2 3 3" xfId="35384"/>
    <cellStyle name="40% - Accent2 2 8 2 3 3 2" xfId="35385"/>
    <cellStyle name="40% - Accent2 2 8 2 3 4" xfId="35386"/>
    <cellStyle name="40% - Accent2 2 8 2 3 5" xfId="35387"/>
    <cellStyle name="40% - Accent2 2 8 2 3 6" xfId="35388"/>
    <cellStyle name="40% - Accent2 2 8 2 3 7" xfId="35389"/>
    <cellStyle name="40% - Accent2 2 8 2 4" xfId="35390"/>
    <cellStyle name="40% - Accent2 2 8 2 4 2" xfId="35391"/>
    <cellStyle name="40% - Accent2 2 8 2 4 2 2" xfId="35392"/>
    <cellStyle name="40% - Accent2 2 8 2 4 3" xfId="35393"/>
    <cellStyle name="40% - Accent2 2 8 2 4 3 2" xfId="35394"/>
    <cellStyle name="40% - Accent2 2 8 2 4 4" xfId="35395"/>
    <cellStyle name="40% - Accent2 2 8 2 4 5" xfId="35396"/>
    <cellStyle name="40% - Accent2 2 8 2 4 6" xfId="35397"/>
    <cellStyle name="40% - Accent2 2 8 2 4 7" xfId="35398"/>
    <cellStyle name="40% - Accent2 2 8 2 5" xfId="35399"/>
    <cellStyle name="40% - Accent2 2 8 2 5 2" xfId="35400"/>
    <cellStyle name="40% - Accent2 2 8 2 6" xfId="35401"/>
    <cellStyle name="40% - Accent2 2 8 2 6 2" xfId="35402"/>
    <cellStyle name="40% - Accent2 2 8 2 7" xfId="35403"/>
    <cellStyle name="40% - Accent2 2 8 2 8" xfId="35404"/>
    <cellStyle name="40% - Accent2 2 8 2 9" xfId="35405"/>
    <cellStyle name="40% - Accent2 2 8 3" xfId="35406"/>
    <cellStyle name="40% - Accent2 2 8 3 2" xfId="35407"/>
    <cellStyle name="40% - Accent2 2 8 3 2 2" xfId="35408"/>
    <cellStyle name="40% - Accent2 2 8 3 3" xfId="35409"/>
    <cellStyle name="40% - Accent2 2 8 3 3 2" xfId="35410"/>
    <cellStyle name="40% - Accent2 2 8 3 4" xfId="35411"/>
    <cellStyle name="40% - Accent2 2 8 3 5" xfId="35412"/>
    <cellStyle name="40% - Accent2 2 8 3 6" xfId="35413"/>
    <cellStyle name="40% - Accent2 2 8 3 7" xfId="35414"/>
    <cellStyle name="40% - Accent2 2 8 4" xfId="35415"/>
    <cellStyle name="40% - Accent2 2 8 4 2" xfId="35416"/>
    <cellStyle name="40% - Accent2 2 8 4 2 2" xfId="35417"/>
    <cellStyle name="40% - Accent2 2 8 4 3" xfId="35418"/>
    <cellStyle name="40% - Accent2 2 8 4 3 2" xfId="35419"/>
    <cellStyle name="40% - Accent2 2 8 4 4" xfId="35420"/>
    <cellStyle name="40% - Accent2 2 8 4 5" xfId="35421"/>
    <cellStyle name="40% - Accent2 2 8 4 6" xfId="35422"/>
    <cellStyle name="40% - Accent2 2 8 4 7" xfId="35423"/>
    <cellStyle name="40% - Accent2 2 8 5" xfId="35424"/>
    <cellStyle name="40% - Accent2 2 8 5 2" xfId="35425"/>
    <cellStyle name="40% - Accent2 2 8 5 2 2" xfId="35426"/>
    <cellStyle name="40% - Accent2 2 8 5 3" xfId="35427"/>
    <cellStyle name="40% - Accent2 2 8 5 3 2" xfId="35428"/>
    <cellStyle name="40% - Accent2 2 8 5 4" xfId="35429"/>
    <cellStyle name="40% - Accent2 2 8 5 5" xfId="35430"/>
    <cellStyle name="40% - Accent2 2 8 5 6" xfId="35431"/>
    <cellStyle name="40% - Accent2 2 8 5 7" xfId="35432"/>
    <cellStyle name="40% - Accent2 2 8 6" xfId="35433"/>
    <cellStyle name="40% - Accent2 2 8 6 2" xfId="35434"/>
    <cellStyle name="40% - Accent2 2 8 7" xfId="35435"/>
    <cellStyle name="40% - Accent2 2 8 7 2" xfId="35436"/>
    <cellStyle name="40% - Accent2 2 8 8" xfId="35437"/>
    <cellStyle name="40% - Accent2 2 8 9" xfId="35438"/>
    <cellStyle name="40% - Accent2 2 9" xfId="35439"/>
    <cellStyle name="40% - Accent2 2 9 10" xfId="35440"/>
    <cellStyle name="40% - Accent2 2 9 2" xfId="35441"/>
    <cellStyle name="40% - Accent2 2 9 2 2" xfId="35442"/>
    <cellStyle name="40% - Accent2 2 9 2 2 2" xfId="35443"/>
    <cellStyle name="40% - Accent2 2 9 2 3" xfId="35444"/>
    <cellStyle name="40% - Accent2 2 9 2 3 2" xfId="35445"/>
    <cellStyle name="40% - Accent2 2 9 2 4" xfId="35446"/>
    <cellStyle name="40% - Accent2 2 9 2 5" xfId="35447"/>
    <cellStyle name="40% - Accent2 2 9 2 6" xfId="35448"/>
    <cellStyle name="40% - Accent2 2 9 2 7" xfId="35449"/>
    <cellStyle name="40% - Accent2 2 9 3" xfId="35450"/>
    <cellStyle name="40% - Accent2 2 9 3 2" xfId="35451"/>
    <cellStyle name="40% - Accent2 2 9 3 2 2" xfId="35452"/>
    <cellStyle name="40% - Accent2 2 9 3 3" xfId="35453"/>
    <cellStyle name="40% - Accent2 2 9 3 3 2" xfId="35454"/>
    <cellStyle name="40% - Accent2 2 9 3 4" xfId="35455"/>
    <cellStyle name="40% - Accent2 2 9 3 5" xfId="35456"/>
    <cellStyle name="40% - Accent2 2 9 3 6" xfId="35457"/>
    <cellStyle name="40% - Accent2 2 9 3 7" xfId="35458"/>
    <cellStyle name="40% - Accent2 2 9 4" xfId="35459"/>
    <cellStyle name="40% - Accent2 2 9 4 2" xfId="35460"/>
    <cellStyle name="40% - Accent2 2 9 4 2 2" xfId="35461"/>
    <cellStyle name="40% - Accent2 2 9 4 3" xfId="35462"/>
    <cellStyle name="40% - Accent2 2 9 4 3 2" xfId="35463"/>
    <cellStyle name="40% - Accent2 2 9 4 4" xfId="35464"/>
    <cellStyle name="40% - Accent2 2 9 4 5" xfId="35465"/>
    <cellStyle name="40% - Accent2 2 9 4 6" xfId="35466"/>
    <cellStyle name="40% - Accent2 2 9 4 7" xfId="35467"/>
    <cellStyle name="40% - Accent2 2 9 5" xfId="35468"/>
    <cellStyle name="40% - Accent2 2 9 5 2" xfId="35469"/>
    <cellStyle name="40% - Accent2 2 9 6" xfId="35470"/>
    <cellStyle name="40% - Accent2 2 9 6 2" xfId="35471"/>
    <cellStyle name="40% - Accent2 2 9 7" xfId="35472"/>
    <cellStyle name="40% - Accent2 2 9 8" xfId="35473"/>
    <cellStyle name="40% - Accent2 2 9 9" xfId="35474"/>
    <cellStyle name="40% - Accent2 2_10-15-10-Stmt AU - Period I - Working 1 0" xfId="279"/>
    <cellStyle name="40% - Accent2 3" xfId="280"/>
    <cellStyle name="40% - Accent2 3 10" xfId="35475"/>
    <cellStyle name="40% - Accent2 3 10 2" xfId="35476"/>
    <cellStyle name="40% - Accent2 3 10 2 2" xfId="35477"/>
    <cellStyle name="40% - Accent2 3 10 3" xfId="35478"/>
    <cellStyle name="40% - Accent2 3 10 3 2" xfId="35479"/>
    <cellStyle name="40% - Accent2 3 10 4" xfId="35480"/>
    <cellStyle name="40% - Accent2 3 10 5" xfId="35481"/>
    <cellStyle name="40% - Accent2 3 10 6" xfId="35482"/>
    <cellStyle name="40% - Accent2 3 10 7" xfId="35483"/>
    <cellStyle name="40% - Accent2 3 11" xfId="35484"/>
    <cellStyle name="40% - Accent2 3 11 2" xfId="35485"/>
    <cellStyle name="40% - Accent2 3 11 2 2" xfId="35486"/>
    <cellStyle name="40% - Accent2 3 11 3" xfId="35487"/>
    <cellStyle name="40% - Accent2 3 11 3 2" xfId="35488"/>
    <cellStyle name="40% - Accent2 3 11 4" xfId="35489"/>
    <cellStyle name="40% - Accent2 3 11 5" xfId="35490"/>
    <cellStyle name="40% - Accent2 3 11 6" xfId="35491"/>
    <cellStyle name="40% - Accent2 3 11 7" xfId="35492"/>
    <cellStyle name="40% - Accent2 3 12" xfId="35493"/>
    <cellStyle name="40% - Accent2 3 12 2" xfId="35494"/>
    <cellStyle name="40% - Accent2 3 12 2 2" xfId="35495"/>
    <cellStyle name="40% - Accent2 3 12 3" xfId="35496"/>
    <cellStyle name="40% - Accent2 3 12 3 2" xfId="35497"/>
    <cellStyle name="40% - Accent2 3 12 4" xfId="35498"/>
    <cellStyle name="40% - Accent2 3 12 5" xfId="35499"/>
    <cellStyle name="40% - Accent2 3 12 6" xfId="35500"/>
    <cellStyle name="40% - Accent2 3 12 7" xfId="35501"/>
    <cellStyle name="40% - Accent2 3 13" xfId="35502"/>
    <cellStyle name="40% - Accent2 3 13 2" xfId="35503"/>
    <cellStyle name="40% - Accent2 3 14" xfId="35504"/>
    <cellStyle name="40% - Accent2 3 14 2" xfId="35505"/>
    <cellStyle name="40% - Accent2 3 15" xfId="35506"/>
    <cellStyle name="40% - Accent2 3 16" xfId="35507"/>
    <cellStyle name="40% - Accent2 3 17" xfId="35508"/>
    <cellStyle name="40% - Accent2 3 18" xfId="35509"/>
    <cellStyle name="40% - Accent2 3 2" xfId="281"/>
    <cellStyle name="40% - Accent2 3 2 10" xfId="35510"/>
    <cellStyle name="40% - Accent2 3 2 11" xfId="35511"/>
    <cellStyle name="40% - Accent2 3 2 12" xfId="35512"/>
    <cellStyle name="40% - Accent2 3 2 13" xfId="35513"/>
    <cellStyle name="40% - Accent2 3 2 2" xfId="35514"/>
    <cellStyle name="40% - Accent2 3 2 2 10" xfId="35515"/>
    <cellStyle name="40% - Accent2 3 2 2 11" xfId="35516"/>
    <cellStyle name="40% - Accent2 3 2 2 2" xfId="35517"/>
    <cellStyle name="40% - Accent2 3 2 2 2 10" xfId="35518"/>
    <cellStyle name="40% - Accent2 3 2 2 2 2" xfId="35519"/>
    <cellStyle name="40% - Accent2 3 2 2 2 2 2" xfId="35520"/>
    <cellStyle name="40% - Accent2 3 2 2 2 2 2 2" xfId="35521"/>
    <cellStyle name="40% - Accent2 3 2 2 2 2 3" xfId="35522"/>
    <cellStyle name="40% - Accent2 3 2 2 2 2 3 2" xfId="35523"/>
    <cellStyle name="40% - Accent2 3 2 2 2 2 4" xfId="35524"/>
    <cellStyle name="40% - Accent2 3 2 2 2 2 5" xfId="35525"/>
    <cellStyle name="40% - Accent2 3 2 2 2 2 6" xfId="35526"/>
    <cellStyle name="40% - Accent2 3 2 2 2 2 7" xfId="35527"/>
    <cellStyle name="40% - Accent2 3 2 2 2 3" xfId="35528"/>
    <cellStyle name="40% - Accent2 3 2 2 2 3 2" xfId="35529"/>
    <cellStyle name="40% - Accent2 3 2 2 2 3 2 2" xfId="35530"/>
    <cellStyle name="40% - Accent2 3 2 2 2 3 3" xfId="35531"/>
    <cellStyle name="40% - Accent2 3 2 2 2 3 3 2" xfId="35532"/>
    <cellStyle name="40% - Accent2 3 2 2 2 3 4" xfId="35533"/>
    <cellStyle name="40% - Accent2 3 2 2 2 3 5" xfId="35534"/>
    <cellStyle name="40% - Accent2 3 2 2 2 3 6" xfId="35535"/>
    <cellStyle name="40% - Accent2 3 2 2 2 3 7" xfId="35536"/>
    <cellStyle name="40% - Accent2 3 2 2 2 4" xfId="35537"/>
    <cellStyle name="40% - Accent2 3 2 2 2 4 2" xfId="35538"/>
    <cellStyle name="40% - Accent2 3 2 2 2 4 2 2" xfId="35539"/>
    <cellStyle name="40% - Accent2 3 2 2 2 4 3" xfId="35540"/>
    <cellStyle name="40% - Accent2 3 2 2 2 4 3 2" xfId="35541"/>
    <cellStyle name="40% - Accent2 3 2 2 2 4 4" xfId="35542"/>
    <cellStyle name="40% - Accent2 3 2 2 2 4 5" xfId="35543"/>
    <cellStyle name="40% - Accent2 3 2 2 2 4 6" xfId="35544"/>
    <cellStyle name="40% - Accent2 3 2 2 2 4 7" xfId="35545"/>
    <cellStyle name="40% - Accent2 3 2 2 2 5" xfId="35546"/>
    <cellStyle name="40% - Accent2 3 2 2 2 5 2" xfId="35547"/>
    <cellStyle name="40% - Accent2 3 2 2 2 6" xfId="35548"/>
    <cellStyle name="40% - Accent2 3 2 2 2 6 2" xfId="35549"/>
    <cellStyle name="40% - Accent2 3 2 2 2 7" xfId="35550"/>
    <cellStyle name="40% - Accent2 3 2 2 2 8" xfId="35551"/>
    <cellStyle name="40% - Accent2 3 2 2 2 9" xfId="35552"/>
    <cellStyle name="40% - Accent2 3 2 2 3" xfId="35553"/>
    <cellStyle name="40% - Accent2 3 2 2 3 2" xfId="35554"/>
    <cellStyle name="40% - Accent2 3 2 2 3 2 2" xfId="35555"/>
    <cellStyle name="40% - Accent2 3 2 2 3 3" xfId="35556"/>
    <cellStyle name="40% - Accent2 3 2 2 3 3 2" xfId="35557"/>
    <cellStyle name="40% - Accent2 3 2 2 3 4" xfId="35558"/>
    <cellStyle name="40% - Accent2 3 2 2 3 5" xfId="35559"/>
    <cellStyle name="40% - Accent2 3 2 2 3 6" xfId="35560"/>
    <cellStyle name="40% - Accent2 3 2 2 3 7" xfId="35561"/>
    <cellStyle name="40% - Accent2 3 2 2 4" xfId="35562"/>
    <cellStyle name="40% - Accent2 3 2 2 4 2" xfId="35563"/>
    <cellStyle name="40% - Accent2 3 2 2 4 2 2" xfId="35564"/>
    <cellStyle name="40% - Accent2 3 2 2 4 3" xfId="35565"/>
    <cellStyle name="40% - Accent2 3 2 2 4 3 2" xfId="35566"/>
    <cellStyle name="40% - Accent2 3 2 2 4 4" xfId="35567"/>
    <cellStyle name="40% - Accent2 3 2 2 4 5" xfId="35568"/>
    <cellStyle name="40% - Accent2 3 2 2 4 6" xfId="35569"/>
    <cellStyle name="40% - Accent2 3 2 2 4 7" xfId="35570"/>
    <cellStyle name="40% - Accent2 3 2 2 5" xfId="35571"/>
    <cellStyle name="40% - Accent2 3 2 2 5 2" xfId="35572"/>
    <cellStyle name="40% - Accent2 3 2 2 5 2 2" xfId="35573"/>
    <cellStyle name="40% - Accent2 3 2 2 5 3" xfId="35574"/>
    <cellStyle name="40% - Accent2 3 2 2 5 3 2" xfId="35575"/>
    <cellStyle name="40% - Accent2 3 2 2 5 4" xfId="35576"/>
    <cellStyle name="40% - Accent2 3 2 2 5 5" xfId="35577"/>
    <cellStyle name="40% - Accent2 3 2 2 5 6" xfId="35578"/>
    <cellStyle name="40% - Accent2 3 2 2 5 7" xfId="35579"/>
    <cellStyle name="40% - Accent2 3 2 2 6" xfId="35580"/>
    <cellStyle name="40% - Accent2 3 2 2 6 2" xfId="35581"/>
    <cellStyle name="40% - Accent2 3 2 2 7" xfId="35582"/>
    <cellStyle name="40% - Accent2 3 2 2 7 2" xfId="35583"/>
    <cellStyle name="40% - Accent2 3 2 2 8" xfId="35584"/>
    <cellStyle name="40% - Accent2 3 2 2 9" xfId="35585"/>
    <cellStyle name="40% - Accent2 3 2 3" xfId="35586"/>
    <cellStyle name="40% - Accent2 3 2 3 10" xfId="35587"/>
    <cellStyle name="40% - Accent2 3 2 3 11" xfId="35588"/>
    <cellStyle name="40% - Accent2 3 2 3 2" xfId="35589"/>
    <cellStyle name="40% - Accent2 3 2 3 2 10" xfId="35590"/>
    <cellStyle name="40% - Accent2 3 2 3 2 2" xfId="35591"/>
    <cellStyle name="40% - Accent2 3 2 3 2 2 2" xfId="35592"/>
    <cellStyle name="40% - Accent2 3 2 3 2 2 2 2" xfId="35593"/>
    <cellStyle name="40% - Accent2 3 2 3 2 2 3" xfId="35594"/>
    <cellStyle name="40% - Accent2 3 2 3 2 2 3 2" xfId="35595"/>
    <cellStyle name="40% - Accent2 3 2 3 2 2 4" xfId="35596"/>
    <cellStyle name="40% - Accent2 3 2 3 2 2 5" xfId="35597"/>
    <cellStyle name="40% - Accent2 3 2 3 2 2 6" xfId="35598"/>
    <cellStyle name="40% - Accent2 3 2 3 2 2 7" xfId="35599"/>
    <cellStyle name="40% - Accent2 3 2 3 2 3" xfId="35600"/>
    <cellStyle name="40% - Accent2 3 2 3 2 3 2" xfId="35601"/>
    <cellStyle name="40% - Accent2 3 2 3 2 3 2 2" xfId="35602"/>
    <cellStyle name="40% - Accent2 3 2 3 2 3 3" xfId="35603"/>
    <cellStyle name="40% - Accent2 3 2 3 2 3 3 2" xfId="35604"/>
    <cellStyle name="40% - Accent2 3 2 3 2 3 4" xfId="35605"/>
    <cellStyle name="40% - Accent2 3 2 3 2 3 5" xfId="35606"/>
    <cellStyle name="40% - Accent2 3 2 3 2 3 6" xfId="35607"/>
    <cellStyle name="40% - Accent2 3 2 3 2 3 7" xfId="35608"/>
    <cellStyle name="40% - Accent2 3 2 3 2 4" xfId="35609"/>
    <cellStyle name="40% - Accent2 3 2 3 2 4 2" xfId="35610"/>
    <cellStyle name="40% - Accent2 3 2 3 2 4 2 2" xfId="35611"/>
    <cellStyle name="40% - Accent2 3 2 3 2 4 3" xfId="35612"/>
    <cellStyle name="40% - Accent2 3 2 3 2 4 3 2" xfId="35613"/>
    <cellStyle name="40% - Accent2 3 2 3 2 4 4" xfId="35614"/>
    <cellStyle name="40% - Accent2 3 2 3 2 4 5" xfId="35615"/>
    <cellStyle name="40% - Accent2 3 2 3 2 4 6" xfId="35616"/>
    <cellStyle name="40% - Accent2 3 2 3 2 4 7" xfId="35617"/>
    <cellStyle name="40% - Accent2 3 2 3 2 5" xfId="35618"/>
    <cellStyle name="40% - Accent2 3 2 3 2 5 2" xfId="35619"/>
    <cellStyle name="40% - Accent2 3 2 3 2 6" xfId="35620"/>
    <cellStyle name="40% - Accent2 3 2 3 2 6 2" xfId="35621"/>
    <cellStyle name="40% - Accent2 3 2 3 2 7" xfId="35622"/>
    <cellStyle name="40% - Accent2 3 2 3 2 8" xfId="35623"/>
    <cellStyle name="40% - Accent2 3 2 3 2 9" xfId="35624"/>
    <cellStyle name="40% - Accent2 3 2 3 3" xfId="35625"/>
    <cellStyle name="40% - Accent2 3 2 3 3 2" xfId="35626"/>
    <cellStyle name="40% - Accent2 3 2 3 3 2 2" xfId="35627"/>
    <cellStyle name="40% - Accent2 3 2 3 3 3" xfId="35628"/>
    <cellStyle name="40% - Accent2 3 2 3 3 3 2" xfId="35629"/>
    <cellStyle name="40% - Accent2 3 2 3 3 4" xfId="35630"/>
    <cellStyle name="40% - Accent2 3 2 3 3 5" xfId="35631"/>
    <cellStyle name="40% - Accent2 3 2 3 3 6" xfId="35632"/>
    <cellStyle name="40% - Accent2 3 2 3 3 7" xfId="35633"/>
    <cellStyle name="40% - Accent2 3 2 3 4" xfId="35634"/>
    <cellStyle name="40% - Accent2 3 2 3 4 2" xfId="35635"/>
    <cellStyle name="40% - Accent2 3 2 3 4 2 2" xfId="35636"/>
    <cellStyle name="40% - Accent2 3 2 3 4 3" xfId="35637"/>
    <cellStyle name="40% - Accent2 3 2 3 4 3 2" xfId="35638"/>
    <cellStyle name="40% - Accent2 3 2 3 4 4" xfId="35639"/>
    <cellStyle name="40% - Accent2 3 2 3 4 5" xfId="35640"/>
    <cellStyle name="40% - Accent2 3 2 3 4 6" xfId="35641"/>
    <cellStyle name="40% - Accent2 3 2 3 4 7" xfId="35642"/>
    <cellStyle name="40% - Accent2 3 2 3 5" xfId="35643"/>
    <cellStyle name="40% - Accent2 3 2 3 5 2" xfId="35644"/>
    <cellStyle name="40% - Accent2 3 2 3 5 2 2" xfId="35645"/>
    <cellStyle name="40% - Accent2 3 2 3 5 3" xfId="35646"/>
    <cellStyle name="40% - Accent2 3 2 3 5 3 2" xfId="35647"/>
    <cellStyle name="40% - Accent2 3 2 3 5 4" xfId="35648"/>
    <cellStyle name="40% - Accent2 3 2 3 5 5" xfId="35649"/>
    <cellStyle name="40% - Accent2 3 2 3 5 6" xfId="35650"/>
    <cellStyle name="40% - Accent2 3 2 3 5 7" xfId="35651"/>
    <cellStyle name="40% - Accent2 3 2 3 6" xfId="35652"/>
    <cellStyle name="40% - Accent2 3 2 3 6 2" xfId="35653"/>
    <cellStyle name="40% - Accent2 3 2 3 7" xfId="35654"/>
    <cellStyle name="40% - Accent2 3 2 3 7 2" xfId="35655"/>
    <cellStyle name="40% - Accent2 3 2 3 8" xfId="35656"/>
    <cellStyle name="40% - Accent2 3 2 3 9" xfId="35657"/>
    <cellStyle name="40% - Accent2 3 2 4" xfId="35658"/>
    <cellStyle name="40% - Accent2 3 2 4 10" xfId="35659"/>
    <cellStyle name="40% - Accent2 3 2 4 2" xfId="35660"/>
    <cellStyle name="40% - Accent2 3 2 4 2 2" xfId="35661"/>
    <cellStyle name="40% - Accent2 3 2 4 2 2 2" xfId="35662"/>
    <cellStyle name="40% - Accent2 3 2 4 2 3" xfId="35663"/>
    <cellStyle name="40% - Accent2 3 2 4 2 3 2" xfId="35664"/>
    <cellStyle name="40% - Accent2 3 2 4 2 4" xfId="35665"/>
    <cellStyle name="40% - Accent2 3 2 4 2 5" xfId="35666"/>
    <cellStyle name="40% - Accent2 3 2 4 2 6" xfId="35667"/>
    <cellStyle name="40% - Accent2 3 2 4 2 7" xfId="35668"/>
    <cellStyle name="40% - Accent2 3 2 4 3" xfId="35669"/>
    <cellStyle name="40% - Accent2 3 2 4 3 2" xfId="35670"/>
    <cellStyle name="40% - Accent2 3 2 4 3 2 2" xfId="35671"/>
    <cellStyle name="40% - Accent2 3 2 4 3 3" xfId="35672"/>
    <cellStyle name="40% - Accent2 3 2 4 3 3 2" xfId="35673"/>
    <cellStyle name="40% - Accent2 3 2 4 3 4" xfId="35674"/>
    <cellStyle name="40% - Accent2 3 2 4 3 5" xfId="35675"/>
    <cellStyle name="40% - Accent2 3 2 4 3 6" xfId="35676"/>
    <cellStyle name="40% - Accent2 3 2 4 3 7" xfId="35677"/>
    <cellStyle name="40% - Accent2 3 2 4 4" xfId="35678"/>
    <cellStyle name="40% - Accent2 3 2 4 4 2" xfId="35679"/>
    <cellStyle name="40% - Accent2 3 2 4 4 2 2" xfId="35680"/>
    <cellStyle name="40% - Accent2 3 2 4 4 3" xfId="35681"/>
    <cellStyle name="40% - Accent2 3 2 4 4 3 2" xfId="35682"/>
    <cellStyle name="40% - Accent2 3 2 4 4 4" xfId="35683"/>
    <cellStyle name="40% - Accent2 3 2 4 4 5" xfId="35684"/>
    <cellStyle name="40% - Accent2 3 2 4 4 6" xfId="35685"/>
    <cellStyle name="40% - Accent2 3 2 4 4 7" xfId="35686"/>
    <cellStyle name="40% - Accent2 3 2 4 5" xfId="35687"/>
    <cellStyle name="40% - Accent2 3 2 4 5 2" xfId="35688"/>
    <cellStyle name="40% - Accent2 3 2 4 6" xfId="35689"/>
    <cellStyle name="40% - Accent2 3 2 4 6 2" xfId="35690"/>
    <cellStyle name="40% - Accent2 3 2 4 7" xfId="35691"/>
    <cellStyle name="40% - Accent2 3 2 4 8" xfId="35692"/>
    <cellStyle name="40% - Accent2 3 2 4 9" xfId="35693"/>
    <cellStyle name="40% - Accent2 3 2 5" xfId="35694"/>
    <cellStyle name="40% - Accent2 3 2 5 2" xfId="35695"/>
    <cellStyle name="40% - Accent2 3 2 5 2 2" xfId="35696"/>
    <cellStyle name="40% - Accent2 3 2 5 3" xfId="35697"/>
    <cellStyle name="40% - Accent2 3 2 5 3 2" xfId="35698"/>
    <cellStyle name="40% - Accent2 3 2 5 4" xfId="35699"/>
    <cellStyle name="40% - Accent2 3 2 5 5" xfId="35700"/>
    <cellStyle name="40% - Accent2 3 2 5 6" xfId="35701"/>
    <cellStyle name="40% - Accent2 3 2 5 7" xfId="35702"/>
    <cellStyle name="40% - Accent2 3 2 6" xfId="35703"/>
    <cellStyle name="40% - Accent2 3 2 6 2" xfId="35704"/>
    <cellStyle name="40% - Accent2 3 2 6 2 2" xfId="35705"/>
    <cellStyle name="40% - Accent2 3 2 6 3" xfId="35706"/>
    <cellStyle name="40% - Accent2 3 2 6 3 2" xfId="35707"/>
    <cellStyle name="40% - Accent2 3 2 6 4" xfId="35708"/>
    <cellStyle name="40% - Accent2 3 2 6 5" xfId="35709"/>
    <cellStyle name="40% - Accent2 3 2 6 6" xfId="35710"/>
    <cellStyle name="40% - Accent2 3 2 6 7" xfId="35711"/>
    <cellStyle name="40% - Accent2 3 2 7" xfId="35712"/>
    <cellStyle name="40% - Accent2 3 2 7 2" xfId="35713"/>
    <cellStyle name="40% - Accent2 3 2 7 2 2" xfId="35714"/>
    <cellStyle name="40% - Accent2 3 2 7 3" xfId="35715"/>
    <cellStyle name="40% - Accent2 3 2 7 3 2" xfId="35716"/>
    <cellStyle name="40% - Accent2 3 2 7 4" xfId="35717"/>
    <cellStyle name="40% - Accent2 3 2 7 5" xfId="35718"/>
    <cellStyle name="40% - Accent2 3 2 7 6" xfId="35719"/>
    <cellStyle name="40% - Accent2 3 2 7 7" xfId="35720"/>
    <cellStyle name="40% - Accent2 3 2 8" xfId="35721"/>
    <cellStyle name="40% - Accent2 3 2 8 2" xfId="35722"/>
    <cellStyle name="40% - Accent2 3 2 9" xfId="35723"/>
    <cellStyle name="40% - Accent2 3 2 9 2" xfId="35724"/>
    <cellStyle name="40% - Accent2 3 3" xfId="282"/>
    <cellStyle name="40% - Accent2 3 3 10" xfId="35725"/>
    <cellStyle name="40% - Accent2 3 3 11" xfId="35726"/>
    <cellStyle name="40% - Accent2 3 3 12" xfId="35727"/>
    <cellStyle name="40% - Accent2 3 3 13" xfId="35728"/>
    <cellStyle name="40% - Accent2 3 3 2" xfId="35729"/>
    <cellStyle name="40% - Accent2 3 3 2 10" xfId="35730"/>
    <cellStyle name="40% - Accent2 3 3 2 11" xfId="35731"/>
    <cellStyle name="40% - Accent2 3 3 2 2" xfId="35732"/>
    <cellStyle name="40% - Accent2 3 3 2 2 10" xfId="35733"/>
    <cellStyle name="40% - Accent2 3 3 2 2 2" xfId="35734"/>
    <cellStyle name="40% - Accent2 3 3 2 2 2 2" xfId="35735"/>
    <cellStyle name="40% - Accent2 3 3 2 2 2 2 2" xfId="35736"/>
    <cellStyle name="40% - Accent2 3 3 2 2 2 3" xfId="35737"/>
    <cellStyle name="40% - Accent2 3 3 2 2 2 3 2" xfId="35738"/>
    <cellStyle name="40% - Accent2 3 3 2 2 2 4" xfId="35739"/>
    <cellStyle name="40% - Accent2 3 3 2 2 2 5" xfId="35740"/>
    <cellStyle name="40% - Accent2 3 3 2 2 2 6" xfId="35741"/>
    <cellStyle name="40% - Accent2 3 3 2 2 2 7" xfId="35742"/>
    <cellStyle name="40% - Accent2 3 3 2 2 3" xfId="35743"/>
    <cellStyle name="40% - Accent2 3 3 2 2 3 2" xfId="35744"/>
    <cellStyle name="40% - Accent2 3 3 2 2 3 2 2" xfId="35745"/>
    <cellStyle name="40% - Accent2 3 3 2 2 3 3" xfId="35746"/>
    <cellStyle name="40% - Accent2 3 3 2 2 3 3 2" xfId="35747"/>
    <cellStyle name="40% - Accent2 3 3 2 2 3 4" xfId="35748"/>
    <cellStyle name="40% - Accent2 3 3 2 2 3 5" xfId="35749"/>
    <cellStyle name="40% - Accent2 3 3 2 2 3 6" xfId="35750"/>
    <cellStyle name="40% - Accent2 3 3 2 2 3 7" xfId="35751"/>
    <cellStyle name="40% - Accent2 3 3 2 2 4" xfId="35752"/>
    <cellStyle name="40% - Accent2 3 3 2 2 4 2" xfId="35753"/>
    <cellStyle name="40% - Accent2 3 3 2 2 4 2 2" xfId="35754"/>
    <cellStyle name="40% - Accent2 3 3 2 2 4 3" xfId="35755"/>
    <cellStyle name="40% - Accent2 3 3 2 2 4 3 2" xfId="35756"/>
    <cellStyle name="40% - Accent2 3 3 2 2 4 4" xfId="35757"/>
    <cellStyle name="40% - Accent2 3 3 2 2 4 5" xfId="35758"/>
    <cellStyle name="40% - Accent2 3 3 2 2 4 6" xfId="35759"/>
    <cellStyle name="40% - Accent2 3 3 2 2 4 7" xfId="35760"/>
    <cellStyle name="40% - Accent2 3 3 2 2 5" xfId="35761"/>
    <cellStyle name="40% - Accent2 3 3 2 2 5 2" xfId="35762"/>
    <cellStyle name="40% - Accent2 3 3 2 2 6" xfId="35763"/>
    <cellStyle name="40% - Accent2 3 3 2 2 6 2" xfId="35764"/>
    <cellStyle name="40% - Accent2 3 3 2 2 7" xfId="35765"/>
    <cellStyle name="40% - Accent2 3 3 2 2 8" xfId="35766"/>
    <cellStyle name="40% - Accent2 3 3 2 2 9" xfId="35767"/>
    <cellStyle name="40% - Accent2 3 3 2 3" xfId="35768"/>
    <cellStyle name="40% - Accent2 3 3 2 3 2" xfId="35769"/>
    <cellStyle name="40% - Accent2 3 3 2 3 2 2" xfId="35770"/>
    <cellStyle name="40% - Accent2 3 3 2 3 3" xfId="35771"/>
    <cellStyle name="40% - Accent2 3 3 2 3 3 2" xfId="35772"/>
    <cellStyle name="40% - Accent2 3 3 2 3 4" xfId="35773"/>
    <cellStyle name="40% - Accent2 3 3 2 3 5" xfId="35774"/>
    <cellStyle name="40% - Accent2 3 3 2 3 6" xfId="35775"/>
    <cellStyle name="40% - Accent2 3 3 2 3 7" xfId="35776"/>
    <cellStyle name="40% - Accent2 3 3 2 4" xfId="35777"/>
    <cellStyle name="40% - Accent2 3 3 2 4 2" xfId="35778"/>
    <cellStyle name="40% - Accent2 3 3 2 4 2 2" xfId="35779"/>
    <cellStyle name="40% - Accent2 3 3 2 4 3" xfId="35780"/>
    <cellStyle name="40% - Accent2 3 3 2 4 3 2" xfId="35781"/>
    <cellStyle name="40% - Accent2 3 3 2 4 4" xfId="35782"/>
    <cellStyle name="40% - Accent2 3 3 2 4 5" xfId="35783"/>
    <cellStyle name="40% - Accent2 3 3 2 4 6" xfId="35784"/>
    <cellStyle name="40% - Accent2 3 3 2 4 7" xfId="35785"/>
    <cellStyle name="40% - Accent2 3 3 2 5" xfId="35786"/>
    <cellStyle name="40% - Accent2 3 3 2 5 2" xfId="35787"/>
    <cellStyle name="40% - Accent2 3 3 2 5 2 2" xfId="35788"/>
    <cellStyle name="40% - Accent2 3 3 2 5 3" xfId="35789"/>
    <cellStyle name="40% - Accent2 3 3 2 5 3 2" xfId="35790"/>
    <cellStyle name="40% - Accent2 3 3 2 5 4" xfId="35791"/>
    <cellStyle name="40% - Accent2 3 3 2 5 5" xfId="35792"/>
    <cellStyle name="40% - Accent2 3 3 2 5 6" xfId="35793"/>
    <cellStyle name="40% - Accent2 3 3 2 5 7" xfId="35794"/>
    <cellStyle name="40% - Accent2 3 3 2 6" xfId="35795"/>
    <cellStyle name="40% - Accent2 3 3 2 6 2" xfId="35796"/>
    <cellStyle name="40% - Accent2 3 3 2 7" xfId="35797"/>
    <cellStyle name="40% - Accent2 3 3 2 7 2" xfId="35798"/>
    <cellStyle name="40% - Accent2 3 3 2 8" xfId="35799"/>
    <cellStyle name="40% - Accent2 3 3 2 9" xfId="35800"/>
    <cellStyle name="40% - Accent2 3 3 3" xfId="35801"/>
    <cellStyle name="40% - Accent2 3 3 3 10" xfId="35802"/>
    <cellStyle name="40% - Accent2 3 3 3 11" xfId="35803"/>
    <cellStyle name="40% - Accent2 3 3 3 2" xfId="35804"/>
    <cellStyle name="40% - Accent2 3 3 3 2 10" xfId="35805"/>
    <cellStyle name="40% - Accent2 3 3 3 2 2" xfId="35806"/>
    <cellStyle name="40% - Accent2 3 3 3 2 2 2" xfId="35807"/>
    <cellStyle name="40% - Accent2 3 3 3 2 2 2 2" xfId="35808"/>
    <cellStyle name="40% - Accent2 3 3 3 2 2 3" xfId="35809"/>
    <cellStyle name="40% - Accent2 3 3 3 2 2 3 2" xfId="35810"/>
    <cellStyle name="40% - Accent2 3 3 3 2 2 4" xfId="35811"/>
    <cellStyle name="40% - Accent2 3 3 3 2 2 5" xfId="35812"/>
    <cellStyle name="40% - Accent2 3 3 3 2 2 6" xfId="35813"/>
    <cellStyle name="40% - Accent2 3 3 3 2 2 7" xfId="35814"/>
    <cellStyle name="40% - Accent2 3 3 3 2 3" xfId="35815"/>
    <cellStyle name="40% - Accent2 3 3 3 2 3 2" xfId="35816"/>
    <cellStyle name="40% - Accent2 3 3 3 2 3 2 2" xfId="35817"/>
    <cellStyle name="40% - Accent2 3 3 3 2 3 3" xfId="35818"/>
    <cellStyle name="40% - Accent2 3 3 3 2 3 3 2" xfId="35819"/>
    <cellStyle name="40% - Accent2 3 3 3 2 3 4" xfId="35820"/>
    <cellStyle name="40% - Accent2 3 3 3 2 3 5" xfId="35821"/>
    <cellStyle name="40% - Accent2 3 3 3 2 3 6" xfId="35822"/>
    <cellStyle name="40% - Accent2 3 3 3 2 3 7" xfId="35823"/>
    <cellStyle name="40% - Accent2 3 3 3 2 4" xfId="35824"/>
    <cellStyle name="40% - Accent2 3 3 3 2 4 2" xfId="35825"/>
    <cellStyle name="40% - Accent2 3 3 3 2 4 2 2" xfId="35826"/>
    <cellStyle name="40% - Accent2 3 3 3 2 4 3" xfId="35827"/>
    <cellStyle name="40% - Accent2 3 3 3 2 4 3 2" xfId="35828"/>
    <cellStyle name="40% - Accent2 3 3 3 2 4 4" xfId="35829"/>
    <cellStyle name="40% - Accent2 3 3 3 2 4 5" xfId="35830"/>
    <cellStyle name="40% - Accent2 3 3 3 2 4 6" xfId="35831"/>
    <cellStyle name="40% - Accent2 3 3 3 2 4 7" xfId="35832"/>
    <cellStyle name="40% - Accent2 3 3 3 2 5" xfId="35833"/>
    <cellStyle name="40% - Accent2 3 3 3 2 5 2" xfId="35834"/>
    <cellStyle name="40% - Accent2 3 3 3 2 6" xfId="35835"/>
    <cellStyle name="40% - Accent2 3 3 3 2 6 2" xfId="35836"/>
    <cellStyle name="40% - Accent2 3 3 3 2 7" xfId="35837"/>
    <cellStyle name="40% - Accent2 3 3 3 2 8" xfId="35838"/>
    <cellStyle name="40% - Accent2 3 3 3 2 9" xfId="35839"/>
    <cellStyle name="40% - Accent2 3 3 3 3" xfId="35840"/>
    <cellStyle name="40% - Accent2 3 3 3 3 2" xfId="35841"/>
    <cellStyle name="40% - Accent2 3 3 3 3 2 2" xfId="35842"/>
    <cellStyle name="40% - Accent2 3 3 3 3 3" xfId="35843"/>
    <cellStyle name="40% - Accent2 3 3 3 3 3 2" xfId="35844"/>
    <cellStyle name="40% - Accent2 3 3 3 3 4" xfId="35845"/>
    <cellStyle name="40% - Accent2 3 3 3 3 5" xfId="35846"/>
    <cellStyle name="40% - Accent2 3 3 3 3 6" xfId="35847"/>
    <cellStyle name="40% - Accent2 3 3 3 3 7" xfId="35848"/>
    <cellStyle name="40% - Accent2 3 3 3 4" xfId="35849"/>
    <cellStyle name="40% - Accent2 3 3 3 4 2" xfId="35850"/>
    <cellStyle name="40% - Accent2 3 3 3 4 2 2" xfId="35851"/>
    <cellStyle name="40% - Accent2 3 3 3 4 3" xfId="35852"/>
    <cellStyle name="40% - Accent2 3 3 3 4 3 2" xfId="35853"/>
    <cellStyle name="40% - Accent2 3 3 3 4 4" xfId="35854"/>
    <cellStyle name="40% - Accent2 3 3 3 4 5" xfId="35855"/>
    <cellStyle name="40% - Accent2 3 3 3 4 6" xfId="35856"/>
    <cellStyle name="40% - Accent2 3 3 3 4 7" xfId="35857"/>
    <cellStyle name="40% - Accent2 3 3 3 5" xfId="35858"/>
    <cellStyle name="40% - Accent2 3 3 3 5 2" xfId="35859"/>
    <cellStyle name="40% - Accent2 3 3 3 5 2 2" xfId="35860"/>
    <cellStyle name="40% - Accent2 3 3 3 5 3" xfId="35861"/>
    <cellStyle name="40% - Accent2 3 3 3 5 3 2" xfId="35862"/>
    <cellStyle name="40% - Accent2 3 3 3 5 4" xfId="35863"/>
    <cellStyle name="40% - Accent2 3 3 3 5 5" xfId="35864"/>
    <cellStyle name="40% - Accent2 3 3 3 5 6" xfId="35865"/>
    <cellStyle name="40% - Accent2 3 3 3 5 7" xfId="35866"/>
    <cellStyle name="40% - Accent2 3 3 3 6" xfId="35867"/>
    <cellStyle name="40% - Accent2 3 3 3 6 2" xfId="35868"/>
    <cellStyle name="40% - Accent2 3 3 3 7" xfId="35869"/>
    <cellStyle name="40% - Accent2 3 3 3 7 2" xfId="35870"/>
    <cellStyle name="40% - Accent2 3 3 3 8" xfId="35871"/>
    <cellStyle name="40% - Accent2 3 3 3 9" xfId="35872"/>
    <cellStyle name="40% - Accent2 3 3 4" xfId="35873"/>
    <cellStyle name="40% - Accent2 3 3 4 10" xfId="35874"/>
    <cellStyle name="40% - Accent2 3 3 4 2" xfId="35875"/>
    <cellStyle name="40% - Accent2 3 3 4 2 2" xfId="35876"/>
    <cellStyle name="40% - Accent2 3 3 4 2 2 2" xfId="35877"/>
    <cellStyle name="40% - Accent2 3 3 4 2 3" xfId="35878"/>
    <cellStyle name="40% - Accent2 3 3 4 2 3 2" xfId="35879"/>
    <cellStyle name="40% - Accent2 3 3 4 2 4" xfId="35880"/>
    <cellStyle name="40% - Accent2 3 3 4 2 5" xfId="35881"/>
    <cellStyle name="40% - Accent2 3 3 4 2 6" xfId="35882"/>
    <cellStyle name="40% - Accent2 3 3 4 2 7" xfId="35883"/>
    <cellStyle name="40% - Accent2 3 3 4 3" xfId="35884"/>
    <cellStyle name="40% - Accent2 3 3 4 3 2" xfId="35885"/>
    <cellStyle name="40% - Accent2 3 3 4 3 2 2" xfId="35886"/>
    <cellStyle name="40% - Accent2 3 3 4 3 3" xfId="35887"/>
    <cellStyle name="40% - Accent2 3 3 4 3 3 2" xfId="35888"/>
    <cellStyle name="40% - Accent2 3 3 4 3 4" xfId="35889"/>
    <cellStyle name="40% - Accent2 3 3 4 3 5" xfId="35890"/>
    <cellStyle name="40% - Accent2 3 3 4 3 6" xfId="35891"/>
    <cellStyle name="40% - Accent2 3 3 4 3 7" xfId="35892"/>
    <cellStyle name="40% - Accent2 3 3 4 4" xfId="35893"/>
    <cellStyle name="40% - Accent2 3 3 4 4 2" xfId="35894"/>
    <cellStyle name="40% - Accent2 3 3 4 4 2 2" xfId="35895"/>
    <cellStyle name="40% - Accent2 3 3 4 4 3" xfId="35896"/>
    <cellStyle name="40% - Accent2 3 3 4 4 3 2" xfId="35897"/>
    <cellStyle name="40% - Accent2 3 3 4 4 4" xfId="35898"/>
    <cellStyle name="40% - Accent2 3 3 4 4 5" xfId="35899"/>
    <cellStyle name="40% - Accent2 3 3 4 4 6" xfId="35900"/>
    <cellStyle name="40% - Accent2 3 3 4 4 7" xfId="35901"/>
    <cellStyle name="40% - Accent2 3 3 4 5" xfId="35902"/>
    <cellStyle name="40% - Accent2 3 3 4 5 2" xfId="35903"/>
    <cellStyle name="40% - Accent2 3 3 4 6" xfId="35904"/>
    <cellStyle name="40% - Accent2 3 3 4 6 2" xfId="35905"/>
    <cellStyle name="40% - Accent2 3 3 4 7" xfId="35906"/>
    <cellStyle name="40% - Accent2 3 3 4 8" xfId="35907"/>
    <cellStyle name="40% - Accent2 3 3 4 9" xfId="35908"/>
    <cellStyle name="40% - Accent2 3 3 5" xfId="35909"/>
    <cellStyle name="40% - Accent2 3 3 5 2" xfId="35910"/>
    <cellStyle name="40% - Accent2 3 3 5 2 2" xfId="35911"/>
    <cellStyle name="40% - Accent2 3 3 5 3" xfId="35912"/>
    <cellStyle name="40% - Accent2 3 3 5 3 2" xfId="35913"/>
    <cellStyle name="40% - Accent2 3 3 5 4" xfId="35914"/>
    <cellStyle name="40% - Accent2 3 3 5 5" xfId="35915"/>
    <cellStyle name="40% - Accent2 3 3 5 6" xfId="35916"/>
    <cellStyle name="40% - Accent2 3 3 5 7" xfId="35917"/>
    <cellStyle name="40% - Accent2 3 3 6" xfId="35918"/>
    <cellStyle name="40% - Accent2 3 3 6 2" xfId="35919"/>
    <cellStyle name="40% - Accent2 3 3 6 2 2" xfId="35920"/>
    <cellStyle name="40% - Accent2 3 3 6 3" xfId="35921"/>
    <cellStyle name="40% - Accent2 3 3 6 3 2" xfId="35922"/>
    <cellStyle name="40% - Accent2 3 3 6 4" xfId="35923"/>
    <cellStyle name="40% - Accent2 3 3 6 5" xfId="35924"/>
    <cellStyle name="40% - Accent2 3 3 6 6" xfId="35925"/>
    <cellStyle name="40% - Accent2 3 3 6 7" xfId="35926"/>
    <cellStyle name="40% - Accent2 3 3 7" xfId="35927"/>
    <cellStyle name="40% - Accent2 3 3 7 2" xfId="35928"/>
    <cellStyle name="40% - Accent2 3 3 7 2 2" xfId="35929"/>
    <cellStyle name="40% - Accent2 3 3 7 3" xfId="35930"/>
    <cellStyle name="40% - Accent2 3 3 7 3 2" xfId="35931"/>
    <cellStyle name="40% - Accent2 3 3 7 4" xfId="35932"/>
    <cellStyle name="40% - Accent2 3 3 7 5" xfId="35933"/>
    <cellStyle name="40% - Accent2 3 3 7 6" xfId="35934"/>
    <cellStyle name="40% - Accent2 3 3 7 7" xfId="35935"/>
    <cellStyle name="40% - Accent2 3 3 8" xfId="35936"/>
    <cellStyle name="40% - Accent2 3 3 8 2" xfId="35937"/>
    <cellStyle name="40% - Accent2 3 3 9" xfId="35938"/>
    <cellStyle name="40% - Accent2 3 3 9 2" xfId="35939"/>
    <cellStyle name="40% - Accent2 3 4" xfId="35940"/>
    <cellStyle name="40% - Accent2 3 4 10" xfId="35941"/>
    <cellStyle name="40% - Accent2 3 4 11" xfId="35942"/>
    <cellStyle name="40% - Accent2 3 4 12" xfId="35943"/>
    <cellStyle name="40% - Accent2 3 4 13" xfId="35944"/>
    <cellStyle name="40% - Accent2 3 4 2" xfId="35945"/>
    <cellStyle name="40% - Accent2 3 4 2 10" xfId="35946"/>
    <cellStyle name="40% - Accent2 3 4 2 11" xfId="35947"/>
    <cellStyle name="40% - Accent2 3 4 2 2" xfId="35948"/>
    <cellStyle name="40% - Accent2 3 4 2 2 10" xfId="35949"/>
    <cellStyle name="40% - Accent2 3 4 2 2 2" xfId="35950"/>
    <cellStyle name="40% - Accent2 3 4 2 2 2 2" xfId="35951"/>
    <cellStyle name="40% - Accent2 3 4 2 2 2 2 2" xfId="35952"/>
    <cellStyle name="40% - Accent2 3 4 2 2 2 3" xfId="35953"/>
    <cellStyle name="40% - Accent2 3 4 2 2 2 3 2" xfId="35954"/>
    <cellStyle name="40% - Accent2 3 4 2 2 2 4" xfId="35955"/>
    <cellStyle name="40% - Accent2 3 4 2 2 2 5" xfId="35956"/>
    <cellStyle name="40% - Accent2 3 4 2 2 2 6" xfId="35957"/>
    <cellStyle name="40% - Accent2 3 4 2 2 2 7" xfId="35958"/>
    <cellStyle name="40% - Accent2 3 4 2 2 3" xfId="35959"/>
    <cellStyle name="40% - Accent2 3 4 2 2 3 2" xfId="35960"/>
    <cellStyle name="40% - Accent2 3 4 2 2 3 2 2" xfId="35961"/>
    <cellStyle name="40% - Accent2 3 4 2 2 3 3" xfId="35962"/>
    <cellStyle name="40% - Accent2 3 4 2 2 3 3 2" xfId="35963"/>
    <cellStyle name="40% - Accent2 3 4 2 2 3 4" xfId="35964"/>
    <cellStyle name="40% - Accent2 3 4 2 2 3 5" xfId="35965"/>
    <cellStyle name="40% - Accent2 3 4 2 2 3 6" xfId="35966"/>
    <cellStyle name="40% - Accent2 3 4 2 2 3 7" xfId="35967"/>
    <cellStyle name="40% - Accent2 3 4 2 2 4" xfId="35968"/>
    <cellStyle name="40% - Accent2 3 4 2 2 4 2" xfId="35969"/>
    <cellStyle name="40% - Accent2 3 4 2 2 4 2 2" xfId="35970"/>
    <cellStyle name="40% - Accent2 3 4 2 2 4 3" xfId="35971"/>
    <cellStyle name="40% - Accent2 3 4 2 2 4 3 2" xfId="35972"/>
    <cellStyle name="40% - Accent2 3 4 2 2 4 4" xfId="35973"/>
    <cellStyle name="40% - Accent2 3 4 2 2 4 5" xfId="35974"/>
    <cellStyle name="40% - Accent2 3 4 2 2 4 6" xfId="35975"/>
    <cellStyle name="40% - Accent2 3 4 2 2 4 7" xfId="35976"/>
    <cellStyle name="40% - Accent2 3 4 2 2 5" xfId="35977"/>
    <cellStyle name="40% - Accent2 3 4 2 2 5 2" xfId="35978"/>
    <cellStyle name="40% - Accent2 3 4 2 2 6" xfId="35979"/>
    <cellStyle name="40% - Accent2 3 4 2 2 6 2" xfId="35980"/>
    <cellStyle name="40% - Accent2 3 4 2 2 7" xfId="35981"/>
    <cellStyle name="40% - Accent2 3 4 2 2 8" xfId="35982"/>
    <cellStyle name="40% - Accent2 3 4 2 2 9" xfId="35983"/>
    <cellStyle name="40% - Accent2 3 4 2 3" xfId="35984"/>
    <cellStyle name="40% - Accent2 3 4 2 3 2" xfId="35985"/>
    <cellStyle name="40% - Accent2 3 4 2 3 2 2" xfId="35986"/>
    <cellStyle name="40% - Accent2 3 4 2 3 3" xfId="35987"/>
    <cellStyle name="40% - Accent2 3 4 2 3 3 2" xfId="35988"/>
    <cellStyle name="40% - Accent2 3 4 2 3 4" xfId="35989"/>
    <cellStyle name="40% - Accent2 3 4 2 3 5" xfId="35990"/>
    <cellStyle name="40% - Accent2 3 4 2 3 6" xfId="35991"/>
    <cellStyle name="40% - Accent2 3 4 2 3 7" xfId="35992"/>
    <cellStyle name="40% - Accent2 3 4 2 4" xfId="35993"/>
    <cellStyle name="40% - Accent2 3 4 2 4 2" xfId="35994"/>
    <cellStyle name="40% - Accent2 3 4 2 4 2 2" xfId="35995"/>
    <cellStyle name="40% - Accent2 3 4 2 4 3" xfId="35996"/>
    <cellStyle name="40% - Accent2 3 4 2 4 3 2" xfId="35997"/>
    <cellStyle name="40% - Accent2 3 4 2 4 4" xfId="35998"/>
    <cellStyle name="40% - Accent2 3 4 2 4 5" xfId="35999"/>
    <cellStyle name="40% - Accent2 3 4 2 4 6" xfId="36000"/>
    <cellStyle name="40% - Accent2 3 4 2 4 7" xfId="36001"/>
    <cellStyle name="40% - Accent2 3 4 2 5" xfId="36002"/>
    <cellStyle name="40% - Accent2 3 4 2 5 2" xfId="36003"/>
    <cellStyle name="40% - Accent2 3 4 2 5 2 2" xfId="36004"/>
    <cellStyle name="40% - Accent2 3 4 2 5 3" xfId="36005"/>
    <cellStyle name="40% - Accent2 3 4 2 5 3 2" xfId="36006"/>
    <cellStyle name="40% - Accent2 3 4 2 5 4" xfId="36007"/>
    <cellStyle name="40% - Accent2 3 4 2 5 5" xfId="36008"/>
    <cellStyle name="40% - Accent2 3 4 2 5 6" xfId="36009"/>
    <cellStyle name="40% - Accent2 3 4 2 5 7" xfId="36010"/>
    <cellStyle name="40% - Accent2 3 4 2 6" xfId="36011"/>
    <cellStyle name="40% - Accent2 3 4 2 6 2" xfId="36012"/>
    <cellStyle name="40% - Accent2 3 4 2 7" xfId="36013"/>
    <cellStyle name="40% - Accent2 3 4 2 7 2" xfId="36014"/>
    <cellStyle name="40% - Accent2 3 4 2 8" xfId="36015"/>
    <cellStyle name="40% - Accent2 3 4 2 9" xfId="36016"/>
    <cellStyle name="40% - Accent2 3 4 3" xfId="36017"/>
    <cellStyle name="40% - Accent2 3 4 3 10" xfId="36018"/>
    <cellStyle name="40% - Accent2 3 4 3 11" xfId="36019"/>
    <cellStyle name="40% - Accent2 3 4 3 2" xfId="36020"/>
    <cellStyle name="40% - Accent2 3 4 3 2 10" xfId="36021"/>
    <cellStyle name="40% - Accent2 3 4 3 2 2" xfId="36022"/>
    <cellStyle name="40% - Accent2 3 4 3 2 2 2" xfId="36023"/>
    <cellStyle name="40% - Accent2 3 4 3 2 2 2 2" xfId="36024"/>
    <cellStyle name="40% - Accent2 3 4 3 2 2 3" xfId="36025"/>
    <cellStyle name="40% - Accent2 3 4 3 2 2 3 2" xfId="36026"/>
    <cellStyle name="40% - Accent2 3 4 3 2 2 4" xfId="36027"/>
    <cellStyle name="40% - Accent2 3 4 3 2 2 5" xfId="36028"/>
    <cellStyle name="40% - Accent2 3 4 3 2 2 6" xfId="36029"/>
    <cellStyle name="40% - Accent2 3 4 3 2 2 7" xfId="36030"/>
    <cellStyle name="40% - Accent2 3 4 3 2 3" xfId="36031"/>
    <cellStyle name="40% - Accent2 3 4 3 2 3 2" xfId="36032"/>
    <cellStyle name="40% - Accent2 3 4 3 2 3 2 2" xfId="36033"/>
    <cellStyle name="40% - Accent2 3 4 3 2 3 3" xfId="36034"/>
    <cellStyle name="40% - Accent2 3 4 3 2 3 3 2" xfId="36035"/>
    <cellStyle name="40% - Accent2 3 4 3 2 3 4" xfId="36036"/>
    <cellStyle name="40% - Accent2 3 4 3 2 3 5" xfId="36037"/>
    <cellStyle name="40% - Accent2 3 4 3 2 3 6" xfId="36038"/>
    <cellStyle name="40% - Accent2 3 4 3 2 3 7" xfId="36039"/>
    <cellStyle name="40% - Accent2 3 4 3 2 4" xfId="36040"/>
    <cellStyle name="40% - Accent2 3 4 3 2 4 2" xfId="36041"/>
    <cellStyle name="40% - Accent2 3 4 3 2 4 2 2" xfId="36042"/>
    <cellStyle name="40% - Accent2 3 4 3 2 4 3" xfId="36043"/>
    <cellStyle name="40% - Accent2 3 4 3 2 4 3 2" xfId="36044"/>
    <cellStyle name="40% - Accent2 3 4 3 2 4 4" xfId="36045"/>
    <cellStyle name="40% - Accent2 3 4 3 2 4 5" xfId="36046"/>
    <cellStyle name="40% - Accent2 3 4 3 2 4 6" xfId="36047"/>
    <cellStyle name="40% - Accent2 3 4 3 2 4 7" xfId="36048"/>
    <cellStyle name="40% - Accent2 3 4 3 2 5" xfId="36049"/>
    <cellStyle name="40% - Accent2 3 4 3 2 5 2" xfId="36050"/>
    <cellStyle name="40% - Accent2 3 4 3 2 6" xfId="36051"/>
    <cellStyle name="40% - Accent2 3 4 3 2 6 2" xfId="36052"/>
    <cellStyle name="40% - Accent2 3 4 3 2 7" xfId="36053"/>
    <cellStyle name="40% - Accent2 3 4 3 2 8" xfId="36054"/>
    <cellStyle name="40% - Accent2 3 4 3 2 9" xfId="36055"/>
    <cellStyle name="40% - Accent2 3 4 3 3" xfId="36056"/>
    <cellStyle name="40% - Accent2 3 4 3 3 2" xfId="36057"/>
    <cellStyle name="40% - Accent2 3 4 3 3 2 2" xfId="36058"/>
    <cellStyle name="40% - Accent2 3 4 3 3 3" xfId="36059"/>
    <cellStyle name="40% - Accent2 3 4 3 3 3 2" xfId="36060"/>
    <cellStyle name="40% - Accent2 3 4 3 3 4" xfId="36061"/>
    <cellStyle name="40% - Accent2 3 4 3 3 5" xfId="36062"/>
    <cellStyle name="40% - Accent2 3 4 3 3 6" xfId="36063"/>
    <cellStyle name="40% - Accent2 3 4 3 3 7" xfId="36064"/>
    <cellStyle name="40% - Accent2 3 4 3 4" xfId="36065"/>
    <cellStyle name="40% - Accent2 3 4 3 4 2" xfId="36066"/>
    <cellStyle name="40% - Accent2 3 4 3 4 2 2" xfId="36067"/>
    <cellStyle name="40% - Accent2 3 4 3 4 3" xfId="36068"/>
    <cellStyle name="40% - Accent2 3 4 3 4 3 2" xfId="36069"/>
    <cellStyle name="40% - Accent2 3 4 3 4 4" xfId="36070"/>
    <cellStyle name="40% - Accent2 3 4 3 4 5" xfId="36071"/>
    <cellStyle name="40% - Accent2 3 4 3 4 6" xfId="36072"/>
    <cellStyle name="40% - Accent2 3 4 3 4 7" xfId="36073"/>
    <cellStyle name="40% - Accent2 3 4 3 5" xfId="36074"/>
    <cellStyle name="40% - Accent2 3 4 3 5 2" xfId="36075"/>
    <cellStyle name="40% - Accent2 3 4 3 5 2 2" xfId="36076"/>
    <cellStyle name="40% - Accent2 3 4 3 5 3" xfId="36077"/>
    <cellStyle name="40% - Accent2 3 4 3 5 3 2" xfId="36078"/>
    <cellStyle name="40% - Accent2 3 4 3 5 4" xfId="36079"/>
    <cellStyle name="40% - Accent2 3 4 3 5 5" xfId="36080"/>
    <cellStyle name="40% - Accent2 3 4 3 5 6" xfId="36081"/>
    <cellStyle name="40% - Accent2 3 4 3 5 7" xfId="36082"/>
    <cellStyle name="40% - Accent2 3 4 3 6" xfId="36083"/>
    <cellStyle name="40% - Accent2 3 4 3 6 2" xfId="36084"/>
    <cellStyle name="40% - Accent2 3 4 3 7" xfId="36085"/>
    <cellStyle name="40% - Accent2 3 4 3 7 2" xfId="36086"/>
    <cellStyle name="40% - Accent2 3 4 3 8" xfId="36087"/>
    <cellStyle name="40% - Accent2 3 4 3 9" xfId="36088"/>
    <cellStyle name="40% - Accent2 3 4 4" xfId="36089"/>
    <cellStyle name="40% - Accent2 3 4 4 10" xfId="36090"/>
    <cellStyle name="40% - Accent2 3 4 4 2" xfId="36091"/>
    <cellStyle name="40% - Accent2 3 4 4 2 2" xfId="36092"/>
    <cellStyle name="40% - Accent2 3 4 4 2 2 2" xfId="36093"/>
    <cellStyle name="40% - Accent2 3 4 4 2 3" xfId="36094"/>
    <cellStyle name="40% - Accent2 3 4 4 2 3 2" xfId="36095"/>
    <cellStyle name="40% - Accent2 3 4 4 2 4" xfId="36096"/>
    <cellStyle name="40% - Accent2 3 4 4 2 5" xfId="36097"/>
    <cellStyle name="40% - Accent2 3 4 4 2 6" xfId="36098"/>
    <cellStyle name="40% - Accent2 3 4 4 2 7" xfId="36099"/>
    <cellStyle name="40% - Accent2 3 4 4 3" xfId="36100"/>
    <cellStyle name="40% - Accent2 3 4 4 3 2" xfId="36101"/>
    <cellStyle name="40% - Accent2 3 4 4 3 2 2" xfId="36102"/>
    <cellStyle name="40% - Accent2 3 4 4 3 3" xfId="36103"/>
    <cellStyle name="40% - Accent2 3 4 4 3 3 2" xfId="36104"/>
    <cellStyle name="40% - Accent2 3 4 4 3 4" xfId="36105"/>
    <cellStyle name="40% - Accent2 3 4 4 3 5" xfId="36106"/>
    <cellStyle name="40% - Accent2 3 4 4 3 6" xfId="36107"/>
    <cellStyle name="40% - Accent2 3 4 4 3 7" xfId="36108"/>
    <cellStyle name="40% - Accent2 3 4 4 4" xfId="36109"/>
    <cellStyle name="40% - Accent2 3 4 4 4 2" xfId="36110"/>
    <cellStyle name="40% - Accent2 3 4 4 4 2 2" xfId="36111"/>
    <cellStyle name="40% - Accent2 3 4 4 4 3" xfId="36112"/>
    <cellStyle name="40% - Accent2 3 4 4 4 3 2" xfId="36113"/>
    <cellStyle name="40% - Accent2 3 4 4 4 4" xfId="36114"/>
    <cellStyle name="40% - Accent2 3 4 4 4 5" xfId="36115"/>
    <cellStyle name="40% - Accent2 3 4 4 4 6" xfId="36116"/>
    <cellStyle name="40% - Accent2 3 4 4 4 7" xfId="36117"/>
    <cellStyle name="40% - Accent2 3 4 4 5" xfId="36118"/>
    <cellStyle name="40% - Accent2 3 4 4 5 2" xfId="36119"/>
    <cellStyle name="40% - Accent2 3 4 4 6" xfId="36120"/>
    <cellStyle name="40% - Accent2 3 4 4 6 2" xfId="36121"/>
    <cellStyle name="40% - Accent2 3 4 4 7" xfId="36122"/>
    <cellStyle name="40% - Accent2 3 4 4 8" xfId="36123"/>
    <cellStyle name="40% - Accent2 3 4 4 9" xfId="36124"/>
    <cellStyle name="40% - Accent2 3 4 5" xfId="36125"/>
    <cellStyle name="40% - Accent2 3 4 5 2" xfId="36126"/>
    <cellStyle name="40% - Accent2 3 4 5 2 2" xfId="36127"/>
    <cellStyle name="40% - Accent2 3 4 5 3" xfId="36128"/>
    <cellStyle name="40% - Accent2 3 4 5 3 2" xfId="36129"/>
    <cellStyle name="40% - Accent2 3 4 5 4" xfId="36130"/>
    <cellStyle name="40% - Accent2 3 4 5 5" xfId="36131"/>
    <cellStyle name="40% - Accent2 3 4 5 6" xfId="36132"/>
    <cellStyle name="40% - Accent2 3 4 5 7" xfId="36133"/>
    <cellStyle name="40% - Accent2 3 4 6" xfId="36134"/>
    <cellStyle name="40% - Accent2 3 4 6 2" xfId="36135"/>
    <cellStyle name="40% - Accent2 3 4 6 2 2" xfId="36136"/>
    <cellStyle name="40% - Accent2 3 4 6 3" xfId="36137"/>
    <cellStyle name="40% - Accent2 3 4 6 3 2" xfId="36138"/>
    <cellStyle name="40% - Accent2 3 4 6 4" xfId="36139"/>
    <cellStyle name="40% - Accent2 3 4 6 5" xfId="36140"/>
    <cellStyle name="40% - Accent2 3 4 6 6" xfId="36141"/>
    <cellStyle name="40% - Accent2 3 4 6 7" xfId="36142"/>
    <cellStyle name="40% - Accent2 3 4 7" xfId="36143"/>
    <cellStyle name="40% - Accent2 3 4 7 2" xfId="36144"/>
    <cellStyle name="40% - Accent2 3 4 7 2 2" xfId="36145"/>
    <cellStyle name="40% - Accent2 3 4 7 3" xfId="36146"/>
    <cellStyle name="40% - Accent2 3 4 7 3 2" xfId="36147"/>
    <cellStyle name="40% - Accent2 3 4 7 4" xfId="36148"/>
    <cellStyle name="40% - Accent2 3 4 7 5" xfId="36149"/>
    <cellStyle name="40% - Accent2 3 4 7 6" xfId="36150"/>
    <cellStyle name="40% - Accent2 3 4 7 7" xfId="36151"/>
    <cellStyle name="40% - Accent2 3 4 8" xfId="36152"/>
    <cellStyle name="40% - Accent2 3 4 8 2" xfId="36153"/>
    <cellStyle name="40% - Accent2 3 4 9" xfId="36154"/>
    <cellStyle name="40% - Accent2 3 4 9 2" xfId="36155"/>
    <cellStyle name="40% - Accent2 3 5" xfId="36156"/>
    <cellStyle name="40% - Accent2 3 5 10" xfId="36157"/>
    <cellStyle name="40% - Accent2 3 5 11" xfId="36158"/>
    <cellStyle name="40% - Accent2 3 5 12" xfId="36159"/>
    <cellStyle name="40% - Accent2 3 5 13" xfId="36160"/>
    <cellStyle name="40% - Accent2 3 5 2" xfId="36161"/>
    <cellStyle name="40% - Accent2 3 5 2 10" xfId="36162"/>
    <cellStyle name="40% - Accent2 3 5 2 11" xfId="36163"/>
    <cellStyle name="40% - Accent2 3 5 2 2" xfId="36164"/>
    <cellStyle name="40% - Accent2 3 5 2 2 10" xfId="36165"/>
    <cellStyle name="40% - Accent2 3 5 2 2 2" xfId="36166"/>
    <cellStyle name="40% - Accent2 3 5 2 2 2 2" xfId="36167"/>
    <cellStyle name="40% - Accent2 3 5 2 2 2 2 2" xfId="36168"/>
    <cellStyle name="40% - Accent2 3 5 2 2 2 3" xfId="36169"/>
    <cellStyle name="40% - Accent2 3 5 2 2 2 3 2" xfId="36170"/>
    <cellStyle name="40% - Accent2 3 5 2 2 2 4" xfId="36171"/>
    <cellStyle name="40% - Accent2 3 5 2 2 2 5" xfId="36172"/>
    <cellStyle name="40% - Accent2 3 5 2 2 2 6" xfId="36173"/>
    <cellStyle name="40% - Accent2 3 5 2 2 2 7" xfId="36174"/>
    <cellStyle name="40% - Accent2 3 5 2 2 3" xfId="36175"/>
    <cellStyle name="40% - Accent2 3 5 2 2 3 2" xfId="36176"/>
    <cellStyle name="40% - Accent2 3 5 2 2 3 2 2" xfId="36177"/>
    <cellStyle name="40% - Accent2 3 5 2 2 3 3" xfId="36178"/>
    <cellStyle name="40% - Accent2 3 5 2 2 3 3 2" xfId="36179"/>
    <cellStyle name="40% - Accent2 3 5 2 2 3 4" xfId="36180"/>
    <cellStyle name="40% - Accent2 3 5 2 2 3 5" xfId="36181"/>
    <cellStyle name="40% - Accent2 3 5 2 2 3 6" xfId="36182"/>
    <cellStyle name="40% - Accent2 3 5 2 2 3 7" xfId="36183"/>
    <cellStyle name="40% - Accent2 3 5 2 2 4" xfId="36184"/>
    <cellStyle name="40% - Accent2 3 5 2 2 4 2" xfId="36185"/>
    <cellStyle name="40% - Accent2 3 5 2 2 4 2 2" xfId="36186"/>
    <cellStyle name="40% - Accent2 3 5 2 2 4 3" xfId="36187"/>
    <cellStyle name="40% - Accent2 3 5 2 2 4 3 2" xfId="36188"/>
    <cellStyle name="40% - Accent2 3 5 2 2 4 4" xfId="36189"/>
    <cellStyle name="40% - Accent2 3 5 2 2 4 5" xfId="36190"/>
    <cellStyle name="40% - Accent2 3 5 2 2 4 6" xfId="36191"/>
    <cellStyle name="40% - Accent2 3 5 2 2 4 7" xfId="36192"/>
    <cellStyle name="40% - Accent2 3 5 2 2 5" xfId="36193"/>
    <cellStyle name="40% - Accent2 3 5 2 2 5 2" xfId="36194"/>
    <cellStyle name="40% - Accent2 3 5 2 2 6" xfId="36195"/>
    <cellStyle name="40% - Accent2 3 5 2 2 6 2" xfId="36196"/>
    <cellStyle name="40% - Accent2 3 5 2 2 7" xfId="36197"/>
    <cellStyle name="40% - Accent2 3 5 2 2 8" xfId="36198"/>
    <cellStyle name="40% - Accent2 3 5 2 2 9" xfId="36199"/>
    <cellStyle name="40% - Accent2 3 5 2 3" xfId="36200"/>
    <cellStyle name="40% - Accent2 3 5 2 3 2" xfId="36201"/>
    <cellStyle name="40% - Accent2 3 5 2 3 2 2" xfId="36202"/>
    <cellStyle name="40% - Accent2 3 5 2 3 3" xfId="36203"/>
    <cellStyle name="40% - Accent2 3 5 2 3 3 2" xfId="36204"/>
    <cellStyle name="40% - Accent2 3 5 2 3 4" xfId="36205"/>
    <cellStyle name="40% - Accent2 3 5 2 3 5" xfId="36206"/>
    <cellStyle name="40% - Accent2 3 5 2 3 6" xfId="36207"/>
    <cellStyle name="40% - Accent2 3 5 2 3 7" xfId="36208"/>
    <cellStyle name="40% - Accent2 3 5 2 4" xfId="36209"/>
    <cellStyle name="40% - Accent2 3 5 2 4 2" xfId="36210"/>
    <cellStyle name="40% - Accent2 3 5 2 4 2 2" xfId="36211"/>
    <cellStyle name="40% - Accent2 3 5 2 4 3" xfId="36212"/>
    <cellStyle name="40% - Accent2 3 5 2 4 3 2" xfId="36213"/>
    <cellStyle name="40% - Accent2 3 5 2 4 4" xfId="36214"/>
    <cellStyle name="40% - Accent2 3 5 2 4 5" xfId="36215"/>
    <cellStyle name="40% - Accent2 3 5 2 4 6" xfId="36216"/>
    <cellStyle name="40% - Accent2 3 5 2 4 7" xfId="36217"/>
    <cellStyle name="40% - Accent2 3 5 2 5" xfId="36218"/>
    <cellStyle name="40% - Accent2 3 5 2 5 2" xfId="36219"/>
    <cellStyle name="40% - Accent2 3 5 2 5 2 2" xfId="36220"/>
    <cellStyle name="40% - Accent2 3 5 2 5 3" xfId="36221"/>
    <cellStyle name="40% - Accent2 3 5 2 5 3 2" xfId="36222"/>
    <cellStyle name="40% - Accent2 3 5 2 5 4" xfId="36223"/>
    <cellStyle name="40% - Accent2 3 5 2 5 5" xfId="36224"/>
    <cellStyle name="40% - Accent2 3 5 2 5 6" xfId="36225"/>
    <cellStyle name="40% - Accent2 3 5 2 5 7" xfId="36226"/>
    <cellStyle name="40% - Accent2 3 5 2 6" xfId="36227"/>
    <cellStyle name="40% - Accent2 3 5 2 6 2" xfId="36228"/>
    <cellStyle name="40% - Accent2 3 5 2 7" xfId="36229"/>
    <cellStyle name="40% - Accent2 3 5 2 7 2" xfId="36230"/>
    <cellStyle name="40% - Accent2 3 5 2 8" xfId="36231"/>
    <cellStyle name="40% - Accent2 3 5 2 9" xfId="36232"/>
    <cellStyle name="40% - Accent2 3 5 3" xfId="36233"/>
    <cellStyle name="40% - Accent2 3 5 3 10" xfId="36234"/>
    <cellStyle name="40% - Accent2 3 5 3 11" xfId="36235"/>
    <cellStyle name="40% - Accent2 3 5 3 2" xfId="36236"/>
    <cellStyle name="40% - Accent2 3 5 3 2 10" xfId="36237"/>
    <cellStyle name="40% - Accent2 3 5 3 2 2" xfId="36238"/>
    <cellStyle name="40% - Accent2 3 5 3 2 2 2" xfId="36239"/>
    <cellStyle name="40% - Accent2 3 5 3 2 2 2 2" xfId="36240"/>
    <cellStyle name="40% - Accent2 3 5 3 2 2 3" xfId="36241"/>
    <cellStyle name="40% - Accent2 3 5 3 2 2 3 2" xfId="36242"/>
    <cellStyle name="40% - Accent2 3 5 3 2 2 4" xfId="36243"/>
    <cellStyle name="40% - Accent2 3 5 3 2 2 5" xfId="36244"/>
    <cellStyle name="40% - Accent2 3 5 3 2 2 6" xfId="36245"/>
    <cellStyle name="40% - Accent2 3 5 3 2 2 7" xfId="36246"/>
    <cellStyle name="40% - Accent2 3 5 3 2 3" xfId="36247"/>
    <cellStyle name="40% - Accent2 3 5 3 2 3 2" xfId="36248"/>
    <cellStyle name="40% - Accent2 3 5 3 2 3 2 2" xfId="36249"/>
    <cellStyle name="40% - Accent2 3 5 3 2 3 3" xfId="36250"/>
    <cellStyle name="40% - Accent2 3 5 3 2 3 3 2" xfId="36251"/>
    <cellStyle name="40% - Accent2 3 5 3 2 3 4" xfId="36252"/>
    <cellStyle name="40% - Accent2 3 5 3 2 3 5" xfId="36253"/>
    <cellStyle name="40% - Accent2 3 5 3 2 3 6" xfId="36254"/>
    <cellStyle name="40% - Accent2 3 5 3 2 3 7" xfId="36255"/>
    <cellStyle name="40% - Accent2 3 5 3 2 4" xfId="36256"/>
    <cellStyle name="40% - Accent2 3 5 3 2 4 2" xfId="36257"/>
    <cellStyle name="40% - Accent2 3 5 3 2 4 2 2" xfId="36258"/>
    <cellStyle name="40% - Accent2 3 5 3 2 4 3" xfId="36259"/>
    <cellStyle name="40% - Accent2 3 5 3 2 4 3 2" xfId="36260"/>
    <cellStyle name="40% - Accent2 3 5 3 2 4 4" xfId="36261"/>
    <cellStyle name="40% - Accent2 3 5 3 2 4 5" xfId="36262"/>
    <cellStyle name="40% - Accent2 3 5 3 2 4 6" xfId="36263"/>
    <cellStyle name="40% - Accent2 3 5 3 2 4 7" xfId="36264"/>
    <cellStyle name="40% - Accent2 3 5 3 2 5" xfId="36265"/>
    <cellStyle name="40% - Accent2 3 5 3 2 5 2" xfId="36266"/>
    <cellStyle name="40% - Accent2 3 5 3 2 6" xfId="36267"/>
    <cellStyle name="40% - Accent2 3 5 3 2 6 2" xfId="36268"/>
    <cellStyle name="40% - Accent2 3 5 3 2 7" xfId="36269"/>
    <cellStyle name="40% - Accent2 3 5 3 2 8" xfId="36270"/>
    <cellStyle name="40% - Accent2 3 5 3 2 9" xfId="36271"/>
    <cellStyle name="40% - Accent2 3 5 3 3" xfId="36272"/>
    <cellStyle name="40% - Accent2 3 5 3 3 2" xfId="36273"/>
    <cellStyle name="40% - Accent2 3 5 3 3 2 2" xfId="36274"/>
    <cellStyle name="40% - Accent2 3 5 3 3 3" xfId="36275"/>
    <cellStyle name="40% - Accent2 3 5 3 3 3 2" xfId="36276"/>
    <cellStyle name="40% - Accent2 3 5 3 3 4" xfId="36277"/>
    <cellStyle name="40% - Accent2 3 5 3 3 5" xfId="36278"/>
    <cellStyle name="40% - Accent2 3 5 3 3 6" xfId="36279"/>
    <cellStyle name="40% - Accent2 3 5 3 3 7" xfId="36280"/>
    <cellStyle name="40% - Accent2 3 5 3 4" xfId="36281"/>
    <cellStyle name="40% - Accent2 3 5 3 4 2" xfId="36282"/>
    <cellStyle name="40% - Accent2 3 5 3 4 2 2" xfId="36283"/>
    <cellStyle name="40% - Accent2 3 5 3 4 3" xfId="36284"/>
    <cellStyle name="40% - Accent2 3 5 3 4 3 2" xfId="36285"/>
    <cellStyle name="40% - Accent2 3 5 3 4 4" xfId="36286"/>
    <cellStyle name="40% - Accent2 3 5 3 4 5" xfId="36287"/>
    <cellStyle name="40% - Accent2 3 5 3 4 6" xfId="36288"/>
    <cellStyle name="40% - Accent2 3 5 3 4 7" xfId="36289"/>
    <cellStyle name="40% - Accent2 3 5 3 5" xfId="36290"/>
    <cellStyle name="40% - Accent2 3 5 3 5 2" xfId="36291"/>
    <cellStyle name="40% - Accent2 3 5 3 5 2 2" xfId="36292"/>
    <cellStyle name="40% - Accent2 3 5 3 5 3" xfId="36293"/>
    <cellStyle name="40% - Accent2 3 5 3 5 3 2" xfId="36294"/>
    <cellStyle name="40% - Accent2 3 5 3 5 4" xfId="36295"/>
    <cellStyle name="40% - Accent2 3 5 3 5 5" xfId="36296"/>
    <cellStyle name="40% - Accent2 3 5 3 5 6" xfId="36297"/>
    <cellStyle name="40% - Accent2 3 5 3 5 7" xfId="36298"/>
    <cellStyle name="40% - Accent2 3 5 3 6" xfId="36299"/>
    <cellStyle name="40% - Accent2 3 5 3 6 2" xfId="36300"/>
    <cellStyle name="40% - Accent2 3 5 3 7" xfId="36301"/>
    <cellStyle name="40% - Accent2 3 5 3 7 2" xfId="36302"/>
    <cellStyle name="40% - Accent2 3 5 3 8" xfId="36303"/>
    <cellStyle name="40% - Accent2 3 5 3 9" xfId="36304"/>
    <cellStyle name="40% - Accent2 3 5 4" xfId="36305"/>
    <cellStyle name="40% - Accent2 3 5 4 10" xfId="36306"/>
    <cellStyle name="40% - Accent2 3 5 4 2" xfId="36307"/>
    <cellStyle name="40% - Accent2 3 5 4 2 2" xfId="36308"/>
    <cellStyle name="40% - Accent2 3 5 4 2 2 2" xfId="36309"/>
    <cellStyle name="40% - Accent2 3 5 4 2 3" xfId="36310"/>
    <cellStyle name="40% - Accent2 3 5 4 2 3 2" xfId="36311"/>
    <cellStyle name="40% - Accent2 3 5 4 2 4" xfId="36312"/>
    <cellStyle name="40% - Accent2 3 5 4 2 5" xfId="36313"/>
    <cellStyle name="40% - Accent2 3 5 4 2 6" xfId="36314"/>
    <cellStyle name="40% - Accent2 3 5 4 2 7" xfId="36315"/>
    <cellStyle name="40% - Accent2 3 5 4 3" xfId="36316"/>
    <cellStyle name="40% - Accent2 3 5 4 3 2" xfId="36317"/>
    <cellStyle name="40% - Accent2 3 5 4 3 2 2" xfId="36318"/>
    <cellStyle name="40% - Accent2 3 5 4 3 3" xfId="36319"/>
    <cellStyle name="40% - Accent2 3 5 4 3 3 2" xfId="36320"/>
    <cellStyle name="40% - Accent2 3 5 4 3 4" xfId="36321"/>
    <cellStyle name="40% - Accent2 3 5 4 3 5" xfId="36322"/>
    <cellStyle name="40% - Accent2 3 5 4 3 6" xfId="36323"/>
    <cellStyle name="40% - Accent2 3 5 4 3 7" xfId="36324"/>
    <cellStyle name="40% - Accent2 3 5 4 4" xfId="36325"/>
    <cellStyle name="40% - Accent2 3 5 4 4 2" xfId="36326"/>
    <cellStyle name="40% - Accent2 3 5 4 4 2 2" xfId="36327"/>
    <cellStyle name="40% - Accent2 3 5 4 4 3" xfId="36328"/>
    <cellStyle name="40% - Accent2 3 5 4 4 3 2" xfId="36329"/>
    <cellStyle name="40% - Accent2 3 5 4 4 4" xfId="36330"/>
    <cellStyle name="40% - Accent2 3 5 4 4 5" xfId="36331"/>
    <cellStyle name="40% - Accent2 3 5 4 4 6" xfId="36332"/>
    <cellStyle name="40% - Accent2 3 5 4 4 7" xfId="36333"/>
    <cellStyle name="40% - Accent2 3 5 4 5" xfId="36334"/>
    <cellStyle name="40% - Accent2 3 5 4 5 2" xfId="36335"/>
    <cellStyle name="40% - Accent2 3 5 4 6" xfId="36336"/>
    <cellStyle name="40% - Accent2 3 5 4 6 2" xfId="36337"/>
    <cellStyle name="40% - Accent2 3 5 4 7" xfId="36338"/>
    <cellStyle name="40% - Accent2 3 5 4 8" xfId="36339"/>
    <cellStyle name="40% - Accent2 3 5 4 9" xfId="36340"/>
    <cellStyle name="40% - Accent2 3 5 5" xfId="36341"/>
    <cellStyle name="40% - Accent2 3 5 5 2" xfId="36342"/>
    <cellStyle name="40% - Accent2 3 5 5 2 2" xfId="36343"/>
    <cellStyle name="40% - Accent2 3 5 5 3" xfId="36344"/>
    <cellStyle name="40% - Accent2 3 5 5 3 2" xfId="36345"/>
    <cellStyle name="40% - Accent2 3 5 5 4" xfId="36346"/>
    <cellStyle name="40% - Accent2 3 5 5 5" xfId="36347"/>
    <cellStyle name="40% - Accent2 3 5 5 6" xfId="36348"/>
    <cellStyle name="40% - Accent2 3 5 5 7" xfId="36349"/>
    <cellStyle name="40% - Accent2 3 5 6" xfId="36350"/>
    <cellStyle name="40% - Accent2 3 5 6 2" xfId="36351"/>
    <cellStyle name="40% - Accent2 3 5 6 2 2" xfId="36352"/>
    <cellStyle name="40% - Accent2 3 5 6 3" xfId="36353"/>
    <cellStyle name="40% - Accent2 3 5 6 3 2" xfId="36354"/>
    <cellStyle name="40% - Accent2 3 5 6 4" xfId="36355"/>
    <cellStyle name="40% - Accent2 3 5 6 5" xfId="36356"/>
    <cellStyle name="40% - Accent2 3 5 6 6" xfId="36357"/>
    <cellStyle name="40% - Accent2 3 5 6 7" xfId="36358"/>
    <cellStyle name="40% - Accent2 3 5 7" xfId="36359"/>
    <cellStyle name="40% - Accent2 3 5 7 2" xfId="36360"/>
    <cellStyle name="40% - Accent2 3 5 7 2 2" xfId="36361"/>
    <cellStyle name="40% - Accent2 3 5 7 3" xfId="36362"/>
    <cellStyle name="40% - Accent2 3 5 7 3 2" xfId="36363"/>
    <cellStyle name="40% - Accent2 3 5 7 4" xfId="36364"/>
    <cellStyle name="40% - Accent2 3 5 7 5" xfId="36365"/>
    <cellStyle name="40% - Accent2 3 5 7 6" xfId="36366"/>
    <cellStyle name="40% - Accent2 3 5 7 7" xfId="36367"/>
    <cellStyle name="40% - Accent2 3 5 8" xfId="36368"/>
    <cellStyle name="40% - Accent2 3 5 8 2" xfId="36369"/>
    <cellStyle name="40% - Accent2 3 5 9" xfId="36370"/>
    <cellStyle name="40% - Accent2 3 5 9 2" xfId="36371"/>
    <cellStyle name="40% - Accent2 3 6" xfId="36372"/>
    <cellStyle name="40% - Accent2 3 6 10" xfId="36373"/>
    <cellStyle name="40% - Accent2 3 6 11" xfId="36374"/>
    <cellStyle name="40% - Accent2 3 6 12" xfId="36375"/>
    <cellStyle name="40% - Accent2 3 6 13" xfId="36376"/>
    <cellStyle name="40% - Accent2 3 6 2" xfId="36377"/>
    <cellStyle name="40% - Accent2 3 6 2 10" xfId="36378"/>
    <cellStyle name="40% - Accent2 3 6 2 11" xfId="36379"/>
    <cellStyle name="40% - Accent2 3 6 2 2" xfId="36380"/>
    <cellStyle name="40% - Accent2 3 6 2 2 10" xfId="36381"/>
    <cellStyle name="40% - Accent2 3 6 2 2 2" xfId="36382"/>
    <cellStyle name="40% - Accent2 3 6 2 2 2 2" xfId="36383"/>
    <cellStyle name="40% - Accent2 3 6 2 2 2 2 2" xfId="36384"/>
    <cellStyle name="40% - Accent2 3 6 2 2 2 3" xfId="36385"/>
    <cellStyle name="40% - Accent2 3 6 2 2 2 3 2" xfId="36386"/>
    <cellStyle name="40% - Accent2 3 6 2 2 2 4" xfId="36387"/>
    <cellStyle name="40% - Accent2 3 6 2 2 2 5" xfId="36388"/>
    <cellStyle name="40% - Accent2 3 6 2 2 2 6" xfId="36389"/>
    <cellStyle name="40% - Accent2 3 6 2 2 2 7" xfId="36390"/>
    <cellStyle name="40% - Accent2 3 6 2 2 3" xfId="36391"/>
    <cellStyle name="40% - Accent2 3 6 2 2 3 2" xfId="36392"/>
    <cellStyle name="40% - Accent2 3 6 2 2 3 2 2" xfId="36393"/>
    <cellStyle name="40% - Accent2 3 6 2 2 3 3" xfId="36394"/>
    <cellStyle name="40% - Accent2 3 6 2 2 3 3 2" xfId="36395"/>
    <cellStyle name="40% - Accent2 3 6 2 2 3 4" xfId="36396"/>
    <cellStyle name="40% - Accent2 3 6 2 2 3 5" xfId="36397"/>
    <cellStyle name="40% - Accent2 3 6 2 2 3 6" xfId="36398"/>
    <cellStyle name="40% - Accent2 3 6 2 2 3 7" xfId="36399"/>
    <cellStyle name="40% - Accent2 3 6 2 2 4" xfId="36400"/>
    <cellStyle name="40% - Accent2 3 6 2 2 4 2" xfId="36401"/>
    <cellStyle name="40% - Accent2 3 6 2 2 4 2 2" xfId="36402"/>
    <cellStyle name="40% - Accent2 3 6 2 2 4 3" xfId="36403"/>
    <cellStyle name="40% - Accent2 3 6 2 2 4 3 2" xfId="36404"/>
    <cellStyle name="40% - Accent2 3 6 2 2 4 4" xfId="36405"/>
    <cellStyle name="40% - Accent2 3 6 2 2 4 5" xfId="36406"/>
    <cellStyle name="40% - Accent2 3 6 2 2 4 6" xfId="36407"/>
    <cellStyle name="40% - Accent2 3 6 2 2 4 7" xfId="36408"/>
    <cellStyle name="40% - Accent2 3 6 2 2 5" xfId="36409"/>
    <cellStyle name="40% - Accent2 3 6 2 2 5 2" xfId="36410"/>
    <cellStyle name="40% - Accent2 3 6 2 2 6" xfId="36411"/>
    <cellStyle name="40% - Accent2 3 6 2 2 6 2" xfId="36412"/>
    <cellStyle name="40% - Accent2 3 6 2 2 7" xfId="36413"/>
    <cellStyle name="40% - Accent2 3 6 2 2 8" xfId="36414"/>
    <cellStyle name="40% - Accent2 3 6 2 2 9" xfId="36415"/>
    <cellStyle name="40% - Accent2 3 6 2 3" xfId="36416"/>
    <cellStyle name="40% - Accent2 3 6 2 3 2" xfId="36417"/>
    <cellStyle name="40% - Accent2 3 6 2 3 2 2" xfId="36418"/>
    <cellStyle name="40% - Accent2 3 6 2 3 3" xfId="36419"/>
    <cellStyle name="40% - Accent2 3 6 2 3 3 2" xfId="36420"/>
    <cellStyle name="40% - Accent2 3 6 2 3 4" xfId="36421"/>
    <cellStyle name="40% - Accent2 3 6 2 3 5" xfId="36422"/>
    <cellStyle name="40% - Accent2 3 6 2 3 6" xfId="36423"/>
    <cellStyle name="40% - Accent2 3 6 2 3 7" xfId="36424"/>
    <cellStyle name="40% - Accent2 3 6 2 4" xfId="36425"/>
    <cellStyle name="40% - Accent2 3 6 2 4 2" xfId="36426"/>
    <cellStyle name="40% - Accent2 3 6 2 4 2 2" xfId="36427"/>
    <cellStyle name="40% - Accent2 3 6 2 4 3" xfId="36428"/>
    <cellStyle name="40% - Accent2 3 6 2 4 3 2" xfId="36429"/>
    <cellStyle name="40% - Accent2 3 6 2 4 4" xfId="36430"/>
    <cellStyle name="40% - Accent2 3 6 2 4 5" xfId="36431"/>
    <cellStyle name="40% - Accent2 3 6 2 4 6" xfId="36432"/>
    <cellStyle name="40% - Accent2 3 6 2 4 7" xfId="36433"/>
    <cellStyle name="40% - Accent2 3 6 2 5" xfId="36434"/>
    <cellStyle name="40% - Accent2 3 6 2 5 2" xfId="36435"/>
    <cellStyle name="40% - Accent2 3 6 2 5 2 2" xfId="36436"/>
    <cellStyle name="40% - Accent2 3 6 2 5 3" xfId="36437"/>
    <cellStyle name="40% - Accent2 3 6 2 5 3 2" xfId="36438"/>
    <cellStyle name="40% - Accent2 3 6 2 5 4" xfId="36439"/>
    <cellStyle name="40% - Accent2 3 6 2 5 5" xfId="36440"/>
    <cellStyle name="40% - Accent2 3 6 2 5 6" xfId="36441"/>
    <cellStyle name="40% - Accent2 3 6 2 5 7" xfId="36442"/>
    <cellStyle name="40% - Accent2 3 6 2 6" xfId="36443"/>
    <cellStyle name="40% - Accent2 3 6 2 6 2" xfId="36444"/>
    <cellStyle name="40% - Accent2 3 6 2 7" xfId="36445"/>
    <cellStyle name="40% - Accent2 3 6 2 7 2" xfId="36446"/>
    <cellStyle name="40% - Accent2 3 6 2 8" xfId="36447"/>
    <cellStyle name="40% - Accent2 3 6 2 9" xfId="36448"/>
    <cellStyle name="40% - Accent2 3 6 3" xfId="36449"/>
    <cellStyle name="40% - Accent2 3 6 3 10" xfId="36450"/>
    <cellStyle name="40% - Accent2 3 6 3 11" xfId="36451"/>
    <cellStyle name="40% - Accent2 3 6 3 2" xfId="36452"/>
    <cellStyle name="40% - Accent2 3 6 3 2 10" xfId="36453"/>
    <cellStyle name="40% - Accent2 3 6 3 2 2" xfId="36454"/>
    <cellStyle name="40% - Accent2 3 6 3 2 2 2" xfId="36455"/>
    <cellStyle name="40% - Accent2 3 6 3 2 2 2 2" xfId="36456"/>
    <cellStyle name="40% - Accent2 3 6 3 2 2 3" xfId="36457"/>
    <cellStyle name="40% - Accent2 3 6 3 2 2 3 2" xfId="36458"/>
    <cellStyle name="40% - Accent2 3 6 3 2 2 4" xfId="36459"/>
    <cellStyle name="40% - Accent2 3 6 3 2 2 5" xfId="36460"/>
    <cellStyle name="40% - Accent2 3 6 3 2 2 6" xfId="36461"/>
    <cellStyle name="40% - Accent2 3 6 3 2 2 7" xfId="36462"/>
    <cellStyle name="40% - Accent2 3 6 3 2 3" xfId="36463"/>
    <cellStyle name="40% - Accent2 3 6 3 2 3 2" xfId="36464"/>
    <cellStyle name="40% - Accent2 3 6 3 2 3 2 2" xfId="36465"/>
    <cellStyle name="40% - Accent2 3 6 3 2 3 3" xfId="36466"/>
    <cellStyle name="40% - Accent2 3 6 3 2 3 3 2" xfId="36467"/>
    <cellStyle name="40% - Accent2 3 6 3 2 3 4" xfId="36468"/>
    <cellStyle name="40% - Accent2 3 6 3 2 3 5" xfId="36469"/>
    <cellStyle name="40% - Accent2 3 6 3 2 3 6" xfId="36470"/>
    <cellStyle name="40% - Accent2 3 6 3 2 3 7" xfId="36471"/>
    <cellStyle name="40% - Accent2 3 6 3 2 4" xfId="36472"/>
    <cellStyle name="40% - Accent2 3 6 3 2 4 2" xfId="36473"/>
    <cellStyle name="40% - Accent2 3 6 3 2 4 2 2" xfId="36474"/>
    <cellStyle name="40% - Accent2 3 6 3 2 4 3" xfId="36475"/>
    <cellStyle name="40% - Accent2 3 6 3 2 4 3 2" xfId="36476"/>
    <cellStyle name="40% - Accent2 3 6 3 2 4 4" xfId="36477"/>
    <cellStyle name="40% - Accent2 3 6 3 2 4 5" xfId="36478"/>
    <cellStyle name="40% - Accent2 3 6 3 2 4 6" xfId="36479"/>
    <cellStyle name="40% - Accent2 3 6 3 2 4 7" xfId="36480"/>
    <cellStyle name="40% - Accent2 3 6 3 2 5" xfId="36481"/>
    <cellStyle name="40% - Accent2 3 6 3 2 5 2" xfId="36482"/>
    <cellStyle name="40% - Accent2 3 6 3 2 6" xfId="36483"/>
    <cellStyle name="40% - Accent2 3 6 3 2 6 2" xfId="36484"/>
    <cellStyle name="40% - Accent2 3 6 3 2 7" xfId="36485"/>
    <cellStyle name="40% - Accent2 3 6 3 2 8" xfId="36486"/>
    <cellStyle name="40% - Accent2 3 6 3 2 9" xfId="36487"/>
    <cellStyle name="40% - Accent2 3 6 3 3" xfId="36488"/>
    <cellStyle name="40% - Accent2 3 6 3 3 2" xfId="36489"/>
    <cellStyle name="40% - Accent2 3 6 3 3 2 2" xfId="36490"/>
    <cellStyle name="40% - Accent2 3 6 3 3 3" xfId="36491"/>
    <cellStyle name="40% - Accent2 3 6 3 3 3 2" xfId="36492"/>
    <cellStyle name="40% - Accent2 3 6 3 3 4" xfId="36493"/>
    <cellStyle name="40% - Accent2 3 6 3 3 5" xfId="36494"/>
    <cellStyle name="40% - Accent2 3 6 3 3 6" xfId="36495"/>
    <cellStyle name="40% - Accent2 3 6 3 3 7" xfId="36496"/>
    <cellStyle name="40% - Accent2 3 6 3 4" xfId="36497"/>
    <cellStyle name="40% - Accent2 3 6 3 4 2" xfId="36498"/>
    <cellStyle name="40% - Accent2 3 6 3 4 2 2" xfId="36499"/>
    <cellStyle name="40% - Accent2 3 6 3 4 3" xfId="36500"/>
    <cellStyle name="40% - Accent2 3 6 3 4 3 2" xfId="36501"/>
    <cellStyle name="40% - Accent2 3 6 3 4 4" xfId="36502"/>
    <cellStyle name="40% - Accent2 3 6 3 4 5" xfId="36503"/>
    <cellStyle name="40% - Accent2 3 6 3 4 6" xfId="36504"/>
    <cellStyle name="40% - Accent2 3 6 3 4 7" xfId="36505"/>
    <cellStyle name="40% - Accent2 3 6 3 5" xfId="36506"/>
    <cellStyle name="40% - Accent2 3 6 3 5 2" xfId="36507"/>
    <cellStyle name="40% - Accent2 3 6 3 5 2 2" xfId="36508"/>
    <cellStyle name="40% - Accent2 3 6 3 5 3" xfId="36509"/>
    <cellStyle name="40% - Accent2 3 6 3 5 3 2" xfId="36510"/>
    <cellStyle name="40% - Accent2 3 6 3 5 4" xfId="36511"/>
    <cellStyle name="40% - Accent2 3 6 3 5 5" xfId="36512"/>
    <cellStyle name="40% - Accent2 3 6 3 5 6" xfId="36513"/>
    <cellStyle name="40% - Accent2 3 6 3 5 7" xfId="36514"/>
    <cellStyle name="40% - Accent2 3 6 3 6" xfId="36515"/>
    <cellStyle name="40% - Accent2 3 6 3 6 2" xfId="36516"/>
    <cellStyle name="40% - Accent2 3 6 3 7" xfId="36517"/>
    <cellStyle name="40% - Accent2 3 6 3 7 2" xfId="36518"/>
    <cellStyle name="40% - Accent2 3 6 3 8" xfId="36519"/>
    <cellStyle name="40% - Accent2 3 6 3 9" xfId="36520"/>
    <cellStyle name="40% - Accent2 3 6 4" xfId="36521"/>
    <cellStyle name="40% - Accent2 3 6 4 10" xfId="36522"/>
    <cellStyle name="40% - Accent2 3 6 4 2" xfId="36523"/>
    <cellStyle name="40% - Accent2 3 6 4 2 2" xfId="36524"/>
    <cellStyle name="40% - Accent2 3 6 4 2 2 2" xfId="36525"/>
    <cellStyle name="40% - Accent2 3 6 4 2 3" xfId="36526"/>
    <cellStyle name="40% - Accent2 3 6 4 2 3 2" xfId="36527"/>
    <cellStyle name="40% - Accent2 3 6 4 2 4" xfId="36528"/>
    <cellStyle name="40% - Accent2 3 6 4 2 5" xfId="36529"/>
    <cellStyle name="40% - Accent2 3 6 4 2 6" xfId="36530"/>
    <cellStyle name="40% - Accent2 3 6 4 2 7" xfId="36531"/>
    <cellStyle name="40% - Accent2 3 6 4 3" xfId="36532"/>
    <cellStyle name="40% - Accent2 3 6 4 3 2" xfId="36533"/>
    <cellStyle name="40% - Accent2 3 6 4 3 2 2" xfId="36534"/>
    <cellStyle name="40% - Accent2 3 6 4 3 3" xfId="36535"/>
    <cellStyle name="40% - Accent2 3 6 4 3 3 2" xfId="36536"/>
    <cellStyle name="40% - Accent2 3 6 4 3 4" xfId="36537"/>
    <cellStyle name="40% - Accent2 3 6 4 3 5" xfId="36538"/>
    <cellStyle name="40% - Accent2 3 6 4 3 6" xfId="36539"/>
    <cellStyle name="40% - Accent2 3 6 4 3 7" xfId="36540"/>
    <cellStyle name="40% - Accent2 3 6 4 4" xfId="36541"/>
    <cellStyle name="40% - Accent2 3 6 4 4 2" xfId="36542"/>
    <cellStyle name="40% - Accent2 3 6 4 4 2 2" xfId="36543"/>
    <cellStyle name="40% - Accent2 3 6 4 4 3" xfId="36544"/>
    <cellStyle name="40% - Accent2 3 6 4 4 3 2" xfId="36545"/>
    <cellStyle name="40% - Accent2 3 6 4 4 4" xfId="36546"/>
    <cellStyle name="40% - Accent2 3 6 4 4 5" xfId="36547"/>
    <cellStyle name="40% - Accent2 3 6 4 4 6" xfId="36548"/>
    <cellStyle name="40% - Accent2 3 6 4 4 7" xfId="36549"/>
    <cellStyle name="40% - Accent2 3 6 4 5" xfId="36550"/>
    <cellStyle name="40% - Accent2 3 6 4 5 2" xfId="36551"/>
    <cellStyle name="40% - Accent2 3 6 4 6" xfId="36552"/>
    <cellStyle name="40% - Accent2 3 6 4 6 2" xfId="36553"/>
    <cellStyle name="40% - Accent2 3 6 4 7" xfId="36554"/>
    <cellStyle name="40% - Accent2 3 6 4 8" xfId="36555"/>
    <cellStyle name="40% - Accent2 3 6 4 9" xfId="36556"/>
    <cellStyle name="40% - Accent2 3 6 5" xfId="36557"/>
    <cellStyle name="40% - Accent2 3 6 5 2" xfId="36558"/>
    <cellStyle name="40% - Accent2 3 6 5 2 2" xfId="36559"/>
    <cellStyle name="40% - Accent2 3 6 5 3" xfId="36560"/>
    <cellStyle name="40% - Accent2 3 6 5 3 2" xfId="36561"/>
    <cellStyle name="40% - Accent2 3 6 5 4" xfId="36562"/>
    <cellStyle name="40% - Accent2 3 6 5 5" xfId="36563"/>
    <cellStyle name="40% - Accent2 3 6 5 6" xfId="36564"/>
    <cellStyle name="40% - Accent2 3 6 5 7" xfId="36565"/>
    <cellStyle name="40% - Accent2 3 6 6" xfId="36566"/>
    <cellStyle name="40% - Accent2 3 6 6 2" xfId="36567"/>
    <cellStyle name="40% - Accent2 3 6 6 2 2" xfId="36568"/>
    <cellStyle name="40% - Accent2 3 6 6 3" xfId="36569"/>
    <cellStyle name="40% - Accent2 3 6 6 3 2" xfId="36570"/>
    <cellStyle name="40% - Accent2 3 6 6 4" xfId="36571"/>
    <cellStyle name="40% - Accent2 3 6 6 5" xfId="36572"/>
    <cellStyle name="40% - Accent2 3 6 6 6" xfId="36573"/>
    <cellStyle name="40% - Accent2 3 6 6 7" xfId="36574"/>
    <cellStyle name="40% - Accent2 3 6 7" xfId="36575"/>
    <cellStyle name="40% - Accent2 3 6 7 2" xfId="36576"/>
    <cellStyle name="40% - Accent2 3 6 7 2 2" xfId="36577"/>
    <cellStyle name="40% - Accent2 3 6 7 3" xfId="36578"/>
    <cellStyle name="40% - Accent2 3 6 7 3 2" xfId="36579"/>
    <cellStyle name="40% - Accent2 3 6 7 4" xfId="36580"/>
    <cellStyle name="40% - Accent2 3 6 7 5" xfId="36581"/>
    <cellStyle name="40% - Accent2 3 6 7 6" xfId="36582"/>
    <cellStyle name="40% - Accent2 3 6 7 7" xfId="36583"/>
    <cellStyle name="40% - Accent2 3 6 8" xfId="36584"/>
    <cellStyle name="40% - Accent2 3 6 8 2" xfId="36585"/>
    <cellStyle name="40% - Accent2 3 6 9" xfId="36586"/>
    <cellStyle name="40% - Accent2 3 6 9 2" xfId="36587"/>
    <cellStyle name="40% - Accent2 3 7" xfId="36588"/>
    <cellStyle name="40% - Accent2 3 7 10" xfId="36589"/>
    <cellStyle name="40% - Accent2 3 7 11" xfId="36590"/>
    <cellStyle name="40% - Accent2 3 7 2" xfId="36591"/>
    <cellStyle name="40% - Accent2 3 7 2 10" xfId="36592"/>
    <cellStyle name="40% - Accent2 3 7 2 2" xfId="36593"/>
    <cellStyle name="40% - Accent2 3 7 2 2 2" xfId="36594"/>
    <cellStyle name="40% - Accent2 3 7 2 2 2 2" xfId="36595"/>
    <cellStyle name="40% - Accent2 3 7 2 2 3" xfId="36596"/>
    <cellStyle name="40% - Accent2 3 7 2 2 3 2" xfId="36597"/>
    <cellStyle name="40% - Accent2 3 7 2 2 4" xfId="36598"/>
    <cellStyle name="40% - Accent2 3 7 2 2 5" xfId="36599"/>
    <cellStyle name="40% - Accent2 3 7 2 2 6" xfId="36600"/>
    <cellStyle name="40% - Accent2 3 7 2 2 7" xfId="36601"/>
    <cellStyle name="40% - Accent2 3 7 2 3" xfId="36602"/>
    <cellStyle name="40% - Accent2 3 7 2 3 2" xfId="36603"/>
    <cellStyle name="40% - Accent2 3 7 2 3 2 2" xfId="36604"/>
    <cellStyle name="40% - Accent2 3 7 2 3 3" xfId="36605"/>
    <cellStyle name="40% - Accent2 3 7 2 3 3 2" xfId="36606"/>
    <cellStyle name="40% - Accent2 3 7 2 3 4" xfId="36607"/>
    <cellStyle name="40% - Accent2 3 7 2 3 5" xfId="36608"/>
    <cellStyle name="40% - Accent2 3 7 2 3 6" xfId="36609"/>
    <cellStyle name="40% - Accent2 3 7 2 3 7" xfId="36610"/>
    <cellStyle name="40% - Accent2 3 7 2 4" xfId="36611"/>
    <cellStyle name="40% - Accent2 3 7 2 4 2" xfId="36612"/>
    <cellStyle name="40% - Accent2 3 7 2 4 2 2" xfId="36613"/>
    <cellStyle name="40% - Accent2 3 7 2 4 3" xfId="36614"/>
    <cellStyle name="40% - Accent2 3 7 2 4 3 2" xfId="36615"/>
    <cellStyle name="40% - Accent2 3 7 2 4 4" xfId="36616"/>
    <cellStyle name="40% - Accent2 3 7 2 4 5" xfId="36617"/>
    <cellStyle name="40% - Accent2 3 7 2 4 6" xfId="36618"/>
    <cellStyle name="40% - Accent2 3 7 2 4 7" xfId="36619"/>
    <cellStyle name="40% - Accent2 3 7 2 5" xfId="36620"/>
    <cellStyle name="40% - Accent2 3 7 2 5 2" xfId="36621"/>
    <cellStyle name="40% - Accent2 3 7 2 6" xfId="36622"/>
    <cellStyle name="40% - Accent2 3 7 2 6 2" xfId="36623"/>
    <cellStyle name="40% - Accent2 3 7 2 7" xfId="36624"/>
    <cellStyle name="40% - Accent2 3 7 2 8" xfId="36625"/>
    <cellStyle name="40% - Accent2 3 7 2 9" xfId="36626"/>
    <cellStyle name="40% - Accent2 3 7 3" xfId="36627"/>
    <cellStyle name="40% - Accent2 3 7 3 2" xfId="36628"/>
    <cellStyle name="40% - Accent2 3 7 3 2 2" xfId="36629"/>
    <cellStyle name="40% - Accent2 3 7 3 3" xfId="36630"/>
    <cellStyle name="40% - Accent2 3 7 3 3 2" xfId="36631"/>
    <cellStyle name="40% - Accent2 3 7 3 4" xfId="36632"/>
    <cellStyle name="40% - Accent2 3 7 3 5" xfId="36633"/>
    <cellStyle name="40% - Accent2 3 7 3 6" xfId="36634"/>
    <cellStyle name="40% - Accent2 3 7 3 7" xfId="36635"/>
    <cellStyle name="40% - Accent2 3 7 4" xfId="36636"/>
    <cellStyle name="40% - Accent2 3 7 4 2" xfId="36637"/>
    <cellStyle name="40% - Accent2 3 7 4 2 2" xfId="36638"/>
    <cellStyle name="40% - Accent2 3 7 4 3" xfId="36639"/>
    <cellStyle name="40% - Accent2 3 7 4 3 2" xfId="36640"/>
    <cellStyle name="40% - Accent2 3 7 4 4" xfId="36641"/>
    <cellStyle name="40% - Accent2 3 7 4 5" xfId="36642"/>
    <cellStyle name="40% - Accent2 3 7 4 6" xfId="36643"/>
    <cellStyle name="40% - Accent2 3 7 4 7" xfId="36644"/>
    <cellStyle name="40% - Accent2 3 7 5" xfId="36645"/>
    <cellStyle name="40% - Accent2 3 7 5 2" xfId="36646"/>
    <cellStyle name="40% - Accent2 3 7 5 2 2" xfId="36647"/>
    <cellStyle name="40% - Accent2 3 7 5 3" xfId="36648"/>
    <cellStyle name="40% - Accent2 3 7 5 3 2" xfId="36649"/>
    <cellStyle name="40% - Accent2 3 7 5 4" xfId="36650"/>
    <cellStyle name="40% - Accent2 3 7 5 5" xfId="36651"/>
    <cellStyle name="40% - Accent2 3 7 5 6" xfId="36652"/>
    <cellStyle name="40% - Accent2 3 7 5 7" xfId="36653"/>
    <cellStyle name="40% - Accent2 3 7 6" xfId="36654"/>
    <cellStyle name="40% - Accent2 3 7 6 2" xfId="36655"/>
    <cellStyle name="40% - Accent2 3 7 7" xfId="36656"/>
    <cellStyle name="40% - Accent2 3 7 7 2" xfId="36657"/>
    <cellStyle name="40% - Accent2 3 7 8" xfId="36658"/>
    <cellStyle name="40% - Accent2 3 7 9" xfId="36659"/>
    <cellStyle name="40% - Accent2 3 8" xfId="36660"/>
    <cellStyle name="40% - Accent2 3 8 10" xfId="36661"/>
    <cellStyle name="40% - Accent2 3 8 11" xfId="36662"/>
    <cellStyle name="40% - Accent2 3 8 2" xfId="36663"/>
    <cellStyle name="40% - Accent2 3 8 2 10" xfId="36664"/>
    <cellStyle name="40% - Accent2 3 8 2 2" xfId="36665"/>
    <cellStyle name="40% - Accent2 3 8 2 2 2" xfId="36666"/>
    <cellStyle name="40% - Accent2 3 8 2 2 2 2" xfId="36667"/>
    <cellStyle name="40% - Accent2 3 8 2 2 3" xfId="36668"/>
    <cellStyle name="40% - Accent2 3 8 2 2 3 2" xfId="36669"/>
    <cellStyle name="40% - Accent2 3 8 2 2 4" xfId="36670"/>
    <cellStyle name="40% - Accent2 3 8 2 2 5" xfId="36671"/>
    <cellStyle name="40% - Accent2 3 8 2 2 6" xfId="36672"/>
    <cellStyle name="40% - Accent2 3 8 2 2 7" xfId="36673"/>
    <cellStyle name="40% - Accent2 3 8 2 3" xfId="36674"/>
    <cellStyle name="40% - Accent2 3 8 2 3 2" xfId="36675"/>
    <cellStyle name="40% - Accent2 3 8 2 3 2 2" xfId="36676"/>
    <cellStyle name="40% - Accent2 3 8 2 3 3" xfId="36677"/>
    <cellStyle name="40% - Accent2 3 8 2 3 3 2" xfId="36678"/>
    <cellStyle name="40% - Accent2 3 8 2 3 4" xfId="36679"/>
    <cellStyle name="40% - Accent2 3 8 2 3 5" xfId="36680"/>
    <cellStyle name="40% - Accent2 3 8 2 3 6" xfId="36681"/>
    <cellStyle name="40% - Accent2 3 8 2 3 7" xfId="36682"/>
    <cellStyle name="40% - Accent2 3 8 2 4" xfId="36683"/>
    <cellStyle name="40% - Accent2 3 8 2 4 2" xfId="36684"/>
    <cellStyle name="40% - Accent2 3 8 2 4 2 2" xfId="36685"/>
    <cellStyle name="40% - Accent2 3 8 2 4 3" xfId="36686"/>
    <cellStyle name="40% - Accent2 3 8 2 4 3 2" xfId="36687"/>
    <cellStyle name="40% - Accent2 3 8 2 4 4" xfId="36688"/>
    <cellStyle name="40% - Accent2 3 8 2 4 5" xfId="36689"/>
    <cellStyle name="40% - Accent2 3 8 2 4 6" xfId="36690"/>
    <cellStyle name="40% - Accent2 3 8 2 4 7" xfId="36691"/>
    <cellStyle name="40% - Accent2 3 8 2 5" xfId="36692"/>
    <cellStyle name="40% - Accent2 3 8 2 5 2" xfId="36693"/>
    <cellStyle name="40% - Accent2 3 8 2 6" xfId="36694"/>
    <cellStyle name="40% - Accent2 3 8 2 6 2" xfId="36695"/>
    <cellStyle name="40% - Accent2 3 8 2 7" xfId="36696"/>
    <cellStyle name="40% - Accent2 3 8 2 8" xfId="36697"/>
    <cellStyle name="40% - Accent2 3 8 2 9" xfId="36698"/>
    <cellStyle name="40% - Accent2 3 8 3" xfId="36699"/>
    <cellStyle name="40% - Accent2 3 8 3 2" xfId="36700"/>
    <cellStyle name="40% - Accent2 3 8 3 2 2" xfId="36701"/>
    <cellStyle name="40% - Accent2 3 8 3 3" xfId="36702"/>
    <cellStyle name="40% - Accent2 3 8 3 3 2" xfId="36703"/>
    <cellStyle name="40% - Accent2 3 8 3 4" xfId="36704"/>
    <cellStyle name="40% - Accent2 3 8 3 5" xfId="36705"/>
    <cellStyle name="40% - Accent2 3 8 3 6" xfId="36706"/>
    <cellStyle name="40% - Accent2 3 8 3 7" xfId="36707"/>
    <cellStyle name="40% - Accent2 3 8 4" xfId="36708"/>
    <cellStyle name="40% - Accent2 3 8 4 2" xfId="36709"/>
    <cellStyle name="40% - Accent2 3 8 4 2 2" xfId="36710"/>
    <cellStyle name="40% - Accent2 3 8 4 3" xfId="36711"/>
    <cellStyle name="40% - Accent2 3 8 4 3 2" xfId="36712"/>
    <cellStyle name="40% - Accent2 3 8 4 4" xfId="36713"/>
    <cellStyle name="40% - Accent2 3 8 4 5" xfId="36714"/>
    <cellStyle name="40% - Accent2 3 8 4 6" xfId="36715"/>
    <cellStyle name="40% - Accent2 3 8 4 7" xfId="36716"/>
    <cellStyle name="40% - Accent2 3 8 5" xfId="36717"/>
    <cellStyle name="40% - Accent2 3 8 5 2" xfId="36718"/>
    <cellStyle name="40% - Accent2 3 8 5 2 2" xfId="36719"/>
    <cellStyle name="40% - Accent2 3 8 5 3" xfId="36720"/>
    <cellStyle name="40% - Accent2 3 8 5 3 2" xfId="36721"/>
    <cellStyle name="40% - Accent2 3 8 5 4" xfId="36722"/>
    <cellStyle name="40% - Accent2 3 8 5 5" xfId="36723"/>
    <cellStyle name="40% - Accent2 3 8 5 6" xfId="36724"/>
    <cellStyle name="40% - Accent2 3 8 5 7" xfId="36725"/>
    <cellStyle name="40% - Accent2 3 8 6" xfId="36726"/>
    <cellStyle name="40% - Accent2 3 8 6 2" xfId="36727"/>
    <cellStyle name="40% - Accent2 3 8 7" xfId="36728"/>
    <cellStyle name="40% - Accent2 3 8 7 2" xfId="36729"/>
    <cellStyle name="40% - Accent2 3 8 8" xfId="36730"/>
    <cellStyle name="40% - Accent2 3 8 9" xfId="36731"/>
    <cellStyle name="40% - Accent2 3 9" xfId="36732"/>
    <cellStyle name="40% - Accent2 3 9 10" xfId="36733"/>
    <cellStyle name="40% - Accent2 3 9 2" xfId="36734"/>
    <cellStyle name="40% - Accent2 3 9 2 2" xfId="36735"/>
    <cellStyle name="40% - Accent2 3 9 2 2 2" xfId="36736"/>
    <cellStyle name="40% - Accent2 3 9 2 3" xfId="36737"/>
    <cellStyle name="40% - Accent2 3 9 2 3 2" xfId="36738"/>
    <cellStyle name="40% - Accent2 3 9 2 4" xfId="36739"/>
    <cellStyle name="40% - Accent2 3 9 2 5" xfId="36740"/>
    <cellStyle name="40% - Accent2 3 9 2 6" xfId="36741"/>
    <cellStyle name="40% - Accent2 3 9 2 7" xfId="36742"/>
    <cellStyle name="40% - Accent2 3 9 3" xfId="36743"/>
    <cellStyle name="40% - Accent2 3 9 3 2" xfId="36744"/>
    <cellStyle name="40% - Accent2 3 9 3 2 2" xfId="36745"/>
    <cellStyle name="40% - Accent2 3 9 3 3" xfId="36746"/>
    <cellStyle name="40% - Accent2 3 9 3 3 2" xfId="36747"/>
    <cellStyle name="40% - Accent2 3 9 3 4" xfId="36748"/>
    <cellStyle name="40% - Accent2 3 9 3 5" xfId="36749"/>
    <cellStyle name="40% - Accent2 3 9 3 6" xfId="36750"/>
    <cellStyle name="40% - Accent2 3 9 3 7" xfId="36751"/>
    <cellStyle name="40% - Accent2 3 9 4" xfId="36752"/>
    <cellStyle name="40% - Accent2 3 9 4 2" xfId="36753"/>
    <cellStyle name="40% - Accent2 3 9 4 2 2" xfId="36754"/>
    <cellStyle name="40% - Accent2 3 9 4 3" xfId="36755"/>
    <cellStyle name="40% - Accent2 3 9 4 3 2" xfId="36756"/>
    <cellStyle name="40% - Accent2 3 9 4 4" xfId="36757"/>
    <cellStyle name="40% - Accent2 3 9 4 5" xfId="36758"/>
    <cellStyle name="40% - Accent2 3 9 4 6" xfId="36759"/>
    <cellStyle name="40% - Accent2 3 9 4 7" xfId="36760"/>
    <cellStyle name="40% - Accent2 3 9 5" xfId="36761"/>
    <cellStyle name="40% - Accent2 3 9 5 2" xfId="36762"/>
    <cellStyle name="40% - Accent2 3 9 6" xfId="36763"/>
    <cellStyle name="40% - Accent2 3 9 6 2" xfId="36764"/>
    <cellStyle name="40% - Accent2 3 9 7" xfId="36765"/>
    <cellStyle name="40% - Accent2 3 9 8" xfId="36766"/>
    <cellStyle name="40% - Accent2 3 9 9" xfId="36767"/>
    <cellStyle name="40% - Accent2 3_10-15-10-Stmt AU - Period I - Working 1 0" xfId="283"/>
    <cellStyle name="40% - Accent2 4" xfId="284"/>
    <cellStyle name="40% - Accent2 4 2" xfId="285"/>
    <cellStyle name="40% - Accent2 4 3" xfId="286"/>
    <cellStyle name="40% - Accent2 4_10-15-10-Stmt AU - Period I - Working 1 0" xfId="287"/>
    <cellStyle name="40% - Accent2 5" xfId="288"/>
    <cellStyle name="40% - Accent2 5 2" xfId="289"/>
    <cellStyle name="40% - Accent2 5 3" xfId="290"/>
    <cellStyle name="40% - Accent2 5_10-15-10-Stmt AU - Period I - Working 1 0" xfId="291"/>
    <cellStyle name="40% - Accent2 6" xfId="292"/>
    <cellStyle name="40% - Accent2 6 2" xfId="293"/>
    <cellStyle name="40% - Accent2 6 3" xfId="294"/>
    <cellStyle name="40% - Accent2 6_10-15-10-Stmt AU - Period I - Working 1 0" xfId="295"/>
    <cellStyle name="40% - Accent2 7" xfId="296"/>
    <cellStyle name="40% - Accent2 7 2" xfId="297"/>
    <cellStyle name="40% - Accent2 7 3" xfId="298"/>
    <cellStyle name="40% - Accent2 7_10-15-10-Stmt AU - Period I - Working 1 0" xfId="299"/>
    <cellStyle name="40% - Accent2 8" xfId="300"/>
    <cellStyle name="40% - Accent2 9" xfId="301"/>
    <cellStyle name="40% - Accent3 10" xfId="302"/>
    <cellStyle name="40% - Accent3 11" xfId="303"/>
    <cellStyle name="40% - Accent3 12" xfId="304"/>
    <cellStyle name="40% - Accent3 13" xfId="305"/>
    <cellStyle name="40% - Accent3 2" xfId="306"/>
    <cellStyle name="40% - Accent3 2 10" xfId="36768"/>
    <cellStyle name="40% - Accent3 2 10 2" xfId="36769"/>
    <cellStyle name="40% - Accent3 2 10 2 2" xfId="36770"/>
    <cellStyle name="40% - Accent3 2 10 3" xfId="36771"/>
    <cellStyle name="40% - Accent3 2 10 3 2" xfId="36772"/>
    <cellStyle name="40% - Accent3 2 10 4" xfId="36773"/>
    <cellStyle name="40% - Accent3 2 10 5" xfId="36774"/>
    <cellStyle name="40% - Accent3 2 10 6" xfId="36775"/>
    <cellStyle name="40% - Accent3 2 10 7" xfId="36776"/>
    <cellStyle name="40% - Accent3 2 11" xfId="36777"/>
    <cellStyle name="40% - Accent3 2 11 2" xfId="36778"/>
    <cellStyle name="40% - Accent3 2 11 2 2" xfId="36779"/>
    <cellStyle name="40% - Accent3 2 11 3" xfId="36780"/>
    <cellStyle name="40% - Accent3 2 11 3 2" xfId="36781"/>
    <cellStyle name="40% - Accent3 2 11 4" xfId="36782"/>
    <cellStyle name="40% - Accent3 2 11 5" xfId="36783"/>
    <cellStyle name="40% - Accent3 2 11 6" xfId="36784"/>
    <cellStyle name="40% - Accent3 2 11 7" xfId="36785"/>
    <cellStyle name="40% - Accent3 2 12" xfId="36786"/>
    <cellStyle name="40% - Accent3 2 12 2" xfId="36787"/>
    <cellStyle name="40% - Accent3 2 12 2 2" xfId="36788"/>
    <cellStyle name="40% - Accent3 2 12 3" xfId="36789"/>
    <cellStyle name="40% - Accent3 2 12 3 2" xfId="36790"/>
    <cellStyle name="40% - Accent3 2 12 4" xfId="36791"/>
    <cellStyle name="40% - Accent3 2 12 5" xfId="36792"/>
    <cellStyle name="40% - Accent3 2 12 6" xfId="36793"/>
    <cellStyle name="40% - Accent3 2 12 7" xfId="36794"/>
    <cellStyle name="40% - Accent3 2 13" xfId="36795"/>
    <cellStyle name="40% - Accent3 2 13 2" xfId="36796"/>
    <cellStyle name="40% - Accent3 2 14" xfId="36797"/>
    <cellStyle name="40% - Accent3 2 15" xfId="36798"/>
    <cellStyle name="40% - Accent3 2 16" xfId="36799"/>
    <cellStyle name="40% - Accent3 2 17" xfId="36800"/>
    <cellStyle name="40% - Accent3 2 18" xfId="36801"/>
    <cellStyle name="40% - Accent3 2 2" xfId="307"/>
    <cellStyle name="40% - Accent3 2 2 10" xfId="36802"/>
    <cellStyle name="40% - Accent3 2 2 11" xfId="36803"/>
    <cellStyle name="40% - Accent3 2 2 12" xfId="36804"/>
    <cellStyle name="40% - Accent3 2 2 13" xfId="36805"/>
    <cellStyle name="40% - Accent3 2 2 2" xfId="36806"/>
    <cellStyle name="40% - Accent3 2 2 2 10" xfId="36807"/>
    <cellStyle name="40% - Accent3 2 2 2 11" xfId="36808"/>
    <cellStyle name="40% - Accent3 2 2 2 2" xfId="36809"/>
    <cellStyle name="40% - Accent3 2 2 2 2 10" xfId="36810"/>
    <cellStyle name="40% - Accent3 2 2 2 2 2" xfId="36811"/>
    <cellStyle name="40% - Accent3 2 2 2 2 2 2" xfId="36812"/>
    <cellStyle name="40% - Accent3 2 2 2 2 2 2 2" xfId="36813"/>
    <cellStyle name="40% - Accent3 2 2 2 2 2 3" xfId="36814"/>
    <cellStyle name="40% - Accent3 2 2 2 2 2 3 2" xfId="36815"/>
    <cellStyle name="40% - Accent3 2 2 2 2 2 4" xfId="36816"/>
    <cellStyle name="40% - Accent3 2 2 2 2 2 5" xfId="36817"/>
    <cellStyle name="40% - Accent3 2 2 2 2 2 6" xfId="36818"/>
    <cellStyle name="40% - Accent3 2 2 2 2 2 7" xfId="36819"/>
    <cellStyle name="40% - Accent3 2 2 2 2 3" xfId="36820"/>
    <cellStyle name="40% - Accent3 2 2 2 2 3 2" xfId="36821"/>
    <cellStyle name="40% - Accent3 2 2 2 2 3 2 2" xfId="36822"/>
    <cellStyle name="40% - Accent3 2 2 2 2 3 3" xfId="36823"/>
    <cellStyle name="40% - Accent3 2 2 2 2 3 3 2" xfId="36824"/>
    <cellStyle name="40% - Accent3 2 2 2 2 3 4" xfId="36825"/>
    <cellStyle name="40% - Accent3 2 2 2 2 3 5" xfId="36826"/>
    <cellStyle name="40% - Accent3 2 2 2 2 3 6" xfId="36827"/>
    <cellStyle name="40% - Accent3 2 2 2 2 3 7" xfId="36828"/>
    <cellStyle name="40% - Accent3 2 2 2 2 4" xfId="36829"/>
    <cellStyle name="40% - Accent3 2 2 2 2 4 2" xfId="36830"/>
    <cellStyle name="40% - Accent3 2 2 2 2 4 2 2" xfId="36831"/>
    <cellStyle name="40% - Accent3 2 2 2 2 4 3" xfId="36832"/>
    <cellStyle name="40% - Accent3 2 2 2 2 4 3 2" xfId="36833"/>
    <cellStyle name="40% - Accent3 2 2 2 2 4 4" xfId="36834"/>
    <cellStyle name="40% - Accent3 2 2 2 2 4 5" xfId="36835"/>
    <cellStyle name="40% - Accent3 2 2 2 2 4 6" xfId="36836"/>
    <cellStyle name="40% - Accent3 2 2 2 2 4 7" xfId="36837"/>
    <cellStyle name="40% - Accent3 2 2 2 2 5" xfId="36838"/>
    <cellStyle name="40% - Accent3 2 2 2 2 5 2" xfId="36839"/>
    <cellStyle name="40% - Accent3 2 2 2 2 6" xfId="36840"/>
    <cellStyle name="40% - Accent3 2 2 2 2 6 2" xfId="36841"/>
    <cellStyle name="40% - Accent3 2 2 2 2 7" xfId="36842"/>
    <cellStyle name="40% - Accent3 2 2 2 2 8" xfId="36843"/>
    <cellStyle name="40% - Accent3 2 2 2 2 9" xfId="36844"/>
    <cellStyle name="40% - Accent3 2 2 2 3" xfId="36845"/>
    <cellStyle name="40% - Accent3 2 2 2 3 2" xfId="36846"/>
    <cellStyle name="40% - Accent3 2 2 2 3 2 2" xfId="36847"/>
    <cellStyle name="40% - Accent3 2 2 2 3 3" xfId="36848"/>
    <cellStyle name="40% - Accent3 2 2 2 3 3 2" xfId="36849"/>
    <cellStyle name="40% - Accent3 2 2 2 3 4" xfId="36850"/>
    <cellStyle name="40% - Accent3 2 2 2 3 5" xfId="36851"/>
    <cellStyle name="40% - Accent3 2 2 2 3 6" xfId="36852"/>
    <cellStyle name="40% - Accent3 2 2 2 3 7" xfId="36853"/>
    <cellStyle name="40% - Accent3 2 2 2 4" xfId="36854"/>
    <cellStyle name="40% - Accent3 2 2 2 4 2" xfId="36855"/>
    <cellStyle name="40% - Accent3 2 2 2 4 2 2" xfId="36856"/>
    <cellStyle name="40% - Accent3 2 2 2 4 3" xfId="36857"/>
    <cellStyle name="40% - Accent3 2 2 2 4 3 2" xfId="36858"/>
    <cellStyle name="40% - Accent3 2 2 2 4 4" xfId="36859"/>
    <cellStyle name="40% - Accent3 2 2 2 4 5" xfId="36860"/>
    <cellStyle name="40% - Accent3 2 2 2 4 6" xfId="36861"/>
    <cellStyle name="40% - Accent3 2 2 2 4 7" xfId="36862"/>
    <cellStyle name="40% - Accent3 2 2 2 5" xfId="36863"/>
    <cellStyle name="40% - Accent3 2 2 2 5 2" xfId="36864"/>
    <cellStyle name="40% - Accent3 2 2 2 5 2 2" xfId="36865"/>
    <cellStyle name="40% - Accent3 2 2 2 5 3" xfId="36866"/>
    <cellStyle name="40% - Accent3 2 2 2 5 3 2" xfId="36867"/>
    <cellStyle name="40% - Accent3 2 2 2 5 4" xfId="36868"/>
    <cellStyle name="40% - Accent3 2 2 2 5 5" xfId="36869"/>
    <cellStyle name="40% - Accent3 2 2 2 5 6" xfId="36870"/>
    <cellStyle name="40% - Accent3 2 2 2 5 7" xfId="36871"/>
    <cellStyle name="40% - Accent3 2 2 2 6" xfId="36872"/>
    <cellStyle name="40% - Accent3 2 2 2 6 2" xfId="36873"/>
    <cellStyle name="40% - Accent3 2 2 2 7" xfId="36874"/>
    <cellStyle name="40% - Accent3 2 2 2 7 2" xfId="36875"/>
    <cellStyle name="40% - Accent3 2 2 2 8" xfId="36876"/>
    <cellStyle name="40% - Accent3 2 2 2 9" xfId="36877"/>
    <cellStyle name="40% - Accent3 2 2 3" xfId="36878"/>
    <cellStyle name="40% - Accent3 2 2 3 10" xfId="36879"/>
    <cellStyle name="40% - Accent3 2 2 3 11" xfId="36880"/>
    <cellStyle name="40% - Accent3 2 2 3 2" xfId="36881"/>
    <cellStyle name="40% - Accent3 2 2 3 2 10" xfId="36882"/>
    <cellStyle name="40% - Accent3 2 2 3 2 2" xfId="36883"/>
    <cellStyle name="40% - Accent3 2 2 3 2 2 2" xfId="36884"/>
    <cellStyle name="40% - Accent3 2 2 3 2 2 2 2" xfId="36885"/>
    <cellStyle name="40% - Accent3 2 2 3 2 2 3" xfId="36886"/>
    <cellStyle name="40% - Accent3 2 2 3 2 2 3 2" xfId="36887"/>
    <cellStyle name="40% - Accent3 2 2 3 2 2 4" xfId="36888"/>
    <cellStyle name="40% - Accent3 2 2 3 2 2 5" xfId="36889"/>
    <cellStyle name="40% - Accent3 2 2 3 2 2 6" xfId="36890"/>
    <cellStyle name="40% - Accent3 2 2 3 2 2 7" xfId="36891"/>
    <cellStyle name="40% - Accent3 2 2 3 2 3" xfId="36892"/>
    <cellStyle name="40% - Accent3 2 2 3 2 3 2" xfId="36893"/>
    <cellStyle name="40% - Accent3 2 2 3 2 3 2 2" xfId="36894"/>
    <cellStyle name="40% - Accent3 2 2 3 2 3 3" xfId="36895"/>
    <cellStyle name="40% - Accent3 2 2 3 2 3 3 2" xfId="36896"/>
    <cellStyle name="40% - Accent3 2 2 3 2 3 4" xfId="36897"/>
    <cellStyle name="40% - Accent3 2 2 3 2 3 5" xfId="36898"/>
    <cellStyle name="40% - Accent3 2 2 3 2 3 6" xfId="36899"/>
    <cellStyle name="40% - Accent3 2 2 3 2 3 7" xfId="36900"/>
    <cellStyle name="40% - Accent3 2 2 3 2 4" xfId="36901"/>
    <cellStyle name="40% - Accent3 2 2 3 2 4 2" xfId="36902"/>
    <cellStyle name="40% - Accent3 2 2 3 2 4 2 2" xfId="36903"/>
    <cellStyle name="40% - Accent3 2 2 3 2 4 3" xfId="36904"/>
    <cellStyle name="40% - Accent3 2 2 3 2 4 3 2" xfId="36905"/>
    <cellStyle name="40% - Accent3 2 2 3 2 4 4" xfId="36906"/>
    <cellStyle name="40% - Accent3 2 2 3 2 4 5" xfId="36907"/>
    <cellStyle name="40% - Accent3 2 2 3 2 4 6" xfId="36908"/>
    <cellStyle name="40% - Accent3 2 2 3 2 4 7" xfId="36909"/>
    <cellStyle name="40% - Accent3 2 2 3 2 5" xfId="36910"/>
    <cellStyle name="40% - Accent3 2 2 3 2 5 2" xfId="36911"/>
    <cellStyle name="40% - Accent3 2 2 3 2 6" xfId="36912"/>
    <cellStyle name="40% - Accent3 2 2 3 2 6 2" xfId="36913"/>
    <cellStyle name="40% - Accent3 2 2 3 2 7" xfId="36914"/>
    <cellStyle name="40% - Accent3 2 2 3 2 8" xfId="36915"/>
    <cellStyle name="40% - Accent3 2 2 3 2 9" xfId="36916"/>
    <cellStyle name="40% - Accent3 2 2 3 3" xfId="36917"/>
    <cellStyle name="40% - Accent3 2 2 3 3 2" xfId="36918"/>
    <cellStyle name="40% - Accent3 2 2 3 3 2 2" xfId="36919"/>
    <cellStyle name="40% - Accent3 2 2 3 3 3" xfId="36920"/>
    <cellStyle name="40% - Accent3 2 2 3 3 3 2" xfId="36921"/>
    <cellStyle name="40% - Accent3 2 2 3 3 4" xfId="36922"/>
    <cellStyle name="40% - Accent3 2 2 3 3 5" xfId="36923"/>
    <cellStyle name="40% - Accent3 2 2 3 3 6" xfId="36924"/>
    <cellStyle name="40% - Accent3 2 2 3 3 7" xfId="36925"/>
    <cellStyle name="40% - Accent3 2 2 3 4" xfId="36926"/>
    <cellStyle name="40% - Accent3 2 2 3 4 2" xfId="36927"/>
    <cellStyle name="40% - Accent3 2 2 3 4 2 2" xfId="36928"/>
    <cellStyle name="40% - Accent3 2 2 3 4 3" xfId="36929"/>
    <cellStyle name="40% - Accent3 2 2 3 4 3 2" xfId="36930"/>
    <cellStyle name="40% - Accent3 2 2 3 4 4" xfId="36931"/>
    <cellStyle name="40% - Accent3 2 2 3 4 5" xfId="36932"/>
    <cellStyle name="40% - Accent3 2 2 3 4 6" xfId="36933"/>
    <cellStyle name="40% - Accent3 2 2 3 4 7" xfId="36934"/>
    <cellStyle name="40% - Accent3 2 2 3 5" xfId="36935"/>
    <cellStyle name="40% - Accent3 2 2 3 5 2" xfId="36936"/>
    <cellStyle name="40% - Accent3 2 2 3 5 2 2" xfId="36937"/>
    <cellStyle name="40% - Accent3 2 2 3 5 3" xfId="36938"/>
    <cellStyle name="40% - Accent3 2 2 3 5 3 2" xfId="36939"/>
    <cellStyle name="40% - Accent3 2 2 3 5 4" xfId="36940"/>
    <cellStyle name="40% - Accent3 2 2 3 5 5" xfId="36941"/>
    <cellStyle name="40% - Accent3 2 2 3 5 6" xfId="36942"/>
    <cellStyle name="40% - Accent3 2 2 3 5 7" xfId="36943"/>
    <cellStyle name="40% - Accent3 2 2 3 6" xfId="36944"/>
    <cellStyle name="40% - Accent3 2 2 3 6 2" xfId="36945"/>
    <cellStyle name="40% - Accent3 2 2 3 7" xfId="36946"/>
    <cellStyle name="40% - Accent3 2 2 3 7 2" xfId="36947"/>
    <cellStyle name="40% - Accent3 2 2 3 8" xfId="36948"/>
    <cellStyle name="40% - Accent3 2 2 3 9" xfId="36949"/>
    <cellStyle name="40% - Accent3 2 2 4" xfId="36950"/>
    <cellStyle name="40% - Accent3 2 2 4 10" xfId="36951"/>
    <cellStyle name="40% - Accent3 2 2 4 2" xfId="36952"/>
    <cellStyle name="40% - Accent3 2 2 4 2 2" xfId="36953"/>
    <cellStyle name="40% - Accent3 2 2 4 2 2 2" xfId="36954"/>
    <cellStyle name="40% - Accent3 2 2 4 2 3" xfId="36955"/>
    <cellStyle name="40% - Accent3 2 2 4 2 3 2" xfId="36956"/>
    <cellStyle name="40% - Accent3 2 2 4 2 4" xfId="36957"/>
    <cellStyle name="40% - Accent3 2 2 4 2 5" xfId="36958"/>
    <cellStyle name="40% - Accent3 2 2 4 2 6" xfId="36959"/>
    <cellStyle name="40% - Accent3 2 2 4 2 7" xfId="36960"/>
    <cellStyle name="40% - Accent3 2 2 4 3" xfId="36961"/>
    <cellStyle name="40% - Accent3 2 2 4 3 2" xfId="36962"/>
    <cellStyle name="40% - Accent3 2 2 4 3 2 2" xfId="36963"/>
    <cellStyle name="40% - Accent3 2 2 4 3 3" xfId="36964"/>
    <cellStyle name="40% - Accent3 2 2 4 3 3 2" xfId="36965"/>
    <cellStyle name="40% - Accent3 2 2 4 3 4" xfId="36966"/>
    <cellStyle name="40% - Accent3 2 2 4 3 5" xfId="36967"/>
    <cellStyle name="40% - Accent3 2 2 4 3 6" xfId="36968"/>
    <cellStyle name="40% - Accent3 2 2 4 3 7" xfId="36969"/>
    <cellStyle name="40% - Accent3 2 2 4 4" xfId="36970"/>
    <cellStyle name="40% - Accent3 2 2 4 4 2" xfId="36971"/>
    <cellStyle name="40% - Accent3 2 2 4 4 2 2" xfId="36972"/>
    <cellStyle name="40% - Accent3 2 2 4 4 3" xfId="36973"/>
    <cellStyle name="40% - Accent3 2 2 4 4 3 2" xfId="36974"/>
    <cellStyle name="40% - Accent3 2 2 4 4 4" xfId="36975"/>
    <cellStyle name="40% - Accent3 2 2 4 4 5" xfId="36976"/>
    <cellStyle name="40% - Accent3 2 2 4 4 6" xfId="36977"/>
    <cellStyle name="40% - Accent3 2 2 4 4 7" xfId="36978"/>
    <cellStyle name="40% - Accent3 2 2 4 5" xfId="36979"/>
    <cellStyle name="40% - Accent3 2 2 4 5 2" xfId="36980"/>
    <cellStyle name="40% - Accent3 2 2 4 6" xfId="36981"/>
    <cellStyle name="40% - Accent3 2 2 4 6 2" xfId="36982"/>
    <cellStyle name="40% - Accent3 2 2 4 7" xfId="36983"/>
    <cellStyle name="40% - Accent3 2 2 4 8" xfId="36984"/>
    <cellStyle name="40% - Accent3 2 2 4 9" xfId="36985"/>
    <cellStyle name="40% - Accent3 2 2 5" xfId="36986"/>
    <cellStyle name="40% - Accent3 2 2 5 2" xfId="36987"/>
    <cellStyle name="40% - Accent3 2 2 5 2 2" xfId="36988"/>
    <cellStyle name="40% - Accent3 2 2 5 3" xfId="36989"/>
    <cellStyle name="40% - Accent3 2 2 5 3 2" xfId="36990"/>
    <cellStyle name="40% - Accent3 2 2 5 4" xfId="36991"/>
    <cellStyle name="40% - Accent3 2 2 5 5" xfId="36992"/>
    <cellStyle name="40% - Accent3 2 2 5 6" xfId="36993"/>
    <cellStyle name="40% - Accent3 2 2 5 7" xfId="36994"/>
    <cellStyle name="40% - Accent3 2 2 6" xfId="36995"/>
    <cellStyle name="40% - Accent3 2 2 6 2" xfId="36996"/>
    <cellStyle name="40% - Accent3 2 2 6 2 2" xfId="36997"/>
    <cellStyle name="40% - Accent3 2 2 6 3" xfId="36998"/>
    <cellStyle name="40% - Accent3 2 2 6 3 2" xfId="36999"/>
    <cellStyle name="40% - Accent3 2 2 6 4" xfId="37000"/>
    <cellStyle name="40% - Accent3 2 2 6 5" xfId="37001"/>
    <cellStyle name="40% - Accent3 2 2 6 6" xfId="37002"/>
    <cellStyle name="40% - Accent3 2 2 6 7" xfId="37003"/>
    <cellStyle name="40% - Accent3 2 2 7" xfId="37004"/>
    <cellStyle name="40% - Accent3 2 2 7 2" xfId="37005"/>
    <cellStyle name="40% - Accent3 2 2 7 2 2" xfId="37006"/>
    <cellStyle name="40% - Accent3 2 2 7 3" xfId="37007"/>
    <cellStyle name="40% - Accent3 2 2 7 3 2" xfId="37008"/>
    <cellStyle name="40% - Accent3 2 2 7 4" xfId="37009"/>
    <cellStyle name="40% - Accent3 2 2 7 5" xfId="37010"/>
    <cellStyle name="40% - Accent3 2 2 7 6" xfId="37011"/>
    <cellStyle name="40% - Accent3 2 2 7 7" xfId="37012"/>
    <cellStyle name="40% - Accent3 2 2 8" xfId="37013"/>
    <cellStyle name="40% - Accent3 2 2 8 2" xfId="37014"/>
    <cellStyle name="40% - Accent3 2 2 9" xfId="37015"/>
    <cellStyle name="40% - Accent3 2 2 9 2" xfId="37016"/>
    <cellStyle name="40% - Accent3 2 3" xfId="308"/>
    <cellStyle name="40% - Accent3 2 3 10" xfId="37017"/>
    <cellStyle name="40% - Accent3 2 3 11" xfId="37018"/>
    <cellStyle name="40% - Accent3 2 3 12" xfId="37019"/>
    <cellStyle name="40% - Accent3 2 3 13" xfId="37020"/>
    <cellStyle name="40% - Accent3 2 3 2" xfId="37021"/>
    <cellStyle name="40% - Accent3 2 3 2 10" xfId="37022"/>
    <cellStyle name="40% - Accent3 2 3 2 11" xfId="37023"/>
    <cellStyle name="40% - Accent3 2 3 2 2" xfId="37024"/>
    <cellStyle name="40% - Accent3 2 3 2 2 10" xfId="37025"/>
    <cellStyle name="40% - Accent3 2 3 2 2 2" xfId="37026"/>
    <cellStyle name="40% - Accent3 2 3 2 2 2 2" xfId="37027"/>
    <cellStyle name="40% - Accent3 2 3 2 2 2 2 2" xfId="37028"/>
    <cellStyle name="40% - Accent3 2 3 2 2 2 3" xfId="37029"/>
    <cellStyle name="40% - Accent3 2 3 2 2 2 3 2" xfId="37030"/>
    <cellStyle name="40% - Accent3 2 3 2 2 2 4" xfId="37031"/>
    <cellStyle name="40% - Accent3 2 3 2 2 2 5" xfId="37032"/>
    <cellStyle name="40% - Accent3 2 3 2 2 2 6" xfId="37033"/>
    <cellStyle name="40% - Accent3 2 3 2 2 2 7" xfId="37034"/>
    <cellStyle name="40% - Accent3 2 3 2 2 3" xfId="37035"/>
    <cellStyle name="40% - Accent3 2 3 2 2 3 2" xfId="37036"/>
    <cellStyle name="40% - Accent3 2 3 2 2 3 2 2" xfId="37037"/>
    <cellStyle name="40% - Accent3 2 3 2 2 3 3" xfId="37038"/>
    <cellStyle name="40% - Accent3 2 3 2 2 3 3 2" xfId="37039"/>
    <cellStyle name="40% - Accent3 2 3 2 2 3 4" xfId="37040"/>
    <cellStyle name="40% - Accent3 2 3 2 2 3 5" xfId="37041"/>
    <cellStyle name="40% - Accent3 2 3 2 2 3 6" xfId="37042"/>
    <cellStyle name="40% - Accent3 2 3 2 2 3 7" xfId="37043"/>
    <cellStyle name="40% - Accent3 2 3 2 2 4" xfId="37044"/>
    <cellStyle name="40% - Accent3 2 3 2 2 4 2" xfId="37045"/>
    <cellStyle name="40% - Accent3 2 3 2 2 4 2 2" xfId="37046"/>
    <cellStyle name="40% - Accent3 2 3 2 2 4 3" xfId="37047"/>
    <cellStyle name="40% - Accent3 2 3 2 2 4 3 2" xfId="37048"/>
    <cellStyle name="40% - Accent3 2 3 2 2 4 4" xfId="37049"/>
    <cellStyle name="40% - Accent3 2 3 2 2 4 5" xfId="37050"/>
    <cellStyle name="40% - Accent3 2 3 2 2 4 6" xfId="37051"/>
    <cellStyle name="40% - Accent3 2 3 2 2 4 7" xfId="37052"/>
    <cellStyle name="40% - Accent3 2 3 2 2 5" xfId="37053"/>
    <cellStyle name="40% - Accent3 2 3 2 2 5 2" xfId="37054"/>
    <cellStyle name="40% - Accent3 2 3 2 2 6" xfId="37055"/>
    <cellStyle name="40% - Accent3 2 3 2 2 6 2" xfId="37056"/>
    <cellStyle name="40% - Accent3 2 3 2 2 7" xfId="37057"/>
    <cellStyle name="40% - Accent3 2 3 2 2 8" xfId="37058"/>
    <cellStyle name="40% - Accent3 2 3 2 2 9" xfId="37059"/>
    <cellStyle name="40% - Accent3 2 3 2 3" xfId="37060"/>
    <cellStyle name="40% - Accent3 2 3 2 3 2" xfId="37061"/>
    <cellStyle name="40% - Accent3 2 3 2 3 2 2" xfId="37062"/>
    <cellStyle name="40% - Accent3 2 3 2 3 3" xfId="37063"/>
    <cellStyle name="40% - Accent3 2 3 2 3 3 2" xfId="37064"/>
    <cellStyle name="40% - Accent3 2 3 2 3 4" xfId="37065"/>
    <cellStyle name="40% - Accent3 2 3 2 3 5" xfId="37066"/>
    <cellStyle name="40% - Accent3 2 3 2 3 6" xfId="37067"/>
    <cellStyle name="40% - Accent3 2 3 2 3 7" xfId="37068"/>
    <cellStyle name="40% - Accent3 2 3 2 4" xfId="37069"/>
    <cellStyle name="40% - Accent3 2 3 2 4 2" xfId="37070"/>
    <cellStyle name="40% - Accent3 2 3 2 4 2 2" xfId="37071"/>
    <cellStyle name="40% - Accent3 2 3 2 4 3" xfId="37072"/>
    <cellStyle name="40% - Accent3 2 3 2 4 3 2" xfId="37073"/>
    <cellStyle name="40% - Accent3 2 3 2 4 4" xfId="37074"/>
    <cellStyle name="40% - Accent3 2 3 2 4 5" xfId="37075"/>
    <cellStyle name="40% - Accent3 2 3 2 4 6" xfId="37076"/>
    <cellStyle name="40% - Accent3 2 3 2 4 7" xfId="37077"/>
    <cellStyle name="40% - Accent3 2 3 2 5" xfId="37078"/>
    <cellStyle name="40% - Accent3 2 3 2 5 2" xfId="37079"/>
    <cellStyle name="40% - Accent3 2 3 2 5 2 2" xfId="37080"/>
    <cellStyle name="40% - Accent3 2 3 2 5 3" xfId="37081"/>
    <cellStyle name="40% - Accent3 2 3 2 5 3 2" xfId="37082"/>
    <cellStyle name="40% - Accent3 2 3 2 5 4" xfId="37083"/>
    <cellStyle name="40% - Accent3 2 3 2 5 5" xfId="37084"/>
    <cellStyle name="40% - Accent3 2 3 2 5 6" xfId="37085"/>
    <cellStyle name="40% - Accent3 2 3 2 5 7" xfId="37086"/>
    <cellStyle name="40% - Accent3 2 3 2 6" xfId="37087"/>
    <cellStyle name="40% - Accent3 2 3 2 6 2" xfId="37088"/>
    <cellStyle name="40% - Accent3 2 3 2 7" xfId="37089"/>
    <cellStyle name="40% - Accent3 2 3 2 7 2" xfId="37090"/>
    <cellStyle name="40% - Accent3 2 3 2 8" xfId="37091"/>
    <cellStyle name="40% - Accent3 2 3 2 9" xfId="37092"/>
    <cellStyle name="40% - Accent3 2 3 3" xfId="37093"/>
    <cellStyle name="40% - Accent3 2 3 3 10" xfId="37094"/>
    <cellStyle name="40% - Accent3 2 3 3 11" xfId="37095"/>
    <cellStyle name="40% - Accent3 2 3 3 2" xfId="37096"/>
    <cellStyle name="40% - Accent3 2 3 3 2 10" xfId="37097"/>
    <cellStyle name="40% - Accent3 2 3 3 2 2" xfId="37098"/>
    <cellStyle name="40% - Accent3 2 3 3 2 2 2" xfId="37099"/>
    <cellStyle name="40% - Accent3 2 3 3 2 2 2 2" xfId="37100"/>
    <cellStyle name="40% - Accent3 2 3 3 2 2 3" xfId="37101"/>
    <cellStyle name="40% - Accent3 2 3 3 2 2 3 2" xfId="37102"/>
    <cellStyle name="40% - Accent3 2 3 3 2 2 4" xfId="37103"/>
    <cellStyle name="40% - Accent3 2 3 3 2 2 5" xfId="37104"/>
    <cellStyle name="40% - Accent3 2 3 3 2 2 6" xfId="37105"/>
    <cellStyle name="40% - Accent3 2 3 3 2 2 7" xfId="37106"/>
    <cellStyle name="40% - Accent3 2 3 3 2 3" xfId="37107"/>
    <cellStyle name="40% - Accent3 2 3 3 2 3 2" xfId="37108"/>
    <cellStyle name="40% - Accent3 2 3 3 2 3 2 2" xfId="37109"/>
    <cellStyle name="40% - Accent3 2 3 3 2 3 3" xfId="37110"/>
    <cellStyle name="40% - Accent3 2 3 3 2 3 3 2" xfId="37111"/>
    <cellStyle name="40% - Accent3 2 3 3 2 3 4" xfId="37112"/>
    <cellStyle name="40% - Accent3 2 3 3 2 3 5" xfId="37113"/>
    <cellStyle name="40% - Accent3 2 3 3 2 3 6" xfId="37114"/>
    <cellStyle name="40% - Accent3 2 3 3 2 3 7" xfId="37115"/>
    <cellStyle name="40% - Accent3 2 3 3 2 4" xfId="37116"/>
    <cellStyle name="40% - Accent3 2 3 3 2 4 2" xfId="37117"/>
    <cellStyle name="40% - Accent3 2 3 3 2 4 2 2" xfId="37118"/>
    <cellStyle name="40% - Accent3 2 3 3 2 4 3" xfId="37119"/>
    <cellStyle name="40% - Accent3 2 3 3 2 4 3 2" xfId="37120"/>
    <cellStyle name="40% - Accent3 2 3 3 2 4 4" xfId="37121"/>
    <cellStyle name="40% - Accent3 2 3 3 2 4 5" xfId="37122"/>
    <cellStyle name="40% - Accent3 2 3 3 2 4 6" xfId="37123"/>
    <cellStyle name="40% - Accent3 2 3 3 2 4 7" xfId="37124"/>
    <cellStyle name="40% - Accent3 2 3 3 2 5" xfId="37125"/>
    <cellStyle name="40% - Accent3 2 3 3 2 5 2" xfId="37126"/>
    <cellStyle name="40% - Accent3 2 3 3 2 6" xfId="37127"/>
    <cellStyle name="40% - Accent3 2 3 3 2 6 2" xfId="37128"/>
    <cellStyle name="40% - Accent3 2 3 3 2 7" xfId="37129"/>
    <cellStyle name="40% - Accent3 2 3 3 2 8" xfId="37130"/>
    <cellStyle name="40% - Accent3 2 3 3 2 9" xfId="37131"/>
    <cellStyle name="40% - Accent3 2 3 3 3" xfId="37132"/>
    <cellStyle name="40% - Accent3 2 3 3 3 2" xfId="37133"/>
    <cellStyle name="40% - Accent3 2 3 3 3 2 2" xfId="37134"/>
    <cellStyle name="40% - Accent3 2 3 3 3 3" xfId="37135"/>
    <cellStyle name="40% - Accent3 2 3 3 3 3 2" xfId="37136"/>
    <cellStyle name="40% - Accent3 2 3 3 3 4" xfId="37137"/>
    <cellStyle name="40% - Accent3 2 3 3 3 5" xfId="37138"/>
    <cellStyle name="40% - Accent3 2 3 3 3 6" xfId="37139"/>
    <cellStyle name="40% - Accent3 2 3 3 3 7" xfId="37140"/>
    <cellStyle name="40% - Accent3 2 3 3 4" xfId="37141"/>
    <cellStyle name="40% - Accent3 2 3 3 4 2" xfId="37142"/>
    <cellStyle name="40% - Accent3 2 3 3 4 2 2" xfId="37143"/>
    <cellStyle name="40% - Accent3 2 3 3 4 3" xfId="37144"/>
    <cellStyle name="40% - Accent3 2 3 3 4 3 2" xfId="37145"/>
    <cellStyle name="40% - Accent3 2 3 3 4 4" xfId="37146"/>
    <cellStyle name="40% - Accent3 2 3 3 4 5" xfId="37147"/>
    <cellStyle name="40% - Accent3 2 3 3 4 6" xfId="37148"/>
    <cellStyle name="40% - Accent3 2 3 3 4 7" xfId="37149"/>
    <cellStyle name="40% - Accent3 2 3 3 5" xfId="37150"/>
    <cellStyle name="40% - Accent3 2 3 3 5 2" xfId="37151"/>
    <cellStyle name="40% - Accent3 2 3 3 5 2 2" xfId="37152"/>
    <cellStyle name="40% - Accent3 2 3 3 5 3" xfId="37153"/>
    <cellStyle name="40% - Accent3 2 3 3 5 3 2" xfId="37154"/>
    <cellStyle name="40% - Accent3 2 3 3 5 4" xfId="37155"/>
    <cellStyle name="40% - Accent3 2 3 3 5 5" xfId="37156"/>
    <cellStyle name="40% - Accent3 2 3 3 5 6" xfId="37157"/>
    <cellStyle name="40% - Accent3 2 3 3 5 7" xfId="37158"/>
    <cellStyle name="40% - Accent3 2 3 3 6" xfId="37159"/>
    <cellStyle name="40% - Accent3 2 3 3 6 2" xfId="37160"/>
    <cellStyle name="40% - Accent3 2 3 3 7" xfId="37161"/>
    <cellStyle name="40% - Accent3 2 3 3 7 2" xfId="37162"/>
    <cellStyle name="40% - Accent3 2 3 3 8" xfId="37163"/>
    <cellStyle name="40% - Accent3 2 3 3 9" xfId="37164"/>
    <cellStyle name="40% - Accent3 2 3 4" xfId="37165"/>
    <cellStyle name="40% - Accent3 2 3 4 10" xfId="37166"/>
    <cellStyle name="40% - Accent3 2 3 4 2" xfId="37167"/>
    <cellStyle name="40% - Accent3 2 3 4 2 2" xfId="37168"/>
    <cellStyle name="40% - Accent3 2 3 4 2 2 2" xfId="37169"/>
    <cellStyle name="40% - Accent3 2 3 4 2 3" xfId="37170"/>
    <cellStyle name="40% - Accent3 2 3 4 2 3 2" xfId="37171"/>
    <cellStyle name="40% - Accent3 2 3 4 2 4" xfId="37172"/>
    <cellStyle name="40% - Accent3 2 3 4 2 5" xfId="37173"/>
    <cellStyle name="40% - Accent3 2 3 4 2 6" xfId="37174"/>
    <cellStyle name="40% - Accent3 2 3 4 2 7" xfId="37175"/>
    <cellStyle name="40% - Accent3 2 3 4 3" xfId="37176"/>
    <cellStyle name="40% - Accent3 2 3 4 3 2" xfId="37177"/>
    <cellStyle name="40% - Accent3 2 3 4 3 2 2" xfId="37178"/>
    <cellStyle name="40% - Accent3 2 3 4 3 3" xfId="37179"/>
    <cellStyle name="40% - Accent3 2 3 4 3 3 2" xfId="37180"/>
    <cellStyle name="40% - Accent3 2 3 4 3 4" xfId="37181"/>
    <cellStyle name="40% - Accent3 2 3 4 3 5" xfId="37182"/>
    <cellStyle name="40% - Accent3 2 3 4 3 6" xfId="37183"/>
    <cellStyle name="40% - Accent3 2 3 4 3 7" xfId="37184"/>
    <cellStyle name="40% - Accent3 2 3 4 4" xfId="37185"/>
    <cellStyle name="40% - Accent3 2 3 4 4 2" xfId="37186"/>
    <cellStyle name="40% - Accent3 2 3 4 4 2 2" xfId="37187"/>
    <cellStyle name="40% - Accent3 2 3 4 4 3" xfId="37188"/>
    <cellStyle name="40% - Accent3 2 3 4 4 3 2" xfId="37189"/>
    <cellStyle name="40% - Accent3 2 3 4 4 4" xfId="37190"/>
    <cellStyle name="40% - Accent3 2 3 4 4 5" xfId="37191"/>
    <cellStyle name="40% - Accent3 2 3 4 4 6" xfId="37192"/>
    <cellStyle name="40% - Accent3 2 3 4 4 7" xfId="37193"/>
    <cellStyle name="40% - Accent3 2 3 4 5" xfId="37194"/>
    <cellStyle name="40% - Accent3 2 3 4 5 2" xfId="37195"/>
    <cellStyle name="40% - Accent3 2 3 4 6" xfId="37196"/>
    <cellStyle name="40% - Accent3 2 3 4 6 2" xfId="37197"/>
    <cellStyle name="40% - Accent3 2 3 4 7" xfId="37198"/>
    <cellStyle name="40% - Accent3 2 3 4 8" xfId="37199"/>
    <cellStyle name="40% - Accent3 2 3 4 9" xfId="37200"/>
    <cellStyle name="40% - Accent3 2 3 5" xfId="37201"/>
    <cellStyle name="40% - Accent3 2 3 5 2" xfId="37202"/>
    <cellStyle name="40% - Accent3 2 3 5 2 2" xfId="37203"/>
    <cellStyle name="40% - Accent3 2 3 5 3" xfId="37204"/>
    <cellStyle name="40% - Accent3 2 3 5 3 2" xfId="37205"/>
    <cellStyle name="40% - Accent3 2 3 5 4" xfId="37206"/>
    <cellStyle name="40% - Accent3 2 3 5 5" xfId="37207"/>
    <cellStyle name="40% - Accent3 2 3 5 6" xfId="37208"/>
    <cellStyle name="40% - Accent3 2 3 5 7" xfId="37209"/>
    <cellStyle name="40% - Accent3 2 3 6" xfId="37210"/>
    <cellStyle name="40% - Accent3 2 3 6 2" xfId="37211"/>
    <cellStyle name="40% - Accent3 2 3 6 2 2" xfId="37212"/>
    <cellStyle name="40% - Accent3 2 3 6 3" xfId="37213"/>
    <cellStyle name="40% - Accent3 2 3 6 3 2" xfId="37214"/>
    <cellStyle name="40% - Accent3 2 3 6 4" xfId="37215"/>
    <cellStyle name="40% - Accent3 2 3 6 5" xfId="37216"/>
    <cellStyle name="40% - Accent3 2 3 6 6" xfId="37217"/>
    <cellStyle name="40% - Accent3 2 3 6 7" xfId="37218"/>
    <cellStyle name="40% - Accent3 2 3 7" xfId="37219"/>
    <cellStyle name="40% - Accent3 2 3 7 2" xfId="37220"/>
    <cellStyle name="40% - Accent3 2 3 7 2 2" xfId="37221"/>
    <cellStyle name="40% - Accent3 2 3 7 3" xfId="37222"/>
    <cellStyle name="40% - Accent3 2 3 7 3 2" xfId="37223"/>
    <cellStyle name="40% - Accent3 2 3 7 4" xfId="37224"/>
    <cellStyle name="40% - Accent3 2 3 7 5" xfId="37225"/>
    <cellStyle name="40% - Accent3 2 3 7 6" xfId="37226"/>
    <cellStyle name="40% - Accent3 2 3 7 7" xfId="37227"/>
    <cellStyle name="40% - Accent3 2 3 8" xfId="37228"/>
    <cellStyle name="40% - Accent3 2 3 8 2" xfId="37229"/>
    <cellStyle name="40% - Accent3 2 3 9" xfId="37230"/>
    <cellStyle name="40% - Accent3 2 3 9 2" xfId="37231"/>
    <cellStyle name="40% - Accent3 2 4" xfId="37232"/>
    <cellStyle name="40% - Accent3 2 4 10" xfId="37233"/>
    <cellStyle name="40% - Accent3 2 4 11" xfId="37234"/>
    <cellStyle name="40% - Accent3 2 4 12" xfId="37235"/>
    <cellStyle name="40% - Accent3 2 4 13" xfId="37236"/>
    <cellStyle name="40% - Accent3 2 4 2" xfId="37237"/>
    <cellStyle name="40% - Accent3 2 4 2 10" xfId="37238"/>
    <cellStyle name="40% - Accent3 2 4 2 11" xfId="37239"/>
    <cellStyle name="40% - Accent3 2 4 2 2" xfId="37240"/>
    <cellStyle name="40% - Accent3 2 4 2 2 10" xfId="37241"/>
    <cellStyle name="40% - Accent3 2 4 2 2 2" xfId="37242"/>
    <cellStyle name="40% - Accent3 2 4 2 2 2 2" xfId="37243"/>
    <cellStyle name="40% - Accent3 2 4 2 2 2 2 2" xfId="37244"/>
    <cellStyle name="40% - Accent3 2 4 2 2 2 3" xfId="37245"/>
    <cellStyle name="40% - Accent3 2 4 2 2 2 3 2" xfId="37246"/>
    <cellStyle name="40% - Accent3 2 4 2 2 2 4" xfId="37247"/>
    <cellStyle name="40% - Accent3 2 4 2 2 2 5" xfId="37248"/>
    <cellStyle name="40% - Accent3 2 4 2 2 2 6" xfId="37249"/>
    <cellStyle name="40% - Accent3 2 4 2 2 2 7" xfId="37250"/>
    <cellStyle name="40% - Accent3 2 4 2 2 3" xfId="37251"/>
    <cellStyle name="40% - Accent3 2 4 2 2 3 2" xfId="37252"/>
    <cellStyle name="40% - Accent3 2 4 2 2 3 2 2" xfId="37253"/>
    <cellStyle name="40% - Accent3 2 4 2 2 3 3" xfId="37254"/>
    <cellStyle name="40% - Accent3 2 4 2 2 3 3 2" xfId="37255"/>
    <cellStyle name="40% - Accent3 2 4 2 2 3 4" xfId="37256"/>
    <cellStyle name="40% - Accent3 2 4 2 2 3 5" xfId="37257"/>
    <cellStyle name="40% - Accent3 2 4 2 2 3 6" xfId="37258"/>
    <cellStyle name="40% - Accent3 2 4 2 2 3 7" xfId="37259"/>
    <cellStyle name="40% - Accent3 2 4 2 2 4" xfId="37260"/>
    <cellStyle name="40% - Accent3 2 4 2 2 4 2" xfId="37261"/>
    <cellStyle name="40% - Accent3 2 4 2 2 4 2 2" xfId="37262"/>
    <cellStyle name="40% - Accent3 2 4 2 2 4 3" xfId="37263"/>
    <cellStyle name="40% - Accent3 2 4 2 2 4 3 2" xfId="37264"/>
    <cellStyle name="40% - Accent3 2 4 2 2 4 4" xfId="37265"/>
    <cellStyle name="40% - Accent3 2 4 2 2 4 5" xfId="37266"/>
    <cellStyle name="40% - Accent3 2 4 2 2 4 6" xfId="37267"/>
    <cellStyle name="40% - Accent3 2 4 2 2 4 7" xfId="37268"/>
    <cellStyle name="40% - Accent3 2 4 2 2 5" xfId="37269"/>
    <cellStyle name="40% - Accent3 2 4 2 2 5 2" xfId="37270"/>
    <cellStyle name="40% - Accent3 2 4 2 2 6" xfId="37271"/>
    <cellStyle name="40% - Accent3 2 4 2 2 6 2" xfId="37272"/>
    <cellStyle name="40% - Accent3 2 4 2 2 7" xfId="37273"/>
    <cellStyle name="40% - Accent3 2 4 2 2 8" xfId="37274"/>
    <cellStyle name="40% - Accent3 2 4 2 2 9" xfId="37275"/>
    <cellStyle name="40% - Accent3 2 4 2 3" xfId="37276"/>
    <cellStyle name="40% - Accent3 2 4 2 3 2" xfId="37277"/>
    <cellStyle name="40% - Accent3 2 4 2 3 2 2" xfId="37278"/>
    <cellStyle name="40% - Accent3 2 4 2 3 3" xfId="37279"/>
    <cellStyle name="40% - Accent3 2 4 2 3 3 2" xfId="37280"/>
    <cellStyle name="40% - Accent3 2 4 2 3 4" xfId="37281"/>
    <cellStyle name="40% - Accent3 2 4 2 3 5" xfId="37282"/>
    <cellStyle name="40% - Accent3 2 4 2 3 6" xfId="37283"/>
    <cellStyle name="40% - Accent3 2 4 2 3 7" xfId="37284"/>
    <cellStyle name="40% - Accent3 2 4 2 4" xfId="37285"/>
    <cellStyle name="40% - Accent3 2 4 2 4 2" xfId="37286"/>
    <cellStyle name="40% - Accent3 2 4 2 4 2 2" xfId="37287"/>
    <cellStyle name="40% - Accent3 2 4 2 4 3" xfId="37288"/>
    <cellStyle name="40% - Accent3 2 4 2 4 3 2" xfId="37289"/>
    <cellStyle name="40% - Accent3 2 4 2 4 4" xfId="37290"/>
    <cellStyle name="40% - Accent3 2 4 2 4 5" xfId="37291"/>
    <cellStyle name="40% - Accent3 2 4 2 4 6" xfId="37292"/>
    <cellStyle name="40% - Accent3 2 4 2 4 7" xfId="37293"/>
    <cellStyle name="40% - Accent3 2 4 2 5" xfId="37294"/>
    <cellStyle name="40% - Accent3 2 4 2 5 2" xfId="37295"/>
    <cellStyle name="40% - Accent3 2 4 2 5 2 2" xfId="37296"/>
    <cellStyle name="40% - Accent3 2 4 2 5 3" xfId="37297"/>
    <cellStyle name="40% - Accent3 2 4 2 5 3 2" xfId="37298"/>
    <cellStyle name="40% - Accent3 2 4 2 5 4" xfId="37299"/>
    <cellStyle name="40% - Accent3 2 4 2 5 5" xfId="37300"/>
    <cellStyle name="40% - Accent3 2 4 2 5 6" xfId="37301"/>
    <cellStyle name="40% - Accent3 2 4 2 5 7" xfId="37302"/>
    <cellStyle name="40% - Accent3 2 4 2 6" xfId="37303"/>
    <cellStyle name="40% - Accent3 2 4 2 6 2" xfId="37304"/>
    <cellStyle name="40% - Accent3 2 4 2 7" xfId="37305"/>
    <cellStyle name="40% - Accent3 2 4 2 7 2" xfId="37306"/>
    <cellStyle name="40% - Accent3 2 4 2 8" xfId="37307"/>
    <cellStyle name="40% - Accent3 2 4 2 9" xfId="37308"/>
    <cellStyle name="40% - Accent3 2 4 3" xfId="37309"/>
    <cellStyle name="40% - Accent3 2 4 3 10" xfId="37310"/>
    <cellStyle name="40% - Accent3 2 4 3 11" xfId="37311"/>
    <cellStyle name="40% - Accent3 2 4 3 2" xfId="37312"/>
    <cellStyle name="40% - Accent3 2 4 3 2 10" xfId="37313"/>
    <cellStyle name="40% - Accent3 2 4 3 2 2" xfId="37314"/>
    <cellStyle name="40% - Accent3 2 4 3 2 2 2" xfId="37315"/>
    <cellStyle name="40% - Accent3 2 4 3 2 2 2 2" xfId="37316"/>
    <cellStyle name="40% - Accent3 2 4 3 2 2 3" xfId="37317"/>
    <cellStyle name="40% - Accent3 2 4 3 2 2 3 2" xfId="37318"/>
    <cellStyle name="40% - Accent3 2 4 3 2 2 4" xfId="37319"/>
    <cellStyle name="40% - Accent3 2 4 3 2 2 5" xfId="37320"/>
    <cellStyle name="40% - Accent3 2 4 3 2 2 6" xfId="37321"/>
    <cellStyle name="40% - Accent3 2 4 3 2 2 7" xfId="37322"/>
    <cellStyle name="40% - Accent3 2 4 3 2 3" xfId="37323"/>
    <cellStyle name="40% - Accent3 2 4 3 2 3 2" xfId="37324"/>
    <cellStyle name="40% - Accent3 2 4 3 2 3 2 2" xfId="37325"/>
    <cellStyle name="40% - Accent3 2 4 3 2 3 3" xfId="37326"/>
    <cellStyle name="40% - Accent3 2 4 3 2 3 3 2" xfId="37327"/>
    <cellStyle name="40% - Accent3 2 4 3 2 3 4" xfId="37328"/>
    <cellStyle name="40% - Accent3 2 4 3 2 3 5" xfId="37329"/>
    <cellStyle name="40% - Accent3 2 4 3 2 3 6" xfId="37330"/>
    <cellStyle name="40% - Accent3 2 4 3 2 3 7" xfId="37331"/>
    <cellStyle name="40% - Accent3 2 4 3 2 4" xfId="37332"/>
    <cellStyle name="40% - Accent3 2 4 3 2 4 2" xfId="37333"/>
    <cellStyle name="40% - Accent3 2 4 3 2 4 2 2" xfId="37334"/>
    <cellStyle name="40% - Accent3 2 4 3 2 4 3" xfId="37335"/>
    <cellStyle name="40% - Accent3 2 4 3 2 4 3 2" xfId="37336"/>
    <cellStyle name="40% - Accent3 2 4 3 2 4 4" xfId="37337"/>
    <cellStyle name="40% - Accent3 2 4 3 2 4 5" xfId="37338"/>
    <cellStyle name="40% - Accent3 2 4 3 2 4 6" xfId="37339"/>
    <cellStyle name="40% - Accent3 2 4 3 2 4 7" xfId="37340"/>
    <cellStyle name="40% - Accent3 2 4 3 2 5" xfId="37341"/>
    <cellStyle name="40% - Accent3 2 4 3 2 5 2" xfId="37342"/>
    <cellStyle name="40% - Accent3 2 4 3 2 6" xfId="37343"/>
    <cellStyle name="40% - Accent3 2 4 3 2 6 2" xfId="37344"/>
    <cellStyle name="40% - Accent3 2 4 3 2 7" xfId="37345"/>
    <cellStyle name="40% - Accent3 2 4 3 2 8" xfId="37346"/>
    <cellStyle name="40% - Accent3 2 4 3 2 9" xfId="37347"/>
    <cellStyle name="40% - Accent3 2 4 3 3" xfId="37348"/>
    <cellStyle name="40% - Accent3 2 4 3 3 2" xfId="37349"/>
    <cellStyle name="40% - Accent3 2 4 3 3 2 2" xfId="37350"/>
    <cellStyle name="40% - Accent3 2 4 3 3 3" xfId="37351"/>
    <cellStyle name="40% - Accent3 2 4 3 3 3 2" xfId="37352"/>
    <cellStyle name="40% - Accent3 2 4 3 3 4" xfId="37353"/>
    <cellStyle name="40% - Accent3 2 4 3 3 5" xfId="37354"/>
    <cellStyle name="40% - Accent3 2 4 3 3 6" xfId="37355"/>
    <cellStyle name="40% - Accent3 2 4 3 3 7" xfId="37356"/>
    <cellStyle name="40% - Accent3 2 4 3 4" xfId="37357"/>
    <cellStyle name="40% - Accent3 2 4 3 4 2" xfId="37358"/>
    <cellStyle name="40% - Accent3 2 4 3 4 2 2" xfId="37359"/>
    <cellStyle name="40% - Accent3 2 4 3 4 3" xfId="37360"/>
    <cellStyle name="40% - Accent3 2 4 3 4 3 2" xfId="37361"/>
    <cellStyle name="40% - Accent3 2 4 3 4 4" xfId="37362"/>
    <cellStyle name="40% - Accent3 2 4 3 4 5" xfId="37363"/>
    <cellStyle name="40% - Accent3 2 4 3 4 6" xfId="37364"/>
    <cellStyle name="40% - Accent3 2 4 3 4 7" xfId="37365"/>
    <cellStyle name="40% - Accent3 2 4 3 5" xfId="37366"/>
    <cellStyle name="40% - Accent3 2 4 3 5 2" xfId="37367"/>
    <cellStyle name="40% - Accent3 2 4 3 5 2 2" xfId="37368"/>
    <cellStyle name="40% - Accent3 2 4 3 5 3" xfId="37369"/>
    <cellStyle name="40% - Accent3 2 4 3 5 3 2" xfId="37370"/>
    <cellStyle name="40% - Accent3 2 4 3 5 4" xfId="37371"/>
    <cellStyle name="40% - Accent3 2 4 3 5 5" xfId="37372"/>
    <cellStyle name="40% - Accent3 2 4 3 5 6" xfId="37373"/>
    <cellStyle name="40% - Accent3 2 4 3 5 7" xfId="37374"/>
    <cellStyle name="40% - Accent3 2 4 3 6" xfId="37375"/>
    <cellStyle name="40% - Accent3 2 4 3 6 2" xfId="37376"/>
    <cellStyle name="40% - Accent3 2 4 3 7" xfId="37377"/>
    <cellStyle name="40% - Accent3 2 4 3 7 2" xfId="37378"/>
    <cellStyle name="40% - Accent3 2 4 3 8" xfId="37379"/>
    <cellStyle name="40% - Accent3 2 4 3 9" xfId="37380"/>
    <cellStyle name="40% - Accent3 2 4 4" xfId="37381"/>
    <cellStyle name="40% - Accent3 2 4 4 10" xfId="37382"/>
    <cellStyle name="40% - Accent3 2 4 4 2" xfId="37383"/>
    <cellStyle name="40% - Accent3 2 4 4 2 2" xfId="37384"/>
    <cellStyle name="40% - Accent3 2 4 4 2 2 2" xfId="37385"/>
    <cellStyle name="40% - Accent3 2 4 4 2 3" xfId="37386"/>
    <cellStyle name="40% - Accent3 2 4 4 2 3 2" xfId="37387"/>
    <cellStyle name="40% - Accent3 2 4 4 2 4" xfId="37388"/>
    <cellStyle name="40% - Accent3 2 4 4 2 5" xfId="37389"/>
    <cellStyle name="40% - Accent3 2 4 4 2 6" xfId="37390"/>
    <cellStyle name="40% - Accent3 2 4 4 2 7" xfId="37391"/>
    <cellStyle name="40% - Accent3 2 4 4 3" xfId="37392"/>
    <cellStyle name="40% - Accent3 2 4 4 3 2" xfId="37393"/>
    <cellStyle name="40% - Accent3 2 4 4 3 2 2" xfId="37394"/>
    <cellStyle name="40% - Accent3 2 4 4 3 3" xfId="37395"/>
    <cellStyle name="40% - Accent3 2 4 4 3 3 2" xfId="37396"/>
    <cellStyle name="40% - Accent3 2 4 4 3 4" xfId="37397"/>
    <cellStyle name="40% - Accent3 2 4 4 3 5" xfId="37398"/>
    <cellStyle name="40% - Accent3 2 4 4 3 6" xfId="37399"/>
    <cellStyle name="40% - Accent3 2 4 4 3 7" xfId="37400"/>
    <cellStyle name="40% - Accent3 2 4 4 4" xfId="37401"/>
    <cellStyle name="40% - Accent3 2 4 4 4 2" xfId="37402"/>
    <cellStyle name="40% - Accent3 2 4 4 4 2 2" xfId="37403"/>
    <cellStyle name="40% - Accent3 2 4 4 4 3" xfId="37404"/>
    <cellStyle name="40% - Accent3 2 4 4 4 3 2" xfId="37405"/>
    <cellStyle name="40% - Accent3 2 4 4 4 4" xfId="37406"/>
    <cellStyle name="40% - Accent3 2 4 4 4 5" xfId="37407"/>
    <cellStyle name="40% - Accent3 2 4 4 4 6" xfId="37408"/>
    <cellStyle name="40% - Accent3 2 4 4 4 7" xfId="37409"/>
    <cellStyle name="40% - Accent3 2 4 4 5" xfId="37410"/>
    <cellStyle name="40% - Accent3 2 4 4 5 2" xfId="37411"/>
    <cellStyle name="40% - Accent3 2 4 4 6" xfId="37412"/>
    <cellStyle name="40% - Accent3 2 4 4 6 2" xfId="37413"/>
    <cellStyle name="40% - Accent3 2 4 4 7" xfId="37414"/>
    <cellStyle name="40% - Accent3 2 4 4 8" xfId="37415"/>
    <cellStyle name="40% - Accent3 2 4 4 9" xfId="37416"/>
    <cellStyle name="40% - Accent3 2 4 5" xfId="37417"/>
    <cellStyle name="40% - Accent3 2 4 5 2" xfId="37418"/>
    <cellStyle name="40% - Accent3 2 4 5 2 2" xfId="37419"/>
    <cellStyle name="40% - Accent3 2 4 5 3" xfId="37420"/>
    <cellStyle name="40% - Accent3 2 4 5 3 2" xfId="37421"/>
    <cellStyle name="40% - Accent3 2 4 5 4" xfId="37422"/>
    <cellStyle name="40% - Accent3 2 4 5 5" xfId="37423"/>
    <cellStyle name="40% - Accent3 2 4 5 6" xfId="37424"/>
    <cellStyle name="40% - Accent3 2 4 5 7" xfId="37425"/>
    <cellStyle name="40% - Accent3 2 4 6" xfId="37426"/>
    <cellStyle name="40% - Accent3 2 4 6 2" xfId="37427"/>
    <cellStyle name="40% - Accent3 2 4 6 2 2" xfId="37428"/>
    <cellStyle name="40% - Accent3 2 4 6 3" xfId="37429"/>
    <cellStyle name="40% - Accent3 2 4 6 3 2" xfId="37430"/>
    <cellStyle name="40% - Accent3 2 4 6 4" xfId="37431"/>
    <cellStyle name="40% - Accent3 2 4 6 5" xfId="37432"/>
    <cellStyle name="40% - Accent3 2 4 6 6" xfId="37433"/>
    <cellStyle name="40% - Accent3 2 4 6 7" xfId="37434"/>
    <cellStyle name="40% - Accent3 2 4 7" xfId="37435"/>
    <cellStyle name="40% - Accent3 2 4 7 2" xfId="37436"/>
    <cellStyle name="40% - Accent3 2 4 7 2 2" xfId="37437"/>
    <cellStyle name="40% - Accent3 2 4 7 3" xfId="37438"/>
    <cellStyle name="40% - Accent3 2 4 7 3 2" xfId="37439"/>
    <cellStyle name="40% - Accent3 2 4 7 4" xfId="37440"/>
    <cellStyle name="40% - Accent3 2 4 7 5" xfId="37441"/>
    <cellStyle name="40% - Accent3 2 4 7 6" xfId="37442"/>
    <cellStyle name="40% - Accent3 2 4 7 7" xfId="37443"/>
    <cellStyle name="40% - Accent3 2 4 8" xfId="37444"/>
    <cellStyle name="40% - Accent3 2 4 8 2" xfId="37445"/>
    <cellStyle name="40% - Accent3 2 4 9" xfId="37446"/>
    <cellStyle name="40% - Accent3 2 4 9 2" xfId="37447"/>
    <cellStyle name="40% - Accent3 2 5" xfId="37448"/>
    <cellStyle name="40% - Accent3 2 5 10" xfId="37449"/>
    <cellStyle name="40% - Accent3 2 5 11" xfId="37450"/>
    <cellStyle name="40% - Accent3 2 5 12" xfId="37451"/>
    <cellStyle name="40% - Accent3 2 5 13" xfId="37452"/>
    <cellStyle name="40% - Accent3 2 5 2" xfId="37453"/>
    <cellStyle name="40% - Accent3 2 5 2 10" xfId="37454"/>
    <cellStyle name="40% - Accent3 2 5 2 11" xfId="37455"/>
    <cellStyle name="40% - Accent3 2 5 2 2" xfId="37456"/>
    <cellStyle name="40% - Accent3 2 5 2 2 10" xfId="37457"/>
    <cellStyle name="40% - Accent3 2 5 2 2 2" xfId="37458"/>
    <cellStyle name="40% - Accent3 2 5 2 2 2 2" xfId="37459"/>
    <cellStyle name="40% - Accent3 2 5 2 2 2 2 2" xfId="37460"/>
    <cellStyle name="40% - Accent3 2 5 2 2 2 3" xfId="37461"/>
    <cellStyle name="40% - Accent3 2 5 2 2 2 3 2" xfId="37462"/>
    <cellStyle name="40% - Accent3 2 5 2 2 2 4" xfId="37463"/>
    <cellStyle name="40% - Accent3 2 5 2 2 2 5" xfId="37464"/>
    <cellStyle name="40% - Accent3 2 5 2 2 2 6" xfId="37465"/>
    <cellStyle name="40% - Accent3 2 5 2 2 2 7" xfId="37466"/>
    <cellStyle name="40% - Accent3 2 5 2 2 3" xfId="37467"/>
    <cellStyle name="40% - Accent3 2 5 2 2 3 2" xfId="37468"/>
    <cellStyle name="40% - Accent3 2 5 2 2 3 2 2" xfId="37469"/>
    <cellStyle name="40% - Accent3 2 5 2 2 3 3" xfId="37470"/>
    <cellStyle name="40% - Accent3 2 5 2 2 3 3 2" xfId="37471"/>
    <cellStyle name="40% - Accent3 2 5 2 2 3 4" xfId="37472"/>
    <cellStyle name="40% - Accent3 2 5 2 2 3 5" xfId="37473"/>
    <cellStyle name="40% - Accent3 2 5 2 2 3 6" xfId="37474"/>
    <cellStyle name="40% - Accent3 2 5 2 2 3 7" xfId="37475"/>
    <cellStyle name="40% - Accent3 2 5 2 2 4" xfId="37476"/>
    <cellStyle name="40% - Accent3 2 5 2 2 4 2" xfId="37477"/>
    <cellStyle name="40% - Accent3 2 5 2 2 4 2 2" xfId="37478"/>
    <cellStyle name="40% - Accent3 2 5 2 2 4 3" xfId="37479"/>
    <cellStyle name="40% - Accent3 2 5 2 2 4 3 2" xfId="37480"/>
    <cellStyle name="40% - Accent3 2 5 2 2 4 4" xfId="37481"/>
    <cellStyle name="40% - Accent3 2 5 2 2 4 5" xfId="37482"/>
    <cellStyle name="40% - Accent3 2 5 2 2 4 6" xfId="37483"/>
    <cellStyle name="40% - Accent3 2 5 2 2 4 7" xfId="37484"/>
    <cellStyle name="40% - Accent3 2 5 2 2 5" xfId="37485"/>
    <cellStyle name="40% - Accent3 2 5 2 2 5 2" xfId="37486"/>
    <cellStyle name="40% - Accent3 2 5 2 2 6" xfId="37487"/>
    <cellStyle name="40% - Accent3 2 5 2 2 6 2" xfId="37488"/>
    <cellStyle name="40% - Accent3 2 5 2 2 7" xfId="37489"/>
    <cellStyle name="40% - Accent3 2 5 2 2 8" xfId="37490"/>
    <cellStyle name="40% - Accent3 2 5 2 2 9" xfId="37491"/>
    <cellStyle name="40% - Accent3 2 5 2 3" xfId="37492"/>
    <cellStyle name="40% - Accent3 2 5 2 3 2" xfId="37493"/>
    <cellStyle name="40% - Accent3 2 5 2 3 2 2" xfId="37494"/>
    <cellStyle name="40% - Accent3 2 5 2 3 3" xfId="37495"/>
    <cellStyle name="40% - Accent3 2 5 2 3 3 2" xfId="37496"/>
    <cellStyle name="40% - Accent3 2 5 2 3 4" xfId="37497"/>
    <cellStyle name="40% - Accent3 2 5 2 3 5" xfId="37498"/>
    <cellStyle name="40% - Accent3 2 5 2 3 6" xfId="37499"/>
    <cellStyle name="40% - Accent3 2 5 2 3 7" xfId="37500"/>
    <cellStyle name="40% - Accent3 2 5 2 4" xfId="37501"/>
    <cellStyle name="40% - Accent3 2 5 2 4 2" xfId="37502"/>
    <cellStyle name="40% - Accent3 2 5 2 4 2 2" xfId="37503"/>
    <cellStyle name="40% - Accent3 2 5 2 4 3" xfId="37504"/>
    <cellStyle name="40% - Accent3 2 5 2 4 3 2" xfId="37505"/>
    <cellStyle name="40% - Accent3 2 5 2 4 4" xfId="37506"/>
    <cellStyle name="40% - Accent3 2 5 2 4 5" xfId="37507"/>
    <cellStyle name="40% - Accent3 2 5 2 4 6" xfId="37508"/>
    <cellStyle name="40% - Accent3 2 5 2 4 7" xfId="37509"/>
    <cellStyle name="40% - Accent3 2 5 2 5" xfId="37510"/>
    <cellStyle name="40% - Accent3 2 5 2 5 2" xfId="37511"/>
    <cellStyle name="40% - Accent3 2 5 2 5 2 2" xfId="37512"/>
    <cellStyle name="40% - Accent3 2 5 2 5 3" xfId="37513"/>
    <cellStyle name="40% - Accent3 2 5 2 5 3 2" xfId="37514"/>
    <cellStyle name="40% - Accent3 2 5 2 5 4" xfId="37515"/>
    <cellStyle name="40% - Accent3 2 5 2 5 5" xfId="37516"/>
    <cellStyle name="40% - Accent3 2 5 2 5 6" xfId="37517"/>
    <cellStyle name="40% - Accent3 2 5 2 5 7" xfId="37518"/>
    <cellStyle name="40% - Accent3 2 5 2 6" xfId="37519"/>
    <cellStyle name="40% - Accent3 2 5 2 6 2" xfId="37520"/>
    <cellStyle name="40% - Accent3 2 5 2 7" xfId="37521"/>
    <cellStyle name="40% - Accent3 2 5 2 7 2" xfId="37522"/>
    <cellStyle name="40% - Accent3 2 5 2 8" xfId="37523"/>
    <cellStyle name="40% - Accent3 2 5 2 9" xfId="37524"/>
    <cellStyle name="40% - Accent3 2 5 3" xfId="37525"/>
    <cellStyle name="40% - Accent3 2 5 3 10" xfId="37526"/>
    <cellStyle name="40% - Accent3 2 5 3 11" xfId="37527"/>
    <cellStyle name="40% - Accent3 2 5 3 2" xfId="37528"/>
    <cellStyle name="40% - Accent3 2 5 3 2 10" xfId="37529"/>
    <cellStyle name="40% - Accent3 2 5 3 2 2" xfId="37530"/>
    <cellStyle name="40% - Accent3 2 5 3 2 2 2" xfId="37531"/>
    <cellStyle name="40% - Accent3 2 5 3 2 2 2 2" xfId="37532"/>
    <cellStyle name="40% - Accent3 2 5 3 2 2 3" xfId="37533"/>
    <cellStyle name="40% - Accent3 2 5 3 2 2 3 2" xfId="37534"/>
    <cellStyle name="40% - Accent3 2 5 3 2 2 4" xfId="37535"/>
    <cellStyle name="40% - Accent3 2 5 3 2 2 5" xfId="37536"/>
    <cellStyle name="40% - Accent3 2 5 3 2 2 6" xfId="37537"/>
    <cellStyle name="40% - Accent3 2 5 3 2 2 7" xfId="37538"/>
    <cellStyle name="40% - Accent3 2 5 3 2 3" xfId="37539"/>
    <cellStyle name="40% - Accent3 2 5 3 2 3 2" xfId="37540"/>
    <cellStyle name="40% - Accent3 2 5 3 2 3 2 2" xfId="37541"/>
    <cellStyle name="40% - Accent3 2 5 3 2 3 3" xfId="37542"/>
    <cellStyle name="40% - Accent3 2 5 3 2 3 3 2" xfId="37543"/>
    <cellStyle name="40% - Accent3 2 5 3 2 3 4" xfId="37544"/>
    <cellStyle name="40% - Accent3 2 5 3 2 3 5" xfId="37545"/>
    <cellStyle name="40% - Accent3 2 5 3 2 3 6" xfId="37546"/>
    <cellStyle name="40% - Accent3 2 5 3 2 3 7" xfId="37547"/>
    <cellStyle name="40% - Accent3 2 5 3 2 4" xfId="37548"/>
    <cellStyle name="40% - Accent3 2 5 3 2 4 2" xfId="37549"/>
    <cellStyle name="40% - Accent3 2 5 3 2 4 2 2" xfId="37550"/>
    <cellStyle name="40% - Accent3 2 5 3 2 4 3" xfId="37551"/>
    <cellStyle name="40% - Accent3 2 5 3 2 4 3 2" xfId="37552"/>
    <cellStyle name="40% - Accent3 2 5 3 2 4 4" xfId="37553"/>
    <cellStyle name="40% - Accent3 2 5 3 2 4 5" xfId="37554"/>
    <cellStyle name="40% - Accent3 2 5 3 2 4 6" xfId="37555"/>
    <cellStyle name="40% - Accent3 2 5 3 2 4 7" xfId="37556"/>
    <cellStyle name="40% - Accent3 2 5 3 2 5" xfId="37557"/>
    <cellStyle name="40% - Accent3 2 5 3 2 5 2" xfId="37558"/>
    <cellStyle name="40% - Accent3 2 5 3 2 6" xfId="37559"/>
    <cellStyle name="40% - Accent3 2 5 3 2 6 2" xfId="37560"/>
    <cellStyle name="40% - Accent3 2 5 3 2 7" xfId="37561"/>
    <cellStyle name="40% - Accent3 2 5 3 2 8" xfId="37562"/>
    <cellStyle name="40% - Accent3 2 5 3 2 9" xfId="37563"/>
    <cellStyle name="40% - Accent3 2 5 3 3" xfId="37564"/>
    <cellStyle name="40% - Accent3 2 5 3 3 2" xfId="37565"/>
    <cellStyle name="40% - Accent3 2 5 3 3 2 2" xfId="37566"/>
    <cellStyle name="40% - Accent3 2 5 3 3 3" xfId="37567"/>
    <cellStyle name="40% - Accent3 2 5 3 3 3 2" xfId="37568"/>
    <cellStyle name="40% - Accent3 2 5 3 3 4" xfId="37569"/>
    <cellStyle name="40% - Accent3 2 5 3 3 5" xfId="37570"/>
    <cellStyle name="40% - Accent3 2 5 3 3 6" xfId="37571"/>
    <cellStyle name="40% - Accent3 2 5 3 3 7" xfId="37572"/>
    <cellStyle name="40% - Accent3 2 5 3 4" xfId="37573"/>
    <cellStyle name="40% - Accent3 2 5 3 4 2" xfId="37574"/>
    <cellStyle name="40% - Accent3 2 5 3 4 2 2" xfId="37575"/>
    <cellStyle name="40% - Accent3 2 5 3 4 3" xfId="37576"/>
    <cellStyle name="40% - Accent3 2 5 3 4 3 2" xfId="37577"/>
    <cellStyle name="40% - Accent3 2 5 3 4 4" xfId="37578"/>
    <cellStyle name="40% - Accent3 2 5 3 4 5" xfId="37579"/>
    <cellStyle name="40% - Accent3 2 5 3 4 6" xfId="37580"/>
    <cellStyle name="40% - Accent3 2 5 3 4 7" xfId="37581"/>
    <cellStyle name="40% - Accent3 2 5 3 5" xfId="37582"/>
    <cellStyle name="40% - Accent3 2 5 3 5 2" xfId="37583"/>
    <cellStyle name="40% - Accent3 2 5 3 5 2 2" xfId="37584"/>
    <cellStyle name="40% - Accent3 2 5 3 5 3" xfId="37585"/>
    <cellStyle name="40% - Accent3 2 5 3 5 3 2" xfId="37586"/>
    <cellStyle name="40% - Accent3 2 5 3 5 4" xfId="37587"/>
    <cellStyle name="40% - Accent3 2 5 3 5 5" xfId="37588"/>
    <cellStyle name="40% - Accent3 2 5 3 5 6" xfId="37589"/>
    <cellStyle name="40% - Accent3 2 5 3 5 7" xfId="37590"/>
    <cellStyle name="40% - Accent3 2 5 3 6" xfId="37591"/>
    <cellStyle name="40% - Accent3 2 5 3 6 2" xfId="37592"/>
    <cellStyle name="40% - Accent3 2 5 3 7" xfId="37593"/>
    <cellStyle name="40% - Accent3 2 5 3 7 2" xfId="37594"/>
    <cellStyle name="40% - Accent3 2 5 3 8" xfId="37595"/>
    <cellStyle name="40% - Accent3 2 5 3 9" xfId="37596"/>
    <cellStyle name="40% - Accent3 2 5 4" xfId="37597"/>
    <cellStyle name="40% - Accent3 2 5 4 10" xfId="37598"/>
    <cellStyle name="40% - Accent3 2 5 4 2" xfId="37599"/>
    <cellStyle name="40% - Accent3 2 5 4 2 2" xfId="37600"/>
    <cellStyle name="40% - Accent3 2 5 4 2 2 2" xfId="37601"/>
    <cellStyle name="40% - Accent3 2 5 4 2 3" xfId="37602"/>
    <cellStyle name="40% - Accent3 2 5 4 2 3 2" xfId="37603"/>
    <cellStyle name="40% - Accent3 2 5 4 2 4" xfId="37604"/>
    <cellStyle name="40% - Accent3 2 5 4 2 5" xfId="37605"/>
    <cellStyle name="40% - Accent3 2 5 4 2 6" xfId="37606"/>
    <cellStyle name="40% - Accent3 2 5 4 2 7" xfId="37607"/>
    <cellStyle name="40% - Accent3 2 5 4 3" xfId="37608"/>
    <cellStyle name="40% - Accent3 2 5 4 3 2" xfId="37609"/>
    <cellStyle name="40% - Accent3 2 5 4 3 2 2" xfId="37610"/>
    <cellStyle name="40% - Accent3 2 5 4 3 3" xfId="37611"/>
    <cellStyle name="40% - Accent3 2 5 4 3 3 2" xfId="37612"/>
    <cellStyle name="40% - Accent3 2 5 4 3 4" xfId="37613"/>
    <cellStyle name="40% - Accent3 2 5 4 3 5" xfId="37614"/>
    <cellStyle name="40% - Accent3 2 5 4 3 6" xfId="37615"/>
    <cellStyle name="40% - Accent3 2 5 4 3 7" xfId="37616"/>
    <cellStyle name="40% - Accent3 2 5 4 4" xfId="37617"/>
    <cellStyle name="40% - Accent3 2 5 4 4 2" xfId="37618"/>
    <cellStyle name="40% - Accent3 2 5 4 4 2 2" xfId="37619"/>
    <cellStyle name="40% - Accent3 2 5 4 4 3" xfId="37620"/>
    <cellStyle name="40% - Accent3 2 5 4 4 3 2" xfId="37621"/>
    <cellStyle name="40% - Accent3 2 5 4 4 4" xfId="37622"/>
    <cellStyle name="40% - Accent3 2 5 4 4 5" xfId="37623"/>
    <cellStyle name="40% - Accent3 2 5 4 4 6" xfId="37624"/>
    <cellStyle name="40% - Accent3 2 5 4 4 7" xfId="37625"/>
    <cellStyle name="40% - Accent3 2 5 4 5" xfId="37626"/>
    <cellStyle name="40% - Accent3 2 5 4 5 2" xfId="37627"/>
    <cellStyle name="40% - Accent3 2 5 4 6" xfId="37628"/>
    <cellStyle name="40% - Accent3 2 5 4 6 2" xfId="37629"/>
    <cellStyle name="40% - Accent3 2 5 4 7" xfId="37630"/>
    <cellStyle name="40% - Accent3 2 5 4 8" xfId="37631"/>
    <cellStyle name="40% - Accent3 2 5 4 9" xfId="37632"/>
    <cellStyle name="40% - Accent3 2 5 5" xfId="37633"/>
    <cellStyle name="40% - Accent3 2 5 5 2" xfId="37634"/>
    <cellStyle name="40% - Accent3 2 5 5 2 2" xfId="37635"/>
    <cellStyle name="40% - Accent3 2 5 5 3" xfId="37636"/>
    <cellStyle name="40% - Accent3 2 5 5 3 2" xfId="37637"/>
    <cellStyle name="40% - Accent3 2 5 5 4" xfId="37638"/>
    <cellStyle name="40% - Accent3 2 5 5 5" xfId="37639"/>
    <cellStyle name="40% - Accent3 2 5 5 6" xfId="37640"/>
    <cellStyle name="40% - Accent3 2 5 5 7" xfId="37641"/>
    <cellStyle name="40% - Accent3 2 5 6" xfId="37642"/>
    <cellStyle name="40% - Accent3 2 5 6 2" xfId="37643"/>
    <cellStyle name="40% - Accent3 2 5 6 2 2" xfId="37644"/>
    <cellStyle name="40% - Accent3 2 5 6 3" xfId="37645"/>
    <cellStyle name="40% - Accent3 2 5 6 3 2" xfId="37646"/>
    <cellStyle name="40% - Accent3 2 5 6 4" xfId="37647"/>
    <cellStyle name="40% - Accent3 2 5 6 5" xfId="37648"/>
    <cellStyle name="40% - Accent3 2 5 6 6" xfId="37649"/>
    <cellStyle name="40% - Accent3 2 5 6 7" xfId="37650"/>
    <cellStyle name="40% - Accent3 2 5 7" xfId="37651"/>
    <cellStyle name="40% - Accent3 2 5 7 2" xfId="37652"/>
    <cellStyle name="40% - Accent3 2 5 7 2 2" xfId="37653"/>
    <cellStyle name="40% - Accent3 2 5 7 3" xfId="37654"/>
    <cellStyle name="40% - Accent3 2 5 7 3 2" xfId="37655"/>
    <cellStyle name="40% - Accent3 2 5 7 4" xfId="37656"/>
    <cellStyle name="40% - Accent3 2 5 7 5" xfId="37657"/>
    <cellStyle name="40% - Accent3 2 5 7 6" xfId="37658"/>
    <cellStyle name="40% - Accent3 2 5 7 7" xfId="37659"/>
    <cellStyle name="40% - Accent3 2 5 8" xfId="37660"/>
    <cellStyle name="40% - Accent3 2 5 8 2" xfId="37661"/>
    <cellStyle name="40% - Accent3 2 5 9" xfId="37662"/>
    <cellStyle name="40% - Accent3 2 5 9 2" xfId="37663"/>
    <cellStyle name="40% - Accent3 2 6" xfId="37664"/>
    <cellStyle name="40% - Accent3 2 6 10" xfId="37665"/>
    <cellStyle name="40% - Accent3 2 6 11" xfId="37666"/>
    <cellStyle name="40% - Accent3 2 6 12" xfId="37667"/>
    <cellStyle name="40% - Accent3 2 6 13" xfId="37668"/>
    <cellStyle name="40% - Accent3 2 6 2" xfId="37669"/>
    <cellStyle name="40% - Accent3 2 6 2 10" xfId="37670"/>
    <cellStyle name="40% - Accent3 2 6 2 11" xfId="37671"/>
    <cellStyle name="40% - Accent3 2 6 2 2" xfId="37672"/>
    <cellStyle name="40% - Accent3 2 6 2 2 10" xfId="37673"/>
    <cellStyle name="40% - Accent3 2 6 2 2 2" xfId="37674"/>
    <cellStyle name="40% - Accent3 2 6 2 2 2 2" xfId="37675"/>
    <cellStyle name="40% - Accent3 2 6 2 2 2 2 2" xfId="37676"/>
    <cellStyle name="40% - Accent3 2 6 2 2 2 3" xfId="37677"/>
    <cellStyle name="40% - Accent3 2 6 2 2 2 3 2" xfId="37678"/>
    <cellStyle name="40% - Accent3 2 6 2 2 2 4" xfId="37679"/>
    <cellStyle name="40% - Accent3 2 6 2 2 2 5" xfId="37680"/>
    <cellStyle name="40% - Accent3 2 6 2 2 2 6" xfId="37681"/>
    <cellStyle name="40% - Accent3 2 6 2 2 2 7" xfId="37682"/>
    <cellStyle name="40% - Accent3 2 6 2 2 3" xfId="37683"/>
    <cellStyle name="40% - Accent3 2 6 2 2 3 2" xfId="37684"/>
    <cellStyle name="40% - Accent3 2 6 2 2 3 2 2" xfId="37685"/>
    <cellStyle name="40% - Accent3 2 6 2 2 3 3" xfId="37686"/>
    <cellStyle name="40% - Accent3 2 6 2 2 3 3 2" xfId="37687"/>
    <cellStyle name="40% - Accent3 2 6 2 2 3 4" xfId="37688"/>
    <cellStyle name="40% - Accent3 2 6 2 2 3 5" xfId="37689"/>
    <cellStyle name="40% - Accent3 2 6 2 2 3 6" xfId="37690"/>
    <cellStyle name="40% - Accent3 2 6 2 2 3 7" xfId="37691"/>
    <cellStyle name="40% - Accent3 2 6 2 2 4" xfId="37692"/>
    <cellStyle name="40% - Accent3 2 6 2 2 4 2" xfId="37693"/>
    <cellStyle name="40% - Accent3 2 6 2 2 4 2 2" xfId="37694"/>
    <cellStyle name="40% - Accent3 2 6 2 2 4 3" xfId="37695"/>
    <cellStyle name="40% - Accent3 2 6 2 2 4 3 2" xfId="37696"/>
    <cellStyle name="40% - Accent3 2 6 2 2 4 4" xfId="37697"/>
    <cellStyle name="40% - Accent3 2 6 2 2 4 5" xfId="37698"/>
    <cellStyle name="40% - Accent3 2 6 2 2 4 6" xfId="37699"/>
    <cellStyle name="40% - Accent3 2 6 2 2 4 7" xfId="37700"/>
    <cellStyle name="40% - Accent3 2 6 2 2 5" xfId="37701"/>
    <cellStyle name="40% - Accent3 2 6 2 2 5 2" xfId="37702"/>
    <cellStyle name="40% - Accent3 2 6 2 2 6" xfId="37703"/>
    <cellStyle name="40% - Accent3 2 6 2 2 6 2" xfId="37704"/>
    <cellStyle name="40% - Accent3 2 6 2 2 7" xfId="37705"/>
    <cellStyle name="40% - Accent3 2 6 2 2 8" xfId="37706"/>
    <cellStyle name="40% - Accent3 2 6 2 2 9" xfId="37707"/>
    <cellStyle name="40% - Accent3 2 6 2 3" xfId="37708"/>
    <cellStyle name="40% - Accent3 2 6 2 3 2" xfId="37709"/>
    <cellStyle name="40% - Accent3 2 6 2 3 2 2" xfId="37710"/>
    <cellStyle name="40% - Accent3 2 6 2 3 3" xfId="37711"/>
    <cellStyle name="40% - Accent3 2 6 2 3 3 2" xfId="37712"/>
    <cellStyle name="40% - Accent3 2 6 2 3 4" xfId="37713"/>
    <cellStyle name="40% - Accent3 2 6 2 3 5" xfId="37714"/>
    <cellStyle name="40% - Accent3 2 6 2 3 6" xfId="37715"/>
    <cellStyle name="40% - Accent3 2 6 2 3 7" xfId="37716"/>
    <cellStyle name="40% - Accent3 2 6 2 4" xfId="37717"/>
    <cellStyle name="40% - Accent3 2 6 2 4 2" xfId="37718"/>
    <cellStyle name="40% - Accent3 2 6 2 4 2 2" xfId="37719"/>
    <cellStyle name="40% - Accent3 2 6 2 4 3" xfId="37720"/>
    <cellStyle name="40% - Accent3 2 6 2 4 3 2" xfId="37721"/>
    <cellStyle name="40% - Accent3 2 6 2 4 4" xfId="37722"/>
    <cellStyle name="40% - Accent3 2 6 2 4 5" xfId="37723"/>
    <cellStyle name="40% - Accent3 2 6 2 4 6" xfId="37724"/>
    <cellStyle name="40% - Accent3 2 6 2 4 7" xfId="37725"/>
    <cellStyle name="40% - Accent3 2 6 2 5" xfId="37726"/>
    <cellStyle name="40% - Accent3 2 6 2 5 2" xfId="37727"/>
    <cellStyle name="40% - Accent3 2 6 2 5 2 2" xfId="37728"/>
    <cellStyle name="40% - Accent3 2 6 2 5 3" xfId="37729"/>
    <cellStyle name="40% - Accent3 2 6 2 5 3 2" xfId="37730"/>
    <cellStyle name="40% - Accent3 2 6 2 5 4" xfId="37731"/>
    <cellStyle name="40% - Accent3 2 6 2 5 5" xfId="37732"/>
    <cellStyle name="40% - Accent3 2 6 2 5 6" xfId="37733"/>
    <cellStyle name="40% - Accent3 2 6 2 5 7" xfId="37734"/>
    <cellStyle name="40% - Accent3 2 6 2 6" xfId="37735"/>
    <cellStyle name="40% - Accent3 2 6 2 6 2" xfId="37736"/>
    <cellStyle name="40% - Accent3 2 6 2 7" xfId="37737"/>
    <cellStyle name="40% - Accent3 2 6 2 7 2" xfId="37738"/>
    <cellStyle name="40% - Accent3 2 6 2 8" xfId="37739"/>
    <cellStyle name="40% - Accent3 2 6 2 9" xfId="37740"/>
    <cellStyle name="40% - Accent3 2 6 3" xfId="37741"/>
    <cellStyle name="40% - Accent3 2 6 3 10" xfId="37742"/>
    <cellStyle name="40% - Accent3 2 6 3 11" xfId="37743"/>
    <cellStyle name="40% - Accent3 2 6 3 2" xfId="37744"/>
    <cellStyle name="40% - Accent3 2 6 3 2 10" xfId="37745"/>
    <cellStyle name="40% - Accent3 2 6 3 2 2" xfId="37746"/>
    <cellStyle name="40% - Accent3 2 6 3 2 2 2" xfId="37747"/>
    <cellStyle name="40% - Accent3 2 6 3 2 2 2 2" xfId="37748"/>
    <cellStyle name="40% - Accent3 2 6 3 2 2 3" xfId="37749"/>
    <cellStyle name="40% - Accent3 2 6 3 2 2 3 2" xfId="37750"/>
    <cellStyle name="40% - Accent3 2 6 3 2 2 4" xfId="37751"/>
    <cellStyle name="40% - Accent3 2 6 3 2 2 5" xfId="37752"/>
    <cellStyle name="40% - Accent3 2 6 3 2 2 6" xfId="37753"/>
    <cellStyle name="40% - Accent3 2 6 3 2 2 7" xfId="37754"/>
    <cellStyle name="40% - Accent3 2 6 3 2 3" xfId="37755"/>
    <cellStyle name="40% - Accent3 2 6 3 2 3 2" xfId="37756"/>
    <cellStyle name="40% - Accent3 2 6 3 2 3 2 2" xfId="37757"/>
    <cellStyle name="40% - Accent3 2 6 3 2 3 3" xfId="37758"/>
    <cellStyle name="40% - Accent3 2 6 3 2 3 3 2" xfId="37759"/>
    <cellStyle name="40% - Accent3 2 6 3 2 3 4" xfId="37760"/>
    <cellStyle name="40% - Accent3 2 6 3 2 3 5" xfId="37761"/>
    <cellStyle name="40% - Accent3 2 6 3 2 3 6" xfId="37762"/>
    <cellStyle name="40% - Accent3 2 6 3 2 3 7" xfId="37763"/>
    <cellStyle name="40% - Accent3 2 6 3 2 4" xfId="37764"/>
    <cellStyle name="40% - Accent3 2 6 3 2 4 2" xfId="37765"/>
    <cellStyle name="40% - Accent3 2 6 3 2 4 2 2" xfId="37766"/>
    <cellStyle name="40% - Accent3 2 6 3 2 4 3" xfId="37767"/>
    <cellStyle name="40% - Accent3 2 6 3 2 4 3 2" xfId="37768"/>
    <cellStyle name="40% - Accent3 2 6 3 2 4 4" xfId="37769"/>
    <cellStyle name="40% - Accent3 2 6 3 2 4 5" xfId="37770"/>
    <cellStyle name="40% - Accent3 2 6 3 2 4 6" xfId="37771"/>
    <cellStyle name="40% - Accent3 2 6 3 2 4 7" xfId="37772"/>
    <cellStyle name="40% - Accent3 2 6 3 2 5" xfId="37773"/>
    <cellStyle name="40% - Accent3 2 6 3 2 5 2" xfId="37774"/>
    <cellStyle name="40% - Accent3 2 6 3 2 6" xfId="37775"/>
    <cellStyle name="40% - Accent3 2 6 3 2 6 2" xfId="37776"/>
    <cellStyle name="40% - Accent3 2 6 3 2 7" xfId="37777"/>
    <cellStyle name="40% - Accent3 2 6 3 2 8" xfId="37778"/>
    <cellStyle name="40% - Accent3 2 6 3 2 9" xfId="37779"/>
    <cellStyle name="40% - Accent3 2 6 3 3" xfId="37780"/>
    <cellStyle name="40% - Accent3 2 6 3 3 2" xfId="37781"/>
    <cellStyle name="40% - Accent3 2 6 3 3 2 2" xfId="37782"/>
    <cellStyle name="40% - Accent3 2 6 3 3 3" xfId="37783"/>
    <cellStyle name="40% - Accent3 2 6 3 3 3 2" xfId="37784"/>
    <cellStyle name="40% - Accent3 2 6 3 3 4" xfId="37785"/>
    <cellStyle name="40% - Accent3 2 6 3 3 5" xfId="37786"/>
    <cellStyle name="40% - Accent3 2 6 3 3 6" xfId="37787"/>
    <cellStyle name="40% - Accent3 2 6 3 3 7" xfId="37788"/>
    <cellStyle name="40% - Accent3 2 6 3 4" xfId="37789"/>
    <cellStyle name="40% - Accent3 2 6 3 4 2" xfId="37790"/>
    <cellStyle name="40% - Accent3 2 6 3 4 2 2" xfId="37791"/>
    <cellStyle name="40% - Accent3 2 6 3 4 3" xfId="37792"/>
    <cellStyle name="40% - Accent3 2 6 3 4 3 2" xfId="37793"/>
    <cellStyle name="40% - Accent3 2 6 3 4 4" xfId="37794"/>
    <cellStyle name="40% - Accent3 2 6 3 4 5" xfId="37795"/>
    <cellStyle name="40% - Accent3 2 6 3 4 6" xfId="37796"/>
    <cellStyle name="40% - Accent3 2 6 3 4 7" xfId="37797"/>
    <cellStyle name="40% - Accent3 2 6 3 5" xfId="37798"/>
    <cellStyle name="40% - Accent3 2 6 3 5 2" xfId="37799"/>
    <cellStyle name="40% - Accent3 2 6 3 5 2 2" xfId="37800"/>
    <cellStyle name="40% - Accent3 2 6 3 5 3" xfId="37801"/>
    <cellStyle name="40% - Accent3 2 6 3 5 3 2" xfId="37802"/>
    <cellStyle name="40% - Accent3 2 6 3 5 4" xfId="37803"/>
    <cellStyle name="40% - Accent3 2 6 3 5 5" xfId="37804"/>
    <cellStyle name="40% - Accent3 2 6 3 5 6" xfId="37805"/>
    <cellStyle name="40% - Accent3 2 6 3 5 7" xfId="37806"/>
    <cellStyle name="40% - Accent3 2 6 3 6" xfId="37807"/>
    <cellStyle name="40% - Accent3 2 6 3 6 2" xfId="37808"/>
    <cellStyle name="40% - Accent3 2 6 3 7" xfId="37809"/>
    <cellStyle name="40% - Accent3 2 6 3 7 2" xfId="37810"/>
    <cellStyle name="40% - Accent3 2 6 3 8" xfId="37811"/>
    <cellStyle name="40% - Accent3 2 6 3 9" xfId="37812"/>
    <cellStyle name="40% - Accent3 2 6 4" xfId="37813"/>
    <cellStyle name="40% - Accent3 2 6 4 10" xfId="37814"/>
    <cellStyle name="40% - Accent3 2 6 4 2" xfId="37815"/>
    <cellStyle name="40% - Accent3 2 6 4 2 2" xfId="37816"/>
    <cellStyle name="40% - Accent3 2 6 4 2 2 2" xfId="37817"/>
    <cellStyle name="40% - Accent3 2 6 4 2 3" xfId="37818"/>
    <cellStyle name="40% - Accent3 2 6 4 2 3 2" xfId="37819"/>
    <cellStyle name="40% - Accent3 2 6 4 2 4" xfId="37820"/>
    <cellStyle name="40% - Accent3 2 6 4 2 5" xfId="37821"/>
    <cellStyle name="40% - Accent3 2 6 4 2 6" xfId="37822"/>
    <cellStyle name="40% - Accent3 2 6 4 2 7" xfId="37823"/>
    <cellStyle name="40% - Accent3 2 6 4 3" xfId="37824"/>
    <cellStyle name="40% - Accent3 2 6 4 3 2" xfId="37825"/>
    <cellStyle name="40% - Accent3 2 6 4 3 2 2" xfId="37826"/>
    <cellStyle name="40% - Accent3 2 6 4 3 3" xfId="37827"/>
    <cellStyle name="40% - Accent3 2 6 4 3 3 2" xfId="37828"/>
    <cellStyle name="40% - Accent3 2 6 4 3 4" xfId="37829"/>
    <cellStyle name="40% - Accent3 2 6 4 3 5" xfId="37830"/>
    <cellStyle name="40% - Accent3 2 6 4 3 6" xfId="37831"/>
    <cellStyle name="40% - Accent3 2 6 4 3 7" xfId="37832"/>
    <cellStyle name="40% - Accent3 2 6 4 4" xfId="37833"/>
    <cellStyle name="40% - Accent3 2 6 4 4 2" xfId="37834"/>
    <cellStyle name="40% - Accent3 2 6 4 4 2 2" xfId="37835"/>
    <cellStyle name="40% - Accent3 2 6 4 4 3" xfId="37836"/>
    <cellStyle name="40% - Accent3 2 6 4 4 3 2" xfId="37837"/>
    <cellStyle name="40% - Accent3 2 6 4 4 4" xfId="37838"/>
    <cellStyle name="40% - Accent3 2 6 4 4 5" xfId="37839"/>
    <cellStyle name="40% - Accent3 2 6 4 4 6" xfId="37840"/>
    <cellStyle name="40% - Accent3 2 6 4 4 7" xfId="37841"/>
    <cellStyle name="40% - Accent3 2 6 4 5" xfId="37842"/>
    <cellStyle name="40% - Accent3 2 6 4 5 2" xfId="37843"/>
    <cellStyle name="40% - Accent3 2 6 4 6" xfId="37844"/>
    <cellStyle name="40% - Accent3 2 6 4 6 2" xfId="37845"/>
    <cellStyle name="40% - Accent3 2 6 4 7" xfId="37846"/>
    <cellStyle name="40% - Accent3 2 6 4 8" xfId="37847"/>
    <cellStyle name="40% - Accent3 2 6 4 9" xfId="37848"/>
    <cellStyle name="40% - Accent3 2 6 5" xfId="37849"/>
    <cellStyle name="40% - Accent3 2 6 5 2" xfId="37850"/>
    <cellStyle name="40% - Accent3 2 6 5 2 2" xfId="37851"/>
    <cellStyle name="40% - Accent3 2 6 5 3" xfId="37852"/>
    <cellStyle name="40% - Accent3 2 6 5 3 2" xfId="37853"/>
    <cellStyle name="40% - Accent3 2 6 5 4" xfId="37854"/>
    <cellStyle name="40% - Accent3 2 6 5 5" xfId="37855"/>
    <cellStyle name="40% - Accent3 2 6 5 6" xfId="37856"/>
    <cellStyle name="40% - Accent3 2 6 5 7" xfId="37857"/>
    <cellStyle name="40% - Accent3 2 6 6" xfId="37858"/>
    <cellStyle name="40% - Accent3 2 6 6 2" xfId="37859"/>
    <cellStyle name="40% - Accent3 2 6 6 2 2" xfId="37860"/>
    <cellStyle name="40% - Accent3 2 6 6 3" xfId="37861"/>
    <cellStyle name="40% - Accent3 2 6 6 3 2" xfId="37862"/>
    <cellStyle name="40% - Accent3 2 6 6 4" xfId="37863"/>
    <cellStyle name="40% - Accent3 2 6 6 5" xfId="37864"/>
    <cellStyle name="40% - Accent3 2 6 6 6" xfId="37865"/>
    <cellStyle name="40% - Accent3 2 6 6 7" xfId="37866"/>
    <cellStyle name="40% - Accent3 2 6 7" xfId="37867"/>
    <cellStyle name="40% - Accent3 2 6 7 2" xfId="37868"/>
    <cellStyle name="40% - Accent3 2 6 7 2 2" xfId="37869"/>
    <cellStyle name="40% - Accent3 2 6 7 3" xfId="37870"/>
    <cellStyle name="40% - Accent3 2 6 7 3 2" xfId="37871"/>
    <cellStyle name="40% - Accent3 2 6 7 4" xfId="37872"/>
    <cellStyle name="40% - Accent3 2 6 7 5" xfId="37873"/>
    <cellStyle name="40% - Accent3 2 6 7 6" xfId="37874"/>
    <cellStyle name="40% - Accent3 2 6 7 7" xfId="37875"/>
    <cellStyle name="40% - Accent3 2 6 8" xfId="37876"/>
    <cellStyle name="40% - Accent3 2 6 8 2" xfId="37877"/>
    <cellStyle name="40% - Accent3 2 6 9" xfId="37878"/>
    <cellStyle name="40% - Accent3 2 6 9 2" xfId="37879"/>
    <cellStyle name="40% - Accent3 2 7" xfId="37880"/>
    <cellStyle name="40% - Accent3 2 7 10" xfId="37881"/>
    <cellStyle name="40% - Accent3 2 7 11" xfId="37882"/>
    <cellStyle name="40% - Accent3 2 7 2" xfId="37883"/>
    <cellStyle name="40% - Accent3 2 7 2 10" xfId="37884"/>
    <cellStyle name="40% - Accent3 2 7 2 2" xfId="37885"/>
    <cellStyle name="40% - Accent3 2 7 2 2 2" xfId="37886"/>
    <cellStyle name="40% - Accent3 2 7 2 2 2 2" xfId="37887"/>
    <cellStyle name="40% - Accent3 2 7 2 2 3" xfId="37888"/>
    <cellStyle name="40% - Accent3 2 7 2 2 3 2" xfId="37889"/>
    <cellStyle name="40% - Accent3 2 7 2 2 4" xfId="37890"/>
    <cellStyle name="40% - Accent3 2 7 2 2 5" xfId="37891"/>
    <cellStyle name="40% - Accent3 2 7 2 2 6" xfId="37892"/>
    <cellStyle name="40% - Accent3 2 7 2 2 7" xfId="37893"/>
    <cellStyle name="40% - Accent3 2 7 2 3" xfId="37894"/>
    <cellStyle name="40% - Accent3 2 7 2 3 2" xfId="37895"/>
    <cellStyle name="40% - Accent3 2 7 2 3 2 2" xfId="37896"/>
    <cellStyle name="40% - Accent3 2 7 2 3 3" xfId="37897"/>
    <cellStyle name="40% - Accent3 2 7 2 3 3 2" xfId="37898"/>
    <cellStyle name="40% - Accent3 2 7 2 3 4" xfId="37899"/>
    <cellStyle name="40% - Accent3 2 7 2 3 5" xfId="37900"/>
    <cellStyle name="40% - Accent3 2 7 2 3 6" xfId="37901"/>
    <cellStyle name="40% - Accent3 2 7 2 3 7" xfId="37902"/>
    <cellStyle name="40% - Accent3 2 7 2 4" xfId="37903"/>
    <cellStyle name="40% - Accent3 2 7 2 4 2" xfId="37904"/>
    <cellStyle name="40% - Accent3 2 7 2 4 2 2" xfId="37905"/>
    <cellStyle name="40% - Accent3 2 7 2 4 3" xfId="37906"/>
    <cellStyle name="40% - Accent3 2 7 2 4 3 2" xfId="37907"/>
    <cellStyle name="40% - Accent3 2 7 2 4 4" xfId="37908"/>
    <cellStyle name="40% - Accent3 2 7 2 4 5" xfId="37909"/>
    <cellStyle name="40% - Accent3 2 7 2 4 6" xfId="37910"/>
    <cellStyle name="40% - Accent3 2 7 2 4 7" xfId="37911"/>
    <cellStyle name="40% - Accent3 2 7 2 5" xfId="37912"/>
    <cellStyle name="40% - Accent3 2 7 2 5 2" xfId="37913"/>
    <cellStyle name="40% - Accent3 2 7 2 6" xfId="37914"/>
    <cellStyle name="40% - Accent3 2 7 2 6 2" xfId="37915"/>
    <cellStyle name="40% - Accent3 2 7 2 7" xfId="37916"/>
    <cellStyle name="40% - Accent3 2 7 2 8" xfId="37917"/>
    <cellStyle name="40% - Accent3 2 7 2 9" xfId="37918"/>
    <cellStyle name="40% - Accent3 2 7 3" xfId="37919"/>
    <cellStyle name="40% - Accent3 2 7 3 2" xfId="37920"/>
    <cellStyle name="40% - Accent3 2 7 3 2 2" xfId="37921"/>
    <cellStyle name="40% - Accent3 2 7 3 3" xfId="37922"/>
    <cellStyle name="40% - Accent3 2 7 3 3 2" xfId="37923"/>
    <cellStyle name="40% - Accent3 2 7 3 4" xfId="37924"/>
    <cellStyle name="40% - Accent3 2 7 3 5" xfId="37925"/>
    <cellStyle name="40% - Accent3 2 7 3 6" xfId="37926"/>
    <cellStyle name="40% - Accent3 2 7 3 7" xfId="37927"/>
    <cellStyle name="40% - Accent3 2 7 4" xfId="37928"/>
    <cellStyle name="40% - Accent3 2 7 4 2" xfId="37929"/>
    <cellStyle name="40% - Accent3 2 7 4 2 2" xfId="37930"/>
    <cellStyle name="40% - Accent3 2 7 4 3" xfId="37931"/>
    <cellStyle name="40% - Accent3 2 7 4 3 2" xfId="37932"/>
    <cellStyle name="40% - Accent3 2 7 4 4" xfId="37933"/>
    <cellStyle name="40% - Accent3 2 7 4 5" xfId="37934"/>
    <cellStyle name="40% - Accent3 2 7 4 6" xfId="37935"/>
    <cellStyle name="40% - Accent3 2 7 4 7" xfId="37936"/>
    <cellStyle name="40% - Accent3 2 7 5" xfId="37937"/>
    <cellStyle name="40% - Accent3 2 7 5 2" xfId="37938"/>
    <cellStyle name="40% - Accent3 2 7 5 2 2" xfId="37939"/>
    <cellStyle name="40% - Accent3 2 7 5 3" xfId="37940"/>
    <cellStyle name="40% - Accent3 2 7 5 3 2" xfId="37941"/>
    <cellStyle name="40% - Accent3 2 7 5 4" xfId="37942"/>
    <cellStyle name="40% - Accent3 2 7 5 5" xfId="37943"/>
    <cellStyle name="40% - Accent3 2 7 5 6" xfId="37944"/>
    <cellStyle name="40% - Accent3 2 7 5 7" xfId="37945"/>
    <cellStyle name="40% - Accent3 2 7 6" xfId="37946"/>
    <cellStyle name="40% - Accent3 2 7 6 2" xfId="37947"/>
    <cellStyle name="40% - Accent3 2 7 7" xfId="37948"/>
    <cellStyle name="40% - Accent3 2 7 7 2" xfId="37949"/>
    <cellStyle name="40% - Accent3 2 7 8" xfId="37950"/>
    <cellStyle name="40% - Accent3 2 7 9" xfId="37951"/>
    <cellStyle name="40% - Accent3 2 8" xfId="37952"/>
    <cellStyle name="40% - Accent3 2 8 10" xfId="37953"/>
    <cellStyle name="40% - Accent3 2 8 11" xfId="37954"/>
    <cellStyle name="40% - Accent3 2 8 2" xfId="37955"/>
    <cellStyle name="40% - Accent3 2 8 2 10" xfId="37956"/>
    <cellStyle name="40% - Accent3 2 8 2 2" xfId="37957"/>
    <cellStyle name="40% - Accent3 2 8 2 2 2" xfId="37958"/>
    <cellStyle name="40% - Accent3 2 8 2 2 2 2" xfId="37959"/>
    <cellStyle name="40% - Accent3 2 8 2 2 3" xfId="37960"/>
    <cellStyle name="40% - Accent3 2 8 2 2 3 2" xfId="37961"/>
    <cellStyle name="40% - Accent3 2 8 2 2 4" xfId="37962"/>
    <cellStyle name="40% - Accent3 2 8 2 2 5" xfId="37963"/>
    <cellStyle name="40% - Accent3 2 8 2 2 6" xfId="37964"/>
    <cellStyle name="40% - Accent3 2 8 2 2 7" xfId="37965"/>
    <cellStyle name="40% - Accent3 2 8 2 3" xfId="37966"/>
    <cellStyle name="40% - Accent3 2 8 2 3 2" xfId="37967"/>
    <cellStyle name="40% - Accent3 2 8 2 3 2 2" xfId="37968"/>
    <cellStyle name="40% - Accent3 2 8 2 3 3" xfId="37969"/>
    <cellStyle name="40% - Accent3 2 8 2 3 3 2" xfId="37970"/>
    <cellStyle name="40% - Accent3 2 8 2 3 4" xfId="37971"/>
    <cellStyle name="40% - Accent3 2 8 2 3 5" xfId="37972"/>
    <cellStyle name="40% - Accent3 2 8 2 3 6" xfId="37973"/>
    <cellStyle name="40% - Accent3 2 8 2 3 7" xfId="37974"/>
    <cellStyle name="40% - Accent3 2 8 2 4" xfId="37975"/>
    <cellStyle name="40% - Accent3 2 8 2 4 2" xfId="37976"/>
    <cellStyle name="40% - Accent3 2 8 2 4 2 2" xfId="37977"/>
    <cellStyle name="40% - Accent3 2 8 2 4 3" xfId="37978"/>
    <cellStyle name="40% - Accent3 2 8 2 4 3 2" xfId="37979"/>
    <cellStyle name="40% - Accent3 2 8 2 4 4" xfId="37980"/>
    <cellStyle name="40% - Accent3 2 8 2 4 5" xfId="37981"/>
    <cellStyle name="40% - Accent3 2 8 2 4 6" xfId="37982"/>
    <cellStyle name="40% - Accent3 2 8 2 4 7" xfId="37983"/>
    <cellStyle name="40% - Accent3 2 8 2 5" xfId="37984"/>
    <cellStyle name="40% - Accent3 2 8 2 5 2" xfId="37985"/>
    <cellStyle name="40% - Accent3 2 8 2 6" xfId="37986"/>
    <cellStyle name="40% - Accent3 2 8 2 6 2" xfId="37987"/>
    <cellStyle name="40% - Accent3 2 8 2 7" xfId="37988"/>
    <cellStyle name="40% - Accent3 2 8 2 8" xfId="37989"/>
    <cellStyle name="40% - Accent3 2 8 2 9" xfId="37990"/>
    <cellStyle name="40% - Accent3 2 8 3" xfId="37991"/>
    <cellStyle name="40% - Accent3 2 8 3 2" xfId="37992"/>
    <cellStyle name="40% - Accent3 2 8 3 2 2" xfId="37993"/>
    <cellStyle name="40% - Accent3 2 8 3 3" xfId="37994"/>
    <cellStyle name="40% - Accent3 2 8 3 3 2" xfId="37995"/>
    <cellStyle name="40% - Accent3 2 8 3 4" xfId="37996"/>
    <cellStyle name="40% - Accent3 2 8 3 5" xfId="37997"/>
    <cellStyle name="40% - Accent3 2 8 3 6" xfId="37998"/>
    <cellStyle name="40% - Accent3 2 8 3 7" xfId="37999"/>
    <cellStyle name="40% - Accent3 2 8 4" xfId="38000"/>
    <cellStyle name="40% - Accent3 2 8 4 2" xfId="38001"/>
    <cellStyle name="40% - Accent3 2 8 4 2 2" xfId="38002"/>
    <cellStyle name="40% - Accent3 2 8 4 3" xfId="38003"/>
    <cellStyle name="40% - Accent3 2 8 4 3 2" xfId="38004"/>
    <cellStyle name="40% - Accent3 2 8 4 4" xfId="38005"/>
    <cellStyle name="40% - Accent3 2 8 4 5" xfId="38006"/>
    <cellStyle name="40% - Accent3 2 8 4 6" xfId="38007"/>
    <cellStyle name="40% - Accent3 2 8 4 7" xfId="38008"/>
    <cellStyle name="40% - Accent3 2 8 5" xfId="38009"/>
    <cellStyle name="40% - Accent3 2 8 5 2" xfId="38010"/>
    <cellStyle name="40% - Accent3 2 8 5 2 2" xfId="38011"/>
    <cellStyle name="40% - Accent3 2 8 5 3" xfId="38012"/>
    <cellStyle name="40% - Accent3 2 8 5 3 2" xfId="38013"/>
    <cellStyle name="40% - Accent3 2 8 5 4" xfId="38014"/>
    <cellStyle name="40% - Accent3 2 8 5 5" xfId="38015"/>
    <cellStyle name="40% - Accent3 2 8 5 6" xfId="38016"/>
    <cellStyle name="40% - Accent3 2 8 5 7" xfId="38017"/>
    <cellStyle name="40% - Accent3 2 8 6" xfId="38018"/>
    <cellStyle name="40% - Accent3 2 8 6 2" xfId="38019"/>
    <cellStyle name="40% - Accent3 2 8 7" xfId="38020"/>
    <cellStyle name="40% - Accent3 2 8 7 2" xfId="38021"/>
    <cellStyle name="40% - Accent3 2 8 8" xfId="38022"/>
    <cellStyle name="40% - Accent3 2 8 9" xfId="38023"/>
    <cellStyle name="40% - Accent3 2 9" xfId="38024"/>
    <cellStyle name="40% - Accent3 2 9 10" xfId="38025"/>
    <cellStyle name="40% - Accent3 2 9 2" xfId="38026"/>
    <cellStyle name="40% - Accent3 2 9 2 2" xfId="38027"/>
    <cellStyle name="40% - Accent3 2 9 2 2 2" xfId="38028"/>
    <cellStyle name="40% - Accent3 2 9 2 3" xfId="38029"/>
    <cellStyle name="40% - Accent3 2 9 2 3 2" xfId="38030"/>
    <cellStyle name="40% - Accent3 2 9 2 4" xfId="38031"/>
    <cellStyle name="40% - Accent3 2 9 2 5" xfId="38032"/>
    <cellStyle name="40% - Accent3 2 9 2 6" xfId="38033"/>
    <cellStyle name="40% - Accent3 2 9 2 7" xfId="38034"/>
    <cellStyle name="40% - Accent3 2 9 3" xfId="38035"/>
    <cellStyle name="40% - Accent3 2 9 3 2" xfId="38036"/>
    <cellStyle name="40% - Accent3 2 9 3 2 2" xfId="38037"/>
    <cellStyle name="40% - Accent3 2 9 3 3" xfId="38038"/>
    <cellStyle name="40% - Accent3 2 9 3 3 2" xfId="38039"/>
    <cellStyle name="40% - Accent3 2 9 3 4" xfId="38040"/>
    <cellStyle name="40% - Accent3 2 9 3 5" xfId="38041"/>
    <cellStyle name="40% - Accent3 2 9 3 6" xfId="38042"/>
    <cellStyle name="40% - Accent3 2 9 3 7" xfId="38043"/>
    <cellStyle name="40% - Accent3 2 9 4" xfId="38044"/>
    <cellStyle name="40% - Accent3 2 9 4 2" xfId="38045"/>
    <cellStyle name="40% - Accent3 2 9 4 2 2" xfId="38046"/>
    <cellStyle name="40% - Accent3 2 9 4 3" xfId="38047"/>
    <cellStyle name="40% - Accent3 2 9 4 3 2" xfId="38048"/>
    <cellStyle name="40% - Accent3 2 9 4 4" xfId="38049"/>
    <cellStyle name="40% - Accent3 2 9 4 5" xfId="38050"/>
    <cellStyle name="40% - Accent3 2 9 4 6" xfId="38051"/>
    <cellStyle name="40% - Accent3 2 9 4 7" xfId="38052"/>
    <cellStyle name="40% - Accent3 2 9 5" xfId="38053"/>
    <cellStyle name="40% - Accent3 2 9 5 2" xfId="38054"/>
    <cellStyle name="40% - Accent3 2 9 6" xfId="38055"/>
    <cellStyle name="40% - Accent3 2 9 6 2" xfId="38056"/>
    <cellStyle name="40% - Accent3 2 9 7" xfId="38057"/>
    <cellStyle name="40% - Accent3 2 9 8" xfId="38058"/>
    <cellStyle name="40% - Accent3 2 9 9" xfId="38059"/>
    <cellStyle name="40% - Accent3 2_10-15-10-Stmt AU - Period I - Working 1 0" xfId="309"/>
    <cellStyle name="40% - Accent3 3" xfId="310"/>
    <cellStyle name="40% - Accent3 3 10" xfId="38060"/>
    <cellStyle name="40% - Accent3 3 10 2" xfId="38061"/>
    <cellStyle name="40% - Accent3 3 10 2 2" xfId="38062"/>
    <cellStyle name="40% - Accent3 3 10 3" xfId="38063"/>
    <cellStyle name="40% - Accent3 3 10 3 2" xfId="38064"/>
    <cellStyle name="40% - Accent3 3 10 4" xfId="38065"/>
    <cellStyle name="40% - Accent3 3 10 5" xfId="38066"/>
    <cellStyle name="40% - Accent3 3 10 6" xfId="38067"/>
    <cellStyle name="40% - Accent3 3 10 7" xfId="38068"/>
    <cellStyle name="40% - Accent3 3 11" xfId="38069"/>
    <cellStyle name="40% - Accent3 3 11 2" xfId="38070"/>
    <cellStyle name="40% - Accent3 3 11 2 2" xfId="38071"/>
    <cellStyle name="40% - Accent3 3 11 3" xfId="38072"/>
    <cellStyle name="40% - Accent3 3 11 3 2" xfId="38073"/>
    <cellStyle name="40% - Accent3 3 11 4" xfId="38074"/>
    <cellStyle name="40% - Accent3 3 11 5" xfId="38075"/>
    <cellStyle name="40% - Accent3 3 11 6" xfId="38076"/>
    <cellStyle name="40% - Accent3 3 11 7" xfId="38077"/>
    <cellStyle name="40% - Accent3 3 12" xfId="38078"/>
    <cellStyle name="40% - Accent3 3 12 2" xfId="38079"/>
    <cellStyle name="40% - Accent3 3 12 2 2" xfId="38080"/>
    <cellStyle name="40% - Accent3 3 12 3" xfId="38081"/>
    <cellStyle name="40% - Accent3 3 12 3 2" xfId="38082"/>
    <cellStyle name="40% - Accent3 3 12 4" xfId="38083"/>
    <cellStyle name="40% - Accent3 3 12 5" xfId="38084"/>
    <cellStyle name="40% - Accent3 3 12 6" xfId="38085"/>
    <cellStyle name="40% - Accent3 3 12 7" xfId="38086"/>
    <cellStyle name="40% - Accent3 3 13" xfId="38087"/>
    <cellStyle name="40% - Accent3 3 13 2" xfId="38088"/>
    <cellStyle name="40% - Accent3 3 14" xfId="38089"/>
    <cellStyle name="40% - Accent3 3 14 2" xfId="38090"/>
    <cellStyle name="40% - Accent3 3 15" xfId="38091"/>
    <cellStyle name="40% - Accent3 3 16" xfId="38092"/>
    <cellStyle name="40% - Accent3 3 17" xfId="38093"/>
    <cellStyle name="40% - Accent3 3 18" xfId="38094"/>
    <cellStyle name="40% - Accent3 3 2" xfId="311"/>
    <cellStyle name="40% - Accent3 3 2 10" xfId="38095"/>
    <cellStyle name="40% - Accent3 3 2 11" xfId="38096"/>
    <cellStyle name="40% - Accent3 3 2 12" xfId="38097"/>
    <cellStyle name="40% - Accent3 3 2 13" xfId="38098"/>
    <cellStyle name="40% - Accent3 3 2 2" xfId="38099"/>
    <cellStyle name="40% - Accent3 3 2 2 10" xfId="38100"/>
    <cellStyle name="40% - Accent3 3 2 2 11" xfId="38101"/>
    <cellStyle name="40% - Accent3 3 2 2 2" xfId="38102"/>
    <cellStyle name="40% - Accent3 3 2 2 2 10" xfId="38103"/>
    <cellStyle name="40% - Accent3 3 2 2 2 2" xfId="38104"/>
    <cellStyle name="40% - Accent3 3 2 2 2 2 2" xfId="38105"/>
    <cellStyle name="40% - Accent3 3 2 2 2 2 2 2" xfId="38106"/>
    <cellStyle name="40% - Accent3 3 2 2 2 2 3" xfId="38107"/>
    <cellStyle name="40% - Accent3 3 2 2 2 2 3 2" xfId="38108"/>
    <cellStyle name="40% - Accent3 3 2 2 2 2 4" xfId="38109"/>
    <cellStyle name="40% - Accent3 3 2 2 2 2 5" xfId="38110"/>
    <cellStyle name="40% - Accent3 3 2 2 2 2 6" xfId="38111"/>
    <cellStyle name="40% - Accent3 3 2 2 2 2 7" xfId="38112"/>
    <cellStyle name="40% - Accent3 3 2 2 2 3" xfId="38113"/>
    <cellStyle name="40% - Accent3 3 2 2 2 3 2" xfId="38114"/>
    <cellStyle name="40% - Accent3 3 2 2 2 3 2 2" xfId="38115"/>
    <cellStyle name="40% - Accent3 3 2 2 2 3 3" xfId="38116"/>
    <cellStyle name="40% - Accent3 3 2 2 2 3 3 2" xfId="38117"/>
    <cellStyle name="40% - Accent3 3 2 2 2 3 4" xfId="38118"/>
    <cellStyle name="40% - Accent3 3 2 2 2 3 5" xfId="38119"/>
    <cellStyle name="40% - Accent3 3 2 2 2 3 6" xfId="38120"/>
    <cellStyle name="40% - Accent3 3 2 2 2 3 7" xfId="38121"/>
    <cellStyle name="40% - Accent3 3 2 2 2 4" xfId="38122"/>
    <cellStyle name="40% - Accent3 3 2 2 2 4 2" xfId="38123"/>
    <cellStyle name="40% - Accent3 3 2 2 2 4 2 2" xfId="38124"/>
    <cellStyle name="40% - Accent3 3 2 2 2 4 3" xfId="38125"/>
    <cellStyle name="40% - Accent3 3 2 2 2 4 3 2" xfId="38126"/>
    <cellStyle name="40% - Accent3 3 2 2 2 4 4" xfId="38127"/>
    <cellStyle name="40% - Accent3 3 2 2 2 4 5" xfId="38128"/>
    <cellStyle name="40% - Accent3 3 2 2 2 4 6" xfId="38129"/>
    <cellStyle name="40% - Accent3 3 2 2 2 4 7" xfId="38130"/>
    <cellStyle name="40% - Accent3 3 2 2 2 5" xfId="38131"/>
    <cellStyle name="40% - Accent3 3 2 2 2 5 2" xfId="38132"/>
    <cellStyle name="40% - Accent3 3 2 2 2 6" xfId="38133"/>
    <cellStyle name="40% - Accent3 3 2 2 2 6 2" xfId="38134"/>
    <cellStyle name="40% - Accent3 3 2 2 2 7" xfId="38135"/>
    <cellStyle name="40% - Accent3 3 2 2 2 8" xfId="38136"/>
    <cellStyle name="40% - Accent3 3 2 2 2 9" xfId="38137"/>
    <cellStyle name="40% - Accent3 3 2 2 3" xfId="38138"/>
    <cellStyle name="40% - Accent3 3 2 2 3 2" xfId="38139"/>
    <cellStyle name="40% - Accent3 3 2 2 3 2 2" xfId="38140"/>
    <cellStyle name="40% - Accent3 3 2 2 3 3" xfId="38141"/>
    <cellStyle name="40% - Accent3 3 2 2 3 3 2" xfId="38142"/>
    <cellStyle name="40% - Accent3 3 2 2 3 4" xfId="38143"/>
    <cellStyle name="40% - Accent3 3 2 2 3 5" xfId="38144"/>
    <cellStyle name="40% - Accent3 3 2 2 3 6" xfId="38145"/>
    <cellStyle name="40% - Accent3 3 2 2 3 7" xfId="38146"/>
    <cellStyle name="40% - Accent3 3 2 2 4" xfId="38147"/>
    <cellStyle name="40% - Accent3 3 2 2 4 2" xfId="38148"/>
    <cellStyle name="40% - Accent3 3 2 2 4 2 2" xfId="38149"/>
    <cellStyle name="40% - Accent3 3 2 2 4 3" xfId="38150"/>
    <cellStyle name="40% - Accent3 3 2 2 4 3 2" xfId="38151"/>
    <cellStyle name="40% - Accent3 3 2 2 4 4" xfId="38152"/>
    <cellStyle name="40% - Accent3 3 2 2 4 5" xfId="38153"/>
    <cellStyle name="40% - Accent3 3 2 2 4 6" xfId="38154"/>
    <cellStyle name="40% - Accent3 3 2 2 4 7" xfId="38155"/>
    <cellStyle name="40% - Accent3 3 2 2 5" xfId="38156"/>
    <cellStyle name="40% - Accent3 3 2 2 5 2" xfId="38157"/>
    <cellStyle name="40% - Accent3 3 2 2 5 2 2" xfId="38158"/>
    <cellStyle name="40% - Accent3 3 2 2 5 3" xfId="38159"/>
    <cellStyle name="40% - Accent3 3 2 2 5 3 2" xfId="38160"/>
    <cellStyle name="40% - Accent3 3 2 2 5 4" xfId="38161"/>
    <cellStyle name="40% - Accent3 3 2 2 5 5" xfId="38162"/>
    <cellStyle name="40% - Accent3 3 2 2 5 6" xfId="38163"/>
    <cellStyle name="40% - Accent3 3 2 2 5 7" xfId="38164"/>
    <cellStyle name="40% - Accent3 3 2 2 6" xfId="38165"/>
    <cellStyle name="40% - Accent3 3 2 2 6 2" xfId="38166"/>
    <cellStyle name="40% - Accent3 3 2 2 7" xfId="38167"/>
    <cellStyle name="40% - Accent3 3 2 2 7 2" xfId="38168"/>
    <cellStyle name="40% - Accent3 3 2 2 8" xfId="38169"/>
    <cellStyle name="40% - Accent3 3 2 2 9" xfId="38170"/>
    <cellStyle name="40% - Accent3 3 2 3" xfId="38171"/>
    <cellStyle name="40% - Accent3 3 2 3 10" xfId="38172"/>
    <cellStyle name="40% - Accent3 3 2 3 11" xfId="38173"/>
    <cellStyle name="40% - Accent3 3 2 3 2" xfId="38174"/>
    <cellStyle name="40% - Accent3 3 2 3 2 10" xfId="38175"/>
    <cellStyle name="40% - Accent3 3 2 3 2 2" xfId="38176"/>
    <cellStyle name="40% - Accent3 3 2 3 2 2 2" xfId="38177"/>
    <cellStyle name="40% - Accent3 3 2 3 2 2 2 2" xfId="38178"/>
    <cellStyle name="40% - Accent3 3 2 3 2 2 3" xfId="38179"/>
    <cellStyle name="40% - Accent3 3 2 3 2 2 3 2" xfId="38180"/>
    <cellStyle name="40% - Accent3 3 2 3 2 2 4" xfId="38181"/>
    <cellStyle name="40% - Accent3 3 2 3 2 2 5" xfId="38182"/>
    <cellStyle name="40% - Accent3 3 2 3 2 2 6" xfId="38183"/>
    <cellStyle name="40% - Accent3 3 2 3 2 2 7" xfId="38184"/>
    <cellStyle name="40% - Accent3 3 2 3 2 3" xfId="38185"/>
    <cellStyle name="40% - Accent3 3 2 3 2 3 2" xfId="38186"/>
    <cellStyle name="40% - Accent3 3 2 3 2 3 2 2" xfId="38187"/>
    <cellStyle name="40% - Accent3 3 2 3 2 3 3" xfId="38188"/>
    <cellStyle name="40% - Accent3 3 2 3 2 3 3 2" xfId="38189"/>
    <cellStyle name="40% - Accent3 3 2 3 2 3 4" xfId="38190"/>
    <cellStyle name="40% - Accent3 3 2 3 2 3 5" xfId="38191"/>
    <cellStyle name="40% - Accent3 3 2 3 2 3 6" xfId="38192"/>
    <cellStyle name="40% - Accent3 3 2 3 2 3 7" xfId="38193"/>
    <cellStyle name="40% - Accent3 3 2 3 2 4" xfId="38194"/>
    <cellStyle name="40% - Accent3 3 2 3 2 4 2" xfId="38195"/>
    <cellStyle name="40% - Accent3 3 2 3 2 4 2 2" xfId="38196"/>
    <cellStyle name="40% - Accent3 3 2 3 2 4 3" xfId="38197"/>
    <cellStyle name="40% - Accent3 3 2 3 2 4 3 2" xfId="38198"/>
    <cellStyle name="40% - Accent3 3 2 3 2 4 4" xfId="38199"/>
    <cellStyle name="40% - Accent3 3 2 3 2 4 5" xfId="38200"/>
    <cellStyle name="40% - Accent3 3 2 3 2 4 6" xfId="38201"/>
    <cellStyle name="40% - Accent3 3 2 3 2 4 7" xfId="38202"/>
    <cellStyle name="40% - Accent3 3 2 3 2 5" xfId="38203"/>
    <cellStyle name="40% - Accent3 3 2 3 2 5 2" xfId="38204"/>
    <cellStyle name="40% - Accent3 3 2 3 2 6" xfId="38205"/>
    <cellStyle name="40% - Accent3 3 2 3 2 6 2" xfId="38206"/>
    <cellStyle name="40% - Accent3 3 2 3 2 7" xfId="38207"/>
    <cellStyle name="40% - Accent3 3 2 3 2 8" xfId="38208"/>
    <cellStyle name="40% - Accent3 3 2 3 2 9" xfId="38209"/>
    <cellStyle name="40% - Accent3 3 2 3 3" xfId="38210"/>
    <cellStyle name="40% - Accent3 3 2 3 3 2" xfId="38211"/>
    <cellStyle name="40% - Accent3 3 2 3 3 2 2" xfId="38212"/>
    <cellStyle name="40% - Accent3 3 2 3 3 3" xfId="38213"/>
    <cellStyle name="40% - Accent3 3 2 3 3 3 2" xfId="38214"/>
    <cellStyle name="40% - Accent3 3 2 3 3 4" xfId="38215"/>
    <cellStyle name="40% - Accent3 3 2 3 3 5" xfId="38216"/>
    <cellStyle name="40% - Accent3 3 2 3 3 6" xfId="38217"/>
    <cellStyle name="40% - Accent3 3 2 3 3 7" xfId="38218"/>
    <cellStyle name="40% - Accent3 3 2 3 4" xfId="38219"/>
    <cellStyle name="40% - Accent3 3 2 3 4 2" xfId="38220"/>
    <cellStyle name="40% - Accent3 3 2 3 4 2 2" xfId="38221"/>
    <cellStyle name="40% - Accent3 3 2 3 4 3" xfId="38222"/>
    <cellStyle name="40% - Accent3 3 2 3 4 3 2" xfId="38223"/>
    <cellStyle name="40% - Accent3 3 2 3 4 4" xfId="38224"/>
    <cellStyle name="40% - Accent3 3 2 3 4 5" xfId="38225"/>
    <cellStyle name="40% - Accent3 3 2 3 4 6" xfId="38226"/>
    <cellStyle name="40% - Accent3 3 2 3 4 7" xfId="38227"/>
    <cellStyle name="40% - Accent3 3 2 3 5" xfId="38228"/>
    <cellStyle name="40% - Accent3 3 2 3 5 2" xfId="38229"/>
    <cellStyle name="40% - Accent3 3 2 3 5 2 2" xfId="38230"/>
    <cellStyle name="40% - Accent3 3 2 3 5 3" xfId="38231"/>
    <cellStyle name="40% - Accent3 3 2 3 5 3 2" xfId="38232"/>
    <cellStyle name="40% - Accent3 3 2 3 5 4" xfId="38233"/>
    <cellStyle name="40% - Accent3 3 2 3 5 5" xfId="38234"/>
    <cellStyle name="40% - Accent3 3 2 3 5 6" xfId="38235"/>
    <cellStyle name="40% - Accent3 3 2 3 5 7" xfId="38236"/>
    <cellStyle name="40% - Accent3 3 2 3 6" xfId="38237"/>
    <cellStyle name="40% - Accent3 3 2 3 6 2" xfId="38238"/>
    <cellStyle name="40% - Accent3 3 2 3 7" xfId="38239"/>
    <cellStyle name="40% - Accent3 3 2 3 7 2" xfId="38240"/>
    <cellStyle name="40% - Accent3 3 2 3 8" xfId="38241"/>
    <cellStyle name="40% - Accent3 3 2 3 9" xfId="38242"/>
    <cellStyle name="40% - Accent3 3 2 4" xfId="38243"/>
    <cellStyle name="40% - Accent3 3 2 4 10" xfId="38244"/>
    <cellStyle name="40% - Accent3 3 2 4 2" xfId="38245"/>
    <cellStyle name="40% - Accent3 3 2 4 2 2" xfId="38246"/>
    <cellStyle name="40% - Accent3 3 2 4 2 2 2" xfId="38247"/>
    <cellStyle name="40% - Accent3 3 2 4 2 3" xfId="38248"/>
    <cellStyle name="40% - Accent3 3 2 4 2 3 2" xfId="38249"/>
    <cellStyle name="40% - Accent3 3 2 4 2 4" xfId="38250"/>
    <cellStyle name="40% - Accent3 3 2 4 2 5" xfId="38251"/>
    <cellStyle name="40% - Accent3 3 2 4 2 6" xfId="38252"/>
    <cellStyle name="40% - Accent3 3 2 4 2 7" xfId="38253"/>
    <cellStyle name="40% - Accent3 3 2 4 3" xfId="38254"/>
    <cellStyle name="40% - Accent3 3 2 4 3 2" xfId="38255"/>
    <cellStyle name="40% - Accent3 3 2 4 3 2 2" xfId="38256"/>
    <cellStyle name="40% - Accent3 3 2 4 3 3" xfId="38257"/>
    <cellStyle name="40% - Accent3 3 2 4 3 3 2" xfId="38258"/>
    <cellStyle name="40% - Accent3 3 2 4 3 4" xfId="38259"/>
    <cellStyle name="40% - Accent3 3 2 4 3 5" xfId="38260"/>
    <cellStyle name="40% - Accent3 3 2 4 3 6" xfId="38261"/>
    <cellStyle name="40% - Accent3 3 2 4 3 7" xfId="38262"/>
    <cellStyle name="40% - Accent3 3 2 4 4" xfId="38263"/>
    <cellStyle name="40% - Accent3 3 2 4 4 2" xfId="38264"/>
    <cellStyle name="40% - Accent3 3 2 4 4 2 2" xfId="38265"/>
    <cellStyle name="40% - Accent3 3 2 4 4 3" xfId="38266"/>
    <cellStyle name="40% - Accent3 3 2 4 4 3 2" xfId="38267"/>
    <cellStyle name="40% - Accent3 3 2 4 4 4" xfId="38268"/>
    <cellStyle name="40% - Accent3 3 2 4 4 5" xfId="38269"/>
    <cellStyle name="40% - Accent3 3 2 4 4 6" xfId="38270"/>
    <cellStyle name="40% - Accent3 3 2 4 4 7" xfId="38271"/>
    <cellStyle name="40% - Accent3 3 2 4 5" xfId="38272"/>
    <cellStyle name="40% - Accent3 3 2 4 5 2" xfId="38273"/>
    <cellStyle name="40% - Accent3 3 2 4 6" xfId="38274"/>
    <cellStyle name="40% - Accent3 3 2 4 6 2" xfId="38275"/>
    <cellStyle name="40% - Accent3 3 2 4 7" xfId="38276"/>
    <cellStyle name="40% - Accent3 3 2 4 8" xfId="38277"/>
    <cellStyle name="40% - Accent3 3 2 4 9" xfId="38278"/>
    <cellStyle name="40% - Accent3 3 2 5" xfId="38279"/>
    <cellStyle name="40% - Accent3 3 2 5 2" xfId="38280"/>
    <cellStyle name="40% - Accent3 3 2 5 2 2" xfId="38281"/>
    <cellStyle name="40% - Accent3 3 2 5 3" xfId="38282"/>
    <cellStyle name="40% - Accent3 3 2 5 3 2" xfId="38283"/>
    <cellStyle name="40% - Accent3 3 2 5 4" xfId="38284"/>
    <cellStyle name="40% - Accent3 3 2 5 5" xfId="38285"/>
    <cellStyle name="40% - Accent3 3 2 5 6" xfId="38286"/>
    <cellStyle name="40% - Accent3 3 2 5 7" xfId="38287"/>
    <cellStyle name="40% - Accent3 3 2 6" xfId="38288"/>
    <cellStyle name="40% - Accent3 3 2 6 2" xfId="38289"/>
    <cellStyle name="40% - Accent3 3 2 6 2 2" xfId="38290"/>
    <cellStyle name="40% - Accent3 3 2 6 3" xfId="38291"/>
    <cellStyle name="40% - Accent3 3 2 6 3 2" xfId="38292"/>
    <cellStyle name="40% - Accent3 3 2 6 4" xfId="38293"/>
    <cellStyle name="40% - Accent3 3 2 6 5" xfId="38294"/>
    <cellStyle name="40% - Accent3 3 2 6 6" xfId="38295"/>
    <cellStyle name="40% - Accent3 3 2 6 7" xfId="38296"/>
    <cellStyle name="40% - Accent3 3 2 7" xfId="38297"/>
    <cellStyle name="40% - Accent3 3 2 7 2" xfId="38298"/>
    <cellStyle name="40% - Accent3 3 2 7 2 2" xfId="38299"/>
    <cellStyle name="40% - Accent3 3 2 7 3" xfId="38300"/>
    <cellStyle name="40% - Accent3 3 2 7 3 2" xfId="38301"/>
    <cellStyle name="40% - Accent3 3 2 7 4" xfId="38302"/>
    <cellStyle name="40% - Accent3 3 2 7 5" xfId="38303"/>
    <cellStyle name="40% - Accent3 3 2 7 6" xfId="38304"/>
    <cellStyle name="40% - Accent3 3 2 7 7" xfId="38305"/>
    <cellStyle name="40% - Accent3 3 2 8" xfId="38306"/>
    <cellStyle name="40% - Accent3 3 2 8 2" xfId="38307"/>
    <cellStyle name="40% - Accent3 3 2 9" xfId="38308"/>
    <cellStyle name="40% - Accent3 3 2 9 2" xfId="38309"/>
    <cellStyle name="40% - Accent3 3 3" xfId="312"/>
    <cellStyle name="40% - Accent3 3 3 10" xfId="38310"/>
    <cellStyle name="40% - Accent3 3 3 11" xfId="38311"/>
    <cellStyle name="40% - Accent3 3 3 12" xfId="38312"/>
    <cellStyle name="40% - Accent3 3 3 13" xfId="38313"/>
    <cellStyle name="40% - Accent3 3 3 2" xfId="38314"/>
    <cellStyle name="40% - Accent3 3 3 2 10" xfId="38315"/>
    <cellStyle name="40% - Accent3 3 3 2 11" xfId="38316"/>
    <cellStyle name="40% - Accent3 3 3 2 2" xfId="38317"/>
    <cellStyle name="40% - Accent3 3 3 2 2 10" xfId="38318"/>
    <cellStyle name="40% - Accent3 3 3 2 2 2" xfId="38319"/>
    <cellStyle name="40% - Accent3 3 3 2 2 2 2" xfId="38320"/>
    <cellStyle name="40% - Accent3 3 3 2 2 2 2 2" xfId="38321"/>
    <cellStyle name="40% - Accent3 3 3 2 2 2 3" xfId="38322"/>
    <cellStyle name="40% - Accent3 3 3 2 2 2 3 2" xfId="38323"/>
    <cellStyle name="40% - Accent3 3 3 2 2 2 4" xfId="38324"/>
    <cellStyle name="40% - Accent3 3 3 2 2 2 5" xfId="38325"/>
    <cellStyle name="40% - Accent3 3 3 2 2 2 6" xfId="38326"/>
    <cellStyle name="40% - Accent3 3 3 2 2 2 7" xfId="38327"/>
    <cellStyle name="40% - Accent3 3 3 2 2 3" xfId="38328"/>
    <cellStyle name="40% - Accent3 3 3 2 2 3 2" xfId="38329"/>
    <cellStyle name="40% - Accent3 3 3 2 2 3 2 2" xfId="38330"/>
    <cellStyle name="40% - Accent3 3 3 2 2 3 3" xfId="38331"/>
    <cellStyle name="40% - Accent3 3 3 2 2 3 3 2" xfId="38332"/>
    <cellStyle name="40% - Accent3 3 3 2 2 3 4" xfId="38333"/>
    <cellStyle name="40% - Accent3 3 3 2 2 3 5" xfId="38334"/>
    <cellStyle name="40% - Accent3 3 3 2 2 3 6" xfId="38335"/>
    <cellStyle name="40% - Accent3 3 3 2 2 3 7" xfId="38336"/>
    <cellStyle name="40% - Accent3 3 3 2 2 4" xfId="38337"/>
    <cellStyle name="40% - Accent3 3 3 2 2 4 2" xfId="38338"/>
    <cellStyle name="40% - Accent3 3 3 2 2 4 2 2" xfId="38339"/>
    <cellStyle name="40% - Accent3 3 3 2 2 4 3" xfId="38340"/>
    <cellStyle name="40% - Accent3 3 3 2 2 4 3 2" xfId="38341"/>
    <cellStyle name="40% - Accent3 3 3 2 2 4 4" xfId="38342"/>
    <cellStyle name="40% - Accent3 3 3 2 2 4 5" xfId="38343"/>
    <cellStyle name="40% - Accent3 3 3 2 2 4 6" xfId="38344"/>
    <cellStyle name="40% - Accent3 3 3 2 2 4 7" xfId="38345"/>
    <cellStyle name="40% - Accent3 3 3 2 2 5" xfId="38346"/>
    <cellStyle name="40% - Accent3 3 3 2 2 5 2" xfId="38347"/>
    <cellStyle name="40% - Accent3 3 3 2 2 6" xfId="38348"/>
    <cellStyle name="40% - Accent3 3 3 2 2 6 2" xfId="38349"/>
    <cellStyle name="40% - Accent3 3 3 2 2 7" xfId="38350"/>
    <cellStyle name="40% - Accent3 3 3 2 2 8" xfId="38351"/>
    <cellStyle name="40% - Accent3 3 3 2 2 9" xfId="38352"/>
    <cellStyle name="40% - Accent3 3 3 2 3" xfId="38353"/>
    <cellStyle name="40% - Accent3 3 3 2 3 2" xfId="38354"/>
    <cellStyle name="40% - Accent3 3 3 2 3 2 2" xfId="38355"/>
    <cellStyle name="40% - Accent3 3 3 2 3 3" xfId="38356"/>
    <cellStyle name="40% - Accent3 3 3 2 3 3 2" xfId="38357"/>
    <cellStyle name="40% - Accent3 3 3 2 3 4" xfId="38358"/>
    <cellStyle name="40% - Accent3 3 3 2 3 5" xfId="38359"/>
    <cellStyle name="40% - Accent3 3 3 2 3 6" xfId="38360"/>
    <cellStyle name="40% - Accent3 3 3 2 3 7" xfId="38361"/>
    <cellStyle name="40% - Accent3 3 3 2 4" xfId="38362"/>
    <cellStyle name="40% - Accent3 3 3 2 4 2" xfId="38363"/>
    <cellStyle name="40% - Accent3 3 3 2 4 2 2" xfId="38364"/>
    <cellStyle name="40% - Accent3 3 3 2 4 3" xfId="38365"/>
    <cellStyle name="40% - Accent3 3 3 2 4 3 2" xfId="38366"/>
    <cellStyle name="40% - Accent3 3 3 2 4 4" xfId="38367"/>
    <cellStyle name="40% - Accent3 3 3 2 4 5" xfId="38368"/>
    <cellStyle name="40% - Accent3 3 3 2 4 6" xfId="38369"/>
    <cellStyle name="40% - Accent3 3 3 2 4 7" xfId="38370"/>
    <cellStyle name="40% - Accent3 3 3 2 5" xfId="38371"/>
    <cellStyle name="40% - Accent3 3 3 2 5 2" xfId="38372"/>
    <cellStyle name="40% - Accent3 3 3 2 5 2 2" xfId="38373"/>
    <cellStyle name="40% - Accent3 3 3 2 5 3" xfId="38374"/>
    <cellStyle name="40% - Accent3 3 3 2 5 3 2" xfId="38375"/>
    <cellStyle name="40% - Accent3 3 3 2 5 4" xfId="38376"/>
    <cellStyle name="40% - Accent3 3 3 2 5 5" xfId="38377"/>
    <cellStyle name="40% - Accent3 3 3 2 5 6" xfId="38378"/>
    <cellStyle name="40% - Accent3 3 3 2 5 7" xfId="38379"/>
    <cellStyle name="40% - Accent3 3 3 2 6" xfId="38380"/>
    <cellStyle name="40% - Accent3 3 3 2 6 2" xfId="38381"/>
    <cellStyle name="40% - Accent3 3 3 2 7" xfId="38382"/>
    <cellStyle name="40% - Accent3 3 3 2 7 2" xfId="38383"/>
    <cellStyle name="40% - Accent3 3 3 2 8" xfId="38384"/>
    <cellStyle name="40% - Accent3 3 3 2 9" xfId="38385"/>
    <cellStyle name="40% - Accent3 3 3 3" xfId="38386"/>
    <cellStyle name="40% - Accent3 3 3 3 10" xfId="38387"/>
    <cellStyle name="40% - Accent3 3 3 3 11" xfId="38388"/>
    <cellStyle name="40% - Accent3 3 3 3 2" xfId="38389"/>
    <cellStyle name="40% - Accent3 3 3 3 2 10" xfId="38390"/>
    <cellStyle name="40% - Accent3 3 3 3 2 2" xfId="38391"/>
    <cellStyle name="40% - Accent3 3 3 3 2 2 2" xfId="38392"/>
    <cellStyle name="40% - Accent3 3 3 3 2 2 2 2" xfId="38393"/>
    <cellStyle name="40% - Accent3 3 3 3 2 2 3" xfId="38394"/>
    <cellStyle name="40% - Accent3 3 3 3 2 2 3 2" xfId="38395"/>
    <cellStyle name="40% - Accent3 3 3 3 2 2 4" xfId="38396"/>
    <cellStyle name="40% - Accent3 3 3 3 2 2 5" xfId="38397"/>
    <cellStyle name="40% - Accent3 3 3 3 2 2 6" xfId="38398"/>
    <cellStyle name="40% - Accent3 3 3 3 2 2 7" xfId="38399"/>
    <cellStyle name="40% - Accent3 3 3 3 2 3" xfId="38400"/>
    <cellStyle name="40% - Accent3 3 3 3 2 3 2" xfId="38401"/>
    <cellStyle name="40% - Accent3 3 3 3 2 3 2 2" xfId="38402"/>
    <cellStyle name="40% - Accent3 3 3 3 2 3 3" xfId="38403"/>
    <cellStyle name="40% - Accent3 3 3 3 2 3 3 2" xfId="38404"/>
    <cellStyle name="40% - Accent3 3 3 3 2 3 4" xfId="38405"/>
    <cellStyle name="40% - Accent3 3 3 3 2 3 5" xfId="38406"/>
    <cellStyle name="40% - Accent3 3 3 3 2 3 6" xfId="38407"/>
    <cellStyle name="40% - Accent3 3 3 3 2 3 7" xfId="38408"/>
    <cellStyle name="40% - Accent3 3 3 3 2 4" xfId="38409"/>
    <cellStyle name="40% - Accent3 3 3 3 2 4 2" xfId="38410"/>
    <cellStyle name="40% - Accent3 3 3 3 2 4 2 2" xfId="38411"/>
    <cellStyle name="40% - Accent3 3 3 3 2 4 3" xfId="38412"/>
    <cellStyle name="40% - Accent3 3 3 3 2 4 3 2" xfId="38413"/>
    <cellStyle name="40% - Accent3 3 3 3 2 4 4" xfId="38414"/>
    <cellStyle name="40% - Accent3 3 3 3 2 4 5" xfId="38415"/>
    <cellStyle name="40% - Accent3 3 3 3 2 4 6" xfId="38416"/>
    <cellStyle name="40% - Accent3 3 3 3 2 4 7" xfId="38417"/>
    <cellStyle name="40% - Accent3 3 3 3 2 5" xfId="38418"/>
    <cellStyle name="40% - Accent3 3 3 3 2 5 2" xfId="38419"/>
    <cellStyle name="40% - Accent3 3 3 3 2 6" xfId="38420"/>
    <cellStyle name="40% - Accent3 3 3 3 2 6 2" xfId="38421"/>
    <cellStyle name="40% - Accent3 3 3 3 2 7" xfId="38422"/>
    <cellStyle name="40% - Accent3 3 3 3 2 8" xfId="38423"/>
    <cellStyle name="40% - Accent3 3 3 3 2 9" xfId="38424"/>
    <cellStyle name="40% - Accent3 3 3 3 3" xfId="38425"/>
    <cellStyle name="40% - Accent3 3 3 3 3 2" xfId="38426"/>
    <cellStyle name="40% - Accent3 3 3 3 3 2 2" xfId="38427"/>
    <cellStyle name="40% - Accent3 3 3 3 3 3" xfId="38428"/>
    <cellStyle name="40% - Accent3 3 3 3 3 3 2" xfId="38429"/>
    <cellStyle name="40% - Accent3 3 3 3 3 4" xfId="38430"/>
    <cellStyle name="40% - Accent3 3 3 3 3 5" xfId="38431"/>
    <cellStyle name="40% - Accent3 3 3 3 3 6" xfId="38432"/>
    <cellStyle name="40% - Accent3 3 3 3 3 7" xfId="38433"/>
    <cellStyle name="40% - Accent3 3 3 3 4" xfId="38434"/>
    <cellStyle name="40% - Accent3 3 3 3 4 2" xfId="38435"/>
    <cellStyle name="40% - Accent3 3 3 3 4 2 2" xfId="38436"/>
    <cellStyle name="40% - Accent3 3 3 3 4 3" xfId="38437"/>
    <cellStyle name="40% - Accent3 3 3 3 4 3 2" xfId="38438"/>
    <cellStyle name="40% - Accent3 3 3 3 4 4" xfId="38439"/>
    <cellStyle name="40% - Accent3 3 3 3 4 5" xfId="38440"/>
    <cellStyle name="40% - Accent3 3 3 3 4 6" xfId="38441"/>
    <cellStyle name="40% - Accent3 3 3 3 4 7" xfId="38442"/>
    <cellStyle name="40% - Accent3 3 3 3 5" xfId="38443"/>
    <cellStyle name="40% - Accent3 3 3 3 5 2" xfId="38444"/>
    <cellStyle name="40% - Accent3 3 3 3 5 2 2" xfId="38445"/>
    <cellStyle name="40% - Accent3 3 3 3 5 3" xfId="38446"/>
    <cellStyle name="40% - Accent3 3 3 3 5 3 2" xfId="38447"/>
    <cellStyle name="40% - Accent3 3 3 3 5 4" xfId="38448"/>
    <cellStyle name="40% - Accent3 3 3 3 5 5" xfId="38449"/>
    <cellStyle name="40% - Accent3 3 3 3 5 6" xfId="38450"/>
    <cellStyle name="40% - Accent3 3 3 3 5 7" xfId="38451"/>
    <cellStyle name="40% - Accent3 3 3 3 6" xfId="38452"/>
    <cellStyle name="40% - Accent3 3 3 3 6 2" xfId="38453"/>
    <cellStyle name="40% - Accent3 3 3 3 7" xfId="38454"/>
    <cellStyle name="40% - Accent3 3 3 3 7 2" xfId="38455"/>
    <cellStyle name="40% - Accent3 3 3 3 8" xfId="38456"/>
    <cellStyle name="40% - Accent3 3 3 3 9" xfId="38457"/>
    <cellStyle name="40% - Accent3 3 3 4" xfId="38458"/>
    <cellStyle name="40% - Accent3 3 3 4 10" xfId="38459"/>
    <cellStyle name="40% - Accent3 3 3 4 2" xfId="38460"/>
    <cellStyle name="40% - Accent3 3 3 4 2 2" xfId="38461"/>
    <cellStyle name="40% - Accent3 3 3 4 2 2 2" xfId="38462"/>
    <cellStyle name="40% - Accent3 3 3 4 2 3" xfId="38463"/>
    <cellStyle name="40% - Accent3 3 3 4 2 3 2" xfId="38464"/>
    <cellStyle name="40% - Accent3 3 3 4 2 4" xfId="38465"/>
    <cellStyle name="40% - Accent3 3 3 4 2 5" xfId="38466"/>
    <cellStyle name="40% - Accent3 3 3 4 2 6" xfId="38467"/>
    <cellStyle name="40% - Accent3 3 3 4 2 7" xfId="38468"/>
    <cellStyle name="40% - Accent3 3 3 4 3" xfId="38469"/>
    <cellStyle name="40% - Accent3 3 3 4 3 2" xfId="38470"/>
    <cellStyle name="40% - Accent3 3 3 4 3 2 2" xfId="38471"/>
    <cellStyle name="40% - Accent3 3 3 4 3 3" xfId="38472"/>
    <cellStyle name="40% - Accent3 3 3 4 3 3 2" xfId="38473"/>
    <cellStyle name="40% - Accent3 3 3 4 3 4" xfId="38474"/>
    <cellStyle name="40% - Accent3 3 3 4 3 5" xfId="38475"/>
    <cellStyle name="40% - Accent3 3 3 4 3 6" xfId="38476"/>
    <cellStyle name="40% - Accent3 3 3 4 3 7" xfId="38477"/>
    <cellStyle name="40% - Accent3 3 3 4 4" xfId="38478"/>
    <cellStyle name="40% - Accent3 3 3 4 4 2" xfId="38479"/>
    <cellStyle name="40% - Accent3 3 3 4 4 2 2" xfId="38480"/>
    <cellStyle name="40% - Accent3 3 3 4 4 3" xfId="38481"/>
    <cellStyle name="40% - Accent3 3 3 4 4 3 2" xfId="38482"/>
    <cellStyle name="40% - Accent3 3 3 4 4 4" xfId="38483"/>
    <cellStyle name="40% - Accent3 3 3 4 4 5" xfId="38484"/>
    <cellStyle name="40% - Accent3 3 3 4 4 6" xfId="38485"/>
    <cellStyle name="40% - Accent3 3 3 4 4 7" xfId="38486"/>
    <cellStyle name="40% - Accent3 3 3 4 5" xfId="38487"/>
    <cellStyle name="40% - Accent3 3 3 4 5 2" xfId="38488"/>
    <cellStyle name="40% - Accent3 3 3 4 6" xfId="38489"/>
    <cellStyle name="40% - Accent3 3 3 4 6 2" xfId="38490"/>
    <cellStyle name="40% - Accent3 3 3 4 7" xfId="38491"/>
    <cellStyle name="40% - Accent3 3 3 4 8" xfId="38492"/>
    <cellStyle name="40% - Accent3 3 3 4 9" xfId="38493"/>
    <cellStyle name="40% - Accent3 3 3 5" xfId="38494"/>
    <cellStyle name="40% - Accent3 3 3 5 2" xfId="38495"/>
    <cellStyle name="40% - Accent3 3 3 5 2 2" xfId="38496"/>
    <cellStyle name="40% - Accent3 3 3 5 3" xfId="38497"/>
    <cellStyle name="40% - Accent3 3 3 5 3 2" xfId="38498"/>
    <cellStyle name="40% - Accent3 3 3 5 4" xfId="38499"/>
    <cellStyle name="40% - Accent3 3 3 5 5" xfId="38500"/>
    <cellStyle name="40% - Accent3 3 3 5 6" xfId="38501"/>
    <cellStyle name="40% - Accent3 3 3 5 7" xfId="38502"/>
    <cellStyle name="40% - Accent3 3 3 6" xfId="38503"/>
    <cellStyle name="40% - Accent3 3 3 6 2" xfId="38504"/>
    <cellStyle name="40% - Accent3 3 3 6 2 2" xfId="38505"/>
    <cellStyle name="40% - Accent3 3 3 6 3" xfId="38506"/>
    <cellStyle name="40% - Accent3 3 3 6 3 2" xfId="38507"/>
    <cellStyle name="40% - Accent3 3 3 6 4" xfId="38508"/>
    <cellStyle name="40% - Accent3 3 3 6 5" xfId="38509"/>
    <cellStyle name="40% - Accent3 3 3 6 6" xfId="38510"/>
    <cellStyle name="40% - Accent3 3 3 6 7" xfId="38511"/>
    <cellStyle name="40% - Accent3 3 3 7" xfId="38512"/>
    <cellStyle name="40% - Accent3 3 3 7 2" xfId="38513"/>
    <cellStyle name="40% - Accent3 3 3 7 2 2" xfId="38514"/>
    <cellStyle name="40% - Accent3 3 3 7 3" xfId="38515"/>
    <cellStyle name="40% - Accent3 3 3 7 3 2" xfId="38516"/>
    <cellStyle name="40% - Accent3 3 3 7 4" xfId="38517"/>
    <cellStyle name="40% - Accent3 3 3 7 5" xfId="38518"/>
    <cellStyle name="40% - Accent3 3 3 7 6" xfId="38519"/>
    <cellStyle name="40% - Accent3 3 3 7 7" xfId="38520"/>
    <cellStyle name="40% - Accent3 3 3 8" xfId="38521"/>
    <cellStyle name="40% - Accent3 3 3 8 2" xfId="38522"/>
    <cellStyle name="40% - Accent3 3 3 9" xfId="38523"/>
    <cellStyle name="40% - Accent3 3 3 9 2" xfId="38524"/>
    <cellStyle name="40% - Accent3 3 4" xfId="38525"/>
    <cellStyle name="40% - Accent3 3 4 10" xfId="38526"/>
    <cellStyle name="40% - Accent3 3 4 11" xfId="38527"/>
    <cellStyle name="40% - Accent3 3 4 12" xfId="38528"/>
    <cellStyle name="40% - Accent3 3 4 13" xfId="38529"/>
    <cellStyle name="40% - Accent3 3 4 2" xfId="38530"/>
    <cellStyle name="40% - Accent3 3 4 2 10" xfId="38531"/>
    <cellStyle name="40% - Accent3 3 4 2 11" xfId="38532"/>
    <cellStyle name="40% - Accent3 3 4 2 2" xfId="38533"/>
    <cellStyle name="40% - Accent3 3 4 2 2 10" xfId="38534"/>
    <cellStyle name="40% - Accent3 3 4 2 2 2" xfId="38535"/>
    <cellStyle name="40% - Accent3 3 4 2 2 2 2" xfId="38536"/>
    <cellStyle name="40% - Accent3 3 4 2 2 2 2 2" xfId="38537"/>
    <cellStyle name="40% - Accent3 3 4 2 2 2 3" xfId="38538"/>
    <cellStyle name="40% - Accent3 3 4 2 2 2 3 2" xfId="38539"/>
    <cellStyle name="40% - Accent3 3 4 2 2 2 4" xfId="38540"/>
    <cellStyle name="40% - Accent3 3 4 2 2 2 5" xfId="38541"/>
    <cellStyle name="40% - Accent3 3 4 2 2 2 6" xfId="38542"/>
    <cellStyle name="40% - Accent3 3 4 2 2 2 7" xfId="38543"/>
    <cellStyle name="40% - Accent3 3 4 2 2 3" xfId="38544"/>
    <cellStyle name="40% - Accent3 3 4 2 2 3 2" xfId="38545"/>
    <cellStyle name="40% - Accent3 3 4 2 2 3 2 2" xfId="38546"/>
    <cellStyle name="40% - Accent3 3 4 2 2 3 3" xfId="38547"/>
    <cellStyle name="40% - Accent3 3 4 2 2 3 3 2" xfId="38548"/>
    <cellStyle name="40% - Accent3 3 4 2 2 3 4" xfId="38549"/>
    <cellStyle name="40% - Accent3 3 4 2 2 3 5" xfId="38550"/>
    <cellStyle name="40% - Accent3 3 4 2 2 3 6" xfId="38551"/>
    <cellStyle name="40% - Accent3 3 4 2 2 3 7" xfId="38552"/>
    <cellStyle name="40% - Accent3 3 4 2 2 4" xfId="38553"/>
    <cellStyle name="40% - Accent3 3 4 2 2 4 2" xfId="38554"/>
    <cellStyle name="40% - Accent3 3 4 2 2 4 2 2" xfId="38555"/>
    <cellStyle name="40% - Accent3 3 4 2 2 4 3" xfId="38556"/>
    <cellStyle name="40% - Accent3 3 4 2 2 4 3 2" xfId="38557"/>
    <cellStyle name="40% - Accent3 3 4 2 2 4 4" xfId="38558"/>
    <cellStyle name="40% - Accent3 3 4 2 2 4 5" xfId="38559"/>
    <cellStyle name="40% - Accent3 3 4 2 2 4 6" xfId="38560"/>
    <cellStyle name="40% - Accent3 3 4 2 2 4 7" xfId="38561"/>
    <cellStyle name="40% - Accent3 3 4 2 2 5" xfId="38562"/>
    <cellStyle name="40% - Accent3 3 4 2 2 5 2" xfId="38563"/>
    <cellStyle name="40% - Accent3 3 4 2 2 6" xfId="38564"/>
    <cellStyle name="40% - Accent3 3 4 2 2 6 2" xfId="38565"/>
    <cellStyle name="40% - Accent3 3 4 2 2 7" xfId="38566"/>
    <cellStyle name="40% - Accent3 3 4 2 2 8" xfId="38567"/>
    <cellStyle name="40% - Accent3 3 4 2 2 9" xfId="38568"/>
    <cellStyle name="40% - Accent3 3 4 2 3" xfId="38569"/>
    <cellStyle name="40% - Accent3 3 4 2 3 2" xfId="38570"/>
    <cellStyle name="40% - Accent3 3 4 2 3 2 2" xfId="38571"/>
    <cellStyle name="40% - Accent3 3 4 2 3 3" xfId="38572"/>
    <cellStyle name="40% - Accent3 3 4 2 3 3 2" xfId="38573"/>
    <cellStyle name="40% - Accent3 3 4 2 3 4" xfId="38574"/>
    <cellStyle name="40% - Accent3 3 4 2 3 5" xfId="38575"/>
    <cellStyle name="40% - Accent3 3 4 2 3 6" xfId="38576"/>
    <cellStyle name="40% - Accent3 3 4 2 3 7" xfId="38577"/>
    <cellStyle name="40% - Accent3 3 4 2 4" xfId="38578"/>
    <cellStyle name="40% - Accent3 3 4 2 4 2" xfId="38579"/>
    <cellStyle name="40% - Accent3 3 4 2 4 2 2" xfId="38580"/>
    <cellStyle name="40% - Accent3 3 4 2 4 3" xfId="38581"/>
    <cellStyle name="40% - Accent3 3 4 2 4 3 2" xfId="38582"/>
    <cellStyle name="40% - Accent3 3 4 2 4 4" xfId="38583"/>
    <cellStyle name="40% - Accent3 3 4 2 4 5" xfId="38584"/>
    <cellStyle name="40% - Accent3 3 4 2 4 6" xfId="38585"/>
    <cellStyle name="40% - Accent3 3 4 2 4 7" xfId="38586"/>
    <cellStyle name="40% - Accent3 3 4 2 5" xfId="38587"/>
    <cellStyle name="40% - Accent3 3 4 2 5 2" xfId="38588"/>
    <cellStyle name="40% - Accent3 3 4 2 5 2 2" xfId="38589"/>
    <cellStyle name="40% - Accent3 3 4 2 5 3" xfId="38590"/>
    <cellStyle name="40% - Accent3 3 4 2 5 3 2" xfId="38591"/>
    <cellStyle name="40% - Accent3 3 4 2 5 4" xfId="38592"/>
    <cellStyle name="40% - Accent3 3 4 2 5 5" xfId="38593"/>
    <cellStyle name="40% - Accent3 3 4 2 5 6" xfId="38594"/>
    <cellStyle name="40% - Accent3 3 4 2 5 7" xfId="38595"/>
    <cellStyle name="40% - Accent3 3 4 2 6" xfId="38596"/>
    <cellStyle name="40% - Accent3 3 4 2 6 2" xfId="38597"/>
    <cellStyle name="40% - Accent3 3 4 2 7" xfId="38598"/>
    <cellStyle name="40% - Accent3 3 4 2 7 2" xfId="38599"/>
    <cellStyle name="40% - Accent3 3 4 2 8" xfId="38600"/>
    <cellStyle name="40% - Accent3 3 4 2 9" xfId="38601"/>
    <cellStyle name="40% - Accent3 3 4 3" xfId="38602"/>
    <cellStyle name="40% - Accent3 3 4 3 10" xfId="38603"/>
    <cellStyle name="40% - Accent3 3 4 3 11" xfId="38604"/>
    <cellStyle name="40% - Accent3 3 4 3 2" xfId="38605"/>
    <cellStyle name="40% - Accent3 3 4 3 2 10" xfId="38606"/>
    <cellStyle name="40% - Accent3 3 4 3 2 2" xfId="38607"/>
    <cellStyle name="40% - Accent3 3 4 3 2 2 2" xfId="38608"/>
    <cellStyle name="40% - Accent3 3 4 3 2 2 2 2" xfId="38609"/>
    <cellStyle name="40% - Accent3 3 4 3 2 2 3" xfId="38610"/>
    <cellStyle name="40% - Accent3 3 4 3 2 2 3 2" xfId="38611"/>
    <cellStyle name="40% - Accent3 3 4 3 2 2 4" xfId="38612"/>
    <cellStyle name="40% - Accent3 3 4 3 2 2 5" xfId="38613"/>
    <cellStyle name="40% - Accent3 3 4 3 2 2 6" xfId="38614"/>
    <cellStyle name="40% - Accent3 3 4 3 2 2 7" xfId="38615"/>
    <cellStyle name="40% - Accent3 3 4 3 2 3" xfId="38616"/>
    <cellStyle name="40% - Accent3 3 4 3 2 3 2" xfId="38617"/>
    <cellStyle name="40% - Accent3 3 4 3 2 3 2 2" xfId="38618"/>
    <cellStyle name="40% - Accent3 3 4 3 2 3 3" xfId="38619"/>
    <cellStyle name="40% - Accent3 3 4 3 2 3 3 2" xfId="38620"/>
    <cellStyle name="40% - Accent3 3 4 3 2 3 4" xfId="38621"/>
    <cellStyle name="40% - Accent3 3 4 3 2 3 5" xfId="38622"/>
    <cellStyle name="40% - Accent3 3 4 3 2 3 6" xfId="38623"/>
    <cellStyle name="40% - Accent3 3 4 3 2 3 7" xfId="38624"/>
    <cellStyle name="40% - Accent3 3 4 3 2 4" xfId="38625"/>
    <cellStyle name="40% - Accent3 3 4 3 2 4 2" xfId="38626"/>
    <cellStyle name="40% - Accent3 3 4 3 2 4 2 2" xfId="38627"/>
    <cellStyle name="40% - Accent3 3 4 3 2 4 3" xfId="38628"/>
    <cellStyle name="40% - Accent3 3 4 3 2 4 3 2" xfId="38629"/>
    <cellStyle name="40% - Accent3 3 4 3 2 4 4" xfId="38630"/>
    <cellStyle name="40% - Accent3 3 4 3 2 4 5" xfId="38631"/>
    <cellStyle name="40% - Accent3 3 4 3 2 4 6" xfId="38632"/>
    <cellStyle name="40% - Accent3 3 4 3 2 4 7" xfId="38633"/>
    <cellStyle name="40% - Accent3 3 4 3 2 5" xfId="38634"/>
    <cellStyle name="40% - Accent3 3 4 3 2 5 2" xfId="38635"/>
    <cellStyle name="40% - Accent3 3 4 3 2 6" xfId="38636"/>
    <cellStyle name="40% - Accent3 3 4 3 2 6 2" xfId="38637"/>
    <cellStyle name="40% - Accent3 3 4 3 2 7" xfId="38638"/>
    <cellStyle name="40% - Accent3 3 4 3 2 8" xfId="38639"/>
    <cellStyle name="40% - Accent3 3 4 3 2 9" xfId="38640"/>
    <cellStyle name="40% - Accent3 3 4 3 3" xfId="38641"/>
    <cellStyle name="40% - Accent3 3 4 3 3 2" xfId="38642"/>
    <cellStyle name="40% - Accent3 3 4 3 3 2 2" xfId="38643"/>
    <cellStyle name="40% - Accent3 3 4 3 3 3" xfId="38644"/>
    <cellStyle name="40% - Accent3 3 4 3 3 3 2" xfId="38645"/>
    <cellStyle name="40% - Accent3 3 4 3 3 4" xfId="38646"/>
    <cellStyle name="40% - Accent3 3 4 3 3 5" xfId="38647"/>
    <cellStyle name="40% - Accent3 3 4 3 3 6" xfId="38648"/>
    <cellStyle name="40% - Accent3 3 4 3 3 7" xfId="38649"/>
    <cellStyle name="40% - Accent3 3 4 3 4" xfId="38650"/>
    <cellStyle name="40% - Accent3 3 4 3 4 2" xfId="38651"/>
    <cellStyle name="40% - Accent3 3 4 3 4 2 2" xfId="38652"/>
    <cellStyle name="40% - Accent3 3 4 3 4 3" xfId="38653"/>
    <cellStyle name="40% - Accent3 3 4 3 4 3 2" xfId="38654"/>
    <cellStyle name="40% - Accent3 3 4 3 4 4" xfId="38655"/>
    <cellStyle name="40% - Accent3 3 4 3 4 5" xfId="38656"/>
    <cellStyle name="40% - Accent3 3 4 3 4 6" xfId="38657"/>
    <cellStyle name="40% - Accent3 3 4 3 4 7" xfId="38658"/>
    <cellStyle name="40% - Accent3 3 4 3 5" xfId="38659"/>
    <cellStyle name="40% - Accent3 3 4 3 5 2" xfId="38660"/>
    <cellStyle name="40% - Accent3 3 4 3 5 2 2" xfId="38661"/>
    <cellStyle name="40% - Accent3 3 4 3 5 3" xfId="38662"/>
    <cellStyle name="40% - Accent3 3 4 3 5 3 2" xfId="38663"/>
    <cellStyle name="40% - Accent3 3 4 3 5 4" xfId="38664"/>
    <cellStyle name="40% - Accent3 3 4 3 5 5" xfId="38665"/>
    <cellStyle name="40% - Accent3 3 4 3 5 6" xfId="38666"/>
    <cellStyle name="40% - Accent3 3 4 3 5 7" xfId="38667"/>
    <cellStyle name="40% - Accent3 3 4 3 6" xfId="38668"/>
    <cellStyle name="40% - Accent3 3 4 3 6 2" xfId="38669"/>
    <cellStyle name="40% - Accent3 3 4 3 7" xfId="38670"/>
    <cellStyle name="40% - Accent3 3 4 3 7 2" xfId="38671"/>
    <cellStyle name="40% - Accent3 3 4 3 8" xfId="38672"/>
    <cellStyle name="40% - Accent3 3 4 3 9" xfId="38673"/>
    <cellStyle name="40% - Accent3 3 4 4" xfId="38674"/>
    <cellStyle name="40% - Accent3 3 4 4 10" xfId="38675"/>
    <cellStyle name="40% - Accent3 3 4 4 2" xfId="38676"/>
    <cellStyle name="40% - Accent3 3 4 4 2 2" xfId="38677"/>
    <cellStyle name="40% - Accent3 3 4 4 2 2 2" xfId="38678"/>
    <cellStyle name="40% - Accent3 3 4 4 2 3" xfId="38679"/>
    <cellStyle name="40% - Accent3 3 4 4 2 3 2" xfId="38680"/>
    <cellStyle name="40% - Accent3 3 4 4 2 4" xfId="38681"/>
    <cellStyle name="40% - Accent3 3 4 4 2 5" xfId="38682"/>
    <cellStyle name="40% - Accent3 3 4 4 2 6" xfId="38683"/>
    <cellStyle name="40% - Accent3 3 4 4 2 7" xfId="38684"/>
    <cellStyle name="40% - Accent3 3 4 4 3" xfId="38685"/>
    <cellStyle name="40% - Accent3 3 4 4 3 2" xfId="38686"/>
    <cellStyle name="40% - Accent3 3 4 4 3 2 2" xfId="38687"/>
    <cellStyle name="40% - Accent3 3 4 4 3 3" xfId="38688"/>
    <cellStyle name="40% - Accent3 3 4 4 3 3 2" xfId="38689"/>
    <cellStyle name="40% - Accent3 3 4 4 3 4" xfId="38690"/>
    <cellStyle name="40% - Accent3 3 4 4 3 5" xfId="38691"/>
    <cellStyle name="40% - Accent3 3 4 4 3 6" xfId="38692"/>
    <cellStyle name="40% - Accent3 3 4 4 3 7" xfId="38693"/>
    <cellStyle name="40% - Accent3 3 4 4 4" xfId="38694"/>
    <cellStyle name="40% - Accent3 3 4 4 4 2" xfId="38695"/>
    <cellStyle name="40% - Accent3 3 4 4 4 2 2" xfId="38696"/>
    <cellStyle name="40% - Accent3 3 4 4 4 3" xfId="38697"/>
    <cellStyle name="40% - Accent3 3 4 4 4 3 2" xfId="38698"/>
    <cellStyle name="40% - Accent3 3 4 4 4 4" xfId="38699"/>
    <cellStyle name="40% - Accent3 3 4 4 4 5" xfId="38700"/>
    <cellStyle name="40% - Accent3 3 4 4 4 6" xfId="38701"/>
    <cellStyle name="40% - Accent3 3 4 4 4 7" xfId="38702"/>
    <cellStyle name="40% - Accent3 3 4 4 5" xfId="38703"/>
    <cellStyle name="40% - Accent3 3 4 4 5 2" xfId="38704"/>
    <cellStyle name="40% - Accent3 3 4 4 6" xfId="38705"/>
    <cellStyle name="40% - Accent3 3 4 4 6 2" xfId="38706"/>
    <cellStyle name="40% - Accent3 3 4 4 7" xfId="38707"/>
    <cellStyle name="40% - Accent3 3 4 4 8" xfId="38708"/>
    <cellStyle name="40% - Accent3 3 4 4 9" xfId="38709"/>
    <cellStyle name="40% - Accent3 3 4 5" xfId="38710"/>
    <cellStyle name="40% - Accent3 3 4 5 2" xfId="38711"/>
    <cellStyle name="40% - Accent3 3 4 5 2 2" xfId="38712"/>
    <cellStyle name="40% - Accent3 3 4 5 3" xfId="38713"/>
    <cellStyle name="40% - Accent3 3 4 5 3 2" xfId="38714"/>
    <cellStyle name="40% - Accent3 3 4 5 4" xfId="38715"/>
    <cellStyle name="40% - Accent3 3 4 5 5" xfId="38716"/>
    <cellStyle name="40% - Accent3 3 4 5 6" xfId="38717"/>
    <cellStyle name="40% - Accent3 3 4 5 7" xfId="38718"/>
    <cellStyle name="40% - Accent3 3 4 6" xfId="38719"/>
    <cellStyle name="40% - Accent3 3 4 6 2" xfId="38720"/>
    <cellStyle name="40% - Accent3 3 4 6 2 2" xfId="38721"/>
    <cellStyle name="40% - Accent3 3 4 6 3" xfId="38722"/>
    <cellStyle name="40% - Accent3 3 4 6 3 2" xfId="38723"/>
    <cellStyle name="40% - Accent3 3 4 6 4" xfId="38724"/>
    <cellStyle name="40% - Accent3 3 4 6 5" xfId="38725"/>
    <cellStyle name="40% - Accent3 3 4 6 6" xfId="38726"/>
    <cellStyle name="40% - Accent3 3 4 6 7" xfId="38727"/>
    <cellStyle name="40% - Accent3 3 4 7" xfId="38728"/>
    <cellStyle name="40% - Accent3 3 4 7 2" xfId="38729"/>
    <cellStyle name="40% - Accent3 3 4 7 2 2" xfId="38730"/>
    <cellStyle name="40% - Accent3 3 4 7 3" xfId="38731"/>
    <cellStyle name="40% - Accent3 3 4 7 3 2" xfId="38732"/>
    <cellStyle name="40% - Accent3 3 4 7 4" xfId="38733"/>
    <cellStyle name="40% - Accent3 3 4 7 5" xfId="38734"/>
    <cellStyle name="40% - Accent3 3 4 7 6" xfId="38735"/>
    <cellStyle name="40% - Accent3 3 4 7 7" xfId="38736"/>
    <cellStyle name="40% - Accent3 3 4 8" xfId="38737"/>
    <cellStyle name="40% - Accent3 3 4 8 2" xfId="38738"/>
    <cellStyle name="40% - Accent3 3 4 9" xfId="38739"/>
    <cellStyle name="40% - Accent3 3 4 9 2" xfId="38740"/>
    <cellStyle name="40% - Accent3 3 5" xfId="38741"/>
    <cellStyle name="40% - Accent3 3 5 10" xfId="38742"/>
    <cellStyle name="40% - Accent3 3 5 11" xfId="38743"/>
    <cellStyle name="40% - Accent3 3 5 12" xfId="38744"/>
    <cellStyle name="40% - Accent3 3 5 13" xfId="38745"/>
    <cellStyle name="40% - Accent3 3 5 2" xfId="38746"/>
    <cellStyle name="40% - Accent3 3 5 2 10" xfId="38747"/>
    <cellStyle name="40% - Accent3 3 5 2 11" xfId="38748"/>
    <cellStyle name="40% - Accent3 3 5 2 2" xfId="38749"/>
    <cellStyle name="40% - Accent3 3 5 2 2 10" xfId="38750"/>
    <cellStyle name="40% - Accent3 3 5 2 2 2" xfId="38751"/>
    <cellStyle name="40% - Accent3 3 5 2 2 2 2" xfId="38752"/>
    <cellStyle name="40% - Accent3 3 5 2 2 2 2 2" xfId="38753"/>
    <cellStyle name="40% - Accent3 3 5 2 2 2 3" xfId="38754"/>
    <cellStyle name="40% - Accent3 3 5 2 2 2 3 2" xfId="38755"/>
    <cellStyle name="40% - Accent3 3 5 2 2 2 4" xfId="38756"/>
    <cellStyle name="40% - Accent3 3 5 2 2 2 5" xfId="38757"/>
    <cellStyle name="40% - Accent3 3 5 2 2 2 6" xfId="38758"/>
    <cellStyle name="40% - Accent3 3 5 2 2 2 7" xfId="38759"/>
    <cellStyle name="40% - Accent3 3 5 2 2 3" xfId="38760"/>
    <cellStyle name="40% - Accent3 3 5 2 2 3 2" xfId="38761"/>
    <cellStyle name="40% - Accent3 3 5 2 2 3 2 2" xfId="38762"/>
    <cellStyle name="40% - Accent3 3 5 2 2 3 3" xfId="38763"/>
    <cellStyle name="40% - Accent3 3 5 2 2 3 3 2" xfId="38764"/>
    <cellStyle name="40% - Accent3 3 5 2 2 3 4" xfId="38765"/>
    <cellStyle name="40% - Accent3 3 5 2 2 3 5" xfId="38766"/>
    <cellStyle name="40% - Accent3 3 5 2 2 3 6" xfId="38767"/>
    <cellStyle name="40% - Accent3 3 5 2 2 3 7" xfId="38768"/>
    <cellStyle name="40% - Accent3 3 5 2 2 4" xfId="38769"/>
    <cellStyle name="40% - Accent3 3 5 2 2 4 2" xfId="38770"/>
    <cellStyle name="40% - Accent3 3 5 2 2 4 2 2" xfId="38771"/>
    <cellStyle name="40% - Accent3 3 5 2 2 4 3" xfId="38772"/>
    <cellStyle name="40% - Accent3 3 5 2 2 4 3 2" xfId="38773"/>
    <cellStyle name="40% - Accent3 3 5 2 2 4 4" xfId="38774"/>
    <cellStyle name="40% - Accent3 3 5 2 2 4 5" xfId="38775"/>
    <cellStyle name="40% - Accent3 3 5 2 2 4 6" xfId="38776"/>
    <cellStyle name="40% - Accent3 3 5 2 2 4 7" xfId="38777"/>
    <cellStyle name="40% - Accent3 3 5 2 2 5" xfId="38778"/>
    <cellStyle name="40% - Accent3 3 5 2 2 5 2" xfId="38779"/>
    <cellStyle name="40% - Accent3 3 5 2 2 6" xfId="38780"/>
    <cellStyle name="40% - Accent3 3 5 2 2 6 2" xfId="38781"/>
    <cellStyle name="40% - Accent3 3 5 2 2 7" xfId="38782"/>
    <cellStyle name="40% - Accent3 3 5 2 2 8" xfId="38783"/>
    <cellStyle name="40% - Accent3 3 5 2 2 9" xfId="38784"/>
    <cellStyle name="40% - Accent3 3 5 2 3" xfId="38785"/>
    <cellStyle name="40% - Accent3 3 5 2 3 2" xfId="38786"/>
    <cellStyle name="40% - Accent3 3 5 2 3 2 2" xfId="38787"/>
    <cellStyle name="40% - Accent3 3 5 2 3 3" xfId="38788"/>
    <cellStyle name="40% - Accent3 3 5 2 3 3 2" xfId="38789"/>
    <cellStyle name="40% - Accent3 3 5 2 3 4" xfId="38790"/>
    <cellStyle name="40% - Accent3 3 5 2 3 5" xfId="38791"/>
    <cellStyle name="40% - Accent3 3 5 2 3 6" xfId="38792"/>
    <cellStyle name="40% - Accent3 3 5 2 3 7" xfId="38793"/>
    <cellStyle name="40% - Accent3 3 5 2 4" xfId="38794"/>
    <cellStyle name="40% - Accent3 3 5 2 4 2" xfId="38795"/>
    <cellStyle name="40% - Accent3 3 5 2 4 2 2" xfId="38796"/>
    <cellStyle name="40% - Accent3 3 5 2 4 3" xfId="38797"/>
    <cellStyle name="40% - Accent3 3 5 2 4 3 2" xfId="38798"/>
    <cellStyle name="40% - Accent3 3 5 2 4 4" xfId="38799"/>
    <cellStyle name="40% - Accent3 3 5 2 4 5" xfId="38800"/>
    <cellStyle name="40% - Accent3 3 5 2 4 6" xfId="38801"/>
    <cellStyle name="40% - Accent3 3 5 2 4 7" xfId="38802"/>
    <cellStyle name="40% - Accent3 3 5 2 5" xfId="38803"/>
    <cellStyle name="40% - Accent3 3 5 2 5 2" xfId="38804"/>
    <cellStyle name="40% - Accent3 3 5 2 5 2 2" xfId="38805"/>
    <cellStyle name="40% - Accent3 3 5 2 5 3" xfId="38806"/>
    <cellStyle name="40% - Accent3 3 5 2 5 3 2" xfId="38807"/>
    <cellStyle name="40% - Accent3 3 5 2 5 4" xfId="38808"/>
    <cellStyle name="40% - Accent3 3 5 2 5 5" xfId="38809"/>
    <cellStyle name="40% - Accent3 3 5 2 5 6" xfId="38810"/>
    <cellStyle name="40% - Accent3 3 5 2 5 7" xfId="38811"/>
    <cellStyle name="40% - Accent3 3 5 2 6" xfId="38812"/>
    <cellStyle name="40% - Accent3 3 5 2 6 2" xfId="38813"/>
    <cellStyle name="40% - Accent3 3 5 2 7" xfId="38814"/>
    <cellStyle name="40% - Accent3 3 5 2 7 2" xfId="38815"/>
    <cellStyle name="40% - Accent3 3 5 2 8" xfId="38816"/>
    <cellStyle name="40% - Accent3 3 5 2 9" xfId="38817"/>
    <cellStyle name="40% - Accent3 3 5 3" xfId="38818"/>
    <cellStyle name="40% - Accent3 3 5 3 10" xfId="38819"/>
    <cellStyle name="40% - Accent3 3 5 3 11" xfId="38820"/>
    <cellStyle name="40% - Accent3 3 5 3 2" xfId="38821"/>
    <cellStyle name="40% - Accent3 3 5 3 2 10" xfId="38822"/>
    <cellStyle name="40% - Accent3 3 5 3 2 2" xfId="38823"/>
    <cellStyle name="40% - Accent3 3 5 3 2 2 2" xfId="38824"/>
    <cellStyle name="40% - Accent3 3 5 3 2 2 2 2" xfId="38825"/>
    <cellStyle name="40% - Accent3 3 5 3 2 2 3" xfId="38826"/>
    <cellStyle name="40% - Accent3 3 5 3 2 2 3 2" xfId="38827"/>
    <cellStyle name="40% - Accent3 3 5 3 2 2 4" xfId="38828"/>
    <cellStyle name="40% - Accent3 3 5 3 2 2 5" xfId="38829"/>
    <cellStyle name="40% - Accent3 3 5 3 2 2 6" xfId="38830"/>
    <cellStyle name="40% - Accent3 3 5 3 2 2 7" xfId="38831"/>
    <cellStyle name="40% - Accent3 3 5 3 2 3" xfId="38832"/>
    <cellStyle name="40% - Accent3 3 5 3 2 3 2" xfId="38833"/>
    <cellStyle name="40% - Accent3 3 5 3 2 3 2 2" xfId="38834"/>
    <cellStyle name="40% - Accent3 3 5 3 2 3 3" xfId="38835"/>
    <cellStyle name="40% - Accent3 3 5 3 2 3 3 2" xfId="38836"/>
    <cellStyle name="40% - Accent3 3 5 3 2 3 4" xfId="38837"/>
    <cellStyle name="40% - Accent3 3 5 3 2 3 5" xfId="38838"/>
    <cellStyle name="40% - Accent3 3 5 3 2 3 6" xfId="38839"/>
    <cellStyle name="40% - Accent3 3 5 3 2 3 7" xfId="38840"/>
    <cellStyle name="40% - Accent3 3 5 3 2 4" xfId="38841"/>
    <cellStyle name="40% - Accent3 3 5 3 2 4 2" xfId="38842"/>
    <cellStyle name="40% - Accent3 3 5 3 2 4 2 2" xfId="38843"/>
    <cellStyle name="40% - Accent3 3 5 3 2 4 3" xfId="38844"/>
    <cellStyle name="40% - Accent3 3 5 3 2 4 3 2" xfId="38845"/>
    <cellStyle name="40% - Accent3 3 5 3 2 4 4" xfId="38846"/>
    <cellStyle name="40% - Accent3 3 5 3 2 4 5" xfId="38847"/>
    <cellStyle name="40% - Accent3 3 5 3 2 4 6" xfId="38848"/>
    <cellStyle name="40% - Accent3 3 5 3 2 4 7" xfId="38849"/>
    <cellStyle name="40% - Accent3 3 5 3 2 5" xfId="38850"/>
    <cellStyle name="40% - Accent3 3 5 3 2 5 2" xfId="38851"/>
    <cellStyle name="40% - Accent3 3 5 3 2 6" xfId="38852"/>
    <cellStyle name="40% - Accent3 3 5 3 2 6 2" xfId="38853"/>
    <cellStyle name="40% - Accent3 3 5 3 2 7" xfId="38854"/>
    <cellStyle name="40% - Accent3 3 5 3 2 8" xfId="38855"/>
    <cellStyle name="40% - Accent3 3 5 3 2 9" xfId="38856"/>
    <cellStyle name="40% - Accent3 3 5 3 3" xfId="38857"/>
    <cellStyle name="40% - Accent3 3 5 3 3 2" xfId="38858"/>
    <cellStyle name="40% - Accent3 3 5 3 3 2 2" xfId="38859"/>
    <cellStyle name="40% - Accent3 3 5 3 3 3" xfId="38860"/>
    <cellStyle name="40% - Accent3 3 5 3 3 3 2" xfId="38861"/>
    <cellStyle name="40% - Accent3 3 5 3 3 4" xfId="38862"/>
    <cellStyle name="40% - Accent3 3 5 3 3 5" xfId="38863"/>
    <cellStyle name="40% - Accent3 3 5 3 3 6" xfId="38864"/>
    <cellStyle name="40% - Accent3 3 5 3 3 7" xfId="38865"/>
    <cellStyle name="40% - Accent3 3 5 3 4" xfId="38866"/>
    <cellStyle name="40% - Accent3 3 5 3 4 2" xfId="38867"/>
    <cellStyle name="40% - Accent3 3 5 3 4 2 2" xfId="38868"/>
    <cellStyle name="40% - Accent3 3 5 3 4 3" xfId="38869"/>
    <cellStyle name="40% - Accent3 3 5 3 4 3 2" xfId="38870"/>
    <cellStyle name="40% - Accent3 3 5 3 4 4" xfId="38871"/>
    <cellStyle name="40% - Accent3 3 5 3 4 5" xfId="38872"/>
    <cellStyle name="40% - Accent3 3 5 3 4 6" xfId="38873"/>
    <cellStyle name="40% - Accent3 3 5 3 4 7" xfId="38874"/>
    <cellStyle name="40% - Accent3 3 5 3 5" xfId="38875"/>
    <cellStyle name="40% - Accent3 3 5 3 5 2" xfId="38876"/>
    <cellStyle name="40% - Accent3 3 5 3 5 2 2" xfId="38877"/>
    <cellStyle name="40% - Accent3 3 5 3 5 3" xfId="38878"/>
    <cellStyle name="40% - Accent3 3 5 3 5 3 2" xfId="38879"/>
    <cellStyle name="40% - Accent3 3 5 3 5 4" xfId="38880"/>
    <cellStyle name="40% - Accent3 3 5 3 5 5" xfId="38881"/>
    <cellStyle name="40% - Accent3 3 5 3 5 6" xfId="38882"/>
    <cellStyle name="40% - Accent3 3 5 3 5 7" xfId="38883"/>
    <cellStyle name="40% - Accent3 3 5 3 6" xfId="38884"/>
    <cellStyle name="40% - Accent3 3 5 3 6 2" xfId="38885"/>
    <cellStyle name="40% - Accent3 3 5 3 7" xfId="38886"/>
    <cellStyle name="40% - Accent3 3 5 3 7 2" xfId="38887"/>
    <cellStyle name="40% - Accent3 3 5 3 8" xfId="38888"/>
    <cellStyle name="40% - Accent3 3 5 3 9" xfId="38889"/>
    <cellStyle name="40% - Accent3 3 5 4" xfId="38890"/>
    <cellStyle name="40% - Accent3 3 5 4 10" xfId="38891"/>
    <cellStyle name="40% - Accent3 3 5 4 2" xfId="38892"/>
    <cellStyle name="40% - Accent3 3 5 4 2 2" xfId="38893"/>
    <cellStyle name="40% - Accent3 3 5 4 2 2 2" xfId="38894"/>
    <cellStyle name="40% - Accent3 3 5 4 2 3" xfId="38895"/>
    <cellStyle name="40% - Accent3 3 5 4 2 3 2" xfId="38896"/>
    <cellStyle name="40% - Accent3 3 5 4 2 4" xfId="38897"/>
    <cellStyle name="40% - Accent3 3 5 4 2 5" xfId="38898"/>
    <cellStyle name="40% - Accent3 3 5 4 2 6" xfId="38899"/>
    <cellStyle name="40% - Accent3 3 5 4 2 7" xfId="38900"/>
    <cellStyle name="40% - Accent3 3 5 4 3" xfId="38901"/>
    <cellStyle name="40% - Accent3 3 5 4 3 2" xfId="38902"/>
    <cellStyle name="40% - Accent3 3 5 4 3 2 2" xfId="38903"/>
    <cellStyle name="40% - Accent3 3 5 4 3 3" xfId="38904"/>
    <cellStyle name="40% - Accent3 3 5 4 3 3 2" xfId="38905"/>
    <cellStyle name="40% - Accent3 3 5 4 3 4" xfId="38906"/>
    <cellStyle name="40% - Accent3 3 5 4 3 5" xfId="38907"/>
    <cellStyle name="40% - Accent3 3 5 4 3 6" xfId="38908"/>
    <cellStyle name="40% - Accent3 3 5 4 3 7" xfId="38909"/>
    <cellStyle name="40% - Accent3 3 5 4 4" xfId="38910"/>
    <cellStyle name="40% - Accent3 3 5 4 4 2" xfId="38911"/>
    <cellStyle name="40% - Accent3 3 5 4 4 2 2" xfId="38912"/>
    <cellStyle name="40% - Accent3 3 5 4 4 3" xfId="38913"/>
    <cellStyle name="40% - Accent3 3 5 4 4 3 2" xfId="38914"/>
    <cellStyle name="40% - Accent3 3 5 4 4 4" xfId="38915"/>
    <cellStyle name="40% - Accent3 3 5 4 4 5" xfId="38916"/>
    <cellStyle name="40% - Accent3 3 5 4 4 6" xfId="38917"/>
    <cellStyle name="40% - Accent3 3 5 4 4 7" xfId="38918"/>
    <cellStyle name="40% - Accent3 3 5 4 5" xfId="38919"/>
    <cellStyle name="40% - Accent3 3 5 4 5 2" xfId="38920"/>
    <cellStyle name="40% - Accent3 3 5 4 6" xfId="38921"/>
    <cellStyle name="40% - Accent3 3 5 4 6 2" xfId="38922"/>
    <cellStyle name="40% - Accent3 3 5 4 7" xfId="38923"/>
    <cellStyle name="40% - Accent3 3 5 4 8" xfId="38924"/>
    <cellStyle name="40% - Accent3 3 5 4 9" xfId="38925"/>
    <cellStyle name="40% - Accent3 3 5 5" xfId="38926"/>
    <cellStyle name="40% - Accent3 3 5 5 2" xfId="38927"/>
    <cellStyle name="40% - Accent3 3 5 5 2 2" xfId="38928"/>
    <cellStyle name="40% - Accent3 3 5 5 3" xfId="38929"/>
    <cellStyle name="40% - Accent3 3 5 5 3 2" xfId="38930"/>
    <cellStyle name="40% - Accent3 3 5 5 4" xfId="38931"/>
    <cellStyle name="40% - Accent3 3 5 5 5" xfId="38932"/>
    <cellStyle name="40% - Accent3 3 5 5 6" xfId="38933"/>
    <cellStyle name="40% - Accent3 3 5 5 7" xfId="38934"/>
    <cellStyle name="40% - Accent3 3 5 6" xfId="38935"/>
    <cellStyle name="40% - Accent3 3 5 6 2" xfId="38936"/>
    <cellStyle name="40% - Accent3 3 5 6 2 2" xfId="38937"/>
    <cellStyle name="40% - Accent3 3 5 6 3" xfId="38938"/>
    <cellStyle name="40% - Accent3 3 5 6 3 2" xfId="38939"/>
    <cellStyle name="40% - Accent3 3 5 6 4" xfId="38940"/>
    <cellStyle name="40% - Accent3 3 5 6 5" xfId="38941"/>
    <cellStyle name="40% - Accent3 3 5 6 6" xfId="38942"/>
    <cellStyle name="40% - Accent3 3 5 6 7" xfId="38943"/>
    <cellStyle name="40% - Accent3 3 5 7" xfId="38944"/>
    <cellStyle name="40% - Accent3 3 5 7 2" xfId="38945"/>
    <cellStyle name="40% - Accent3 3 5 7 2 2" xfId="38946"/>
    <cellStyle name="40% - Accent3 3 5 7 3" xfId="38947"/>
    <cellStyle name="40% - Accent3 3 5 7 3 2" xfId="38948"/>
    <cellStyle name="40% - Accent3 3 5 7 4" xfId="38949"/>
    <cellStyle name="40% - Accent3 3 5 7 5" xfId="38950"/>
    <cellStyle name="40% - Accent3 3 5 7 6" xfId="38951"/>
    <cellStyle name="40% - Accent3 3 5 7 7" xfId="38952"/>
    <cellStyle name="40% - Accent3 3 5 8" xfId="38953"/>
    <cellStyle name="40% - Accent3 3 5 8 2" xfId="38954"/>
    <cellStyle name="40% - Accent3 3 5 9" xfId="38955"/>
    <cellStyle name="40% - Accent3 3 5 9 2" xfId="38956"/>
    <cellStyle name="40% - Accent3 3 6" xfId="38957"/>
    <cellStyle name="40% - Accent3 3 6 10" xfId="38958"/>
    <cellStyle name="40% - Accent3 3 6 11" xfId="38959"/>
    <cellStyle name="40% - Accent3 3 6 12" xfId="38960"/>
    <cellStyle name="40% - Accent3 3 6 13" xfId="38961"/>
    <cellStyle name="40% - Accent3 3 6 2" xfId="38962"/>
    <cellStyle name="40% - Accent3 3 6 2 10" xfId="38963"/>
    <cellStyle name="40% - Accent3 3 6 2 11" xfId="38964"/>
    <cellStyle name="40% - Accent3 3 6 2 2" xfId="38965"/>
    <cellStyle name="40% - Accent3 3 6 2 2 10" xfId="38966"/>
    <cellStyle name="40% - Accent3 3 6 2 2 2" xfId="38967"/>
    <cellStyle name="40% - Accent3 3 6 2 2 2 2" xfId="38968"/>
    <cellStyle name="40% - Accent3 3 6 2 2 2 2 2" xfId="38969"/>
    <cellStyle name="40% - Accent3 3 6 2 2 2 3" xfId="38970"/>
    <cellStyle name="40% - Accent3 3 6 2 2 2 3 2" xfId="38971"/>
    <cellStyle name="40% - Accent3 3 6 2 2 2 4" xfId="38972"/>
    <cellStyle name="40% - Accent3 3 6 2 2 2 5" xfId="38973"/>
    <cellStyle name="40% - Accent3 3 6 2 2 2 6" xfId="38974"/>
    <cellStyle name="40% - Accent3 3 6 2 2 2 7" xfId="38975"/>
    <cellStyle name="40% - Accent3 3 6 2 2 3" xfId="38976"/>
    <cellStyle name="40% - Accent3 3 6 2 2 3 2" xfId="38977"/>
    <cellStyle name="40% - Accent3 3 6 2 2 3 2 2" xfId="38978"/>
    <cellStyle name="40% - Accent3 3 6 2 2 3 3" xfId="38979"/>
    <cellStyle name="40% - Accent3 3 6 2 2 3 3 2" xfId="38980"/>
    <cellStyle name="40% - Accent3 3 6 2 2 3 4" xfId="38981"/>
    <cellStyle name="40% - Accent3 3 6 2 2 3 5" xfId="38982"/>
    <cellStyle name="40% - Accent3 3 6 2 2 3 6" xfId="38983"/>
    <cellStyle name="40% - Accent3 3 6 2 2 3 7" xfId="38984"/>
    <cellStyle name="40% - Accent3 3 6 2 2 4" xfId="38985"/>
    <cellStyle name="40% - Accent3 3 6 2 2 4 2" xfId="38986"/>
    <cellStyle name="40% - Accent3 3 6 2 2 4 2 2" xfId="38987"/>
    <cellStyle name="40% - Accent3 3 6 2 2 4 3" xfId="38988"/>
    <cellStyle name="40% - Accent3 3 6 2 2 4 3 2" xfId="38989"/>
    <cellStyle name="40% - Accent3 3 6 2 2 4 4" xfId="38990"/>
    <cellStyle name="40% - Accent3 3 6 2 2 4 5" xfId="38991"/>
    <cellStyle name="40% - Accent3 3 6 2 2 4 6" xfId="38992"/>
    <cellStyle name="40% - Accent3 3 6 2 2 4 7" xfId="38993"/>
    <cellStyle name="40% - Accent3 3 6 2 2 5" xfId="38994"/>
    <cellStyle name="40% - Accent3 3 6 2 2 5 2" xfId="38995"/>
    <cellStyle name="40% - Accent3 3 6 2 2 6" xfId="38996"/>
    <cellStyle name="40% - Accent3 3 6 2 2 6 2" xfId="38997"/>
    <cellStyle name="40% - Accent3 3 6 2 2 7" xfId="38998"/>
    <cellStyle name="40% - Accent3 3 6 2 2 8" xfId="38999"/>
    <cellStyle name="40% - Accent3 3 6 2 2 9" xfId="39000"/>
    <cellStyle name="40% - Accent3 3 6 2 3" xfId="39001"/>
    <cellStyle name="40% - Accent3 3 6 2 3 2" xfId="39002"/>
    <cellStyle name="40% - Accent3 3 6 2 3 2 2" xfId="39003"/>
    <cellStyle name="40% - Accent3 3 6 2 3 3" xfId="39004"/>
    <cellStyle name="40% - Accent3 3 6 2 3 3 2" xfId="39005"/>
    <cellStyle name="40% - Accent3 3 6 2 3 4" xfId="39006"/>
    <cellStyle name="40% - Accent3 3 6 2 3 5" xfId="39007"/>
    <cellStyle name="40% - Accent3 3 6 2 3 6" xfId="39008"/>
    <cellStyle name="40% - Accent3 3 6 2 3 7" xfId="39009"/>
    <cellStyle name="40% - Accent3 3 6 2 4" xfId="39010"/>
    <cellStyle name="40% - Accent3 3 6 2 4 2" xfId="39011"/>
    <cellStyle name="40% - Accent3 3 6 2 4 2 2" xfId="39012"/>
    <cellStyle name="40% - Accent3 3 6 2 4 3" xfId="39013"/>
    <cellStyle name="40% - Accent3 3 6 2 4 3 2" xfId="39014"/>
    <cellStyle name="40% - Accent3 3 6 2 4 4" xfId="39015"/>
    <cellStyle name="40% - Accent3 3 6 2 4 5" xfId="39016"/>
    <cellStyle name="40% - Accent3 3 6 2 4 6" xfId="39017"/>
    <cellStyle name="40% - Accent3 3 6 2 4 7" xfId="39018"/>
    <cellStyle name="40% - Accent3 3 6 2 5" xfId="39019"/>
    <cellStyle name="40% - Accent3 3 6 2 5 2" xfId="39020"/>
    <cellStyle name="40% - Accent3 3 6 2 5 2 2" xfId="39021"/>
    <cellStyle name="40% - Accent3 3 6 2 5 3" xfId="39022"/>
    <cellStyle name="40% - Accent3 3 6 2 5 3 2" xfId="39023"/>
    <cellStyle name="40% - Accent3 3 6 2 5 4" xfId="39024"/>
    <cellStyle name="40% - Accent3 3 6 2 5 5" xfId="39025"/>
    <cellStyle name="40% - Accent3 3 6 2 5 6" xfId="39026"/>
    <cellStyle name="40% - Accent3 3 6 2 5 7" xfId="39027"/>
    <cellStyle name="40% - Accent3 3 6 2 6" xfId="39028"/>
    <cellStyle name="40% - Accent3 3 6 2 6 2" xfId="39029"/>
    <cellStyle name="40% - Accent3 3 6 2 7" xfId="39030"/>
    <cellStyle name="40% - Accent3 3 6 2 7 2" xfId="39031"/>
    <cellStyle name="40% - Accent3 3 6 2 8" xfId="39032"/>
    <cellStyle name="40% - Accent3 3 6 2 9" xfId="39033"/>
    <cellStyle name="40% - Accent3 3 6 3" xfId="39034"/>
    <cellStyle name="40% - Accent3 3 6 3 10" xfId="39035"/>
    <cellStyle name="40% - Accent3 3 6 3 11" xfId="39036"/>
    <cellStyle name="40% - Accent3 3 6 3 2" xfId="39037"/>
    <cellStyle name="40% - Accent3 3 6 3 2 10" xfId="39038"/>
    <cellStyle name="40% - Accent3 3 6 3 2 2" xfId="39039"/>
    <cellStyle name="40% - Accent3 3 6 3 2 2 2" xfId="39040"/>
    <cellStyle name="40% - Accent3 3 6 3 2 2 2 2" xfId="39041"/>
    <cellStyle name="40% - Accent3 3 6 3 2 2 3" xfId="39042"/>
    <cellStyle name="40% - Accent3 3 6 3 2 2 3 2" xfId="39043"/>
    <cellStyle name="40% - Accent3 3 6 3 2 2 4" xfId="39044"/>
    <cellStyle name="40% - Accent3 3 6 3 2 2 5" xfId="39045"/>
    <cellStyle name="40% - Accent3 3 6 3 2 2 6" xfId="39046"/>
    <cellStyle name="40% - Accent3 3 6 3 2 2 7" xfId="39047"/>
    <cellStyle name="40% - Accent3 3 6 3 2 3" xfId="39048"/>
    <cellStyle name="40% - Accent3 3 6 3 2 3 2" xfId="39049"/>
    <cellStyle name="40% - Accent3 3 6 3 2 3 2 2" xfId="39050"/>
    <cellStyle name="40% - Accent3 3 6 3 2 3 3" xfId="39051"/>
    <cellStyle name="40% - Accent3 3 6 3 2 3 3 2" xfId="39052"/>
    <cellStyle name="40% - Accent3 3 6 3 2 3 4" xfId="39053"/>
    <cellStyle name="40% - Accent3 3 6 3 2 3 5" xfId="39054"/>
    <cellStyle name="40% - Accent3 3 6 3 2 3 6" xfId="39055"/>
    <cellStyle name="40% - Accent3 3 6 3 2 3 7" xfId="39056"/>
    <cellStyle name="40% - Accent3 3 6 3 2 4" xfId="39057"/>
    <cellStyle name="40% - Accent3 3 6 3 2 4 2" xfId="39058"/>
    <cellStyle name="40% - Accent3 3 6 3 2 4 2 2" xfId="39059"/>
    <cellStyle name="40% - Accent3 3 6 3 2 4 3" xfId="39060"/>
    <cellStyle name="40% - Accent3 3 6 3 2 4 3 2" xfId="39061"/>
    <cellStyle name="40% - Accent3 3 6 3 2 4 4" xfId="39062"/>
    <cellStyle name="40% - Accent3 3 6 3 2 4 5" xfId="39063"/>
    <cellStyle name="40% - Accent3 3 6 3 2 4 6" xfId="39064"/>
    <cellStyle name="40% - Accent3 3 6 3 2 4 7" xfId="39065"/>
    <cellStyle name="40% - Accent3 3 6 3 2 5" xfId="39066"/>
    <cellStyle name="40% - Accent3 3 6 3 2 5 2" xfId="39067"/>
    <cellStyle name="40% - Accent3 3 6 3 2 6" xfId="39068"/>
    <cellStyle name="40% - Accent3 3 6 3 2 6 2" xfId="39069"/>
    <cellStyle name="40% - Accent3 3 6 3 2 7" xfId="39070"/>
    <cellStyle name="40% - Accent3 3 6 3 2 8" xfId="39071"/>
    <cellStyle name="40% - Accent3 3 6 3 2 9" xfId="39072"/>
    <cellStyle name="40% - Accent3 3 6 3 3" xfId="39073"/>
    <cellStyle name="40% - Accent3 3 6 3 3 2" xfId="39074"/>
    <cellStyle name="40% - Accent3 3 6 3 3 2 2" xfId="39075"/>
    <cellStyle name="40% - Accent3 3 6 3 3 3" xfId="39076"/>
    <cellStyle name="40% - Accent3 3 6 3 3 3 2" xfId="39077"/>
    <cellStyle name="40% - Accent3 3 6 3 3 4" xfId="39078"/>
    <cellStyle name="40% - Accent3 3 6 3 3 5" xfId="39079"/>
    <cellStyle name="40% - Accent3 3 6 3 3 6" xfId="39080"/>
    <cellStyle name="40% - Accent3 3 6 3 3 7" xfId="39081"/>
    <cellStyle name="40% - Accent3 3 6 3 4" xfId="39082"/>
    <cellStyle name="40% - Accent3 3 6 3 4 2" xfId="39083"/>
    <cellStyle name="40% - Accent3 3 6 3 4 2 2" xfId="39084"/>
    <cellStyle name="40% - Accent3 3 6 3 4 3" xfId="39085"/>
    <cellStyle name="40% - Accent3 3 6 3 4 3 2" xfId="39086"/>
    <cellStyle name="40% - Accent3 3 6 3 4 4" xfId="39087"/>
    <cellStyle name="40% - Accent3 3 6 3 4 5" xfId="39088"/>
    <cellStyle name="40% - Accent3 3 6 3 4 6" xfId="39089"/>
    <cellStyle name="40% - Accent3 3 6 3 4 7" xfId="39090"/>
    <cellStyle name="40% - Accent3 3 6 3 5" xfId="39091"/>
    <cellStyle name="40% - Accent3 3 6 3 5 2" xfId="39092"/>
    <cellStyle name="40% - Accent3 3 6 3 5 2 2" xfId="39093"/>
    <cellStyle name="40% - Accent3 3 6 3 5 3" xfId="39094"/>
    <cellStyle name="40% - Accent3 3 6 3 5 3 2" xfId="39095"/>
    <cellStyle name="40% - Accent3 3 6 3 5 4" xfId="39096"/>
    <cellStyle name="40% - Accent3 3 6 3 5 5" xfId="39097"/>
    <cellStyle name="40% - Accent3 3 6 3 5 6" xfId="39098"/>
    <cellStyle name="40% - Accent3 3 6 3 5 7" xfId="39099"/>
    <cellStyle name="40% - Accent3 3 6 3 6" xfId="39100"/>
    <cellStyle name="40% - Accent3 3 6 3 6 2" xfId="39101"/>
    <cellStyle name="40% - Accent3 3 6 3 7" xfId="39102"/>
    <cellStyle name="40% - Accent3 3 6 3 7 2" xfId="39103"/>
    <cellStyle name="40% - Accent3 3 6 3 8" xfId="39104"/>
    <cellStyle name="40% - Accent3 3 6 3 9" xfId="39105"/>
    <cellStyle name="40% - Accent3 3 6 4" xfId="39106"/>
    <cellStyle name="40% - Accent3 3 6 4 10" xfId="39107"/>
    <cellStyle name="40% - Accent3 3 6 4 2" xfId="39108"/>
    <cellStyle name="40% - Accent3 3 6 4 2 2" xfId="39109"/>
    <cellStyle name="40% - Accent3 3 6 4 2 2 2" xfId="39110"/>
    <cellStyle name="40% - Accent3 3 6 4 2 3" xfId="39111"/>
    <cellStyle name="40% - Accent3 3 6 4 2 3 2" xfId="39112"/>
    <cellStyle name="40% - Accent3 3 6 4 2 4" xfId="39113"/>
    <cellStyle name="40% - Accent3 3 6 4 2 5" xfId="39114"/>
    <cellStyle name="40% - Accent3 3 6 4 2 6" xfId="39115"/>
    <cellStyle name="40% - Accent3 3 6 4 2 7" xfId="39116"/>
    <cellStyle name="40% - Accent3 3 6 4 3" xfId="39117"/>
    <cellStyle name="40% - Accent3 3 6 4 3 2" xfId="39118"/>
    <cellStyle name="40% - Accent3 3 6 4 3 2 2" xfId="39119"/>
    <cellStyle name="40% - Accent3 3 6 4 3 3" xfId="39120"/>
    <cellStyle name="40% - Accent3 3 6 4 3 3 2" xfId="39121"/>
    <cellStyle name="40% - Accent3 3 6 4 3 4" xfId="39122"/>
    <cellStyle name="40% - Accent3 3 6 4 3 5" xfId="39123"/>
    <cellStyle name="40% - Accent3 3 6 4 3 6" xfId="39124"/>
    <cellStyle name="40% - Accent3 3 6 4 3 7" xfId="39125"/>
    <cellStyle name="40% - Accent3 3 6 4 4" xfId="39126"/>
    <cellStyle name="40% - Accent3 3 6 4 4 2" xfId="39127"/>
    <cellStyle name="40% - Accent3 3 6 4 4 2 2" xfId="39128"/>
    <cellStyle name="40% - Accent3 3 6 4 4 3" xfId="39129"/>
    <cellStyle name="40% - Accent3 3 6 4 4 3 2" xfId="39130"/>
    <cellStyle name="40% - Accent3 3 6 4 4 4" xfId="39131"/>
    <cellStyle name="40% - Accent3 3 6 4 4 5" xfId="39132"/>
    <cellStyle name="40% - Accent3 3 6 4 4 6" xfId="39133"/>
    <cellStyle name="40% - Accent3 3 6 4 4 7" xfId="39134"/>
    <cellStyle name="40% - Accent3 3 6 4 5" xfId="39135"/>
    <cellStyle name="40% - Accent3 3 6 4 5 2" xfId="39136"/>
    <cellStyle name="40% - Accent3 3 6 4 6" xfId="39137"/>
    <cellStyle name="40% - Accent3 3 6 4 6 2" xfId="39138"/>
    <cellStyle name="40% - Accent3 3 6 4 7" xfId="39139"/>
    <cellStyle name="40% - Accent3 3 6 4 8" xfId="39140"/>
    <cellStyle name="40% - Accent3 3 6 4 9" xfId="39141"/>
    <cellStyle name="40% - Accent3 3 6 5" xfId="39142"/>
    <cellStyle name="40% - Accent3 3 6 5 2" xfId="39143"/>
    <cellStyle name="40% - Accent3 3 6 5 2 2" xfId="39144"/>
    <cellStyle name="40% - Accent3 3 6 5 3" xfId="39145"/>
    <cellStyle name="40% - Accent3 3 6 5 3 2" xfId="39146"/>
    <cellStyle name="40% - Accent3 3 6 5 4" xfId="39147"/>
    <cellStyle name="40% - Accent3 3 6 5 5" xfId="39148"/>
    <cellStyle name="40% - Accent3 3 6 5 6" xfId="39149"/>
    <cellStyle name="40% - Accent3 3 6 5 7" xfId="39150"/>
    <cellStyle name="40% - Accent3 3 6 6" xfId="39151"/>
    <cellStyle name="40% - Accent3 3 6 6 2" xfId="39152"/>
    <cellStyle name="40% - Accent3 3 6 6 2 2" xfId="39153"/>
    <cellStyle name="40% - Accent3 3 6 6 3" xfId="39154"/>
    <cellStyle name="40% - Accent3 3 6 6 3 2" xfId="39155"/>
    <cellStyle name="40% - Accent3 3 6 6 4" xfId="39156"/>
    <cellStyle name="40% - Accent3 3 6 6 5" xfId="39157"/>
    <cellStyle name="40% - Accent3 3 6 6 6" xfId="39158"/>
    <cellStyle name="40% - Accent3 3 6 6 7" xfId="39159"/>
    <cellStyle name="40% - Accent3 3 6 7" xfId="39160"/>
    <cellStyle name="40% - Accent3 3 6 7 2" xfId="39161"/>
    <cellStyle name="40% - Accent3 3 6 7 2 2" xfId="39162"/>
    <cellStyle name="40% - Accent3 3 6 7 3" xfId="39163"/>
    <cellStyle name="40% - Accent3 3 6 7 3 2" xfId="39164"/>
    <cellStyle name="40% - Accent3 3 6 7 4" xfId="39165"/>
    <cellStyle name="40% - Accent3 3 6 7 5" xfId="39166"/>
    <cellStyle name="40% - Accent3 3 6 7 6" xfId="39167"/>
    <cellStyle name="40% - Accent3 3 6 7 7" xfId="39168"/>
    <cellStyle name="40% - Accent3 3 6 8" xfId="39169"/>
    <cellStyle name="40% - Accent3 3 6 8 2" xfId="39170"/>
    <cellStyle name="40% - Accent3 3 6 9" xfId="39171"/>
    <cellStyle name="40% - Accent3 3 6 9 2" xfId="39172"/>
    <cellStyle name="40% - Accent3 3 7" xfId="39173"/>
    <cellStyle name="40% - Accent3 3 7 10" xfId="39174"/>
    <cellStyle name="40% - Accent3 3 7 11" xfId="39175"/>
    <cellStyle name="40% - Accent3 3 7 2" xfId="39176"/>
    <cellStyle name="40% - Accent3 3 7 2 10" xfId="39177"/>
    <cellStyle name="40% - Accent3 3 7 2 2" xfId="39178"/>
    <cellStyle name="40% - Accent3 3 7 2 2 2" xfId="39179"/>
    <cellStyle name="40% - Accent3 3 7 2 2 2 2" xfId="39180"/>
    <cellStyle name="40% - Accent3 3 7 2 2 3" xfId="39181"/>
    <cellStyle name="40% - Accent3 3 7 2 2 3 2" xfId="39182"/>
    <cellStyle name="40% - Accent3 3 7 2 2 4" xfId="39183"/>
    <cellStyle name="40% - Accent3 3 7 2 2 5" xfId="39184"/>
    <cellStyle name="40% - Accent3 3 7 2 2 6" xfId="39185"/>
    <cellStyle name="40% - Accent3 3 7 2 2 7" xfId="39186"/>
    <cellStyle name="40% - Accent3 3 7 2 3" xfId="39187"/>
    <cellStyle name="40% - Accent3 3 7 2 3 2" xfId="39188"/>
    <cellStyle name="40% - Accent3 3 7 2 3 2 2" xfId="39189"/>
    <cellStyle name="40% - Accent3 3 7 2 3 3" xfId="39190"/>
    <cellStyle name="40% - Accent3 3 7 2 3 3 2" xfId="39191"/>
    <cellStyle name="40% - Accent3 3 7 2 3 4" xfId="39192"/>
    <cellStyle name="40% - Accent3 3 7 2 3 5" xfId="39193"/>
    <cellStyle name="40% - Accent3 3 7 2 3 6" xfId="39194"/>
    <cellStyle name="40% - Accent3 3 7 2 3 7" xfId="39195"/>
    <cellStyle name="40% - Accent3 3 7 2 4" xfId="39196"/>
    <cellStyle name="40% - Accent3 3 7 2 4 2" xfId="39197"/>
    <cellStyle name="40% - Accent3 3 7 2 4 2 2" xfId="39198"/>
    <cellStyle name="40% - Accent3 3 7 2 4 3" xfId="39199"/>
    <cellStyle name="40% - Accent3 3 7 2 4 3 2" xfId="39200"/>
    <cellStyle name="40% - Accent3 3 7 2 4 4" xfId="39201"/>
    <cellStyle name="40% - Accent3 3 7 2 4 5" xfId="39202"/>
    <cellStyle name="40% - Accent3 3 7 2 4 6" xfId="39203"/>
    <cellStyle name="40% - Accent3 3 7 2 4 7" xfId="39204"/>
    <cellStyle name="40% - Accent3 3 7 2 5" xfId="39205"/>
    <cellStyle name="40% - Accent3 3 7 2 5 2" xfId="39206"/>
    <cellStyle name="40% - Accent3 3 7 2 6" xfId="39207"/>
    <cellStyle name="40% - Accent3 3 7 2 6 2" xfId="39208"/>
    <cellStyle name="40% - Accent3 3 7 2 7" xfId="39209"/>
    <cellStyle name="40% - Accent3 3 7 2 8" xfId="39210"/>
    <cellStyle name="40% - Accent3 3 7 2 9" xfId="39211"/>
    <cellStyle name="40% - Accent3 3 7 3" xfId="39212"/>
    <cellStyle name="40% - Accent3 3 7 3 2" xfId="39213"/>
    <cellStyle name="40% - Accent3 3 7 3 2 2" xfId="39214"/>
    <cellStyle name="40% - Accent3 3 7 3 3" xfId="39215"/>
    <cellStyle name="40% - Accent3 3 7 3 3 2" xfId="39216"/>
    <cellStyle name="40% - Accent3 3 7 3 4" xfId="39217"/>
    <cellStyle name="40% - Accent3 3 7 3 5" xfId="39218"/>
    <cellStyle name="40% - Accent3 3 7 3 6" xfId="39219"/>
    <cellStyle name="40% - Accent3 3 7 3 7" xfId="39220"/>
    <cellStyle name="40% - Accent3 3 7 4" xfId="39221"/>
    <cellStyle name="40% - Accent3 3 7 4 2" xfId="39222"/>
    <cellStyle name="40% - Accent3 3 7 4 2 2" xfId="39223"/>
    <cellStyle name="40% - Accent3 3 7 4 3" xfId="39224"/>
    <cellStyle name="40% - Accent3 3 7 4 3 2" xfId="39225"/>
    <cellStyle name="40% - Accent3 3 7 4 4" xfId="39226"/>
    <cellStyle name="40% - Accent3 3 7 4 5" xfId="39227"/>
    <cellStyle name="40% - Accent3 3 7 4 6" xfId="39228"/>
    <cellStyle name="40% - Accent3 3 7 4 7" xfId="39229"/>
    <cellStyle name="40% - Accent3 3 7 5" xfId="39230"/>
    <cellStyle name="40% - Accent3 3 7 5 2" xfId="39231"/>
    <cellStyle name="40% - Accent3 3 7 5 2 2" xfId="39232"/>
    <cellStyle name="40% - Accent3 3 7 5 3" xfId="39233"/>
    <cellStyle name="40% - Accent3 3 7 5 3 2" xfId="39234"/>
    <cellStyle name="40% - Accent3 3 7 5 4" xfId="39235"/>
    <cellStyle name="40% - Accent3 3 7 5 5" xfId="39236"/>
    <cellStyle name="40% - Accent3 3 7 5 6" xfId="39237"/>
    <cellStyle name="40% - Accent3 3 7 5 7" xfId="39238"/>
    <cellStyle name="40% - Accent3 3 7 6" xfId="39239"/>
    <cellStyle name="40% - Accent3 3 7 6 2" xfId="39240"/>
    <cellStyle name="40% - Accent3 3 7 7" xfId="39241"/>
    <cellStyle name="40% - Accent3 3 7 7 2" xfId="39242"/>
    <cellStyle name="40% - Accent3 3 7 8" xfId="39243"/>
    <cellStyle name="40% - Accent3 3 7 9" xfId="39244"/>
    <cellStyle name="40% - Accent3 3 8" xfId="39245"/>
    <cellStyle name="40% - Accent3 3 8 10" xfId="39246"/>
    <cellStyle name="40% - Accent3 3 8 11" xfId="39247"/>
    <cellStyle name="40% - Accent3 3 8 2" xfId="39248"/>
    <cellStyle name="40% - Accent3 3 8 2 10" xfId="39249"/>
    <cellStyle name="40% - Accent3 3 8 2 2" xfId="39250"/>
    <cellStyle name="40% - Accent3 3 8 2 2 2" xfId="39251"/>
    <cellStyle name="40% - Accent3 3 8 2 2 2 2" xfId="39252"/>
    <cellStyle name="40% - Accent3 3 8 2 2 3" xfId="39253"/>
    <cellStyle name="40% - Accent3 3 8 2 2 3 2" xfId="39254"/>
    <cellStyle name="40% - Accent3 3 8 2 2 4" xfId="39255"/>
    <cellStyle name="40% - Accent3 3 8 2 2 5" xfId="39256"/>
    <cellStyle name="40% - Accent3 3 8 2 2 6" xfId="39257"/>
    <cellStyle name="40% - Accent3 3 8 2 2 7" xfId="39258"/>
    <cellStyle name="40% - Accent3 3 8 2 3" xfId="39259"/>
    <cellStyle name="40% - Accent3 3 8 2 3 2" xfId="39260"/>
    <cellStyle name="40% - Accent3 3 8 2 3 2 2" xfId="39261"/>
    <cellStyle name="40% - Accent3 3 8 2 3 3" xfId="39262"/>
    <cellStyle name="40% - Accent3 3 8 2 3 3 2" xfId="39263"/>
    <cellStyle name="40% - Accent3 3 8 2 3 4" xfId="39264"/>
    <cellStyle name="40% - Accent3 3 8 2 3 5" xfId="39265"/>
    <cellStyle name="40% - Accent3 3 8 2 3 6" xfId="39266"/>
    <cellStyle name="40% - Accent3 3 8 2 3 7" xfId="39267"/>
    <cellStyle name="40% - Accent3 3 8 2 4" xfId="39268"/>
    <cellStyle name="40% - Accent3 3 8 2 4 2" xfId="39269"/>
    <cellStyle name="40% - Accent3 3 8 2 4 2 2" xfId="39270"/>
    <cellStyle name="40% - Accent3 3 8 2 4 3" xfId="39271"/>
    <cellStyle name="40% - Accent3 3 8 2 4 3 2" xfId="39272"/>
    <cellStyle name="40% - Accent3 3 8 2 4 4" xfId="39273"/>
    <cellStyle name="40% - Accent3 3 8 2 4 5" xfId="39274"/>
    <cellStyle name="40% - Accent3 3 8 2 4 6" xfId="39275"/>
    <cellStyle name="40% - Accent3 3 8 2 4 7" xfId="39276"/>
    <cellStyle name="40% - Accent3 3 8 2 5" xfId="39277"/>
    <cellStyle name="40% - Accent3 3 8 2 5 2" xfId="39278"/>
    <cellStyle name="40% - Accent3 3 8 2 6" xfId="39279"/>
    <cellStyle name="40% - Accent3 3 8 2 6 2" xfId="39280"/>
    <cellStyle name="40% - Accent3 3 8 2 7" xfId="39281"/>
    <cellStyle name="40% - Accent3 3 8 2 8" xfId="39282"/>
    <cellStyle name="40% - Accent3 3 8 2 9" xfId="39283"/>
    <cellStyle name="40% - Accent3 3 8 3" xfId="39284"/>
    <cellStyle name="40% - Accent3 3 8 3 2" xfId="39285"/>
    <cellStyle name="40% - Accent3 3 8 3 2 2" xfId="39286"/>
    <cellStyle name="40% - Accent3 3 8 3 3" xfId="39287"/>
    <cellStyle name="40% - Accent3 3 8 3 3 2" xfId="39288"/>
    <cellStyle name="40% - Accent3 3 8 3 4" xfId="39289"/>
    <cellStyle name="40% - Accent3 3 8 3 5" xfId="39290"/>
    <cellStyle name="40% - Accent3 3 8 3 6" xfId="39291"/>
    <cellStyle name="40% - Accent3 3 8 3 7" xfId="39292"/>
    <cellStyle name="40% - Accent3 3 8 4" xfId="39293"/>
    <cellStyle name="40% - Accent3 3 8 4 2" xfId="39294"/>
    <cellStyle name="40% - Accent3 3 8 4 2 2" xfId="39295"/>
    <cellStyle name="40% - Accent3 3 8 4 3" xfId="39296"/>
    <cellStyle name="40% - Accent3 3 8 4 3 2" xfId="39297"/>
    <cellStyle name="40% - Accent3 3 8 4 4" xfId="39298"/>
    <cellStyle name="40% - Accent3 3 8 4 5" xfId="39299"/>
    <cellStyle name="40% - Accent3 3 8 4 6" xfId="39300"/>
    <cellStyle name="40% - Accent3 3 8 4 7" xfId="39301"/>
    <cellStyle name="40% - Accent3 3 8 5" xfId="39302"/>
    <cellStyle name="40% - Accent3 3 8 5 2" xfId="39303"/>
    <cellStyle name="40% - Accent3 3 8 5 2 2" xfId="39304"/>
    <cellStyle name="40% - Accent3 3 8 5 3" xfId="39305"/>
    <cellStyle name="40% - Accent3 3 8 5 3 2" xfId="39306"/>
    <cellStyle name="40% - Accent3 3 8 5 4" xfId="39307"/>
    <cellStyle name="40% - Accent3 3 8 5 5" xfId="39308"/>
    <cellStyle name="40% - Accent3 3 8 5 6" xfId="39309"/>
    <cellStyle name="40% - Accent3 3 8 5 7" xfId="39310"/>
    <cellStyle name="40% - Accent3 3 8 6" xfId="39311"/>
    <cellStyle name="40% - Accent3 3 8 6 2" xfId="39312"/>
    <cellStyle name="40% - Accent3 3 8 7" xfId="39313"/>
    <cellStyle name="40% - Accent3 3 8 7 2" xfId="39314"/>
    <cellStyle name="40% - Accent3 3 8 8" xfId="39315"/>
    <cellStyle name="40% - Accent3 3 8 9" xfId="39316"/>
    <cellStyle name="40% - Accent3 3 9" xfId="39317"/>
    <cellStyle name="40% - Accent3 3 9 10" xfId="39318"/>
    <cellStyle name="40% - Accent3 3 9 2" xfId="39319"/>
    <cellStyle name="40% - Accent3 3 9 2 2" xfId="39320"/>
    <cellStyle name="40% - Accent3 3 9 2 2 2" xfId="39321"/>
    <cellStyle name="40% - Accent3 3 9 2 3" xfId="39322"/>
    <cellStyle name="40% - Accent3 3 9 2 3 2" xfId="39323"/>
    <cellStyle name="40% - Accent3 3 9 2 4" xfId="39324"/>
    <cellStyle name="40% - Accent3 3 9 2 5" xfId="39325"/>
    <cellStyle name="40% - Accent3 3 9 2 6" xfId="39326"/>
    <cellStyle name="40% - Accent3 3 9 2 7" xfId="39327"/>
    <cellStyle name="40% - Accent3 3 9 3" xfId="39328"/>
    <cellStyle name="40% - Accent3 3 9 3 2" xfId="39329"/>
    <cellStyle name="40% - Accent3 3 9 3 2 2" xfId="39330"/>
    <cellStyle name="40% - Accent3 3 9 3 3" xfId="39331"/>
    <cellStyle name="40% - Accent3 3 9 3 3 2" xfId="39332"/>
    <cellStyle name="40% - Accent3 3 9 3 4" xfId="39333"/>
    <cellStyle name="40% - Accent3 3 9 3 5" xfId="39334"/>
    <cellStyle name="40% - Accent3 3 9 3 6" xfId="39335"/>
    <cellStyle name="40% - Accent3 3 9 3 7" xfId="39336"/>
    <cellStyle name="40% - Accent3 3 9 4" xfId="39337"/>
    <cellStyle name="40% - Accent3 3 9 4 2" xfId="39338"/>
    <cellStyle name="40% - Accent3 3 9 4 2 2" xfId="39339"/>
    <cellStyle name="40% - Accent3 3 9 4 3" xfId="39340"/>
    <cellStyle name="40% - Accent3 3 9 4 3 2" xfId="39341"/>
    <cellStyle name="40% - Accent3 3 9 4 4" xfId="39342"/>
    <cellStyle name="40% - Accent3 3 9 4 5" xfId="39343"/>
    <cellStyle name="40% - Accent3 3 9 4 6" xfId="39344"/>
    <cellStyle name="40% - Accent3 3 9 4 7" xfId="39345"/>
    <cellStyle name="40% - Accent3 3 9 5" xfId="39346"/>
    <cellStyle name="40% - Accent3 3 9 5 2" xfId="39347"/>
    <cellStyle name="40% - Accent3 3 9 6" xfId="39348"/>
    <cellStyle name="40% - Accent3 3 9 6 2" xfId="39349"/>
    <cellStyle name="40% - Accent3 3 9 7" xfId="39350"/>
    <cellStyle name="40% - Accent3 3 9 8" xfId="39351"/>
    <cellStyle name="40% - Accent3 3 9 9" xfId="39352"/>
    <cellStyle name="40% - Accent3 3_10-15-10-Stmt AU - Period I - Working 1 0" xfId="313"/>
    <cellStyle name="40% - Accent3 4" xfId="314"/>
    <cellStyle name="40% - Accent3 4 2" xfId="315"/>
    <cellStyle name="40% - Accent3 4 3" xfId="316"/>
    <cellStyle name="40% - Accent3 4_10-15-10-Stmt AU - Period I - Working 1 0" xfId="317"/>
    <cellStyle name="40% - Accent3 5" xfId="318"/>
    <cellStyle name="40% - Accent3 5 2" xfId="319"/>
    <cellStyle name="40% - Accent3 5 3" xfId="320"/>
    <cellStyle name="40% - Accent3 5_10-15-10-Stmt AU - Period I - Working 1 0" xfId="321"/>
    <cellStyle name="40% - Accent3 6" xfId="322"/>
    <cellStyle name="40% - Accent3 6 2" xfId="323"/>
    <cellStyle name="40% - Accent3 6 3" xfId="324"/>
    <cellStyle name="40% - Accent3 6_10-15-10-Stmt AU - Period I - Working 1 0" xfId="325"/>
    <cellStyle name="40% - Accent3 7" xfId="326"/>
    <cellStyle name="40% - Accent3 7 2" xfId="327"/>
    <cellStyle name="40% - Accent3 7 3" xfId="328"/>
    <cellStyle name="40% - Accent3 7_10-15-10-Stmt AU - Period I - Working 1 0" xfId="329"/>
    <cellStyle name="40% - Accent3 8" xfId="330"/>
    <cellStyle name="40% - Accent3 9" xfId="331"/>
    <cellStyle name="40% - Accent4 10" xfId="332"/>
    <cellStyle name="40% - Accent4 11" xfId="333"/>
    <cellStyle name="40% - Accent4 12" xfId="334"/>
    <cellStyle name="40% - Accent4 13" xfId="335"/>
    <cellStyle name="40% - Accent4 2" xfId="336"/>
    <cellStyle name="40% - Accent4 2 10" xfId="39353"/>
    <cellStyle name="40% - Accent4 2 10 2" xfId="39354"/>
    <cellStyle name="40% - Accent4 2 10 2 2" xfId="39355"/>
    <cellStyle name="40% - Accent4 2 10 3" xfId="39356"/>
    <cellStyle name="40% - Accent4 2 10 3 2" xfId="39357"/>
    <cellStyle name="40% - Accent4 2 10 4" xfId="39358"/>
    <cellStyle name="40% - Accent4 2 10 5" xfId="39359"/>
    <cellStyle name="40% - Accent4 2 10 6" xfId="39360"/>
    <cellStyle name="40% - Accent4 2 10 7" xfId="39361"/>
    <cellStyle name="40% - Accent4 2 11" xfId="39362"/>
    <cellStyle name="40% - Accent4 2 11 2" xfId="39363"/>
    <cellStyle name="40% - Accent4 2 11 2 2" xfId="39364"/>
    <cellStyle name="40% - Accent4 2 11 3" xfId="39365"/>
    <cellStyle name="40% - Accent4 2 11 3 2" xfId="39366"/>
    <cellStyle name="40% - Accent4 2 11 4" xfId="39367"/>
    <cellStyle name="40% - Accent4 2 11 5" xfId="39368"/>
    <cellStyle name="40% - Accent4 2 11 6" xfId="39369"/>
    <cellStyle name="40% - Accent4 2 11 7" xfId="39370"/>
    <cellStyle name="40% - Accent4 2 12" xfId="39371"/>
    <cellStyle name="40% - Accent4 2 12 2" xfId="39372"/>
    <cellStyle name="40% - Accent4 2 12 2 2" xfId="39373"/>
    <cellStyle name="40% - Accent4 2 12 3" xfId="39374"/>
    <cellStyle name="40% - Accent4 2 12 3 2" xfId="39375"/>
    <cellStyle name="40% - Accent4 2 12 4" xfId="39376"/>
    <cellStyle name="40% - Accent4 2 12 5" xfId="39377"/>
    <cellStyle name="40% - Accent4 2 12 6" xfId="39378"/>
    <cellStyle name="40% - Accent4 2 12 7" xfId="39379"/>
    <cellStyle name="40% - Accent4 2 13" xfId="39380"/>
    <cellStyle name="40% - Accent4 2 13 2" xfId="39381"/>
    <cellStyle name="40% - Accent4 2 14" xfId="39382"/>
    <cellStyle name="40% - Accent4 2 15" xfId="39383"/>
    <cellStyle name="40% - Accent4 2 16" xfId="39384"/>
    <cellStyle name="40% - Accent4 2 17" xfId="39385"/>
    <cellStyle name="40% - Accent4 2 18" xfId="39386"/>
    <cellStyle name="40% - Accent4 2 2" xfId="337"/>
    <cellStyle name="40% - Accent4 2 2 10" xfId="39387"/>
    <cellStyle name="40% - Accent4 2 2 11" xfId="39388"/>
    <cellStyle name="40% - Accent4 2 2 12" xfId="39389"/>
    <cellStyle name="40% - Accent4 2 2 13" xfId="39390"/>
    <cellStyle name="40% - Accent4 2 2 2" xfId="39391"/>
    <cellStyle name="40% - Accent4 2 2 2 10" xfId="39392"/>
    <cellStyle name="40% - Accent4 2 2 2 11" xfId="39393"/>
    <cellStyle name="40% - Accent4 2 2 2 2" xfId="39394"/>
    <cellStyle name="40% - Accent4 2 2 2 2 10" xfId="39395"/>
    <cellStyle name="40% - Accent4 2 2 2 2 2" xfId="39396"/>
    <cellStyle name="40% - Accent4 2 2 2 2 2 2" xfId="39397"/>
    <cellStyle name="40% - Accent4 2 2 2 2 2 2 2" xfId="39398"/>
    <cellStyle name="40% - Accent4 2 2 2 2 2 3" xfId="39399"/>
    <cellStyle name="40% - Accent4 2 2 2 2 2 3 2" xfId="39400"/>
    <cellStyle name="40% - Accent4 2 2 2 2 2 4" xfId="39401"/>
    <cellStyle name="40% - Accent4 2 2 2 2 2 5" xfId="39402"/>
    <cellStyle name="40% - Accent4 2 2 2 2 2 6" xfId="39403"/>
    <cellStyle name="40% - Accent4 2 2 2 2 2 7" xfId="39404"/>
    <cellStyle name="40% - Accent4 2 2 2 2 3" xfId="39405"/>
    <cellStyle name="40% - Accent4 2 2 2 2 3 2" xfId="39406"/>
    <cellStyle name="40% - Accent4 2 2 2 2 3 2 2" xfId="39407"/>
    <cellStyle name="40% - Accent4 2 2 2 2 3 3" xfId="39408"/>
    <cellStyle name="40% - Accent4 2 2 2 2 3 3 2" xfId="39409"/>
    <cellStyle name="40% - Accent4 2 2 2 2 3 4" xfId="39410"/>
    <cellStyle name="40% - Accent4 2 2 2 2 3 5" xfId="39411"/>
    <cellStyle name="40% - Accent4 2 2 2 2 3 6" xfId="39412"/>
    <cellStyle name="40% - Accent4 2 2 2 2 3 7" xfId="39413"/>
    <cellStyle name="40% - Accent4 2 2 2 2 4" xfId="39414"/>
    <cellStyle name="40% - Accent4 2 2 2 2 4 2" xfId="39415"/>
    <cellStyle name="40% - Accent4 2 2 2 2 4 2 2" xfId="39416"/>
    <cellStyle name="40% - Accent4 2 2 2 2 4 3" xfId="39417"/>
    <cellStyle name="40% - Accent4 2 2 2 2 4 3 2" xfId="39418"/>
    <cellStyle name="40% - Accent4 2 2 2 2 4 4" xfId="39419"/>
    <cellStyle name="40% - Accent4 2 2 2 2 4 5" xfId="39420"/>
    <cellStyle name="40% - Accent4 2 2 2 2 4 6" xfId="39421"/>
    <cellStyle name="40% - Accent4 2 2 2 2 4 7" xfId="39422"/>
    <cellStyle name="40% - Accent4 2 2 2 2 5" xfId="39423"/>
    <cellStyle name="40% - Accent4 2 2 2 2 5 2" xfId="39424"/>
    <cellStyle name="40% - Accent4 2 2 2 2 6" xfId="39425"/>
    <cellStyle name="40% - Accent4 2 2 2 2 6 2" xfId="39426"/>
    <cellStyle name="40% - Accent4 2 2 2 2 7" xfId="39427"/>
    <cellStyle name="40% - Accent4 2 2 2 2 8" xfId="39428"/>
    <cellStyle name="40% - Accent4 2 2 2 2 9" xfId="39429"/>
    <cellStyle name="40% - Accent4 2 2 2 3" xfId="39430"/>
    <cellStyle name="40% - Accent4 2 2 2 3 2" xfId="39431"/>
    <cellStyle name="40% - Accent4 2 2 2 3 2 2" xfId="39432"/>
    <cellStyle name="40% - Accent4 2 2 2 3 3" xfId="39433"/>
    <cellStyle name="40% - Accent4 2 2 2 3 3 2" xfId="39434"/>
    <cellStyle name="40% - Accent4 2 2 2 3 4" xfId="39435"/>
    <cellStyle name="40% - Accent4 2 2 2 3 5" xfId="39436"/>
    <cellStyle name="40% - Accent4 2 2 2 3 6" xfId="39437"/>
    <cellStyle name="40% - Accent4 2 2 2 3 7" xfId="39438"/>
    <cellStyle name="40% - Accent4 2 2 2 4" xfId="39439"/>
    <cellStyle name="40% - Accent4 2 2 2 4 2" xfId="39440"/>
    <cellStyle name="40% - Accent4 2 2 2 4 2 2" xfId="39441"/>
    <cellStyle name="40% - Accent4 2 2 2 4 3" xfId="39442"/>
    <cellStyle name="40% - Accent4 2 2 2 4 3 2" xfId="39443"/>
    <cellStyle name="40% - Accent4 2 2 2 4 4" xfId="39444"/>
    <cellStyle name="40% - Accent4 2 2 2 4 5" xfId="39445"/>
    <cellStyle name="40% - Accent4 2 2 2 4 6" xfId="39446"/>
    <cellStyle name="40% - Accent4 2 2 2 4 7" xfId="39447"/>
    <cellStyle name="40% - Accent4 2 2 2 5" xfId="39448"/>
    <cellStyle name="40% - Accent4 2 2 2 5 2" xfId="39449"/>
    <cellStyle name="40% - Accent4 2 2 2 5 2 2" xfId="39450"/>
    <cellStyle name="40% - Accent4 2 2 2 5 3" xfId="39451"/>
    <cellStyle name="40% - Accent4 2 2 2 5 3 2" xfId="39452"/>
    <cellStyle name="40% - Accent4 2 2 2 5 4" xfId="39453"/>
    <cellStyle name="40% - Accent4 2 2 2 5 5" xfId="39454"/>
    <cellStyle name="40% - Accent4 2 2 2 5 6" xfId="39455"/>
    <cellStyle name="40% - Accent4 2 2 2 5 7" xfId="39456"/>
    <cellStyle name="40% - Accent4 2 2 2 6" xfId="39457"/>
    <cellStyle name="40% - Accent4 2 2 2 6 2" xfId="39458"/>
    <cellStyle name="40% - Accent4 2 2 2 7" xfId="39459"/>
    <cellStyle name="40% - Accent4 2 2 2 7 2" xfId="39460"/>
    <cellStyle name="40% - Accent4 2 2 2 8" xfId="39461"/>
    <cellStyle name="40% - Accent4 2 2 2 9" xfId="39462"/>
    <cellStyle name="40% - Accent4 2 2 3" xfId="39463"/>
    <cellStyle name="40% - Accent4 2 2 3 10" xfId="39464"/>
    <cellStyle name="40% - Accent4 2 2 3 11" xfId="39465"/>
    <cellStyle name="40% - Accent4 2 2 3 2" xfId="39466"/>
    <cellStyle name="40% - Accent4 2 2 3 2 10" xfId="39467"/>
    <cellStyle name="40% - Accent4 2 2 3 2 2" xfId="39468"/>
    <cellStyle name="40% - Accent4 2 2 3 2 2 2" xfId="39469"/>
    <cellStyle name="40% - Accent4 2 2 3 2 2 2 2" xfId="39470"/>
    <cellStyle name="40% - Accent4 2 2 3 2 2 3" xfId="39471"/>
    <cellStyle name="40% - Accent4 2 2 3 2 2 3 2" xfId="39472"/>
    <cellStyle name="40% - Accent4 2 2 3 2 2 4" xfId="39473"/>
    <cellStyle name="40% - Accent4 2 2 3 2 2 5" xfId="39474"/>
    <cellStyle name="40% - Accent4 2 2 3 2 2 6" xfId="39475"/>
    <cellStyle name="40% - Accent4 2 2 3 2 2 7" xfId="39476"/>
    <cellStyle name="40% - Accent4 2 2 3 2 3" xfId="39477"/>
    <cellStyle name="40% - Accent4 2 2 3 2 3 2" xfId="39478"/>
    <cellStyle name="40% - Accent4 2 2 3 2 3 2 2" xfId="39479"/>
    <cellStyle name="40% - Accent4 2 2 3 2 3 3" xfId="39480"/>
    <cellStyle name="40% - Accent4 2 2 3 2 3 3 2" xfId="39481"/>
    <cellStyle name="40% - Accent4 2 2 3 2 3 4" xfId="39482"/>
    <cellStyle name="40% - Accent4 2 2 3 2 3 5" xfId="39483"/>
    <cellStyle name="40% - Accent4 2 2 3 2 3 6" xfId="39484"/>
    <cellStyle name="40% - Accent4 2 2 3 2 3 7" xfId="39485"/>
    <cellStyle name="40% - Accent4 2 2 3 2 4" xfId="39486"/>
    <cellStyle name="40% - Accent4 2 2 3 2 4 2" xfId="39487"/>
    <cellStyle name="40% - Accent4 2 2 3 2 4 2 2" xfId="39488"/>
    <cellStyle name="40% - Accent4 2 2 3 2 4 3" xfId="39489"/>
    <cellStyle name="40% - Accent4 2 2 3 2 4 3 2" xfId="39490"/>
    <cellStyle name="40% - Accent4 2 2 3 2 4 4" xfId="39491"/>
    <cellStyle name="40% - Accent4 2 2 3 2 4 5" xfId="39492"/>
    <cellStyle name="40% - Accent4 2 2 3 2 4 6" xfId="39493"/>
    <cellStyle name="40% - Accent4 2 2 3 2 4 7" xfId="39494"/>
    <cellStyle name="40% - Accent4 2 2 3 2 5" xfId="39495"/>
    <cellStyle name="40% - Accent4 2 2 3 2 5 2" xfId="39496"/>
    <cellStyle name="40% - Accent4 2 2 3 2 6" xfId="39497"/>
    <cellStyle name="40% - Accent4 2 2 3 2 6 2" xfId="39498"/>
    <cellStyle name="40% - Accent4 2 2 3 2 7" xfId="39499"/>
    <cellStyle name="40% - Accent4 2 2 3 2 8" xfId="39500"/>
    <cellStyle name="40% - Accent4 2 2 3 2 9" xfId="39501"/>
    <cellStyle name="40% - Accent4 2 2 3 3" xfId="39502"/>
    <cellStyle name="40% - Accent4 2 2 3 3 2" xfId="39503"/>
    <cellStyle name="40% - Accent4 2 2 3 3 2 2" xfId="39504"/>
    <cellStyle name="40% - Accent4 2 2 3 3 3" xfId="39505"/>
    <cellStyle name="40% - Accent4 2 2 3 3 3 2" xfId="39506"/>
    <cellStyle name="40% - Accent4 2 2 3 3 4" xfId="39507"/>
    <cellStyle name="40% - Accent4 2 2 3 3 5" xfId="39508"/>
    <cellStyle name="40% - Accent4 2 2 3 3 6" xfId="39509"/>
    <cellStyle name="40% - Accent4 2 2 3 3 7" xfId="39510"/>
    <cellStyle name="40% - Accent4 2 2 3 4" xfId="39511"/>
    <cellStyle name="40% - Accent4 2 2 3 4 2" xfId="39512"/>
    <cellStyle name="40% - Accent4 2 2 3 4 2 2" xfId="39513"/>
    <cellStyle name="40% - Accent4 2 2 3 4 3" xfId="39514"/>
    <cellStyle name="40% - Accent4 2 2 3 4 3 2" xfId="39515"/>
    <cellStyle name="40% - Accent4 2 2 3 4 4" xfId="39516"/>
    <cellStyle name="40% - Accent4 2 2 3 4 5" xfId="39517"/>
    <cellStyle name="40% - Accent4 2 2 3 4 6" xfId="39518"/>
    <cellStyle name="40% - Accent4 2 2 3 4 7" xfId="39519"/>
    <cellStyle name="40% - Accent4 2 2 3 5" xfId="39520"/>
    <cellStyle name="40% - Accent4 2 2 3 5 2" xfId="39521"/>
    <cellStyle name="40% - Accent4 2 2 3 5 2 2" xfId="39522"/>
    <cellStyle name="40% - Accent4 2 2 3 5 3" xfId="39523"/>
    <cellStyle name="40% - Accent4 2 2 3 5 3 2" xfId="39524"/>
    <cellStyle name="40% - Accent4 2 2 3 5 4" xfId="39525"/>
    <cellStyle name="40% - Accent4 2 2 3 5 5" xfId="39526"/>
    <cellStyle name="40% - Accent4 2 2 3 5 6" xfId="39527"/>
    <cellStyle name="40% - Accent4 2 2 3 5 7" xfId="39528"/>
    <cellStyle name="40% - Accent4 2 2 3 6" xfId="39529"/>
    <cellStyle name="40% - Accent4 2 2 3 6 2" xfId="39530"/>
    <cellStyle name="40% - Accent4 2 2 3 7" xfId="39531"/>
    <cellStyle name="40% - Accent4 2 2 3 7 2" xfId="39532"/>
    <cellStyle name="40% - Accent4 2 2 3 8" xfId="39533"/>
    <cellStyle name="40% - Accent4 2 2 3 9" xfId="39534"/>
    <cellStyle name="40% - Accent4 2 2 4" xfId="39535"/>
    <cellStyle name="40% - Accent4 2 2 4 10" xfId="39536"/>
    <cellStyle name="40% - Accent4 2 2 4 2" xfId="39537"/>
    <cellStyle name="40% - Accent4 2 2 4 2 2" xfId="39538"/>
    <cellStyle name="40% - Accent4 2 2 4 2 2 2" xfId="39539"/>
    <cellStyle name="40% - Accent4 2 2 4 2 3" xfId="39540"/>
    <cellStyle name="40% - Accent4 2 2 4 2 3 2" xfId="39541"/>
    <cellStyle name="40% - Accent4 2 2 4 2 4" xfId="39542"/>
    <cellStyle name="40% - Accent4 2 2 4 2 5" xfId="39543"/>
    <cellStyle name="40% - Accent4 2 2 4 2 6" xfId="39544"/>
    <cellStyle name="40% - Accent4 2 2 4 2 7" xfId="39545"/>
    <cellStyle name="40% - Accent4 2 2 4 3" xfId="39546"/>
    <cellStyle name="40% - Accent4 2 2 4 3 2" xfId="39547"/>
    <cellStyle name="40% - Accent4 2 2 4 3 2 2" xfId="39548"/>
    <cellStyle name="40% - Accent4 2 2 4 3 3" xfId="39549"/>
    <cellStyle name="40% - Accent4 2 2 4 3 3 2" xfId="39550"/>
    <cellStyle name="40% - Accent4 2 2 4 3 4" xfId="39551"/>
    <cellStyle name="40% - Accent4 2 2 4 3 5" xfId="39552"/>
    <cellStyle name="40% - Accent4 2 2 4 3 6" xfId="39553"/>
    <cellStyle name="40% - Accent4 2 2 4 3 7" xfId="39554"/>
    <cellStyle name="40% - Accent4 2 2 4 4" xfId="39555"/>
    <cellStyle name="40% - Accent4 2 2 4 4 2" xfId="39556"/>
    <cellStyle name="40% - Accent4 2 2 4 4 2 2" xfId="39557"/>
    <cellStyle name="40% - Accent4 2 2 4 4 3" xfId="39558"/>
    <cellStyle name="40% - Accent4 2 2 4 4 3 2" xfId="39559"/>
    <cellStyle name="40% - Accent4 2 2 4 4 4" xfId="39560"/>
    <cellStyle name="40% - Accent4 2 2 4 4 5" xfId="39561"/>
    <cellStyle name="40% - Accent4 2 2 4 4 6" xfId="39562"/>
    <cellStyle name="40% - Accent4 2 2 4 4 7" xfId="39563"/>
    <cellStyle name="40% - Accent4 2 2 4 5" xfId="39564"/>
    <cellStyle name="40% - Accent4 2 2 4 5 2" xfId="39565"/>
    <cellStyle name="40% - Accent4 2 2 4 6" xfId="39566"/>
    <cellStyle name="40% - Accent4 2 2 4 6 2" xfId="39567"/>
    <cellStyle name="40% - Accent4 2 2 4 7" xfId="39568"/>
    <cellStyle name="40% - Accent4 2 2 4 8" xfId="39569"/>
    <cellStyle name="40% - Accent4 2 2 4 9" xfId="39570"/>
    <cellStyle name="40% - Accent4 2 2 5" xfId="39571"/>
    <cellStyle name="40% - Accent4 2 2 5 2" xfId="39572"/>
    <cellStyle name="40% - Accent4 2 2 5 2 2" xfId="39573"/>
    <cellStyle name="40% - Accent4 2 2 5 3" xfId="39574"/>
    <cellStyle name="40% - Accent4 2 2 5 3 2" xfId="39575"/>
    <cellStyle name="40% - Accent4 2 2 5 4" xfId="39576"/>
    <cellStyle name="40% - Accent4 2 2 5 5" xfId="39577"/>
    <cellStyle name="40% - Accent4 2 2 5 6" xfId="39578"/>
    <cellStyle name="40% - Accent4 2 2 5 7" xfId="39579"/>
    <cellStyle name="40% - Accent4 2 2 6" xfId="39580"/>
    <cellStyle name="40% - Accent4 2 2 6 2" xfId="39581"/>
    <cellStyle name="40% - Accent4 2 2 6 2 2" xfId="39582"/>
    <cellStyle name="40% - Accent4 2 2 6 3" xfId="39583"/>
    <cellStyle name="40% - Accent4 2 2 6 3 2" xfId="39584"/>
    <cellStyle name="40% - Accent4 2 2 6 4" xfId="39585"/>
    <cellStyle name="40% - Accent4 2 2 6 5" xfId="39586"/>
    <cellStyle name="40% - Accent4 2 2 6 6" xfId="39587"/>
    <cellStyle name="40% - Accent4 2 2 6 7" xfId="39588"/>
    <cellStyle name="40% - Accent4 2 2 7" xfId="39589"/>
    <cellStyle name="40% - Accent4 2 2 7 2" xfId="39590"/>
    <cellStyle name="40% - Accent4 2 2 7 2 2" xfId="39591"/>
    <cellStyle name="40% - Accent4 2 2 7 3" xfId="39592"/>
    <cellStyle name="40% - Accent4 2 2 7 3 2" xfId="39593"/>
    <cellStyle name="40% - Accent4 2 2 7 4" xfId="39594"/>
    <cellStyle name="40% - Accent4 2 2 7 5" xfId="39595"/>
    <cellStyle name="40% - Accent4 2 2 7 6" xfId="39596"/>
    <cellStyle name="40% - Accent4 2 2 7 7" xfId="39597"/>
    <cellStyle name="40% - Accent4 2 2 8" xfId="39598"/>
    <cellStyle name="40% - Accent4 2 2 8 2" xfId="39599"/>
    <cellStyle name="40% - Accent4 2 2 9" xfId="39600"/>
    <cellStyle name="40% - Accent4 2 2 9 2" xfId="39601"/>
    <cellStyle name="40% - Accent4 2 3" xfId="338"/>
    <cellStyle name="40% - Accent4 2 3 10" xfId="39602"/>
    <cellStyle name="40% - Accent4 2 3 11" xfId="39603"/>
    <cellStyle name="40% - Accent4 2 3 12" xfId="39604"/>
    <cellStyle name="40% - Accent4 2 3 13" xfId="39605"/>
    <cellStyle name="40% - Accent4 2 3 2" xfId="39606"/>
    <cellStyle name="40% - Accent4 2 3 2 10" xfId="39607"/>
    <cellStyle name="40% - Accent4 2 3 2 11" xfId="39608"/>
    <cellStyle name="40% - Accent4 2 3 2 2" xfId="39609"/>
    <cellStyle name="40% - Accent4 2 3 2 2 10" xfId="39610"/>
    <cellStyle name="40% - Accent4 2 3 2 2 2" xfId="39611"/>
    <cellStyle name="40% - Accent4 2 3 2 2 2 2" xfId="39612"/>
    <cellStyle name="40% - Accent4 2 3 2 2 2 2 2" xfId="39613"/>
    <cellStyle name="40% - Accent4 2 3 2 2 2 3" xfId="39614"/>
    <cellStyle name="40% - Accent4 2 3 2 2 2 3 2" xfId="39615"/>
    <cellStyle name="40% - Accent4 2 3 2 2 2 4" xfId="39616"/>
    <cellStyle name="40% - Accent4 2 3 2 2 2 5" xfId="39617"/>
    <cellStyle name="40% - Accent4 2 3 2 2 2 6" xfId="39618"/>
    <cellStyle name="40% - Accent4 2 3 2 2 2 7" xfId="39619"/>
    <cellStyle name="40% - Accent4 2 3 2 2 3" xfId="39620"/>
    <cellStyle name="40% - Accent4 2 3 2 2 3 2" xfId="39621"/>
    <cellStyle name="40% - Accent4 2 3 2 2 3 2 2" xfId="39622"/>
    <cellStyle name="40% - Accent4 2 3 2 2 3 3" xfId="39623"/>
    <cellStyle name="40% - Accent4 2 3 2 2 3 3 2" xfId="39624"/>
    <cellStyle name="40% - Accent4 2 3 2 2 3 4" xfId="39625"/>
    <cellStyle name="40% - Accent4 2 3 2 2 3 5" xfId="39626"/>
    <cellStyle name="40% - Accent4 2 3 2 2 3 6" xfId="39627"/>
    <cellStyle name="40% - Accent4 2 3 2 2 3 7" xfId="39628"/>
    <cellStyle name="40% - Accent4 2 3 2 2 4" xfId="39629"/>
    <cellStyle name="40% - Accent4 2 3 2 2 4 2" xfId="39630"/>
    <cellStyle name="40% - Accent4 2 3 2 2 4 2 2" xfId="39631"/>
    <cellStyle name="40% - Accent4 2 3 2 2 4 3" xfId="39632"/>
    <cellStyle name="40% - Accent4 2 3 2 2 4 3 2" xfId="39633"/>
    <cellStyle name="40% - Accent4 2 3 2 2 4 4" xfId="39634"/>
    <cellStyle name="40% - Accent4 2 3 2 2 4 5" xfId="39635"/>
    <cellStyle name="40% - Accent4 2 3 2 2 4 6" xfId="39636"/>
    <cellStyle name="40% - Accent4 2 3 2 2 4 7" xfId="39637"/>
    <cellStyle name="40% - Accent4 2 3 2 2 5" xfId="39638"/>
    <cellStyle name="40% - Accent4 2 3 2 2 5 2" xfId="39639"/>
    <cellStyle name="40% - Accent4 2 3 2 2 6" xfId="39640"/>
    <cellStyle name="40% - Accent4 2 3 2 2 6 2" xfId="39641"/>
    <cellStyle name="40% - Accent4 2 3 2 2 7" xfId="39642"/>
    <cellStyle name="40% - Accent4 2 3 2 2 8" xfId="39643"/>
    <cellStyle name="40% - Accent4 2 3 2 2 9" xfId="39644"/>
    <cellStyle name="40% - Accent4 2 3 2 3" xfId="39645"/>
    <cellStyle name="40% - Accent4 2 3 2 3 2" xfId="39646"/>
    <cellStyle name="40% - Accent4 2 3 2 3 2 2" xfId="39647"/>
    <cellStyle name="40% - Accent4 2 3 2 3 3" xfId="39648"/>
    <cellStyle name="40% - Accent4 2 3 2 3 3 2" xfId="39649"/>
    <cellStyle name="40% - Accent4 2 3 2 3 4" xfId="39650"/>
    <cellStyle name="40% - Accent4 2 3 2 3 5" xfId="39651"/>
    <cellStyle name="40% - Accent4 2 3 2 3 6" xfId="39652"/>
    <cellStyle name="40% - Accent4 2 3 2 3 7" xfId="39653"/>
    <cellStyle name="40% - Accent4 2 3 2 4" xfId="39654"/>
    <cellStyle name="40% - Accent4 2 3 2 4 2" xfId="39655"/>
    <cellStyle name="40% - Accent4 2 3 2 4 2 2" xfId="39656"/>
    <cellStyle name="40% - Accent4 2 3 2 4 3" xfId="39657"/>
    <cellStyle name="40% - Accent4 2 3 2 4 3 2" xfId="39658"/>
    <cellStyle name="40% - Accent4 2 3 2 4 4" xfId="39659"/>
    <cellStyle name="40% - Accent4 2 3 2 4 5" xfId="39660"/>
    <cellStyle name="40% - Accent4 2 3 2 4 6" xfId="39661"/>
    <cellStyle name="40% - Accent4 2 3 2 4 7" xfId="39662"/>
    <cellStyle name="40% - Accent4 2 3 2 5" xfId="39663"/>
    <cellStyle name="40% - Accent4 2 3 2 5 2" xfId="39664"/>
    <cellStyle name="40% - Accent4 2 3 2 5 2 2" xfId="39665"/>
    <cellStyle name="40% - Accent4 2 3 2 5 3" xfId="39666"/>
    <cellStyle name="40% - Accent4 2 3 2 5 3 2" xfId="39667"/>
    <cellStyle name="40% - Accent4 2 3 2 5 4" xfId="39668"/>
    <cellStyle name="40% - Accent4 2 3 2 5 5" xfId="39669"/>
    <cellStyle name="40% - Accent4 2 3 2 5 6" xfId="39670"/>
    <cellStyle name="40% - Accent4 2 3 2 5 7" xfId="39671"/>
    <cellStyle name="40% - Accent4 2 3 2 6" xfId="39672"/>
    <cellStyle name="40% - Accent4 2 3 2 6 2" xfId="39673"/>
    <cellStyle name="40% - Accent4 2 3 2 7" xfId="39674"/>
    <cellStyle name="40% - Accent4 2 3 2 7 2" xfId="39675"/>
    <cellStyle name="40% - Accent4 2 3 2 8" xfId="39676"/>
    <cellStyle name="40% - Accent4 2 3 2 9" xfId="39677"/>
    <cellStyle name="40% - Accent4 2 3 3" xfId="39678"/>
    <cellStyle name="40% - Accent4 2 3 3 10" xfId="39679"/>
    <cellStyle name="40% - Accent4 2 3 3 11" xfId="39680"/>
    <cellStyle name="40% - Accent4 2 3 3 2" xfId="39681"/>
    <cellStyle name="40% - Accent4 2 3 3 2 10" xfId="39682"/>
    <cellStyle name="40% - Accent4 2 3 3 2 2" xfId="39683"/>
    <cellStyle name="40% - Accent4 2 3 3 2 2 2" xfId="39684"/>
    <cellStyle name="40% - Accent4 2 3 3 2 2 2 2" xfId="39685"/>
    <cellStyle name="40% - Accent4 2 3 3 2 2 3" xfId="39686"/>
    <cellStyle name="40% - Accent4 2 3 3 2 2 3 2" xfId="39687"/>
    <cellStyle name="40% - Accent4 2 3 3 2 2 4" xfId="39688"/>
    <cellStyle name="40% - Accent4 2 3 3 2 2 5" xfId="39689"/>
    <cellStyle name="40% - Accent4 2 3 3 2 2 6" xfId="39690"/>
    <cellStyle name="40% - Accent4 2 3 3 2 2 7" xfId="39691"/>
    <cellStyle name="40% - Accent4 2 3 3 2 3" xfId="39692"/>
    <cellStyle name="40% - Accent4 2 3 3 2 3 2" xfId="39693"/>
    <cellStyle name="40% - Accent4 2 3 3 2 3 2 2" xfId="39694"/>
    <cellStyle name="40% - Accent4 2 3 3 2 3 3" xfId="39695"/>
    <cellStyle name="40% - Accent4 2 3 3 2 3 3 2" xfId="39696"/>
    <cellStyle name="40% - Accent4 2 3 3 2 3 4" xfId="39697"/>
    <cellStyle name="40% - Accent4 2 3 3 2 3 5" xfId="39698"/>
    <cellStyle name="40% - Accent4 2 3 3 2 3 6" xfId="39699"/>
    <cellStyle name="40% - Accent4 2 3 3 2 3 7" xfId="39700"/>
    <cellStyle name="40% - Accent4 2 3 3 2 4" xfId="39701"/>
    <cellStyle name="40% - Accent4 2 3 3 2 4 2" xfId="39702"/>
    <cellStyle name="40% - Accent4 2 3 3 2 4 2 2" xfId="39703"/>
    <cellStyle name="40% - Accent4 2 3 3 2 4 3" xfId="39704"/>
    <cellStyle name="40% - Accent4 2 3 3 2 4 3 2" xfId="39705"/>
    <cellStyle name="40% - Accent4 2 3 3 2 4 4" xfId="39706"/>
    <cellStyle name="40% - Accent4 2 3 3 2 4 5" xfId="39707"/>
    <cellStyle name="40% - Accent4 2 3 3 2 4 6" xfId="39708"/>
    <cellStyle name="40% - Accent4 2 3 3 2 4 7" xfId="39709"/>
    <cellStyle name="40% - Accent4 2 3 3 2 5" xfId="39710"/>
    <cellStyle name="40% - Accent4 2 3 3 2 5 2" xfId="39711"/>
    <cellStyle name="40% - Accent4 2 3 3 2 6" xfId="39712"/>
    <cellStyle name="40% - Accent4 2 3 3 2 6 2" xfId="39713"/>
    <cellStyle name="40% - Accent4 2 3 3 2 7" xfId="39714"/>
    <cellStyle name="40% - Accent4 2 3 3 2 8" xfId="39715"/>
    <cellStyle name="40% - Accent4 2 3 3 2 9" xfId="39716"/>
    <cellStyle name="40% - Accent4 2 3 3 3" xfId="39717"/>
    <cellStyle name="40% - Accent4 2 3 3 3 2" xfId="39718"/>
    <cellStyle name="40% - Accent4 2 3 3 3 2 2" xfId="39719"/>
    <cellStyle name="40% - Accent4 2 3 3 3 3" xfId="39720"/>
    <cellStyle name="40% - Accent4 2 3 3 3 3 2" xfId="39721"/>
    <cellStyle name="40% - Accent4 2 3 3 3 4" xfId="39722"/>
    <cellStyle name="40% - Accent4 2 3 3 3 5" xfId="39723"/>
    <cellStyle name="40% - Accent4 2 3 3 3 6" xfId="39724"/>
    <cellStyle name="40% - Accent4 2 3 3 3 7" xfId="39725"/>
    <cellStyle name="40% - Accent4 2 3 3 4" xfId="39726"/>
    <cellStyle name="40% - Accent4 2 3 3 4 2" xfId="39727"/>
    <cellStyle name="40% - Accent4 2 3 3 4 2 2" xfId="39728"/>
    <cellStyle name="40% - Accent4 2 3 3 4 3" xfId="39729"/>
    <cellStyle name="40% - Accent4 2 3 3 4 3 2" xfId="39730"/>
    <cellStyle name="40% - Accent4 2 3 3 4 4" xfId="39731"/>
    <cellStyle name="40% - Accent4 2 3 3 4 5" xfId="39732"/>
    <cellStyle name="40% - Accent4 2 3 3 4 6" xfId="39733"/>
    <cellStyle name="40% - Accent4 2 3 3 4 7" xfId="39734"/>
    <cellStyle name="40% - Accent4 2 3 3 5" xfId="39735"/>
    <cellStyle name="40% - Accent4 2 3 3 5 2" xfId="39736"/>
    <cellStyle name="40% - Accent4 2 3 3 5 2 2" xfId="39737"/>
    <cellStyle name="40% - Accent4 2 3 3 5 3" xfId="39738"/>
    <cellStyle name="40% - Accent4 2 3 3 5 3 2" xfId="39739"/>
    <cellStyle name="40% - Accent4 2 3 3 5 4" xfId="39740"/>
    <cellStyle name="40% - Accent4 2 3 3 5 5" xfId="39741"/>
    <cellStyle name="40% - Accent4 2 3 3 5 6" xfId="39742"/>
    <cellStyle name="40% - Accent4 2 3 3 5 7" xfId="39743"/>
    <cellStyle name="40% - Accent4 2 3 3 6" xfId="39744"/>
    <cellStyle name="40% - Accent4 2 3 3 6 2" xfId="39745"/>
    <cellStyle name="40% - Accent4 2 3 3 7" xfId="39746"/>
    <cellStyle name="40% - Accent4 2 3 3 7 2" xfId="39747"/>
    <cellStyle name="40% - Accent4 2 3 3 8" xfId="39748"/>
    <cellStyle name="40% - Accent4 2 3 3 9" xfId="39749"/>
    <cellStyle name="40% - Accent4 2 3 4" xfId="39750"/>
    <cellStyle name="40% - Accent4 2 3 4 10" xfId="39751"/>
    <cellStyle name="40% - Accent4 2 3 4 2" xfId="39752"/>
    <cellStyle name="40% - Accent4 2 3 4 2 2" xfId="39753"/>
    <cellStyle name="40% - Accent4 2 3 4 2 2 2" xfId="39754"/>
    <cellStyle name="40% - Accent4 2 3 4 2 3" xfId="39755"/>
    <cellStyle name="40% - Accent4 2 3 4 2 3 2" xfId="39756"/>
    <cellStyle name="40% - Accent4 2 3 4 2 4" xfId="39757"/>
    <cellStyle name="40% - Accent4 2 3 4 2 5" xfId="39758"/>
    <cellStyle name="40% - Accent4 2 3 4 2 6" xfId="39759"/>
    <cellStyle name="40% - Accent4 2 3 4 2 7" xfId="39760"/>
    <cellStyle name="40% - Accent4 2 3 4 3" xfId="39761"/>
    <cellStyle name="40% - Accent4 2 3 4 3 2" xfId="39762"/>
    <cellStyle name="40% - Accent4 2 3 4 3 2 2" xfId="39763"/>
    <cellStyle name="40% - Accent4 2 3 4 3 3" xfId="39764"/>
    <cellStyle name="40% - Accent4 2 3 4 3 3 2" xfId="39765"/>
    <cellStyle name="40% - Accent4 2 3 4 3 4" xfId="39766"/>
    <cellStyle name="40% - Accent4 2 3 4 3 5" xfId="39767"/>
    <cellStyle name="40% - Accent4 2 3 4 3 6" xfId="39768"/>
    <cellStyle name="40% - Accent4 2 3 4 3 7" xfId="39769"/>
    <cellStyle name="40% - Accent4 2 3 4 4" xfId="39770"/>
    <cellStyle name="40% - Accent4 2 3 4 4 2" xfId="39771"/>
    <cellStyle name="40% - Accent4 2 3 4 4 2 2" xfId="39772"/>
    <cellStyle name="40% - Accent4 2 3 4 4 3" xfId="39773"/>
    <cellStyle name="40% - Accent4 2 3 4 4 3 2" xfId="39774"/>
    <cellStyle name="40% - Accent4 2 3 4 4 4" xfId="39775"/>
    <cellStyle name="40% - Accent4 2 3 4 4 5" xfId="39776"/>
    <cellStyle name="40% - Accent4 2 3 4 4 6" xfId="39777"/>
    <cellStyle name="40% - Accent4 2 3 4 4 7" xfId="39778"/>
    <cellStyle name="40% - Accent4 2 3 4 5" xfId="39779"/>
    <cellStyle name="40% - Accent4 2 3 4 5 2" xfId="39780"/>
    <cellStyle name="40% - Accent4 2 3 4 6" xfId="39781"/>
    <cellStyle name="40% - Accent4 2 3 4 6 2" xfId="39782"/>
    <cellStyle name="40% - Accent4 2 3 4 7" xfId="39783"/>
    <cellStyle name="40% - Accent4 2 3 4 8" xfId="39784"/>
    <cellStyle name="40% - Accent4 2 3 4 9" xfId="39785"/>
    <cellStyle name="40% - Accent4 2 3 5" xfId="39786"/>
    <cellStyle name="40% - Accent4 2 3 5 2" xfId="39787"/>
    <cellStyle name="40% - Accent4 2 3 5 2 2" xfId="39788"/>
    <cellStyle name="40% - Accent4 2 3 5 3" xfId="39789"/>
    <cellStyle name="40% - Accent4 2 3 5 3 2" xfId="39790"/>
    <cellStyle name="40% - Accent4 2 3 5 4" xfId="39791"/>
    <cellStyle name="40% - Accent4 2 3 5 5" xfId="39792"/>
    <cellStyle name="40% - Accent4 2 3 5 6" xfId="39793"/>
    <cellStyle name="40% - Accent4 2 3 5 7" xfId="39794"/>
    <cellStyle name="40% - Accent4 2 3 6" xfId="39795"/>
    <cellStyle name="40% - Accent4 2 3 6 2" xfId="39796"/>
    <cellStyle name="40% - Accent4 2 3 6 2 2" xfId="39797"/>
    <cellStyle name="40% - Accent4 2 3 6 3" xfId="39798"/>
    <cellStyle name="40% - Accent4 2 3 6 3 2" xfId="39799"/>
    <cellStyle name="40% - Accent4 2 3 6 4" xfId="39800"/>
    <cellStyle name="40% - Accent4 2 3 6 5" xfId="39801"/>
    <cellStyle name="40% - Accent4 2 3 6 6" xfId="39802"/>
    <cellStyle name="40% - Accent4 2 3 6 7" xfId="39803"/>
    <cellStyle name="40% - Accent4 2 3 7" xfId="39804"/>
    <cellStyle name="40% - Accent4 2 3 7 2" xfId="39805"/>
    <cellStyle name="40% - Accent4 2 3 7 2 2" xfId="39806"/>
    <cellStyle name="40% - Accent4 2 3 7 3" xfId="39807"/>
    <cellStyle name="40% - Accent4 2 3 7 3 2" xfId="39808"/>
    <cellStyle name="40% - Accent4 2 3 7 4" xfId="39809"/>
    <cellStyle name="40% - Accent4 2 3 7 5" xfId="39810"/>
    <cellStyle name="40% - Accent4 2 3 7 6" xfId="39811"/>
    <cellStyle name="40% - Accent4 2 3 7 7" xfId="39812"/>
    <cellStyle name="40% - Accent4 2 3 8" xfId="39813"/>
    <cellStyle name="40% - Accent4 2 3 8 2" xfId="39814"/>
    <cellStyle name="40% - Accent4 2 3 9" xfId="39815"/>
    <cellStyle name="40% - Accent4 2 3 9 2" xfId="39816"/>
    <cellStyle name="40% - Accent4 2 4" xfId="39817"/>
    <cellStyle name="40% - Accent4 2 4 10" xfId="39818"/>
    <cellStyle name="40% - Accent4 2 4 11" xfId="39819"/>
    <cellStyle name="40% - Accent4 2 4 12" xfId="39820"/>
    <cellStyle name="40% - Accent4 2 4 13" xfId="39821"/>
    <cellStyle name="40% - Accent4 2 4 2" xfId="39822"/>
    <cellStyle name="40% - Accent4 2 4 2 10" xfId="39823"/>
    <cellStyle name="40% - Accent4 2 4 2 11" xfId="39824"/>
    <cellStyle name="40% - Accent4 2 4 2 2" xfId="39825"/>
    <cellStyle name="40% - Accent4 2 4 2 2 10" xfId="39826"/>
    <cellStyle name="40% - Accent4 2 4 2 2 2" xfId="39827"/>
    <cellStyle name="40% - Accent4 2 4 2 2 2 2" xfId="39828"/>
    <cellStyle name="40% - Accent4 2 4 2 2 2 2 2" xfId="39829"/>
    <cellStyle name="40% - Accent4 2 4 2 2 2 3" xfId="39830"/>
    <cellStyle name="40% - Accent4 2 4 2 2 2 3 2" xfId="39831"/>
    <cellStyle name="40% - Accent4 2 4 2 2 2 4" xfId="39832"/>
    <cellStyle name="40% - Accent4 2 4 2 2 2 5" xfId="39833"/>
    <cellStyle name="40% - Accent4 2 4 2 2 2 6" xfId="39834"/>
    <cellStyle name="40% - Accent4 2 4 2 2 2 7" xfId="39835"/>
    <cellStyle name="40% - Accent4 2 4 2 2 3" xfId="39836"/>
    <cellStyle name="40% - Accent4 2 4 2 2 3 2" xfId="39837"/>
    <cellStyle name="40% - Accent4 2 4 2 2 3 2 2" xfId="39838"/>
    <cellStyle name="40% - Accent4 2 4 2 2 3 3" xfId="39839"/>
    <cellStyle name="40% - Accent4 2 4 2 2 3 3 2" xfId="39840"/>
    <cellStyle name="40% - Accent4 2 4 2 2 3 4" xfId="39841"/>
    <cellStyle name="40% - Accent4 2 4 2 2 3 5" xfId="39842"/>
    <cellStyle name="40% - Accent4 2 4 2 2 3 6" xfId="39843"/>
    <cellStyle name="40% - Accent4 2 4 2 2 3 7" xfId="39844"/>
    <cellStyle name="40% - Accent4 2 4 2 2 4" xfId="39845"/>
    <cellStyle name="40% - Accent4 2 4 2 2 4 2" xfId="39846"/>
    <cellStyle name="40% - Accent4 2 4 2 2 4 2 2" xfId="39847"/>
    <cellStyle name="40% - Accent4 2 4 2 2 4 3" xfId="39848"/>
    <cellStyle name="40% - Accent4 2 4 2 2 4 3 2" xfId="39849"/>
    <cellStyle name="40% - Accent4 2 4 2 2 4 4" xfId="39850"/>
    <cellStyle name="40% - Accent4 2 4 2 2 4 5" xfId="39851"/>
    <cellStyle name="40% - Accent4 2 4 2 2 4 6" xfId="39852"/>
    <cellStyle name="40% - Accent4 2 4 2 2 4 7" xfId="39853"/>
    <cellStyle name="40% - Accent4 2 4 2 2 5" xfId="39854"/>
    <cellStyle name="40% - Accent4 2 4 2 2 5 2" xfId="39855"/>
    <cellStyle name="40% - Accent4 2 4 2 2 6" xfId="39856"/>
    <cellStyle name="40% - Accent4 2 4 2 2 6 2" xfId="39857"/>
    <cellStyle name="40% - Accent4 2 4 2 2 7" xfId="39858"/>
    <cellStyle name="40% - Accent4 2 4 2 2 8" xfId="39859"/>
    <cellStyle name="40% - Accent4 2 4 2 2 9" xfId="39860"/>
    <cellStyle name="40% - Accent4 2 4 2 3" xfId="39861"/>
    <cellStyle name="40% - Accent4 2 4 2 3 2" xfId="39862"/>
    <cellStyle name="40% - Accent4 2 4 2 3 2 2" xfId="39863"/>
    <cellStyle name="40% - Accent4 2 4 2 3 3" xfId="39864"/>
    <cellStyle name="40% - Accent4 2 4 2 3 3 2" xfId="39865"/>
    <cellStyle name="40% - Accent4 2 4 2 3 4" xfId="39866"/>
    <cellStyle name="40% - Accent4 2 4 2 3 5" xfId="39867"/>
    <cellStyle name="40% - Accent4 2 4 2 3 6" xfId="39868"/>
    <cellStyle name="40% - Accent4 2 4 2 3 7" xfId="39869"/>
    <cellStyle name="40% - Accent4 2 4 2 4" xfId="39870"/>
    <cellStyle name="40% - Accent4 2 4 2 4 2" xfId="39871"/>
    <cellStyle name="40% - Accent4 2 4 2 4 2 2" xfId="39872"/>
    <cellStyle name="40% - Accent4 2 4 2 4 3" xfId="39873"/>
    <cellStyle name="40% - Accent4 2 4 2 4 3 2" xfId="39874"/>
    <cellStyle name="40% - Accent4 2 4 2 4 4" xfId="39875"/>
    <cellStyle name="40% - Accent4 2 4 2 4 5" xfId="39876"/>
    <cellStyle name="40% - Accent4 2 4 2 4 6" xfId="39877"/>
    <cellStyle name="40% - Accent4 2 4 2 4 7" xfId="39878"/>
    <cellStyle name="40% - Accent4 2 4 2 5" xfId="39879"/>
    <cellStyle name="40% - Accent4 2 4 2 5 2" xfId="39880"/>
    <cellStyle name="40% - Accent4 2 4 2 5 2 2" xfId="39881"/>
    <cellStyle name="40% - Accent4 2 4 2 5 3" xfId="39882"/>
    <cellStyle name="40% - Accent4 2 4 2 5 3 2" xfId="39883"/>
    <cellStyle name="40% - Accent4 2 4 2 5 4" xfId="39884"/>
    <cellStyle name="40% - Accent4 2 4 2 5 5" xfId="39885"/>
    <cellStyle name="40% - Accent4 2 4 2 5 6" xfId="39886"/>
    <cellStyle name="40% - Accent4 2 4 2 5 7" xfId="39887"/>
    <cellStyle name="40% - Accent4 2 4 2 6" xfId="39888"/>
    <cellStyle name="40% - Accent4 2 4 2 6 2" xfId="39889"/>
    <cellStyle name="40% - Accent4 2 4 2 7" xfId="39890"/>
    <cellStyle name="40% - Accent4 2 4 2 7 2" xfId="39891"/>
    <cellStyle name="40% - Accent4 2 4 2 8" xfId="39892"/>
    <cellStyle name="40% - Accent4 2 4 2 9" xfId="39893"/>
    <cellStyle name="40% - Accent4 2 4 3" xfId="39894"/>
    <cellStyle name="40% - Accent4 2 4 3 10" xfId="39895"/>
    <cellStyle name="40% - Accent4 2 4 3 11" xfId="39896"/>
    <cellStyle name="40% - Accent4 2 4 3 2" xfId="39897"/>
    <cellStyle name="40% - Accent4 2 4 3 2 10" xfId="39898"/>
    <cellStyle name="40% - Accent4 2 4 3 2 2" xfId="39899"/>
    <cellStyle name="40% - Accent4 2 4 3 2 2 2" xfId="39900"/>
    <cellStyle name="40% - Accent4 2 4 3 2 2 2 2" xfId="39901"/>
    <cellStyle name="40% - Accent4 2 4 3 2 2 3" xfId="39902"/>
    <cellStyle name="40% - Accent4 2 4 3 2 2 3 2" xfId="39903"/>
    <cellStyle name="40% - Accent4 2 4 3 2 2 4" xfId="39904"/>
    <cellStyle name="40% - Accent4 2 4 3 2 2 5" xfId="39905"/>
    <cellStyle name="40% - Accent4 2 4 3 2 2 6" xfId="39906"/>
    <cellStyle name="40% - Accent4 2 4 3 2 2 7" xfId="39907"/>
    <cellStyle name="40% - Accent4 2 4 3 2 3" xfId="39908"/>
    <cellStyle name="40% - Accent4 2 4 3 2 3 2" xfId="39909"/>
    <cellStyle name="40% - Accent4 2 4 3 2 3 2 2" xfId="39910"/>
    <cellStyle name="40% - Accent4 2 4 3 2 3 3" xfId="39911"/>
    <cellStyle name="40% - Accent4 2 4 3 2 3 3 2" xfId="39912"/>
    <cellStyle name="40% - Accent4 2 4 3 2 3 4" xfId="39913"/>
    <cellStyle name="40% - Accent4 2 4 3 2 3 5" xfId="39914"/>
    <cellStyle name="40% - Accent4 2 4 3 2 3 6" xfId="39915"/>
    <cellStyle name="40% - Accent4 2 4 3 2 3 7" xfId="39916"/>
    <cellStyle name="40% - Accent4 2 4 3 2 4" xfId="39917"/>
    <cellStyle name="40% - Accent4 2 4 3 2 4 2" xfId="39918"/>
    <cellStyle name="40% - Accent4 2 4 3 2 4 2 2" xfId="39919"/>
    <cellStyle name="40% - Accent4 2 4 3 2 4 3" xfId="39920"/>
    <cellStyle name="40% - Accent4 2 4 3 2 4 3 2" xfId="39921"/>
    <cellStyle name="40% - Accent4 2 4 3 2 4 4" xfId="39922"/>
    <cellStyle name="40% - Accent4 2 4 3 2 4 5" xfId="39923"/>
    <cellStyle name="40% - Accent4 2 4 3 2 4 6" xfId="39924"/>
    <cellStyle name="40% - Accent4 2 4 3 2 4 7" xfId="39925"/>
    <cellStyle name="40% - Accent4 2 4 3 2 5" xfId="39926"/>
    <cellStyle name="40% - Accent4 2 4 3 2 5 2" xfId="39927"/>
    <cellStyle name="40% - Accent4 2 4 3 2 6" xfId="39928"/>
    <cellStyle name="40% - Accent4 2 4 3 2 6 2" xfId="39929"/>
    <cellStyle name="40% - Accent4 2 4 3 2 7" xfId="39930"/>
    <cellStyle name="40% - Accent4 2 4 3 2 8" xfId="39931"/>
    <cellStyle name="40% - Accent4 2 4 3 2 9" xfId="39932"/>
    <cellStyle name="40% - Accent4 2 4 3 3" xfId="39933"/>
    <cellStyle name="40% - Accent4 2 4 3 3 2" xfId="39934"/>
    <cellStyle name="40% - Accent4 2 4 3 3 2 2" xfId="39935"/>
    <cellStyle name="40% - Accent4 2 4 3 3 3" xfId="39936"/>
    <cellStyle name="40% - Accent4 2 4 3 3 3 2" xfId="39937"/>
    <cellStyle name="40% - Accent4 2 4 3 3 4" xfId="39938"/>
    <cellStyle name="40% - Accent4 2 4 3 3 5" xfId="39939"/>
    <cellStyle name="40% - Accent4 2 4 3 3 6" xfId="39940"/>
    <cellStyle name="40% - Accent4 2 4 3 3 7" xfId="39941"/>
    <cellStyle name="40% - Accent4 2 4 3 4" xfId="39942"/>
    <cellStyle name="40% - Accent4 2 4 3 4 2" xfId="39943"/>
    <cellStyle name="40% - Accent4 2 4 3 4 2 2" xfId="39944"/>
    <cellStyle name="40% - Accent4 2 4 3 4 3" xfId="39945"/>
    <cellStyle name="40% - Accent4 2 4 3 4 3 2" xfId="39946"/>
    <cellStyle name="40% - Accent4 2 4 3 4 4" xfId="39947"/>
    <cellStyle name="40% - Accent4 2 4 3 4 5" xfId="39948"/>
    <cellStyle name="40% - Accent4 2 4 3 4 6" xfId="39949"/>
    <cellStyle name="40% - Accent4 2 4 3 4 7" xfId="39950"/>
    <cellStyle name="40% - Accent4 2 4 3 5" xfId="39951"/>
    <cellStyle name="40% - Accent4 2 4 3 5 2" xfId="39952"/>
    <cellStyle name="40% - Accent4 2 4 3 5 2 2" xfId="39953"/>
    <cellStyle name="40% - Accent4 2 4 3 5 3" xfId="39954"/>
    <cellStyle name="40% - Accent4 2 4 3 5 3 2" xfId="39955"/>
    <cellStyle name="40% - Accent4 2 4 3 5 4" xfId="39956"/>
    <cellStyle name="40% - Accent4 2 4 3 5 5" xfId="39957"/>
    <cellStyle name="40% - Accent4 2 4 3 5 6" xfId="39958"/>
    <cellStyle name="40% - Accent4 2 4 3 5 7" xfId="39959"/>
    <cellStyle name="40% - Accent4 2 4 3 6" xfId="39960"/>
    <cellStyle name="40% - Accent4 2 4 3 6 2" xfId="39961"/>
    <cellStyle name="40% - Accent4 2 4 3 7" xfId="39962"/>
    <cellStyle name="40% - Accent4 2 4 3 7 2" xfId="39963"/>
    <cellStyle name="40% - Accent4 2 4 3 8" xfId="39964"/>
    <cellStyle name="40% - Accent4 2 4 3 9" xfId="39965"/>
    <cellStyle name="40% - Accent4 2 4 4" xfId="39966"/>
    <cellStyle name="40% - Accent4 2 4 4 10" xfId="39967"/>
    <cellStyle name="40% - Accent4 2 4 4 2" xfId="39968"/>
    <cellStyle name="40% - Accent4 2 4 4 2 2" xfId="39969"/>
    <cellStyle name="40% - Accent4 2 4 4 2 2 2" xfId="39970"/>
    <cellStyle name="40% - Accent4 2 4 4 2 3" xfId="39971"/>
    <cellStyle name="40% - Accent4 2 4 4 2 3 2" xfId="39972"/>
    <cellStyle name="40% - Accent4 2 4 4 2 4" xfId="39973"/>
    <cellStyle name="40% - Accent4 2 4 4 2 5" xfId="39974"/>
    <cellStyle name="40% - Accent4 2 4 4 2 6" xfId="39975"/>
    <cellStyle name="40% - Accent4 2 4 4 2 7" xfId="39976"/>
    <cellStyle name="40% - Accent4 2 4 4 3" xfId="39977"/>
    <cellStyle name="40% - Accent4 2 4 4 3 2" xfId="39978"/>
    <cellStyle name="40% - Accent4 2 4 4 3 2 2" xfId="39979"/>
    <cellStyle name="40% - Accent4 2 4 4 3 3" xfId="39980"/>
    <cellStyle name="40% - Accent4 2 4 4 3 3 2" xfId="39981"/>
    <cellStyle name="40% - Accent4 2 4 4 3 4" xfId="39982"/>
    <cellStyle name="40% - Accent4 2 4 4 3 5" xfId="39983"/>
    <cellStyle name="40% - Accent4 2 4 4 3 6" xfId="39984"/>
    <cellStyle name="40% - Accent4 2 4 4 3 7" xfId="39985"/>
    <cellStyle name="40% - Accent4 2 4 4 4" xfId="39986"/>
    <cellStyle name="40% - Accent4 2 4 4 4 2" xfId="39987"/>
    <cellStyle name="40% - Accent4 2 4 4 4 2 2" xfId="39988"/>
    <cellStyle name="40% - Accent4 2 4 4 4 3" xfId="39989"/>
    <cellStyle name="40% - Accent4 2 4 4 4 3 2" xfId="39990"/>
    <cellStyle name="40% - Accent4 2 4 4 4 4" xfId="39991"/>
    <cellStyle name="40% - Accent4 2 4 4 4 5" xfId="39992"/>
    <cellStyle name="40% - Accent4 2 4 4 4 6" xfId="39993"/>
    <cellStyle name="40% - Accent4 2 4 4 4 7" xfId="39994"/>
    <cellStyle name="40% - Accent4 2 4 4 5" xfId="39995"/>
    <cellStyle name="40% - Accent4 2 4 4 5 2" xfId="39996"/>
    <cellStyle name="40% - Accent4 2 4 4 6" xfId="39997"/>
    <cellStyle name="40% - Accent4 2 4 4 6 2" xfId="39998"/>
    <cellStyle name="40% - Accent4 2 4 4 7" xfId="39999"/>
    <cellStyle name="40% - Accent4 2 4 4 8" xfId="40000"/>
    <cellStyle name="40% - Accent4 2 4 4 9" xfId="40001"/>
    <cellStyle name="40% - Accent4 2 4 5" xfId="40002"/>
    <cellStyle name="40% - Accent4 2 4 5 2" xfId="40003"/>
    <cellStyle name="40% - Accent4 2 4 5 2 2" xfId="40004"/>
    <cellStyle name="40% - Accent4 2 4 5 3" xfId="40005"/>
    <cellStyle name="40% - Accent4 2 4 5 3 2" xfId="40006"/>
    <cellStyle name="40% - Accent4 2 4 5 4" xfId="40007"/>
    <cellStyle name="40% - Accent4 2 4 5 5" xfId="40008"/>
    <cellStyle name="40% - Accent4 2 4 5 6" xfId="40009"/>
    <cellStyle name="40% - Accent4 2 4 5 7" xfId="40010"/>
    <cellStyle name="40% - Accent4 2 4 6" xfId="40011"/>
    <cellStyle name="40% - Accent4 2 4 6 2" xfId="40012"/>
    <cellStyle name="40% - Accent4 2 4 6 2 2" xfId="40013"/>
    <cellStyle name="40% - Accent4 2 4 6 3" xfId="40014"/>
    <cellStyle name="40% - Accent4 2 4 6 3 2" xfId="40015"/>
    <cellStyle name="40% - Accent4 2 4 6 4" xfId="40016"/>
    <cellStyle name="40% - Accent4 2 4 6 5" xfId="40017"/>
    <cellStyle name="40% - Accent4 2 4 6 6" xfId="40018"/>
    <cellStyle name="40% - Accent4 2 4 6 7" xfId="40019"/>
    <cellStyle name="40% - Accent4 2 4 7" xfId="40020"/>
    <cellStyle name="40% - Accent4 2 4 7 2" xfId="40021"/>
    <cellStyle name="40% - Accent4 2 4 7 2 2" xfId="40022"/>
    <cellStyle name="40% - Accent4 2 4 7 3" xfId="40023"/>
    <cellStyle name="40% - Accent4 2 4 7 3 2" xfId="40024"/>
    <cellStyle name="40% - Accent4 2 4 7 4" xfId="40025"/>
    <cellStyle name="40% - Accent4 2 4 7 5" xfId="40026"/>
    <cellStyle name="40% - Accent4 2 4 7 6" xfId="40027"/>
    <cellStyle name="40% - Accent4 2 4 7 7" xfId="40028"/>
    <cellStyle name="40% - Accent4 2 4 8" xfId="40029"/>
    <cellStyle name="40% - Accent4 2 4 8 2" xfId="40030"/>
    <cellStyle name="40% - Accent4 2 4 9" xfId="40031"/>
    <cellStyle name="40% - Accent4 2 4 9 2" xfId="40032"/>
    <cellStyle name="40% - Accent4 2 5" xfId="40033"/>
    <cellStyle name="40% - Accent4 2 5 10" xfId="40034"/>
    <cellStyle name="40% - Accent4 2 5 11" xfId="40035"/>
    <cellStyle name="40% - Accent4 2 5 12" xfId="40036"/>
    <cellStyle name="40% - Accent4 2 5 13" xfId="40037"/>
    <cellStyle name="40% - Accent4 2 5 2" xfId="40038"/>
    <cellStyle name="40% - Accent4 2 5 2 10" xfId="40039"/>
    <cellStyle name="40% - Accent4 2 5 2 11" xfId="40040"/>
    <cellStyle name="40% - Accent4 2 5 2 2" xfId="40041"/>
    <cellStyle name="40% - Accent4 2 5 2 2 10" xfId="40042"/>
    <cellStyle name="40% - Accent4 2 5 2 2 2" xfId="40043"/>
    <cellStyle name="40% - Accent4 2 5 2 2 2 2" xfId="40044"/>
    <cellStyle name="40% - Accent4 2 5 2 2 2 2 2" xfId="40045"/>
    <cellStyle name="40% - Accent4 2 5 2 2 2 3" xfId="40046"/>
    <cellStyle name="40% - Accent4 2 5 2 2 2 3 2" xfId="40047"/>
    <cellStyle name="40% - Accent4 2 5 2 2 2 4" xfId="40048"/>
    <cellStyle name="40% - Accent4 2 5 2 2 2 5" xfId="40049"/>
    <cellStyle name="40% - Accent4 2 5 2 2 2 6" xfId="40050"/>
    <cellStyle name="40% - Accent4 2 5 2 2 2 7" xfId="40051"/>
    <cellStyle name="40% - Accent4 2 5 2 2 3" xfId="40052"/>
    <cellStyle name="40% - Accent4 2 5 2 2 3 2" xfId="40053"/>
    <cellStyle name="40% - Accent4 2 5 2 2 3 2 2" xfId="40054"/>
    <cellStyle name="40% - Accent4 2 5 2 2 3 3" xfId="40055"/>
    <cellStyle name="40% - Accent4 2 5 2 2 3 3 2" xfId="40056"/>
    <cellStyle name="40% - Accent4 2 5 2 2 3 4" xfId="40057"/>
    <cellStyle name="40% - Accent4 2 5 2 2 3 5" xfId="40058"/>
    <cellStyle name="40% - Accent4 2 5 2 2 3 6" xfId="40059"/>
    <cellStyle name="40% - Accent4 2 5 2 2 3 7" xfId="40060"/>
    <cellStyle name="40% - Accent4 2 5 2 2 4" xfId="40061"/>
    <cellStyle name="40% - Accent4 2 5 2 2 4 2" xfId="40062"/>
    <cellStyle name="40% - Accent4 2 5 2 2 4 2 2" xfId="40063"/>
    <cellStyle name="40% - Accent4 2 5 2 2 4 3" xfId="40064"/>
    <cellStyle name="40% - Accent4 2 5 2 2 4 3 2" xfId="40065"/>
    <cellStyle name="40% - Accent4 2 5 2 2 4 4" xfId="40066"/>
    <cellStyle name="40% - Accent4 2 5 2 2 4 5" xfId="40067"/>
    <cellStyle name="40% - Accent4 2 5 2 2 4 6" xfId="40068"/>
    <cellStyle name="40% - Accent4 2 5 2 2 4 7" xfId="40069"/>
    <cellStyle name="40% - Accent4 2 5 2 2 5" xfId="40070"/>
    <cellStyle name="40% - Accent4 2 5 2 2 5 2" xfId="40071"/>
    <cellStyle name="40% - Accent4 2 5 2 2 6" xfId="40072"/>
    <cellStyle name="40% - Accent4 2 5 2 2 6 2" xfId="40073"/>
    <cellStyle name="40% - Accent4 2 5 2 2 7" xfId="40074"/>
    <cellStyle name="40% - Accent4 2 5 2 2 8" xfId="40075"/>
    <cellStyle name="40% - Accent4 2 5 2 2 9" xfId="40076"/>
    <cellStyle name="40% - Accent4 2 5 2 3" xfId="40077"/>
    <cellStyle name="40% - Accent4 2 5 2 3 2" xfId="40078"/>
    <cellStyle name="40% - Accent4 2 5 2 3 2 2" xfId="40079"/>
    <cellStyle name="40% - Accent4 2 5 2 3 3" xfId="40080"/>
    <cellStyle name="40% - Accent4 2 5 2 3 3 2" xfId="40081"/>
    <cellStyle name="40% - Accent4 2 5 2 3 4" xfId="40082"/>
    <cellStyle name="40% - Accent4 2 5 2 3 5" xfId="40083"/>
    <cellStyle name="40% - Accent4 2 5 2 3 6" xfId="40084"/>
    <cellStyle name="40% - Accent4 2 5 2 3 7" xfId="40085"/>
    <cellStyle name="40% - Accent4 2 5 2 4" xfId="40086"/>
    <cellStyle name="40% - Accent4 2 5 2 4 2" xfId="40087"/>
    <cellStyle name="40% - Accent4 2 5 2 4 2 2" xfId="40088"/>
    <cellStyle name="40% - Accent4 2 5 2 4 3" xfId="40089"/>
    <cellStyle name="40% - Accent4 2 5 2 4 3 2" xfId="40090"/>
    <cellStyle name="40% - Accent4 2 5 2 4 4" xfId="40091"/>
    <cellStyle name="40% - Accent4 2 5 2 4 5" xfId="40092"/>
    <cellStyle name="40% - Accent4 2 5 2 4 6" xfId="40093"/>
    <cellStyle name="40% - Accent4 2 5 2 4 7" xfId="40094"/>
    <cellStyle name="40% - Accent4 2 5 2 5" xfId="40095"/>
    <cellStyle name="40% - Accent4 2 5 2 5 2" xfId="40096"/>
    <cellStyle name="40% - Accent4 2 5 2 5 2 2" xfId="40097"/>
    <cellStyle name="40% - Accent4 2 5 2 5 3" xfId="40098"/>
    <cellStyle name="40% - Accent4 2 5 2 5 3 2" xfId="40099"/>
    <cellStyle name="40% - Accent4 2 5 2 5 4" xfId="40100"/>
    <cellStyle name="40% - Accent4 2 5 2 5 5" xfId="40101"/>
    <cellStyle name="40% - Accent4 2 5 2 5 6" xfId="40102"/>
    <cellStyle name="40% - Accent4 2 5 2 5 7" xfId="40103"/>
    <cellStyle name="40% - Accent4 2 5 2 6" xfId="40104"/>
    <cellStyle name="40% - Accent4 2 5 2 6 2" xfId="40105"/>
    <cellStyle name="40% - Accent4 2 5 2 7" xfId="40106"/>
    <cellStyle name="40% - Accent4 2 5 2 7 2" xfId="40107"/>
    <cellStyle name="40% - Accent4 2 5 2 8" xfId="40108"/>
    <cellStyle name="40% - Accent4 2 5 2 9" xfId="40109"/>
    <cellStyle name="40% - Accent4 2 5 3" xfId="40110"/>
    <cellStyle name="40% - Accent4 2 5 3 10" xfId="40111"/>
    <cellStyle name="40% - Accent4 2 5 3 11" xfId="40112"/>
    <cellStyle name="40% - Accent4 2 5 3 2" xfId="40113"/>
    <cellStyle name="40% - Accent4 2 5 3 2 10" xfId="40114"/>
    <cellStyle name="40% - Accent4 2 5 3 2 2" xfId="40115"/>
    <cellStyle name="40% - Accent4 2 5 3 2 2 2" xfId="40116"/>
    <cellStyle name="40% - Accent4 2 5 3 2 2 2 2" xfId="40117"/>
    <cellStyle name="40% - Accent4 2 5 3 2 2 3" xfId="40118"/>
    <cellStyle name="40% - Accent4 2 5 3 2 2 3 2" xfId="40119"/>
    <cellStyle name="40% - Accent4 2 5 3 2 2 4" xfId="40120"/>
    <cellStyle name="40% - Accent4 2 5 3 2 2 5" xfId="40121"/>
    <cellStyle name="40% - Accent4 2 5 3 2 2 6" xfId="40122"/>
    <cellStyle name="40% - Accent4 2 5 3 2 2 7" xfId="40123"/>
    <cellStyle name="40% - Accent4 2 5 3 2 3" xfId="40124"/>
    <cellStyle name="40% - Accent4 2 5 3 2 3 2" xfId="40125"/>
    <cellStyle name="40% - Accent4 2 5 3 2 3 2 2" xfId="40126"/>
    <cellStyle name="40% - Accent4 2 5 3 2 3 3" xfId="40127"/>
    <cellStyle name="40% - Accent4 2 5 3 2 3 3 2" xfId="40128"/>
    <cellStyle name="40% - Accent4 2 5 3 2 3 4" xfId="40129"/>
    <cellStyle name="40% - Accent4 2 5 3 2 3 5" xfId="40130"/>
    <cellStyle name="40% - Accent4 2 5 3 2 3 6" xfId="40131"/>
    <cellStyle name="40% - Accent4 2 5 3 2 3 7" xfId="40132"/>
    <cellStyle name="40% - Accent4 2 5 3 2 4" xfId="40133"/>
    <cellStyle name="40% - Accent4 2 5 3 2 4 2" xfId="40134"/>
    <cellStyle name="40% - Accent4 2 5 3 2 4 2 2" xfId="40135"/>
    <cellStyle name="40% - Accent4 2 5 3 2 4 3" xfId="40136"/>
    <cellStyle name="40% - Accent4 2 5 3 2 4 3 2" xfId="40137"/>
    <cellStyle name="40% - Accent4 2 5 3 2 4 4" xfId="40138"/>
    <cellStyle name="40% - Accent4 2 5 3 2 4 5" xfId="40139"/>
    <cellStyle name="40% - Accent4 2 5 3 2 4 6" xfId="40140"/>
    <cellStyle name="40% - Accent4 2 5 3 2 4 7" xfId="40141"/>
    <cellStyle name="40% - Accent4 2 5 3 2 5" xfId="40142"/>
    <cellStyle name="40% - Accent4 2 5 3 2 5 2" xfId="40143"/>
    <cellStyle name="40% - Accent4 2 5 3 2 6" xfId="40144"/>
    <cellStyle name="40% - Accent4 2 5 3 2 6 2" xfId="40145"/>
    <cellStyle name="40% - Accent4 2 5 3 2 7" xfId="40146"/>
    <cellStyle name="40% - Accent4 2 5 3 2 8" xfId="40147"/>
    <cellStyle name="40% - Accent4 2 5 3 2 9" xfId="40148"/>
    <cellStyle name="40% - Accent4 2 5 3 3" xfId="40149"/>
    <cellStyle name="40% - Accent4 2 5 3 3 2" xfId="40150"/>
    <cellStyle name="40% - Accent4 2 5 3 3 2 2" xfId="40151"/>
    <cellStyle name="40% - Accent4 2 5 3 3 3" xfId="40152"/>
    <cellStyle name="40% - Accent4 2 5 3 3 3 2" xfId="40153"/>
    <cellStyle name="40% - Accent4 2 5 3 3 4" xfId="40154"/>
    <cellStyle name="40% - Accent4 2 5 3 3 5" xfId="40155"/>
    <cellStyle name="40% - Accent4 2 5 3 3 6" xfId="40156"/>
    <cellStyle name="40% - Accent4 2 5 3 3 7" xfId="40157"/>
    <cellStyle name="40% - Accent4 2 5 3 4" xfId="40158"/>
    <cellStyle name="40% - Accent4 2 5 3 4 2" xfId="40159"/>
    <cellStyle name="40% - Accent4 2 5 3 4 2 2" xfId="40160"/>
    <cellStyle name="40% - Accent4 2 5 3 4 3" xfId="40161"/>
    <cellStyle name="40% - Accent4 2 5 3 4 3 2" xfId="40162"/>
    <cellStyle name="40% - Accent4 2 5 3 4 4" xfId="40163"/>
    <cellStyle name="40% - Accent4 2 5 3 4 5" xfId="40164"/>
    <cellStyle name="40% - Accent4 2 5 3 4 6" xfId="40165"/>
    <cellStyle name="40% - Accent4 2 5 3 4 7" xfId="40166"/>
    <cellStyle name="40% - Accent4 2 5 3 5" xfId="40167"/>
    <cellStyle name="40% - Accent4 2 5 3 5 2" xfId="40168"/>
    <cellStyle name="40% - Accent4 2 5 3 5 2 2" xfId="40169"/>
    <cellStyle name="40% - Accent4 2 5 3 5 3" xfId="40170"/>
    <cellStyle name="40% - Accent4 2 5 3 5 3 2" xfId="40171"/>
    <cellStyle name="40% - Accent4 2 5 3 5 4" xfId="40172"/>
    <cellStyle name="40% - Accent4 2 5 3 5 5" xfId="40173"/>
    <cellStyle name="40% - Accent4 2 5 3 5 6" xfId="40174"/>
    <cellStyle name="40% - Accent4 2 5 3 5 7" xfId="40175"/>
    <cellStyle name="40% - Accent4 2 5 3 6" xfId="40176"/>
    <cellStyle name="40% - Accent4 2 5 3 6 2" xfId="40177"/>
    <cellStyle name="40% - Accent4 2 5 3 7" xfId="40178"/>
    <cellStyle name="40% - Accent4 2 5 3 7 2" xfId="40179"/>
    <cellStyle name="40% - Accent4 2 5 3 8" xfId="40180"/>
    <cellStyle name="40% - Accent4 2 5 3 9" xfId="40181"/>
    <cellStyle name="40% - Accent4 2 5 4" xfId="40182"/>
    <cellStyle name="40% - Accent4 2 5 4 10" xfId="40183"/>
    <cellStyle name="40% - Accent4 2 5 4 2" xfId="40184"/>
    <cellStyle name="40% - Accent4 2 5 4 2 2" xfId="40185"/>
    <cellStyle name="40% - Accent4 2 5 4 2 2 2" xfId="40186"/>
    <cellStyle name="40% - Accent4 2 5 4 2 3" xfId="40187"/>
    <cellStyle name="40% - Accent4 2 5 4 2 3 2" xfId="40188"/>
    <cellStyle name="40% - Accent4 2 5 4 2 4" xfId="40189"/>
    <cellStyle name="40% - Accent4 2 5 4 2 5" xfId="40190"/>
    <cellStyle name="40% - Accent4 2 5 4 2 6" xfId="40191"/>
    <cellStyle name="40% - Accent4 2 5 4 2 7" xfId="40192"/>
    <cellStyle name="40% - Accent4 2 5 4 3" xfId="40193"/>
    <cellStyle name="40% - Accent4 2 5 4 3 2" xfId="40194"/>
    <cellStyle name="40% - Accent4 2 5 4 3 2 2" xfId="40195"/>
    <cellStyle name="40% - Accent4 2 5 4 3 3" xfId="40196"/>
    <cellStyle name="40% - Accent4 2 5 4 3 3 2" xfId="40197"/>
    <cellStyle name="40% - Accent4 2 5 4 3 4" xfId="40198"/>
    <cellStyle name="40% - Accent4 2 5 4 3 5" xfId="40199"/>
    <cellStyle name="40% - Accent4 2 5 4 3 6" xfId="40200"/>
    <cellStyle name="40% - Accent4 2 5 4 3 7" xfId="40201"/>
    <cellStyle name="40% - Accent4 2 5 4 4" xfId="40202"/>
    <cellStyle name="40% - Accent4 2 5 4 4 2" xfId="40203"/>
    <cellStyle name="40% - Accent4 2 5 4 4 2 2" xfId="40204"/>
    <cellStyle name="40% - Accent4 2 5 4 4 3" xfId="40205"/>
    <cellStyle name="40% - Accent4 2 5 4 4 3 2" xfId="40206"/>
    <cellStyle name="40% - Accent4 2 5 4 4 4" xfId="40207"/>
    <cellStyle name="40% - Accent4 2 5 4 4 5" xfId="40208"/>
    <cellStyle name="40% - Accent4 2 5 4 4 6" xfId="40209"/>
    <cellStyle name="40% - Accent4 2 5 4 4 7" xfId="40210"/>
    <cellStyle name="40% - Accent4 2 5 4 5" xfId="40211"/>
    <cellStyle name="40% - Accent4 2 5 4 5 2" xfId="40212"/>
    <cellStyle name="40% - Accent4 2 5 4 6" xfId="40213"/>
    <cellStyle name="40% - Accent4 2 5 4 6 2" xfId="40214"/>
    <cellStyle name="40% - Accent4 2 5 4 7" xfId="40215"/>
    <cellStyle name="40% - Accent4 2 5 4 8" xfId="40216"/>
    <cellStyle name="40% - Accent4 2 5 4 9" xfId="40217"/>
    <cellStyle name="40% - Accent4 2 5 5" xfId="40218"/>
    <cellStyle name="40% - Accent4 2 5 5 2" xfId="40219"/>
    <cellStyle name="40% - Accent4 2 5 5 2 2" xfId="40220"/>
    <cellStyle name="40% - Accent4 2 5 5 3" xfId="40221"/>
    <cellStyle name="40% - Accent4 2 5 5 3 2" xfId="40222"/>
    <cellStyle name="40% - Accent4 2 5 5 4" xfId="40223"/>
    <cellStyle name="40% - Accent4 2 5 5 5" xfId="40224"/>
    <cellStyle name="40% - Accent4 2 5 5 6" xfId="40225"/>
    <cellStyle name="40% - Accent4 2 5 5 7" xfId="40226"/>
    <cellStyle name="40% - Accent4 2 5 6" xfId="40227"/>
    <cellStyle name="40% - Accent4 2 5 6 2" xfId="40228"/>
    <cellStyle name="40% - Accent4 2 5 6 2 2" xfId="40229"/>
    <cellStyle name="40% - Accent4 2 5 6 3" xfId="40230"/>
    <cellStyle name="40% - Accent4 2 5 6 3 2" xfId="40231"/>
    <cellStyle name="40% - Accent4 2 5 6 4" xfId="40232"/>
    <cellStyle name="40% - Accent4 2 5 6 5" xfId="40233"/>
    <cellStyle name="40% - Accent4 2 5 6 6" xfId="40234"/>
    <cellStyle name="40% - Accent4 2 5 6 7" xfId="40235"/>
    <cellStyle name="40% - Accent4 2 5 7" xfId="40236"/>
    <cellStyle name="40% - Accent4 2 5 7 2" xfId="40237"/>
    <cellStyle name="40% - Accent4 2 5 7 2 2" xfId="40238"/>
    <cellStyle name="40% - Accent4 2 5 7 3" xfId="40239"/>
    <cellStyle name="40% - Accent4 2 5 7 3 2" xfId="40240"/>
    <cellStyle name="40% - Accent4 2 5 7 4" xfId="40241"/>
    <cellStyle name="40% - Accent4 2 5 7 5" xfId="40242"/>
    <cellStyle name="40% - Accent4 2 5 7 6" xfId="40243"/>
    <cellStyle name="40% - Accent4 2 5 7 7" xfId="40244"/>
    <cellStyle name="40% - Accent4 2 5 8" xfId="40245"/>
    <cellStyle name="40% - Accent4 2 5 8 2" xfId="40246"/>
    <cellStyle name="40% - Accent4 2 5 9" xfId="40247"/>
    <cellStyle name="40% - Accent4 2 5 9 2" xfId="40248"/>
    <cellStyle name="40% - Accent4 2 6" xfId="40249"/>
    <cellStyle name="40% - Accent4 2 6 10" xfId="40250"/>
    <cellStyle name="40% - Accent4 2 6 11" xfId="40251"/>
    <cellStyle name="40% - Accent4 2 6 12" xfId="40252"/>
    <cellStyle name="40% - Accent4 2 6 13" xfId="40253"/>
    <cellStyle name="40% - Accent4 2 6 2" xfId="40254"/>
    <cellStyle name="40% - Accent4 2 6 2 10" xfId="40255"/>
    <cellStyle name="40% - Accent4 2 6 2 11" xfId="40256"/>
    <cellStyle name="40% - Accent4 2 6 2 2" xfId="40257"/>
    <cellStyle name="40% - Accent4 2 6 2 2 10" xfId="40258"/>
    <cellStyle name="40% - Accent4 2 6 2 2 2" xfId="40259"/>
    <cellStyle name="40% - Accent4 2 6 2 2 2 2" xfId="40260"/>
    <cellStyle name="40% - Accent4 2 6 2 2 2 2 2" xfId="40261"/>
    <cellStyle name="40% - Accent4 2 6 2 2 2 3" xfId="40262"/>
    <cellStyle name="40% - Accent4 2 6 2 2 2 3 2" xfId="40263"/>
    <cellStyle name="40% - Accent4 2 6 2 2 2 4" xfId="40264"/>
    <cellStyle name="40% - Accent4 2 6 2 2 2 5" xfId="40265"/>
    <cellStyle name="40% - Accent4 2 6 2 2 2 6" xfId="40266"/>
    <cellStyle name="40% - Accent4 2 6 2 2 2 7" xfId="40267"/>
    <cellStyle name="40% - Accent4 2 6 2 2 3" xfId="40268"/>
    <cellStyle name="40% - Accent4 2 6 2 2 3 2" xfId="40269"/>
    <cellStyle name="40% - Accent4 2 6 2 2 3 2 2" xfId="40270"/>
    <cellStyle name="40% - Accent4 2 6 2 2 3 3" xfId="40271"/>
    <cellStyle name="40% - Accent4 2 6 2 2 3 3 2" xfId="40272"/>
    <cellStyle name="40% - Accent4 2 6 2 2 3 4" xfId="40273"/>
    <cellStyle name="40% - Accent4 2 6 2 2 3 5" xfId="40274"/>
    <cellStyle name="40% - Accent4 2 6 2 2 3 6" xfId="40275"/>
    <cellStyle name="40% - Accent4 2 6 2 2 3 7" xfId="40276"/>
    <cellStyle name="40% - Accent4 2 6 2 2 4" xfId="40277"/>
    <cellStyle name="40% - Accent4 2 6 2 2 4 2" xfId="40278"/>
    <cellStyle name="40% - Accent4 2 6 2 2 4 2 2" xfId="40279"/>
    <cellStyle name="40% - Accent4 2 6 2 2 4 3" xfId="40280"/>
    <cellStyle name="40% - Accent4 2 6 2 2 4 3 2" xfId="40281"/>
    <cellStyle name="40% - Accent4 2 6 2 2 4 4" xfId="40282"/>
    <cellStyle name="40% - Accent4 2 6 2 2 4 5" xfId="40283"/>
    <cellStyle name="40% - Accent4 2 6 2 2 4 6" xfId="40284"/>
    <cellStyle name="40% - Accent4 2 6 2 2 4 7" xfId="40285"/>
    <cellStyle name="40% - Accent4 2 6 2 2 5" xfId="40286"/>
    <cellStyle name="40% - Accent4 2 6 2 2 5 2" xfId="40287"/>
    <cellStyle name="40% - Accent4 2 6 2 2 6" xfId="40288"/>
    <cellStyle name="40% - Accent4 2 6 2 2 6 2" xfId="40289"/>
    <cellStyle name="40% - Accent4 2 6 2 2 7" xfId="40290"/>
    <cellStyle name="40% - Accent4 2 6 2 2 8" xfId="40291"/>
    <cellStyle name="40% - Accent4 2 6 2 2 9" xfId="40292"/>
    <cellStyle name="40% - Accent4 2 6 2 3" xfId="40293"/>
    <cellStyle name="40% - Accent4 2 6 2 3 2" xfId="40294"/>
    <cellStyle name="40% - Accent4 2 6 2 3 2 2" xfId="40295"/>
    <cellStyle name="40% - Accent4 2 6 2 3 3" xfId="40296"/>
    <cellStyle name="40% - Accent4 2 6 2 3 3 2" xfId="40297"/>
    <cellStyle name="40% - Accent4 2 6 2 3 4" xfId="40298"/>
    <cellStyle name="40% - Accent4 2 6 2 3 5" xfId="40299"/>
    <cellStyle name="40% - Accent4 2 6 2 3 6" xfId="40300"/>
    <cellStyle name="40% - Accent4 2 6 2 3 7" xfId="40301"/>
    <cellStyle name="40% - Accent4 2 6 2 4" xfId="40302"/>
    <cellStyle name="40% - Accent4 2 6 2 4 2" xfId="40303"/>
    <cellStyle name="40% - Accent4 2 6 2 4 2 2" xfId="40304"/>
    <cellStyle name="40% - Accent4 2 6 2 4 3" xfId="40305"/>
    <cellStyle name="40% - Accent4 2 6 2 4 3 2" xfId="40306"/>
    <cellStyle name="40% - Accent4 2 6 2 4 4" xfId="40307"/>
    <cellStyle name="40% - Accent4 2 6 2 4 5" xfId="40308"/>
    <cellStyle name="40% - Accent4 2 6 2 4 6" xfId="40309"/>
    <cellStyle name="40% - Accent4 2 6 2 4 7" xfId="40310"/>
    <cellStyle name="40% - Accent4 2 6 2 5" xfId="40311"/>
    <cellStyle name="40% - Accent4 2 6 2 5 2" xfId="40312"/>
    <cellStyle name="40% - Accent4 2 6 2 5 2 2" xfId="40313"/>
    <cellStyle name="40% - Accent4 2 6 2 5 3" xfId="40314"/>
    <cellStyle name="40% - Accent4 2 6 2 5 3 2" xfId="40315"/>
    <cellStyle name="40% - Accent4 2 6 2 5 4" xfId="40316"/>
    <cellStyle name="40% - Accent4 2 6 2 5 5" xfId="40317"/>
    <cellStyle name="40% - Accent4 2 6 2 5 6" xfId="40318"/>
    <cellStyle name="40% - Accent4 2 6 2 5 7" xfId="40319"/>
    <cellStyle name="40% - Accent4 2 6 2 6" xfId="40320"/>
    <cellStyle name="40% - Accent4 2 6 2 6 2" xfId="40321"/>
    <cellStyle name="40% - Accent4 2 6 2 7" xfId="40322"/>
    <cellStyle name="40% - Accent4 2 6 2 7 2" xfId="40323"/>
    <cellStyle name="40% - Accent4 2 6 2 8" xfId="40324"/>
    <cellStyle name="40% - Accent4 2 6 2 9" xfId="40325"/>
    <cellStyle name="40% - Accent4 2 6 3" xfId="40326"/>
    <cellStyle name="40% - Accent4 2 6 3 10" xfId="40327"/>
    <cellStyle name="40% - Accent4 2 6 3 11" xfId="40328"/>
    <cellStyle name="40% - Accent4 2 6 3 2" xfId="40329"/>
    <cellStyle name="40% - Accent4 2 6 3 2 10" xfId="40330"/>
    <cellStyle name="40% - Accent4 2 6 3 2 2" xfId="40331"/>
    <cellStyle name="40% - Accent4 2 6 3 2 2 2" xfId="40332"/>
    <cellStyle name="40% - Accent4 2 6 3 2 2 2 2" xfId="40333"/>
    <cellStyle name="40% - Accent4 2 6 3 2 2 3" xfId="40334"/>
    <cellStyle name="40% - Accent4 2 6 3 2 2 3 2" xfId="40335"/>
    <cellStyle name="40% - Accent4 2 6 3 2 2 4" xfId="40336"/>
    <cellStyle name="40% - Accent4 2 6 3 2 2 5" xfId="40337"/>
    <cellStyle name="40% - Accent4 2 6 3 2 2 6" xfId="40338"/>
    <cellStyle name="40% - Accent4 2 6 3 2 2 7" xfId="40339"/>
    <cellStyle name="40% - Accent4 2 6 3 2 3" xfId="40340"/>
    <cellStyle name="40% - Accent4 2 6 3 2 3 2" xfId="40341"/>
    <cellStyle name="40% - Accent4 2 6 3 2 3 2 2" xfId="40342"/>
    <cellStyle name="40% - Accent4 2 6 3 2 3 3" xfId="40343"/>
    <cellStyle name="40% - Accent4 2 6 3 2 3 3 2" xfId="40344"/>
    <cellStyle name="40% - Accent4 2 6 3 2 3 4" xfId="40345"/>
    <cellStyle name="40% - Accent4 2 6 3 2 3 5" xfId="40346"/>
    <cellStyle name="40% - Accent4 2 6 3 2 3 6" xfId="40347"/>
    <cellStyle name="40% - Accent4 2 6 3 2 3 7" xfId="40348"/>
    <cellStyle name="40% - Accent4 2 6 3 2 4" xfId="40349"/>
    <cellStyle name="40% - Accent4 2 6 3 2 4 2" xfId="40350"/>
    <cellStyle name="40% - Accent4 2 6 3 2 4 2 2" xfId="40351"/>
    <cellStyle name="40% - Accent4 2 6 3 2 4 3" xfId="40352"/>
    <cellStyle name="40% - Accent4 2 6 3 2 4 3 2" xfId="40353"/>
    <cellStyle name="40% - Accent4 2 6 3 2 4 4" xfId="40354"/>
    <cellStyle name="40% - Accent4 2 6 3 2 4 5" xfId="40355"/>
    <cellStyle name="40% - Accent4 2 6 3 2 4 6" xfId="40356"/>
    <cellStyle name="40% - Accent4 2 6 3 2 4 7" xfId="40357"/>
    <cellStyle name="40% - Accent4 2 6 3 2 5" xfId="40358"/>
    <cellStyle name="40% - Accent4 2 6 3 2 5 2" xfId="40359"/>
    <cellStyle name="40% - Accent4 2 6 3 2 6" xfId="40360"/>
    <cellStyle name="40% - Accent4 2 6 3 2 6 2" xfId="40361"/>
    <cellStyle name="40% - Accent4 2 6 3 2 7" xfId="40362"/>
    <cellStyle name="40% - Accent4 2 6 3 2 8" xfId="40363"/>
    <cellStyle name="40% - Accent4 2 6 3 2 9" xfId="40364"/>
    <cellStyle name="40% - Accent4 2 6 3 3" xfId="40365"/>
    <cellStyle name="40% - Accent4 2 6 3 3 2" xfId="40366"/>
    <cellStyle name="40% - Accent4 2 6 3 3 2 2" xfId="40367"/>
    <cellStyle name="40% - Accent4 2 6 3 3 3" xfId="40368"/>
    <cellStyle name="40% - Accent4 2 6 3 3 3 2" xfId="40369"/>
    <cellStyle name="40% - Accent4 2 6 3 3 4" xfId="40370"/>
    <cellStyle name="40% - Accent4 2 6 3 3 5" xfId="40371"/>
    <cellStyle name="40% - Accent4 2 6 3 3 6" xfId="40372"/>
    <cellStyle name="40% - Accent4 2 6 3 3 7" xfId="40373"/>
    <cellStyle name="40% - Accent4 2 6 3 4" xfId="40374"/>
    <cellStyle name="40% - Accent4 2 6 3 4 2" xfId="40375"/>
    <cellStyle name="40% - Accent4 2 6 3 4 2 2" xfId="40376"/>
    <cellStyle name="40% - Accent4 2 6 3 4 3" xfId="40377"/>
    <cellStyle name="40% - Accent4 2 6 3 4 3 2" xfId="40378"/>
    <cellStyle name="40% - Accent4 2 6 3 4 4" xfId="40379"/>
    <cellStyle name="40% - Accent4 2 6 3 4 5" xfId="40380"/>
    <cellStyle name="40% - Accent4 2 6 3 4 6" xfId="40381"/>
    <cellStyle name="40% - Accent4 2 6 3 4 7" xfId="40382"/>
    <cellStyle name="40% - Accent4 2 6 3 5" xfId="40383"/>
    <cellStyle name="40% - Accent4 2 6 3 5 2" xfId="40384"/>
    <cellStyle name="40% - Accent4 2 6 3 5 2 2" xfId="40385"/>
    <cellStyle name="40% - Accent4 2 6 3 5 3" xfId="40386"/>
    <cellStyle name="40% - Accent4 2 6 3 5 3 2" xfId="40387"/>
    <cellStyle name="40% - Accent4 2 6 3 5 4" xfId="40388"/>
    <cellStyle name="40% - Accent4 2 6 3 5 5" xfId="40389"/>
    <cellStyle name="40% - Accent4 2 6 3 5 6" xfId="40390"/>
    <cellStyle name="40% - Accent4 2 6 3 5 7" xfId="40391"/>
    <cellStyle name="40% - Accent4 2 6 3 6" xfId="40392"/>
    <cellStyle name="40% - Accent4 2 6 3 6 2" xfId="40393"/>
    <cellStyle name="40% - Accent4 2 6 3 7" xfId="40394"/>
    <cellStyle name="40% - Accent4 2 6 3 7 2" xfId="40395"/>
    <cellStyle name="40% - Accent4 2 6 3 8" xfId="40396"/>
    <cellStyle name="40% - Accent4 2 6 3 9" xfId="40397"/>
    <cellStyle name="40% - Accent4 2 6 4" xfId="40398"/>
    <cellStyle name="40% - Accent4 2 6 4 10" xfId="40399"/>
    <cellStyle name="40% - Accent4 2 6 4 2" xfId="40400"/>
    <cellStyle name="40% - Accent4 2 6 4 2 2" xfId="40401"/>
    <cellStyle name="40% - Accent4 2 6 4 2 2 2" xfId="40402"/>
    <cellStyle name="40% - Accent4 2 6 4 2 3" xfId="40403"/>
    <cellStyle name="40% - Accent4 2 6 4 2 3 2" xfId="40404"/>
    <cellStyle name="40% - Accent4 2 6 4 2 4" xfId="40405"/>
    <cellStyle name="40% - Accent4 2 6 4 2 5" xfId="40406"/>
    <cellStyle name="40% - Accent4 2 6 4 2 6" xfId="40407"/>
    <cellStyle name="40% - Accent4 2 6 4 2 7" xfId="40408"/>
    <cellStyle name="40% - Accent4 2 6 4 3" xfId="40409"/>
    <cellStyle name="40% - Accent4 2 6 4 3 2" xfId="40410"/>
    <cellStyle name="40% - Accent4 2 6 4 3 2 2" xfId="40411"/>
    <cellStyle name="40% - Accent4 2 6 4 3 3" xfId="40412"/>
    <cellStyle name="40% - Accent4 2 6 4 3 3 2" xfId="40413"/>
    <cellStyle name="40% - Accent4 2 6 4 3 4" xfId="40414"/>
    <cellStyle name="40% - Accent4 2 6 4 3 5" xfId="40415"/>
    <cellStyle name="40% - Accent4 2 6 4 3 6" xfId="40416"/>
    <cellStyle name="40% - Accent4 2 6 4 3 7" xfId="40417"/>
    <cellStyle name="40% - Accent4 2 6 4 4" xfId="40418"/>
    <cellStyle name="40% - Accent4 2 6 4 4 2" xfId="40419"/>
    <cellStyle name="40% - Accent4 2 6 4 4 2 2" xfId="40420"/>
    <cellStyle name="40% - Accent4 2 6 4 4 3" xfId="40421"/>
    <cellStyle name="40% - Accent4 2 6 4 4 3 2" xfId="40422"/>
    <cellStyle name="40% - Accent4 2 6 4 4 4" xfId="40423"/>
    <cellStyle name="40% - Accent4 2 6 4 4 5" xfId="40424"/>
    <cellStyle name="40% - Accent4 2 6 4 4 6" xfId="40425"/>
    <cellStyle name="40% - Accent4 2 6 4 4 7" xfId="40426"/>
    <cellStyle name="40% - Accent4 2 6 4 5" xfId="40427"/>
    <cellStyle name="40% - Accent4 2 6 4 5 2" xfId="40428"/>
    <cellStyle name="40% - Accent4 2 6 4 6" xfId="40429"/>
    <cellStyle name="40% - Accent4 2 6 4 6 2" xfId="40430"/>
    <cellStyle name="40% - Accent4 2 6 4 7" xfId="40431"/>
    <cellStyle name="40% - Accent4 2 6 4 8" xfId="40432"/>
    <cellStyle name="40% - Accent4 2 6 4 9" xfId="40433"/>
    <cellStyle name="40% - Accent4 2 6 5" xfId="40434"/>
    <cellStyle name="40% - Accent4 2 6 5 2" xfId="40435"/>
    <cellStyle name="40% - Accent4 2 6 5 2 2" xfId="40436"/>
    <cellStyle name="40% - Accent4 2 6 5 3" xfId="40437"/>
    <cellStyle name="40% - Accent4 2 6 5 3 2" xfId="40438"/>
    <cellStyle name="40% - Accent4 2 6 5 4" xfId="40439"/>
    <cellStyle name="40% - Accent4 2 6 5 5" xfId="40440"/>
    <cellStyle name="40% - Accent4 2 6 5 6" xfId="40441"/>
    <cellStyle name="40% - Accent4 2 6 5 7" xfId="40442"/>
    <cellStyle name="40% - Accent4 2 6 6" xfId="40443"/>
    <cellStyle name="40% - Accent4 2 6 6 2" xfId="40444"/>
    <cellStyle name="40% - Accent4 2 6 6 2 2" xfId="40445"/>
    <cellStyle name="40% - Accent4 2 6 6 3" xfId="40446"/>
    <cellStyle name="40% - Accent4 2 6 6 3 2" xfId="40447"/>
    <cellStyle name="40% - Accent4 2 6 6 4" xfId="40448"/>
    <cellStyle name="40% - Accent4 2 6 6 5" xfId="40449"/>
    <cellStyle name="40% - Accent4 2 6 6 6" xfId="40450"/>
    <cellStyle name="40% - Accent4 2 6 6 7" xfId="40451"/>
    <cellStyle name="40% - Accent4 2 6 7" xfId="40452"/>
    <cellStyle name="40% - Accent4 2 6 7 2" xfId="40453"/>
    <cellStyle name="40% - Accent4 2 6 7 2 2" xfId="40454"/>
    <cellStyle name="40% - Accent4 2 6 7 3" xfId="40455"/>
    <cellStyle name="40% - Accent4 2 6 7 3 2" xfId="40456"/>
    <cellStyle name="40% - Accent4 2 6 7 4" xfId="40457"/>
    <cellStyle name="40% - Accent4 2 6 7 5" xfId="40458"/>
    <cellStyle name="40% - Accent4 2 6 7 6" xfId="40459"/>
    <cellStyle name="40% - Accent4 2 6 7 7" xfId="40460"/>
    <cellStyle name="40% - Accent4 2 6 8" xfId="40461"/>
    <cellStyle name="40% - Accent4 2 6 8 2" xfId="40462"/>
    <cellStyle name="40% - Accent4 2 6 9" xfId="40463"/>
    <cellStyle name="40% - Accent4 2 6 9 2" xfId="40464"/>
    <cellStyle name="40% - Accent4 2 7" xfId="40465"/>
    <cellStyle name="40% - Accent4 2 7 10" xfId="40466"/>
    <cellStyle name="40% - Accent4 2 7 11" xfId="40467"/>
    <cellStyle name="40% - Accent4 2 7 2" xfId="40468"/>
    <cellStyle name="40% - Accent4 2 7 2 10" xfId="40469"/>
    <cellStyle name="40% - Accent4 2 7 2 2" xfId="40470"/>
    <cellStyle name="40% - Accent4 2 7 2 2 2" xfId="40471"/>
    <cellStyle name="40% - Accent4 2 7 2 2 2 2" xfId="40472"/>
    <cellStyle name="40% - Accent4 2 7 2 2 3" xfId="40473"/>
    <cellStyle name="40% - Accent4 2 7 2 2 3 2" xfId="40474"/>
    <cellStyle name="40% - Accent4 2 7 2 2 4" xfId="40475"/>
    <cellStyle name="40% - Accent4 2 7 2 2 5" xfId="40476"/>
    <cellStyle name="40% - Accent4 2 7 2 2 6" xfId="40477"/>
    <cellStyle name="40% - Accent4 2 7 2 2 7" xfId="40478"/>
    <cellStyle name="40% - Accent4 2 7 2 3" xfId="40479"/>
    <cellStyle name="40% - Accent4 2 7 2 3 2" xfId="40480"/>
    <cellStyle name="40% - Accent4 2 7 2 3 2 2" xfId="40481"/>
    <cellStyle name="40% - Accent4 2 7 2 3 3" xfId="40482"/>
    <cellStyle name="40% - Accent4 2 7 2 3 3 2" xfId="40483"/>
    <cellStyle name="40% - Accent4 2 7 2 3 4" xfId="40484"/>
    <cellStyle name="40% - Accent4 2 7 2 3 5" xfId="40485"/>
    <cellStyle name="40% - Accent4 2 7 2 3 6" xfId="40486"/>
    <cellStyle name="40% - Accent4 2 7 2 3 7" xfId="40487"/>
    <cellStyle name="40% - Accent4 2 7 2 4" xfId="40488"/>
    <cellStyle name="40% - Accent4 2 7 2 4 2" xfId="40489"/>
    <cellStyle name="40% - Accent4 2 7 2 4 2 2" xfId="40490"/>
    <cellStyle name="40% - Accent4 2 7 2 4 3" xfId="40491"/>
    <cellStyle name="40% - Accent4 2 7 2 4 3 2" xfId="40492"/>
    <cellStyle name="40% - Accent4 2 7 2 4 4" xfId="40493"/>
    <cellStyle name="40% - Accent4 2 7 2 4 5" xfId="40494"/>
    <cellStyle name="40% - Accent4 2 7 2 4 6" xfId="40495"/>
    <cellStyle name="40% - Accent4 2 7 2 4 7" xfId="40496"/>
    <cellStyle name="40% - Accent4 2 7 2 5" xfId="40497"/>
    <cellStyle name="40% - Accent4 2 7 2 5 2" xfId="40498"/>
    <cellStyle name="40% - Accent4 2 7 2 6" xfId="40499"/>
    <cellStyle name="40% - Accent4 2 7 2 6 2" xfId="40500"/>
    <cellStyle name="40% - Accent4 2 7 2 7" xfId="40501"/>
    <cellStyle name="40% - Accent4 2 7 2 8" xfId="40502"/>
    <cellStyle name="40% - Accent4 2 7 2 9" xfId="40503"/>
    <cellStyle name="40% - Accent4 2 7 3" xfId="40504"/>
    <cellStyle name="40% - Accent4 2 7 3 2" xfId="40505"/>
    <cellStyle name="40% - Accent4 2 7 3 2 2" xfId="40506"/>
    <cellStyle name="40% - Accent4 2 7 3 3" xfId="40507"/>
    <cellStyle name="40% - Accent4 2 7 3 3 2" xfId="40508"/>
    <cellStyle name="40% - Accent4 2 7 3 4" xfId="40509"/>
    <cellStyle name="40% - Accent4 2 7 3 5" xfId="40510"/>
    <cellStyle name="40% - Accent4 2 7 3 6" xfId="40511"/>
    <cellStyle name="40% - Accent4 2 7 3 7" xfId="40512"/>
    <cellStyle name="40% - Accent4 2 7 4" xfId="40513"/>
    <cellStyle name="40% - Accent4 2 7 4 2" xfId="40514"/>
    <cellStyle name="40% - Accent4 2 7 4 2 2" xfId="40515"/>
    <cellStyle name="40% - Accent4 2 7 4 3" xfId="40516"/>
    <cellStyle name="40% - Accent4 2 7 4 3 2" xfId="40517"/>
    <cellStyle name="40% - Accent4 2 7 4 4" xfId="40518"/>
    <cellStyle name="40% - Accent4 2 7 4 5" xfId="40519"/>
    <cellStyle name="40% - Accent4 2 7 4 6" xfId="40520"/>
    <cellStyle name="40% - Accent4 2 7 4 7" xfId="40521"/>
    <cellStyle name="40% - Accent4 2 7 5" xfId="40522"/>
    <cellStyle name="40% - Accent4 2 7 5 2" xfId="40523"/>
    <cellStyle name="40% - Accent4 2 7 5 2 2" xfId="40524"/>
    <cellStyle name="40% - Accent4 2 7 5 3" xfId="40525"/>
    <cellStyle name="40% - Accent4 2 7 5 3 2" xfId="40526"/>
    <cellStyle name="40% - Accent4 2 7 5 4" xfId="40527"/>
    <cellStyle name="40% - Accent4 2 7 5 5" xfId="40528"/>
    <cellStyle name="40% - Accent4 2 7 5 6" xfId="40529"/>
    <cellStyle name="40% - Accent4 2 7 5 7" xfId="40530"/>
    <cellStyle name="40% - Accent4 2 7 6" xfId="40531"/>
    <cellStyle name="40% - Accent4 2 7 6 2" xfId="40532"/>
    <cellStyle name="40% - Accent4 2 7 7" xfId="40533"/>
    <cellStyle name="40% - Accent4 2 7 7 2" xfId="40534"/>
    <cellStyle name="40% - Accent4 2 7 8" xfId="40535"/>
    <cellStyle name="40% - Accent4 2 7 9" xfId="40536"/>
    <cellStyle name="40% - Accent4 2 8" xfId="40537"/>
    <cellStyle name="40% - Accent4 2 8 10" xfId="40538"/>
    <cellStyle name="40% - Accent4 2 8 11" xfId="40539"/>
    <cellStyle name="40% - Accent4 2 8 2" xfId="40540"/>
    <cellStyle name="40% - Accent4 2 8 2 10" xfId="40541"/>
    <cellStyle name="40% - Accent4 2 8 2 2" xfId="40542"/>
    <cellStyle name="40% - Accent4 2 8 2 2 2" xfId="40543"/>
    <cellStyle name="40% - Accent4 2 8 2 2 2 2" xfId="40544"/>
    <cellStyle name="40% - Accent4 2 8 2 2 3" xfId="40545"/>
    <cellStyle name="40% - Accent4 2 8 2 2 3 2" xfId="40546"/>
    <cellStyle name="40% - Accent4 2 8 2 2 4" xfId="40547"/>
    <cellStyle name="40% - Accent4 2 8 2 2 5" xfId="40548"/>
    <cellStyle name="40% - Accent4 2 8 2 2 6" xfId="40549"/>
    <cellStyle name="40% - Accent4 2 8 2 2 7" xfId="40550"/>
    <cellStyle name="40% - Accent4 2 8 2 3" xfId="40551"/>
    <cellStyle name="40% - Accent4 2 8 2 3 2" xfId="40552"/>
    <cellStyle name="40% - Accent4 2 8 2 3 2 2" xfId="40553"/>
    <cellStyle name="40% - Accent4 2 8 2 3 3" xfId="40554"/>
    <cellStyle name="40% - Accent4 2 8 2 3 3 2" xfId="40555"/>
    <cellStyle name="40% - Accent4 2 8 2 3 4" xfId="40556"/>
    <cellStyle name="40% - Accent4 2 8 2 3 5" xfId="40557"/>
    <cellStyle name="40% - Accent4 2 8 2 3 6" xfId="40558"/>
    <cellStyle name="40% - Accent4 2 8 2 3 7" xfId="40559"/>
    <cellStyle name="40% - Accent4 2 8 2 4" xfId="40560"/>
    <cellStyle name="40% - Accent4 2 8 2 4 2" xfId="40561"/>
    <cellStyle name="40% - Accent4 2 8 2 4 2 2" xfId="40562"/>
    <cellStyle name="40% - Accent4 2 8 2 4 3" xfId="40563"/>
    <cellStyle name="40% - Accent4 2 8 2 4 3 2" xfId="40564"/>
    <cellStyle name="40% - Accent4 2 8 2 4 4" xfId="40565"/>
    <cellStyle name="40% - Accent4 2 8 2 4 5" xfId="40566"/>
    <cellStyle name="40% - Accent4 2 8 2 4 6" xfId="40567"/>
    <cellStyle name="40% - Accent4 2 8 2 4 7" xfId="40568"/>
    <cellStyle name="40% - Accent4 2 8 2 5" xfId="40569"/>
    <cellStyle name="40% - Accent4 2 8 2 5 2" xfId="40570"/>
    <cellStyle name="40% - Accent4 2 8 2 6" xfId="40571"/>
    <cellStyle name="40% - Accent4 2 8 2 6 2" xfId="40572"/>
    <cellStyle name="40% - Accent4 2 8 2 7" xfId="40573"/>
    <cellStyle name="40% - Accent4 2 8 2 8" xfId="40574"/>
    <cellStyle name="40% - Accent4 2 8 2 9" xfId="40575"/>
    <cellStyle name="40% - Accent4 2 8 3" xfId="40576"/>
    <cellStyle name="40% - Accent4 2 8 3 2" xfId="40577"/>
    <cellStyle name="40% - Accent4 2 8 3 2 2" xfId="40578"/>
    <cellStyle name="40% - Accent4 2 8 3 3" xfId="40579"/>
    <cellStyle name="40% - Accent4 2 8 3 3 2" xfId="40580"/>
    <cellStyle name="40% - Accent4 2 8 3 4" xfId="40581"/>
    <cellStyle name="40% - Accent4 2 8 3 5" xfId="40582"/>
    <cellStyle name="40% - Accent4 2 8 3 6" xfId="40583"/>
    <cellStyle name="40% - Accent4 2 8 3 7" xfId="40584"/>
    <cellStyle name="40% - Accent4 2 8 4" xfId="40585"/>
    <cellStyle name="40% - Accent4 2 8 4 2" xfId="40586"/>
    <cellStyle name="40% - Accent4 2 8 4 2 2" xfId="40587"/>
    <cellStyle name="40% - Accent4 2 8 4 3" xfId="40588"/>
    <cellStyle name="40% - Accent4 2 8 4 3 2" xfId="40589"/>
    <cellStyle name="40% - Accent4 2 8 4 4" xfId="40590"/>
    <cellStyle name="40% - Accent4 2 8 4 5" xfId="40591"/>
    <cellStyle name="40% - Accent4 2 8 4 6" xfId="40592"/>
    <cellStyle name="40% - Accent4 2 8 4 7" xfId="40593"/>
    <cellStyle name="40% - Accent4 2 8 5" xfId="40594"/>
    <cellStyle name="40% - Accent4 2 8 5 2" xfId="40595"/>
    <cellStyle name="40% - Accent4 2 8 5 2 2" xfId="40596"/>
    <cellStyle name="40% - Accent4 2 8 5 3" xfId="40597"/>
    <cellStyle name="40% - Accent4 2 8 5 3 2" xfId="40598"/>
    <cellStyle name="40% - Accent4 2 8 5 4" xfId="40599"/>
    <cellStyle name="40% - Accent4 2 8 5 5" xfId="40600"/>
    <cellStyle name="40% - Accent4 2 8 5 6" xfId="40601"/>
    <cellStyle name="40% - Accent4 2 8 5 7" xfId="40602"/>
    <cellStyle name="40% - Accent4 2 8 6" xfId="40603"/>
    <cellStyle name="40% - Accent4 2 8 6 2" xfId="40604"/>
    <cellStyle name="40% - Accent4 2 8 7" xfId="40605"/>
    <cellStyle name="40% - Accent4 2 8 7 2" xfId="40606"/>
    <cellStyle name="40% - Accent4 2 8 8" xfId="40607"/>
    <cellStyle name="40% - Accent4 2 8 9" xfId="40608"/>
    <cellStyle name="40% - Accent4 2 9" xfId="40609"/>
    <cellStyle name="40% - Accent4 2 9 10" xfId="40610"/>
    <cellStyle name="40% - Accent4 2 9 2" xfId="40611"/>
    <cellStyle name="40% - Accent4 2 9 2 2" xfId="40612"/>
    <cellStyle name="40% - Accent4 2 9 2 2 2" xfId="40613"/>
    <cellStyle name="40% - Accent4 2 9 2 3" xfId="40614"/>
    <cellStyle name="40% - Accent4 2 9 2 3 2" xfId="40615"/>
    <cellStyle name="40% - Accent4 2 9 2 4" xfId="40616"/>
    <cellStyle name="40% - Accent4 2 9 2 5" xfId="40617"/>
    <cellStyle name="40% - Accent4 2 9 2 6" xfId="40618"/>
    <cellStyle name="40% - Accent4 2 9 2 7" xfId="40619"/>
    <cellStyle name="40% - Accent4 2 9 3" xfId="40620"/>
    <cellStyle name="40% - Accent4 2 9 3 2" xfId="40621"/>
    <cellStyle name="40% - Accent4 2 9 3 2 2" xfId="40622"/>
    <cellStyle name="40% - Accent4 2 9 3 3" xfId="40623"/>
    <cellStyle name="40% - Accent4 2 9 3 3 2" xfId="40624"/>
    <cellStyle name="40% - Accent4 2 9 3 4" xfId="40625"/>
    <cellStyle name="40% - Accent4 2 9 3 5" xfId="40626"/>
    <cellStyle name="40% - Accent4 2 9 3 6" xfId="40627"/>
    <cellStyle name="40% - Accent4 2 9 3 7" xfId="40628"/>
    <cellStyle name="40% - Accent4 2 9 4" xfId="40629"/>
    <cellStyle name="40% - Accent4 2 9 4 2" xfId="40630"/>
    <cellStyle name="40% - Accent4 2 9 4 2 2" xfId="40631"/>
    <cellStyle name="40% - Accent4 2 9 4 3" xfId="40632"/>
    <cellStyle name="40% - Accent4 2 9 4 3 2" xfId="40633"/>
    <cellStyle name="40% - Accent4 2 9 4 4" xfId="40634"/>
    <cellStyle name="40% - Accent4 2 9 4 5" xfId="40635"/>
    <cellStyle name="40% - Accent4 2 9 4 6" xfId="40636"/>
    <cellStyle name="40% - Accent4 2 9 4 7" xfId="40637"/>
    <cellStyle name="40% - Accent4 2 9 5" xfId="40638"/>
    <cellStyle name="40% - Accent4 2 9 5 2" xfId="40639"/>
    <cellStyle name="40% - Accent4 2 9 6" xfId="40640"/>
    <cellStyle name="40% - Accent4 2 9 6 2" xfId="40641"/>
    <cellStyle name="40% - Accent4 2 9 7" xfId="40642"/>
    <cellStyle name="40% - Accent4 2 9 8" xfId="40643"/>
    <cellStyle name="40% - Accent4 2 9 9" xfId="40644"/>
    <cellStyle name="40% - Accent4 2_10-15-10-Stmt AU - Period I - Working 1 0" xfId="339"/>
    <cellStyle name="40% - Accent4 3" xfId="340"/>
    <cellStyle name="40% - Accent4 3 10" xfId="40645"/>
    <cellStyle name="40% - Accent4 3 10 2" xfId="40646"/>
    <cellStyle name="40% - Accent4 3 10 2 2" xfId="40647"/>
    <cellStyle name="40% - Accent4 3 10 3" xfId="40648"/>
    <cellStyle name="40% - Accent4 3 10 3 2" xfId="40649"/>
    <cellStyle name="40% - Accent4 3 10 4" xfId="40650"/>
    <cellStyle name="40% - Accent4 3 10 5" xfId="40651"/>
    <cellStyle name="40% - Accent4 3 10 6" xfId="40652"/>
    <cellStyle name="40% - Accent4 3 10 7" xfId="40653"/>
    <cellStyle name="40% - Accent4 3 11" xfId="40654"/>
    <cellStyle name="40% - Accent4 3 11 2" xfId="40655"/>
    <cellStyle name="40% - Accent4 3 11 2 2" xfId="40656"/>
    <cellStyle name="40% - Accent4 3 11 3" xfId="40657"/>
    <cellStyle name="40% - Accent4 3 11 3 2" xfId="40658"/>
    <cellStyle name="40% - Accent4 3 11 4" xfId="40659"/>
    <cellStyle name="40% - Accent4 3 11 5" xfId="40660"/>
    <cellStyle name="40% - Accent4 3 11 6" xfId="40661"/>
    <cellStyle name="40% - Accent4 3 11 7" xfId="40662"/>
    <cellStyle name="40% - Accent4 3 12" xfId="40663"/>
    <cellStyle name="40% - Accent4 3 12 2" xfId="40664"/>
    <cellStyle name="40% - Accent4 3 12 2 2" xfId="40665"/>
    <cellStyle name="40% - Accent4 3 12 3" xfId="40666"/>
    <cellStyle name="40% - Accent4 3 12 3 2" xfId="40667"/>
    <cellStyle name="40% - Accent4 3 12 4" xfId="40668"/>
    <cellStyle name="40% - Accent4 3 12 5" xfId="40669"/>
    <cellStyle name="40% - Accent4 3 12 6" xfId="40670"/>
    <cellStyle name="40% - Accent4 3 12 7" xfId="40671"/>
    <cellStyle name="40% - Accent4 3 13" xfId="40672"/>
    <cellStyle name="40% - Accent4 3 13 2" xfId="40673"/>
    <cellStyle name="40% - Accent4 3 14" xfId="40674"/>
    <cellStyle name="40% - Accent4 3 14 2" xfId="40675"/>
    <cellStyle name="40% - Accent4 3 15" xfId="40676"/>
    <cellStyle name="40% - Accent4 3 16" xfId="40677"/>
    <cellStyle name="40% - Accent4 3 17" xfId="40678"/>
    <cellStyle name="40% - Accent4 3 18" xfId="40679"/>
    <cellStyle name="40% - Accent4 3 2" xfId="341"/>
    <cellStyle name="40% - Accent4 3 2 10" xfId="40680"/>
    <cellStyle name="40% - Accent4 3 2 11" xfId="40681"/>
    <cellStyle name="40% - Accent4 3 2 12" xfId="40682"/>
    <cellStyle name="40% - Accent4 3 2 13" xfId="40683"/>
    <cellStyle name="40% - Accent4 3 2 2" xfId="40684"/>
    <cellStyle name="40% - Accent4 3 2 2 10" xfId="40685"/>
    <cellStyle name="40% - Accent4 3 2 2 11" xfId="40686"/>
    <cellStyle name="40% - Accent4 3 2 2 2" xfId="40687"/>
    <cellStyle name="40% - Accent4 3 2 2 2 10" xfId="40688"/>
    <cellStyle name="40% - Accent4 3 2 2 2 2" xfId="40689"/>
    <cellStyle name="40% - Accent4 3 2 2 2 2 2" xfId="40690"/>
    <cellStyle name="40% - Accent4 3 2 2 2 2 2 2" xfId="40691"/>
    <cellStyle name="40% - Accent4 3 2 2 2 2 3" xfId="40692"/>
    <cellStyle name="40% - Accent4 3 2 2 2 2 3 2" xfId="40693"/>
    <cellStyle name="40% - Accent4 3 2 2 2 2 4" xfId="40694"/>
    <cellStyle name="40% - Accent4 3 2 2 2 2 5" xfId="40695"/>
    <cellStyle name="40% - Accent4 3 2 2 2 2 6" xfId="40696"/>
    <cellStyle name="40% - Accent4 3 2 2 2 2 7" xfId="40697"/>
    <cellStyle name="40% - Accent4 3 2 2 2 3" xfId="40698"/>
    <cellStyle name="40% - Accent4 3 2 2 2 3 2" xfId="40699"/>
    <cellStyle name="40% - Accent4 3 2 2 2 3 2 2" xfId="40700"/>
    <cellStyle name="40% - Accent4 3 2 2 2 3 3" xfId="40701"/>
    <cellStyle name="40% - Accent4 3 2 2 2 3 3 2" xfId="40702"/>
    <cellStyle name="40% - Accent4 3 2 2 2 3 4" xfId="40703"/>
    <cellStyle name="40% - Accent4 3 2 2 2 3 5" xfId="40704"/>
    <cellStyle name="40% - Accent4 3 2 2 2 3 6" xfId="40705"/>
    <cellStyle name="40% - Accent4 3 2 2 2 3 7" xfId="40706"/>
    <cellStyle name="40% - Accent4 3 2 2 2 4" xfId="40707"/>
    <cellStyle name="40% - Accent4 3 2 2 2 4 2" xfId="40708"/>
    <cellStyle name="40% - Accent4 3 2 2 2 4 2 2" xfId="40709"/>
    <cellStyle name="40% - Accent4 3 2 2 2 4 3" xfId="40710"/>
    <cellStyle name="40% - Accent4 3 2 2 2 4 3 2" xfId="40711"/>
    <cellStyle name="40% - Accent4 3 2 2 2 4 4" xfId="40712"/>
    <cellStyle name="40% - Accent4 3 2 2 2 4 5" xfId="40713"/>
    <cellStyle name="40% - Accent4 3 2 2 2 4 6" xfId="40714"/>
    <cellStyle name="40% - Accent4 3 2 2 2 4 7" xfId="40715"/>
    <cellStyle name="40% - Accent4 3 2 2 2 5" xfId="40716"/>
    <cellStyle name="40% - Accent4 3 2 2 2 5 2" xfId="40717"/>
    <cellStyle name="40% - Accent4 3 2 2 2 6" xfId="40718"/>
    <cellStyle name="40% - Accent4 3 2 2 2 6 2" xfId="40719"/>
    <cellStyle name="40% - Accent4 3 2 2 2 7" xfId="40720"/>
    <cellStyle name="40% - Accent4 3 2 2 2 8" xfId="40721"/>
    <cellStyle name="40% - Accent4 3 2 2 2 9" xfId="40722"/>
    <cellStyle name="40% - Accent4 3 2 2 3" xfId="40723"/>
    <cellStyle name="40% - Accent4 3 2 2 3 2" xfId="40724"/>
    <cellStyle name="40% - Accent4 3 2 2 3 2 2" xfId="40725"/>
    <cellStyle name="40% - Accent4 3 2 2 3 3" xfId="40726"/>
    <cellStyle name="40% - Accent4 3 2 2 3 3 2" xfId="40727"/>
    <cellStyle name="40% - Accent4 3 2 2 3 4" xfId="40728"/>
    <cellStyle name="40% - Accent4 3 2 2 3 5" xfId="40729"/>
    <cellStyle name="40% - Accent4 3 2 2 3 6" xfId="40730"/>
    <cellStyle name="40% - Accent4 3 2 2 3 7" xfId="40731"/>
    <cellStyle name="40% - Accent4 3 2 2 4" xfId="40732"/>
    <cellStyle name="40% - Accent4 3 2 2 4 2" xfId="40733"/>
    <cellStyle name="40% - Accent4 3 2 2 4 2 2" xfId="40734"/>
    <cellStyle name="40% - Accent4 3 2 2 4 3" xfId="40735"/>
    <cellStyle name="40% - Accent4 3 2 2 4 3 2" xfId="40736"/>
    <cellStyle name="40% - Accent4 3 2 2 4 4" xfId="40737"/>
    <cellStyle name="40% - Accent4 3 2 2 4 5" xfId="40738"/>
    <cellStyle name="40% - Accent4 3 2 2 4 6" xfId="40739"/>
    <cellStyle name="40% - Accent4 3 2 2 4 7" xfId="40740"/>
    <cellStyle name="40% - Accent4 3 2 2 5" xfId="40741"/>
    <cellStyle name="40% - Accent4 3 2 2 5 2" xfId="40742"/>
    <cellStyle name="40% - Accent4 3 2 2 5 2 2" xfId="40743"/>
    <cellStyle name="40% - Accent4 3 2 2 5 3" xfId="40744"/>
    <cellStyle name="40% - Accent4 3 2 2 5 3 2" xfId="40745"/>
    <cellStyle name="40% - Accent4 3 2 2 5 4" xfId="40746"/>
    <cellStyle name="40% - Accent4 3 2 2 5 5" xfId="40747"/>
    <cellStyle name="40% - Accent4 3 2 2 5 6" xfId="40748"/>
    <cellStyle name="40% - Accent4 3 2 2 5 7" xfId="40749"/>
    <cellStyle name="40% - Accent4 3 2 2 6" xfId="40750"/>
    <cellStyle name="40% - Accent4 3 2 2 6 2" xfId="40751"/>
    <cellStyle name="40% - Accent4 3 2 2 7" xfId="40752"/>
    <cellStyle name="40% - Accent4 3 2 2 7 2" xfId="40753"/>
    <cellStyle name="40% - Accent4 3 2 2 8" xfId="40754"/>
    <cellStyle name="40% - Accent4 3 2 2 9" xfId="40755"/>
    <cellStyle name="40% - Accent4 3 2 3" xfId="40756"/>
    <cellStyle name="40% - Accent4 3 2 3 10" xfId="40757"/>
    <cellStyle name="40% - Accent4 3 2 3 11" xfId="40758"/>
    <cellStyle name="40% - Accent4 3 2 3 2" xfId="40759"/>
    <cellStyle name="40% - Accent4 3 2 3 2 10" xfId="40760"/>
    <cellStyle name="40% - Accent4 3 2 3 2 2" xfId="40761"/>
    <cellStyle name="40% - Accent4 3 2 3 2 2 2" xfId="40762"/>
    <cellStyle name="40% - Accent4 3 2 3 2 2 2 2" xfId="40763"/>
    <cellStyle name="40% - Accent4 3 2 3 2 2 3" xfId="40764"/>
    <cellStyle name="40% - Accent4 3 2 3 2 2 3 2" xfId="40765"/>
    <cellStyle name="40% - Accent4 3 2 3 2 2 4" xfId="40766"/>
    <cellStyle name="40% - Accent4 3 2 3 2 2 5" xfId="40767"/>
    <cellStyle name="40% - Accent4 3 2 3 2 2 6" xfId="40768"/>
    <cellStyle name="40% - Accent4 3 2 3 2 2 7" xfId="40769"/>
    <cellStyle name="40% - Accent4 3 2 3 2 3" xfId="40770"/>
    <cellStyle name="40% - Accent4 3 2 3 2 3 2" xfId="40771"/>
    <cellStyle name="40% - Accent4 3 2 3 2 3 2 2" xfId="40772"/>
    <cellStyle name="40% - Accent4 3 2 3 2 3 3" xfId="40773"/>
    <cellStyle name="40% - Accent4 3 2 3 2 3 3 2" xfId="40774"/>
    <cellStyle name="40% - Accent4 3 2 3 2 3 4" xfId="40775"/>
    <cellStyle name="40% - Accent4 3 2 3 2 3 5" xfId="40776"/>
    <cellStyle name="40% - Accent4 3 2 3 2 3 6" xfId="40777"/>
    <cellStyle name="40% - Accent4 3 2 3 2 3 7" xfId="40778"/>
    <cellStyle name="40% - Accent4 3 2 3 2 4" xfId="40779"/>
    <cellStyle name="40% - Accent4 3 2 3 2 4 2" xfId="40780"/>
    <cellStyle name="40% - Accent4 3 2 3 2 4 2 2" xfId="40781"/>
    <cellStyle name="40% - Accent4 3 2 3 2 4 3" xfId="40782"/>
    <cellStyle name="40% - Accent4 3 2 3 2 4 3 2" xfId="40783"/>
    <cellStyle name="40% - Accent4 3 2 3 2 4 4" xfId="40784"/>
    <cellStyle name="40% - Accent4 3 2 3 2 4 5" xfId="40785"/>
    <cellStyle name="40% - Accent4 3 2 3 2 4 6" xfId="40786"/>
    <cellStyle name="40% - Accent4 3 2 3 2 4 7" xfId="40787"/>
    <cellStyle name="40% - Accent4 3 2 3 2 5" xfId="40788"/>
    <cellStyle name="40% - Accent4 3 2 3 2 5 2" xfId="40789"/>
    <cellStyle name="40% - Accent4 3 2 3 2 6" xfId="40790"/>
    <cellStyle name="40% - Accent4 3 2 3 2 6 2" xfId="40791"/>
    <cellStyle name="40% - Accent4 3 2 3 2 7" xfId="40792"/>
    <cellStyle name="40% - Accent4 3 2 3 2 8" xfId="40793"/>
    <cellStyle name="40% - Accent4 3 2 3 2 9" xfId="40794"/>
    <cellStyle name="40% - Accent4 3 2 3 3" xfId="40795"/>
    <cellStyle name="40% - Accent4 3 2 3 3 2" xfId="40796"/>
    <cellStyle name="40% - Accent4 3 2 3 3 2 2" xfId="40797"/>
    <cellStyle name="40% - Accent4 3 2 3 3 3" xfId="40798"/>
    <cellStyle name="40% - Accent4 3 2 3 3 3 2" xfId="40799"/>
    <cellStyle name="40% - Accent4 3 2 3 3 4" xfId="40800"/>
    <cellStyle name="40% - Accent4 3 2 3 3 5" xfId="40801"/>
    <cellStyle name="40% - Accent4 3 2 3 3 6" xfId="40802"/>
    <cellStyle name="40% - Accent4 3 2 3 3 7" xfId="40803"/>
    <cellStyle name="40% - Accent4 3 2 3 4" xfId="40804"/>
    <cellStyle name="40% - Accent4 3 2 3 4 2" xfId="40805"/>
    <cellStyle name="40% - Accent4 3 2 3 4 2 2" xfId="40806"/>
    <cellStyle name="40% - Accent4 3 2 3 4 3" xfId="40807"/>
    <cellStyle name="40% - Accent4 3 2 3 4 3 2" xfId="40808"/>
    <cellStyle name="40% - Accent4 3 2 3 4 4" xfId="40809"/>
    <cellStyle name="40% - Accent4 3 2 3 4 5" xfId="40810"/>
    <cellStyle name="40% - Accent4 3 2 3 4 6" xfId="40811"/>
    <cellStyle name="40% - Accent4 3 2 3 4 7" xfId="40812"/>
    <cellStyle name="40% - Accent4 3 2 3 5" xfId="40813"/>
    <cellStyle name="40% - Accent4 3 2 3 5 2" xfId="40814"/>
    <cellStyle name="40% - Accent4 3 2 3 5 2 2" xfId="40815"/>
    <cellStyle name="40% - Accent4 3 2 3 5 3" xfId="40816"/>
    <cellStyle name="40% - Accent4 3 2 3 5 3 2" xfId="40817"/>
    <cellStyle name="40% - Accent4 3 2 3 5 4" xfId="40818"/>
    <cellStyle name="40% - Accent4 3 2 3 5 5" xfId="40819"/>
    <cellStyle name="40% - Accent4 3 2 3 5 6" xfId="40820"/>
    <cellStyle name="40% - Accent4 3 2 3 5 7" xfId="40821"/>
    <cellStyle name="40% - Accent4 3 2 3 6" xfId="40822"/>
    <cellStyle name="40% - Accent4 3 2 3 6 2" xfId="40823"/>
    <cellStyle name="40% - Accent4 3 2 3 7" xfId="40824"/>
    <cellStyle name="40% - Accent4 3 2 3 7 2" xfId="40825"/>
    <cellStyle name="40% - Accent4 3 2 3 8" xfId="40826"/>
    <cellStyle name="40% - Accent4 3 2 3 9" xfId="40827"/>
    <cellStyle name="40% - Accent4 3 2 4" xfId="40828"/>
    <cellStyle name="40% - Accent4 3 2 4 10" xfId="40829"/>
    <cellStyle name="40% - Accent4 3 2 4 2" xfId="40830"/>
    <cellStyle name="40% - Accent4 3 2 4 2 2" xfId="40831"/>
    <cellStyle name="40% - Accent4 3 2 4 2 2 2" xfId="40832"/>
    <cellStyle name="40% - Accent4 3 2 4 2 3" xfId="40833"/>
    <cellStyle name="40% - Accent4 3 2 4 2 3 2" xfId="40834"/>
    <cellStyle name="40% - Accent4 3 2 4 2 4" xfId="40835"/>
    <cellStyle name="40% - Accent4 3 2 4 2 5" xfId="40836"/>
    <cellStyle name="40% - Accent4 3 2 4 2 6" xfId="40837"/>
    <cellStyle name="40% - Accent4 3 2 4 2 7" xfId="40838"/>
    <cellStyle name="40% - Accent4 3 2 4 3" xfId="40839"/>
    <cellStyle name="40% - Accent4 3 2 4 3 2" xfId="40840"/>
    <cellStyle name="40% - Accent4 3 2 4 3 2 2" xfId="40841"/>
    <cellStyle name="40% - Accent4 3 2 4 3 3" xfId="40842"/>
    <cellStyle name="40% - Accent4 3 2 4 3 3 2" xfId="40843"/>
    <cellStyle name="40% - Accent4 3 2 4 3 4" xfId="40844"/>
    <cellStyle name="40% - Accent4 3 2 4 3 5" xfId="40845"/>
    <cellStyle name="40% - Accent4 3 2 4 3 6" xfId="40846"/>
    <cellStyle name="40% - Accent4 3 2 4 3 7" xfId="40847"/>
    <cellStyle name="40% - Accent4 3 2 4 4" xfId="40848"/>
    <cellStyle name="40% - Accent4 3 2 4 4 2" xfId="40849"/>
    <cellStyle name="40% - Accent4 3 2 4 4 2 2" xfId="40850"/>
    <cellStyle name="40% - Accent4 3 2 4 4 3" xfId="40851"/>
    <cellStyle name="40% - Accent4 3 2 4 4 3 2" xfId="40852"/>
    <cellStyle name="40% - Accent4 3 2 4 4 4" xfId="40853"/>
    <cellStyle name="40% - Accent4 3 2 4 4 5" xfId="40854"/>
    <cellStyle name="40% - Accent4 3 2 4 4 6" xfId="40855"/>
    <cellStyle name="40% - Accent4 3 2 4 4 7" xfId="40856"/>
    <cellStyle name="40% - Accent4 3 2 4 5" xfId="40857"/>
    <cellStyle name="40% - Accent4 3 2 4 5 2" xfId="40858"/>
    <cellStyle name="40% - Accent4 3 2 4 6" xfId="40859"/>
    <cellStyle name="40% - Accent4 3 2 4 6 2" xfId="40860"/>
    <cellStyle name="40% - Accent4 3 2 4 7" xfId="40861"/>
    <cellStyle name="40% - Accent4 3 2 4 8" xfId="40862"/>
    <cellStyle name="40% - Accent4 3 2 4 9" xfId="40863"/>
    <cellStyle name="40% - Accent4 3 2 5" xfId="40864"/>
    <cellStyle name="40% - Accent4 3 2 5 2" xfId="40865"/>
    <cellStyle name="40% - Accent4 3 2 5 2 2" xfId="40866"/>
    <cellStyle name="40% - Accent4 3 2 5 3" xfId="40867"/>
    <cellStyle name="40% - Accent4 3 2 5 3 2" xfId="40868"/>
    <cellStyle name="40% - Accent4 3 2 5 4" xfId="40869"/>
    <cellStyle name="40% - Accent4 3 2 5 5" xfId="40870"/>
    <cellStyle name="40% - Accent4 3 2 5 6" xfId="40871"/>
    <cellStyle name="40% - Accent4 3 2 5 7" xfId="40872"/>
    <cellStyle name="40% - Accent4 3 2 6" xfId="40873"/>
    <cellStyle name="40% - Accent4 3 2 6 2" xfId="40874"/>
    <cellStyle name="40% - Accent4 3 2 6 2 2" xfId="40875"/>
    <cellStyle name="40% - Accent4 3 2 6 3" xfId="40876"/>
    <cellStyle name="40% - Accent4 3 2 6 3 2" xfId="40877"/>
    <cellStyle name="40% - Accent4 3 2 6 4" xfId="40878"/>
    <cellStyle name="40% - Accent4 3 2 6 5" xfId="40879"/>
    <cellStyle name="40% - Accent4 3 2 6 6" xfId="40880"/>
    <cellStyle name="40% - Accent4 3 2 6 7" xfId="40881"/>
    <cellStyle name="40% - Accent4 3 2 7" xfId="40882"/>
    <cellStyle name="40% - Accent4 3 2 7 2" xfId="40883"/>
    <cellStyle name="40% - Accent4 3 2 7 2 2" xfId="40884"/>
    <cellStyle name="40% - Accent4 3 2 7 3" xfId="40885"/>
    <cellStyle name="40% - Accent4 3 2 7 3 2" xfId="40886"/>
    <cellStyle name="40% - Accent4 3 2 7 4" xfId="40887"/>
    <cellStyle name="40% - Accent4 3 2 7 5" xfId="40888"/>
    <cellStyle name="40% - Accent4 3 2 7 6" xfId="40889"/>
    <cellStyle name="40% - Accent4 3 2 7 7" xfId="40890"/>
    <cellStyle name="40% - Accent4 3 2 8" xfId="40891"/>
    <cellStyle name="40% - Accent4 3 2 8 2" xfId="40892"/>
    <cellStyle name="40% - Accent4 3 2 9" xfId="40893"/>
    <cellStyle name="40% - Accent4 3 2 9 2" xfId="40894"/>
    <cellStyle name="40% - Accent4 3 3" xfId="342"/>
    <cellStyle name="40% - Accent4 3 3 10" xfId="40895"/>
    <cellStyle name="40% - Accent4 3 3 11" xfId="40896"/>
    <cellStyle name="40% - Accent4 3 3 12" xfId="40897"/>
    <cellStyle name="40% - Accent4 3 3 13" xfId="40898"/>
    <cellStyle name="40% - Accent4 3 3 2" xfId="40899"/>
    <cellStyle name="40% - Accent4 3 3 2 10" xfId="40900"/>
    <cellStyle name="40% - Accent4 3 3 2 11" xfId="40901"/>
    <cellStyle name="40% - Accent4 3 3 2 2" xfId="40902"/>
    <cellStyle name="40% - Accent4 3 3 2 2 10" xfId="40903"/>
    <cellStyle name="40% - Accent4 3 3 2 2 2" xfId="40904"/>
    <cellStyle name="40% - Accent4 3 3 2 2 2 2" xfId="40905"/>
    <cellStyle name="40% - Accent4 3 3 2 2 2 2 2" xfId="40906"/>
    <cellStyle name="40% - Accent4 3 3 2 2 2 3" xfId="40907"/>
    <cellStyle name="40% - Accent4 3 3 2 2 2 3 2" xfId="40908"/>
    <cellStyle name="40% - Accent4 3 3 2 2 2 4" xfId="40909"/>
    <cellStyle name="40% - Accent4 3 3 2 2 2 5" xfId="40910"/>
    <cellStyle name="40% - Accent4 3 3 2 2 2 6" xfId="40911"/>
    <cellStyle name="40% - Accent4 3 3 2 2 2 7" xfId="40912"/>
    <cellStyle name="40% - Accent4 3 3 2 2 3" xfId="40913"/>
    <cellStyle name="40% - Accent4 3 3 2 2 3 2" xfId="40914"/>
    <cellStyle name="40% - Accent4 3 3 2 2 3 2 2" xfId="40915"/>
    <cellStyle name="40% - Accent4 3 3 2 2 3 3" xfId="40916"/>
    <cellStyle name="40% - Accent4 3 3 2 2 3 3 2" xfId="40917"/>
    <cellStyle name="40% - Accent4 3 3 2 2 3 4" xfId="40918"/>
    <cellStyle name="40% - Accent4 3 3 2 2 3 5" xfId="40919"/>
    <cellStyle name="40% - Accent4 3 3 2 2 3 6" xfId="40920"/>
    <cellStyle name="40% - Accent4 3 3 2 2 3 7" xfId="40921"/>
    <cellStyle name="40% - Accent4 3 3 2 2 4" xfId="40922"/>
    <cellStyle name="40% - Accent4 3 3 2 2 4 2" xfId="40923"/>
    <cellStyle name="40% - Accent4 3 3 2 2 4 2 2" xfId="40924"/>
    <cellStyle name="40% - Accent4 3 3 2 2 4 3" xfId="40925"/>
    <cellStyle name="40% - Accent4 3 3 2 2 4 3 2" xfId="40926"/>
    <cellStyle name="40% - Accent4 3 3 2 2 4 4" xfId="40927"/>
    <cellStyle name="40% - Accent4 3 3 2 2 4 5" xfId="40928"/>
    <cellStyle name="40% - Accent4 3 3 2 2 4 6" xfId="40929"/>
    <cellStyle name="40% - Accent4 3 3 2 2 4 7" xfId="40930"/>
    <cellStyle name="40% - Accent4 3 3 2 2 5" xfId="40931"/>
    <cellStyle name="40% - Accent4 3 3 2 2 5 2" xfId="40932"/>
    <cellStyle name="40% - Accent4 3 3 2 2 6" xfId="40933"/>
    <cellStyle name="40% - Accent4 3 3 2 2 6 2" xfId="40934"/>
    <cellStyle name="40% - Accent4 3 3 2 2 7" xfId="40935"/>
    <cellStyle name="40% - Accent4 3 3 2 2 8" xfId="40936"/>
    <cellStyle name="40% - Accent4 3 3 2 2 9" xfId="40937"/>
    <cellStyle name="40% - Accent4 3 3 2 3" xfId="40938"/>
    <cellStyle name="40% - Accent4 3 3 2 3 2" xfId="40939"/>
    <cellStyle name="40% - Accent4 3 3 2 3 2 2" xfId="40940"/>
    <cellStyle name="40% - Accent4 3 3 2 3 3" xfId="40941"/>
    <cellStyle name="40% - Accent4 3 3 2 3 3 2" xfId="40942"/>
    <cellStyle name="40% - Accent4 3 3 2 3 4" xfId="40943"/>
    <cellStyle name="40% - Accent4 3 3 2 3 5" xfId="40944"/>
    <cellStyle name="40% - Accent4 3 3 2 3 6" xfId="40945"/>
    <cellStyle name="40% - Accent4 3 3 2 3 7" xfId="40946"/>
    <cellStyle name="40% - Accent4 3 3 2 4" xfId="40947"/>
    <cellStyle name="40% - Accent4 3 3 2 4 2" xfId="40948"/>
    <cellStyle name="40% - Accent4 3 3 2 4 2 2" xfId="40949"/>
    <cellStyle name="40% - Accent4 3 3 2 4 3" xfId="40950"/>
    <cellStyle name="40% - Accent4 3 3 2 4 3 2" xfId="40951"/>
    <cellStyle name="40% - Accent4 3 3 2 4 4" xfId="40952"/>
    <cellStyle name="40% - Accent4 3 3 2 4 5" xfId="40953"/>
    <cellStyle name="40% - Accent4 3 3 2 4 6" xfId="40954"/>
    <cellStyle name="40% - Accent4 3 3 2 4 7" xfId="40955"/>
    <cellStyle name="40% - Accent4 3 3 2 5" xfId="40956"/>
    <cellStyle name="40% - Accent4 3 3 2 5 2" xfId="40957"/>
    <cellStyle name="40% - Accent4 3 3 2 5 2 2" xfId="40958"/>
    <cellStyle name="40% - Accent4 3 3 2 5 3" xfId="40959"/>
    <cellStyle name="40% - Accent4 3 3 2 5 3 2" xfId="40960"/>
    <cellStyle name="40% - Accent4 3 3 2 5 4" xfId="40961"/>
    <cellStyle name="40% - Accent4 3 3 2 5 5" xfId="40962"/>
    <cellStyle name="40% - Accent4 3 3 2 5 6" xfId="40963"/>
    <cellStyle name="40% - Accent4 3 3 2 5 7" xfId="40964"/>
    <cellStyle name="40% - Accent4 3 3 2 6" xfId="40965"/>
    <cellStyle name="40% - Accent4 3 3 2 6 2" xfId="40966"/>
    <cellStyle name="40% - Accent4 3 3 2 7" xfId="40967"/>
    <cellStyle name="40% - Accent4 3 3 2 7 2" xfId="40968"/>
    <cellStyle name="40% - Accent4 3 3 2 8" xfId="40969"/>
    <cellStyle name="40% - Accent4 3 3 2 9" xfId="40970"/>
    <cellStyle name="40% - Accent4 3 3 3" xfId="40971"/>
    <cellStyle name="40% - Accent4 3 3 3 10" xfId="40972"/>
    <cellStyle name="40% - Accent4 3 3 3 11" xfId="40973"/>
    <cellStyle name="40% - Accent4 3 3 3 2" xfId="40974"/>
    <cellStyle name="40% - Accent4 3 3 3 2 10" xfId="40975"/>
    <cellStyle name="40% - Accent4 3 3 3 2 2" xfId="40976"/>
    <cellStyle name="40% - Accent4 3 3 3 2 2 2" xfId="40977"/>
    <cellStyle name="40% - Accent4 3 3 3 2 2 2 2" xfId="40978"/>
    <cellStyle name="40% - Accent4 3 3 3 2 2 3" xfId="40979"/>
    <cellStyle name="40% - Accent4 3 3 3 2 2 3 2" xfId="40980"/>
    <cellStyle name="40% - Accent4 3 3 3 2 2 4" xfId="40981"/>
    <cellStyle name="40% - Accent4 3 3 3 2 2 5" xfId="40982"/>
    <cellStyle name="40% - Accent4 3 3 3 2 2 6" xfId="40983"/>
    <cellStyle name="40% - Accent4 3 3 3 2 2 7" xfId="40984"/>
    <cellStyle name="40% - Accent4 3 3 3 2 3" xfId="40985"/>
    <cellStyle name="40% - Accent4 3 3 3 2 3 2" xfId="40986"/>
    <cellStyle name="40% - Accent4 3 3 3 2 3 2 2" xfId="40987"/>
    <cellStyle name="40% - Accent4 3 3 3 2 3 3" xfId="40988"/>
    <cellStyle name="40% - Accent4 3 3 3 2 3 3 2" xfId="40989"/>
    <cellStyle name="40% - Accent4 3 3 3 2 3 4" xfId="40990"/>
    <cellStyle name="40% - Accent4 3 3 3 2 3 5" xfId="40991"/>
    <cellStyle name="40% - Accent4 3 3 3 2 3 6" xfId="40992"/>
    <cellStyle name="40% - Accent4 3 3 3 2 3 7" xfId="40993"/>
    <cellStyle name="40% - Accent4 3 3 3 2 4" xfId="40994"/>
    <cellStyle name="40% - Accent4 3 3 3 2 4 2" xfId="40995"/>
    <cellStyle name="40% - Accent4 3 3 3 2 4 2 2" xfId="40996"/>
    <cellStyle name="40% - Accent4 3 3 3 2 4 3" xfId="40997"/>
    <cellStyle name="40% - Accent4 3 3 3 2 4 3 2" xfId="40998"/>
    <cellStyle name="40% - Accent4 3 3 3 2 4 4" xfId="40999"/>
    <cellStyle name="40% - Accent4 3 3 3 2 4 5" xfId="41000"/>
    <cellStyle name="40% - Accent4 3 3 3 2 4 6" xfId="41001"/>
    <cellStyle name="40% - Accent4 3 3 3 2 4 7" xfId="41002"/>
    <cellStyle name="40% - Accent4 3 3 3 2 5" xfId="41003"/>
    <cellStyle name="40% - Accent4 3 3 3 2 5 2" xfId="41004"/>
    <cellStyle name="40% - Accent4 3 3 3 2 6" xfId="41005"/>
    <cellStyle name="40% - Accent4 3 3 3 2 6 2" xfId="41006"/>
    <cellStyle name="40% - Accent4 3 3 3 2 7" xfId="41007"/>
    <cellStyle name="40% - Accent4 3 3 3 2 8" xfId="41008"/>
    <cellStyle name="40% - Accent4 3 3 3 2 9" xfId="41009"/>
    <cellStyle name="40% - Accent4 3 3 3 3" xfId="41010"/>
    <cellStyle name="40% - Accent4 3 3 3 3 2" xfId="41011"/>
    <cellStyle name="40% - Accent4 3 3 3 3 2 2" xfId="41012"/>
    <cellStyle name="40% - Accent4 3 3 3 3 3" xfId="41013"/>
    <cellStyle name="40% - Accent4 3 3 3 3 3 2" xfId="41014"/>
    <cellStyle name="40% - Accent4 3 3 3 3 4" xfId="41015"/>
    <cellStyle name="40% - Accent4 3 3 3 3 5" xfId="41016"/>
    <cellStyle name="40% - Accent4 3 3 3 3 6" xfId="41017"/>
    <cellStyle name="40% - Accent4 3 3 3 3 7" xfId="41018"/>
    <cellStyle name="40% - Accent4 3 3 3 4" xfId="41019"/>
    <cellStyle name="40% - Accent4 3 3 3 4 2" xfId="41020"/>
    <cellStyle name="40% - Accent4 3 3 3 4 2 2" xfId="41021"/>
    <cellStyle name="40% - Accent4 3 3 3 4 3" xfId="41022"/>
    <cellStyle name="40% - Accent4 3 3 3 4 3 2" xfId="41023"/>
    <cellStyle name="40% - Accent4 3 3 3 4 4" xfId="41024"/>
    <cellStyle name="40% - Accent4 3 3 3 4 5" xfId="41025"/>
    <cellStyle name="40% - Accent4 3 3 3 4 6" xfId="41026"/>
    <cellStyle name="40% - Accent4 3 3 3 4 7" xfId="41027"/>
    <cellStyle name="40% - Accent4 3 3 3 5" xfId="41028"/>
    <cellStyle name="40% - Accent4 3 3 3 5 2" xfId="41029"/>
    <cellStyle name="40% - Accent4 3 3 3 5 2 2" xfId="41030"/>
    <cellStyle name="40% - Accent4 3 3 3 5 3" xfId="41031"/>
    <cellStyle name="40% - Accent4 3 3 3 5 3 2" xfId="41032"/>
    <cellStyle name="40% - Accent4 3 3 3 5 4" xfId="41033"/>
    <cellStyle name="40% - Accent4 3 3 3 5 5" xfId="41034"/>
    <cellStyle name="40% - Accent4 3 3 3 5 6" xfId="41035"/>
    <cellStyle name="40% - Accent4 3 3 3 5 7" xfId="41036"/>
    <cellStyle name="40% - Accent4 3 3 3 6" xfId="41037"/>
    <cellStyle name="40% - Accent4 3 3 3 6 2" xfId="41038"/>
    <cellStyle name="40% - Accent4 3 3 3 7" xfId="41039"/>
    <cellStyle name="40% - Accent4 3 3 3 7 2" xfId="41040"/>
    <cellStyle name="40% - Accent4 3 3 3 8" xfId="41041"/>
    <cellStyle name="40% - Accent4 3 3 3 9" xfId="41042"/>
    <cellStyle name="40% - Accent4 3 3 4" xfId="41043"/>
    <cellStyle name="40% - Accent4 3 3 4 10" xfId="41044"/>
    <cellStyle name="40% - Accent4 3 3 4 2" xfId="41045"/>
    <cellStyle name="40% - Accent4 3 3 4 2 2" xfId="41046"/>
    <cellStyle name="40% - Accent4 3 3 4 2 2 2" xfId="41047"/>
    <cellStyle name="40% - Accent4 3 3 4 2 3" xfId="41048"/>
    <cellStyle name="40% - Accent4 3 3 4 2 3 2" xfId="41049"/>
    <cellStyle name="40% - Accent4 3 3 4 2 4" xfId="41050"/>
    <cellStyle name="40% - Accent4 3 3 4 2 5" xfId="41051"/>
    <cellStyle name="40% - Accent4 3 3 4 2 6" xfId="41052"/>
    <cellStyle name="40% - Accent4 3 3 4 2 7" xfId="41053"/>
    <cellStyle name="40% - Accent4 3 3 4 3" xfId="41054"/>
    <cellStyle name="40% - Accent4 3 3 4 3 2" xfId="41055"/>
    <cellStyle name="40% - Accent4 3 3 4 3 2 2" xfId="41056"/>
    <cellStyle name="40% - Accent4 3 3 4 3 3" xfId="41057"/>
    <cellStyle name="40% - Accent4 3 3 4 3 3 2" xfId="41058"/>
    <cellStyle name="40% - Accent4 3 3 4 3 4" xfId="41059"/>
    <cellStyle name="40% - Accent4 3 3 4 3 5" xfId="41060"/>
    <cellStyle name="40% - Accent4 3 3 4 3 6" xfId="41061"/>
    <cellStyle name="40% - Accent4 3 3 4 3 7" xfId="41062"/>
    <cellStyle name="40% - Accent4 3 3 4 4" xfId="41063"/>
    <cellStyle name="40% - Accent4 3 3 4 4 2" xfId="41064"/>
    <cellStyle name="40% - Accent4 3 3 4 4 2 2" xfId="41065"/>
    <cellStyle name="40% - Accent4 3 3 4 4 3" xfId="41066"/>
    <cellStyle name="40% - Accent4 3 3 4 4 3 2" xfId="41067"/>
    <cellStyle name="40% - Accent4 3 3 4 4 4" xfId="41068"/>
    <cellStyle name="40% - Accent4 3 3 4 4 5" xfId="41069"/>
    <cellStyle name="40% - Accent4 3 3 4 4 6" xfId="41070"/>
    <cellStyle name="40% - Accent4 3 3 4 4 7" xfId="41071"/>
    <cellStyle name="40% - Accent4 3 3 4 5" xfId="41072"/>
    <cellStyle name="40% - Accent4 3 3 4 5 2" xfId="41073"/>
    <cellStyle name="40% - Accent4 3 3 4 6" xfId="41074"/>
    <cellStyle name="40% - Accent4 3 3 4 6 2" xfId="41075"/>
    <cellStyle name="40% - Accent4 3 3 4 7" xfId="41076"/>
    <cellStyle name="40% - Accent4 3 3 4 8" xfId="41077"/>
    <cellStyle name="40% - Accent4 3 3 4 9" xfId="41078"/>
    <cellStyle name="40% - Accent4 3 3 5" xfId="41079"/>
    <cellStyle name="40% - Accent4 3 3 5 2" xfId="41080"/>
    <cellStyle name="40% - Accent4 3 3 5 2 2" xfId="41081"/>
    <cellStyle name="40% - Accent4 3 3 5 3" xfId="41082"/>
    <cellStyle name="40% - Accent4 3 3 5 3 2" xfId="41083"/>
    <cellStyle name="40% - Accent4 3 3 5 4" xfId="41084"/>
    <cellStyle name="40% - Accent4 3 3 5 5" xfId="41085"/>
    <cellStyle name="40% - Accent4 3 3 5 6" xfId="41086"/>
    <cellStyle name="40% - Accent4 3 3 5 7" xfId="41087"/>
    <cellStyle name="40% - Accent4 3 3 6" xfId="41088"/>
    <cellStyle name="40% - Accent4 3 3 6 2" xfId="41089"/>
    <cellStyle name="40% - Accent4 3 3 6 2 2" xfId="41090"/>
    <cellStyle name="40% - Accent4 3 3 6 3" xfId="41091"/>
    <cellStyle name="40% - Accent4 3 3 6 3 2" xfId="41092"/>
    <cellStyle name="40% - Accent4 3 3 6 4" xfId="41093"/>
    <cellStyle name="40% - Accent4 3 3 6 5" xfId="41094"/>
    <cellStyle name="40% - Accent4 3 3 6 6" xfId="41095"/>
    <cellStyle name="40% - Accent4 3 3 6 7" xfId="41096"/>
    <cellStyle name="40% - Accent4 3 3 7" xfId="41097"/>
    <cellStyle name="40% - Accent4 3 3 7 2" xfId="41098"/>
    <cellStyle name="40% - Accent4 3 3 7 2 2" xfId="41099"/>
    <cellStyle name="40% - Accent4 3 3 7 3" xfId="41100"/>
    <cellStyle name="40% - Accent4 3 3 7 3 2" xfId="41101"/>
    <cellStyle name="40% - Accent4 3 3 7 4" xfId="41102"/>
    <cellStyle name="40% - Accent4 3 3 7 5" xfId="41103"/>
    <cellStyle name="40% - Accent4 3 3 7 6" xfId="41104"/>
    <cellStyle name="40% - Accent4 3 3 7 7" xfId="41105"/>
    <cellStyle name="40% - Accent4 3 3 8" xfId="41106"/>
    <cellStyle name="40% - Accent4 3 3 8 2" xfId="41107"/>
    <cellStyle name="40% - Accent4 3 3 9" xfId="41108"/>
    <cellStyle name="40% - Accent4 3 3 9 2" xfId="41109"/>
    <cellStyle name="40% - Accent4 3 4" xfId="41110"/>
    <cellStyle name="40% - Accent4 3 4 10" xfId="41111"/>
    <cellStyle name="40% - Accent4 3 4 11" xfId="41112"/>
    <cellStyle name="40% - Accent4 3 4 12" xfId="41113"/>
    <cellStyle name="40% - Accent4 3 4 13" xfId="41114"/>
    <cellStyle name="40% - Accent4 3 4 2" xfId="41115"/>
    <cellStyle name="40% - Accent4 3 4 2 10" xfId="41116"/>
    <cellStyle name="40% - Accent4 3 4 2 11" xfId="41117"/>
    <cellStyle name="40% - Accent4 3 4 2 2" xfId="41118"/>
    <cellStyle name="40% - Accent4 3 4 2 2 10" xfId="41119"/>
    <cellStyle name="40% - Accent4 3 4 2 2 2" xfId="41120"/>
    <cellStyle name="40% - Accent4 3 4 2 2 2 2" xfId="41121"/>
    <cellStyle name="40% - Accent4 3 4 2 2 2 2 2" xfId="41122"/>
    <cellStyle name="40% - Accent4 3 4 2 2 2 3" xfId="41123"/>
    <cellStyle name="40% - Accent4 3 4 2 2 2 3 2" xfId="41124"/>
    <cellStyle name="40% - Accent4 3 4 2 2 2 4" xfId="41125"/>
    <cellStyle name="40% - Accent4 3 4 2 2 2 5" xfId="41126"/>
    <cellStyle name="40% - Accent4 3 4 2 2 2 6" xfId="41127"/>
    <cellStyle name="40% - Accent4 3 4 2 2 2 7" xfId="41128"/>
    <cellStyle name="40% - Accent4 3 4 2 2 3" xfId="41129"/>
    <cellStyle name="40% - Accent4 3 4 2 2 3 2" xfId="41130"/>
    <cellStyle name="40% - Accent4 3 4 2 2 3 2 2" xfId="41131"/>
    <cellStyle name="40% - Accent4 3 4 2 2 3 3" xfId="41132"/>
    <cellStyle name="40% - Accent4 3 4 2 2 3 3 2" xfId="41133"/>
    <cellStyle name="40% - Accent4 3 4 2 2 3 4" xfId="41134"/>
    <cellStyle name="40% - Accent4 3 4 2 2 3 5" xfId="41135"/>
    <cellStyle name="40% - Accent4 3 4 2 2 3 6" xfId="41136"/>
    <cellStyle name="40% - Accent4 3 4 2 2 3 7" xfId="41137"/>
    <cellStyle name="40% - Accent4 3 4 2 2 4" xfId="41138"/>
    <cellStyle name="40% - Accent4 3 4 2 2 4 2" xfId="41139"/>
    <cellStyle name="40% - Accent4 3 4 2 2 4 2 2" xfId="41140"/>
    <cellStyle name="40% - Accent4 3 4 2 2 4 3" xfId="41141"/>
    <cellStyle name="40% - Accent4 3 4 2 2 4 3 2" xfId="41142"/>
    <cellStyle name="40% - Accent4 3 4 2 2 4 4" xfId="41143"/>
    <cellStyle name="40% - Accent4 3 4 2 2 4 5" xfId="41144"/>
    <cellStyle name="40% - Accent4 3 4 2 2 4 6" xfId="41145"/>
    <cellStyle name="40% - Accent4 3 4 2 2 4 7" xfId="41146"/>
    <cellStyle name="40% - Accent4 3 4 2 2 5" xfId="41147"/>
    <cellStyle name="40% - Accent4 3 4 2 2 5 2" xfId="41148"/>
    <cellStyle name="40% - Accent4 3 4 2 2 6" xfId="41149"/>
    <cellStyle name="40% - Accent4 3 4 2 2 6 2" xfId="41150"/>
    <cellStyle name="40% - Accent4 3 4 2 2 7" xfId="41151"/>
    <cellStyle name="40% - Accent4 3 4 2 2 8" xfId="41152"/>
    <cellStyle name="40% - Accent4 3 4 2 2 9" xfId="41153"/>
    <cellStyle name="40% - Accent4 3 4 2 3" xfId="41154"/>
    <cellStyle name="40% - Accent4 3 4 2 3 2" xfId="41155"/>
    <cellStyle name="40% - Accent4 3 4 2 3 2 2" xfId="41156"/>
    <cellStyle name="40% - Accent4 3 4 2 3 3" xfId="41157"/>
    <cellStyle name="40% - Accent4 3 4 2 3 3 2" xfId="41158"/>
    <cellStyle name="40% - Accent4 3 4 2 3 4" xfId="41159"/>
    <cellStyle name="40% - Accent4 3 4 2 3 5" xfId="41160"/>
    <cellStyle name="40% - Accent4 3 4 2 3 6" xfId="41161"/>
    <cellStyle name="40% - Accent4 3 4 2 3 7" xfId="41162"/>
    <cellStyle name="40% - Accent4 3 4 2 4" xfId="41163"/>
    <cellStyle name="40% - Accent4 3 4 2 4 2" xfId="41164"/>
    <cellStyle name="40% - Accent4 3 4 2 4 2 2" xfId="41165"/>
    <cellStyle name="40% - Accent4 3 4 2 4 3" xfId="41166"/>
    <cellStyle name="40% - Accent4 3 4 2 4 3 2" xfId="41167"/>
    <cellStyle name="40% - Accent4 3 4 2 4 4" xfId="41168"/>
    <cellStyle name="40% - Accent4 3 4 2 4 5" xfId="41169"/>
    <cellStyle name="40% - Accent4 3 4 2 4 6" xfId="41170"/>
    <cellStyle name="40% - Accent4 3 4 2 4 7" xfId="41171"/>
    <cellStyle name="40% - Accent4 3 4 2 5" xfId="41172"/>
    <cellStyle name="40% - Accent4 3 4 2 5 2" xfId="41173"/>
    <cellStyle name="40% - Accent4 3 4 2 5 2 2" xfId="41174"/>
    <cellStyle name="40% - Accent4 3 4 2 5 3" xfId="41175"/>
    <cellStyle name="40% - Accent4 3 4 2 5 3 2" xfId="41176"/>
    <cellStyle name="40% - Accent4 3 4 2 5 4" xfId="41177"/>
    <cellStyle name="40% - Accent4 3 4 2 5 5" xfId="41178"/>
    <cellStyle name="40% - Accent4 3 4 2 5 6" xfId="41179"/>
    <cellStyle name="40% - Accent4 3 4 2 5 7" xfId="41180"/>
    <cellStyle name="40% - Accent4 3 4 2 6" xfId="41181"/>
    <cellStyle name="40% - Accent4 3 4 2 6 2" xfId="41182"/>
    <cellStyle name="40% - Accent4 3 4 2 7" xfId="41183"/>
    <cellStyle name="40% - Accent4 3 4 2 7 2" xfId="41184"/>
    <cellStyle name="40% - Accent4 3 4 2 8" xfId="41185"/>
    <cellStyle name="40% - Accent4 3 4 2 9" xfId="41186"/>
    <cellStyle name="40% - Accent4 3 4 3" xfId="41187"/>
    <cellStyle name="40% - Accent4 3 4 3 10" xfId="41188"/>
    <cellStyle name="40% - Accent4 3 4 3 11" xfId="41189"/>
    <cellStyle name="40% - Accent4 3 4 3 2" xfId="41190"/>
    <cellStyle name="40% - Accent4 3 4 3 2 10" xfId="41191"/>
    <cellStyle name="40% - Accent4 3 4 3 2 2" xfId="41192"/>
    <cellStyle name="40% - Accent4 3 4 3 2 2 2" xfId="41193"/>
    <cellStyle name="40% - Accent4 3 4 3 2 2 2 2" xfId="41194"/>
    <cellStyle name="40% - Accent4 3 4 3 2 2 3" xfId="41195"/>
    <cellStyle name="40% - Accent4 3 4 3 2 2 3 2" xfId="41196"/>
    <cellStyle name="40% - Accent4 3 4 3 2 2 4" xfId="41197"/>
    <cellStyle name="40% - Accent4 3 4 3 2 2 5" xfId="41198"/>
    <cellStyle name="40% - Accent4 3 4 3 2 2 6" xfId="41199"/>
    <cellStyle name="40% - Accent4 3 4 3 2 2 7" xfId="41200"/>
    <cellStyle name="40% - Accent4 3 4 3 2 3" xfId="41201"/>
    <cellStyle name="40% - Accent4 3 4 3 2 3 2" xfId="41202"/>
    <cellStyle name="40% - Accent4 3 4 3 2 3 2 2" xfId="41203"/>
    <cellStyle name="40% - Accent4 3 4 3 2 3 3" xfId="41204"/>
    <cellStyle name="40% - Accent4 3 4 3 2 3 3 2" xfId="41205"/>
    <cellStyle name="40% - Accent4 3 4 3 2 3 4" xfId="41206"/>
    <cellStyle name="40% - Accent4 3 4 3 2 3 5" xfId="41207"/>
    <cellStyle name="40% - Accent4 3 4 3 2 3 6" xfId="41208"/>
    <cellStyle name="40% - Accent4 3 4 3 2 3 7" xfId="41209"/>
    <cellStyle name="40% - Accent4 3 4 3 2 4" xfId="41210"/>
    <cellStyle name="40% - Accent4 3 4 3 2 4 2" xfId="41211"/>
    <cellStyle name="40% - Accent4 3 4 3 2 4 2 2" xfId="41212"/>
    <cellStyle name="40% - Accent4 3 4 3 2 4 3" xfId="41213"/>
    <cellStyle name="40% - Accent4 3 4 3 2 4 3 2" xfId="41214"/>
    <cellStyle name="40% - Accent4 3 4 3 2 4 4" xfId="41215"/>
    <cellStyle name="40% - Accent4 3 4 3 2 4 5" xfId="41216"/>
    <cellStyle name="40% - Accent4 3 4 3 2 4 6" xfId="41217"/>
    <cellStyle name="40% - Accent4 3 4 3 2 4 7" xfId="41218"/>
    <cellStyle name="40% - Accent4 3 4 3 2 5" xfId="41219"/>
    <cellStyle name="40% - Accent4 3 4 3 2 5 2" xfId="41220"/>
    <cellStyle name="40% - Accent4 3 4 3 2 6" xfId="41221"/>
    <cellStyle name="40% - Accent4 3 4 3 2 6 2" xfId="41222"/>
    <cellStyle name="40% - Accent4 3 4 3 2 7" xfId="41223"/>
    <cellStyle name="40% - Accent4 3 4 3 2 8" xfId="41224"/>
    <cellStyle name="40% - Accent4 3 4 3 2 9" xfId="41225"/>
    <cellStyle name="40% - Accent4 3 4 3 3" xfId="41226"/>
    <cellStyle name="40% - Accent4 3 4 3 3 2" xfId="41227"/>
    <cellStyle name="40% - Accent4 3 4 3 3 2 2" xfId="41228"/>
    <cellStyle name="40% - Accent4 3 4 3 3 3" xfId="41229"/>
    <cellStyle name="40% - Accent4 3 4 3 3 3 2" xfId="41230"/>
    <cellStyle name="40% - Accent4 3 4 3 3 4" xfId="41231"/>
    <cellStyle name="40% - Accent4 3 4 3 3 5" xfId="41232"/>
    <cellStyle name="40% - Accent4 3 4 3 3 6" xfId="41233"/>
    <cellStyle name="40% - Accent4 3 4 3 3 7" xfId="41234"/>
    <cellStyle name="40% - Accent4 3 4 3 4" xfId="41235"/>
    <cellStyle name="40% - Accent4 3 4 3 4 2" xfId="41236"/>
    <cellStyle name="40% - Accent4 3 4 3 4 2 2" xfId="41237"/>
    <cellStyle name="40% - Accent4 3 4 3 4 3" xfId="41238"/>
    <cellStyle name="40% - Accent4 3 4 3 4 3 2" xfId="41239"/>
    <cellStyle name="40% - Accent4 3 4 3 4 4" xfId="41240"/>
    <cellStyle name="40% - Accent4 3 4 3 4 5" xfId="41241"/>
    <cellStyle name="40% - Accent4 3 4 3 4 6" xfId="41242"/>
    <cellStyle name="40% - Accent4 3 4 3 4 7" xfId="41243"/>
    <cellStyle name="40% - Accent4 3 4 3 5" xfId="41244"/>
    <cellStyle name="40% - Accent4 3 4 3 5 2" xfId="41245"/>
    <cellStyle name="40% - Accent4 3 4 3 5 2 2" xfId="41246"/>
    <cellStyle name="40% - Accent4 3 4 3 5 3" xfId="41247"/>
    <cellStyle name="40% - Accent4 3 4 3 5 3 2" xfId="41248"/>
    <cellStyle name="40% - Accent4 3 4 3 5 4" xfId="41249"/>
    <cellStyle name="40% - Accent4 3 4 3 5 5" xfId="41250"/>
    <cellStyle name="40% - Accent4 3 4 3 5 6" xfId="41251"/>
    <cellStyle name="40% - Accent4 3 4 3 5 7" xfId="41252"/>
    <cellStyle name="40% - Accent4 3 4 3 6" xfId="41253"/>
    <cellStyle name="40% - Accent4 3 4 3 6 2" xfId="41254"/>
    <cellStyle name="40% - Accent4 3 4 3 7" xfId="41255"/>
    <cellStyle name="40% - Accent4 3 4 3 7 2" xfId="41256"/>
    <cellStyle name="40% - Accent4 3 4 3 8" xfId="41257"/>
    <cellStyle name="40% - Accent4 3 4 3 9" xfId="41258"/>
    <cellStyle name="40% - Accent4 3 4 4" xfId="41259"/>
    <cellStyle name="40% - Accent4 3 4 4 10" xfId="41260"/>
    <cellStyle name="40% - Accent4 3 4 4 2" xfId="41261"/>
    <cellStyle name="40% - Accent4 3 4 4 2 2" xfId="41262"/>
    <cellStyle name="40% - Accent4 3 4 4 2 2 2" xfId="41263"/>
    <cellStyle name="40% - Accent4 3 4 4 2 3" xfId="41264"/>
    <cellStyle name="40% - Accent4 3 4 4 2 3 2" xfId="41265"/>
    <cellStyle name="40% - Accent4 3 4 4 2 4" xfId="41266"/>
    <cellStyle name="40% - Accent4 3 4 4 2 5" xfId="41267"/>
    <cellStyle name="40% - Accent4 3 4 4 2 6" xfId="41268"/>
    <cellStyle name="40% - Accent4 3 4 4 2 7" xfId="41269"/>
    <cellStyle name="40% - Accent4 3 4 4 3" xfId="41270"/>
    <cellStyle name="40% - Accent4 3 4 4 3 2" xfId="41271"/>
    <cellStyle name="40% - Accent4 3 4 4 3 2 2" xfId="41272"/>
    <cellStyle name="40% - Accent4 3 4 4 3 3" xfId="41273"/>
    <cellStyle name="40% - Accent4 3 4 4 3 3 2" xfId="41274"/>
    <cellStyle name="40% - Accent4 3 4 4 3 4" xfId="41275"/>
    <cellStyle name="40% - Accent4 3 4 4 3 5" xfId="41276"/>
    <cellStyle name="40% - Accent4 3 4 4 3 6" xfId="41277"/>
    <cellStyle name="40% - Accent4 3 4 4 3 7" xfId="41278"/>
    <cellStyle name="40% - Accent4 3 4 4 4" xfId="41279"/>
    <cellStyle name="40% - Accent4 3 4 4 4 2" xfId="41280"/>
    <cellStyle name="40% - Accent4 3 4 4 4 2 2" xfId="41281"/>
    <cellStyle name="40% - Accent4 3 4 4 4 3" xfId="41282"/>
    <cellStyle name="40% - Accent4 3 4 4 4 3 2" xfId="41283"/>
    <cellStyle name="40% - Accent4 3 4 4 4 4" xfId="41284"/>
    <cellStyle name="40% - Accent4 3 4 4 4 5" xfId="41285"/>
    <cellStyle name="40% - Accent4 3 4 4 4 6" xfId="41286"/>
    <cellStyle name="40% - Accent4 3 4 4 4 7" xfId="41287"/>
    <cellStyle name="40% - Accent4 3 4 4 5" xfId="41288"/>
    <cellStyle name="40% - Accent4 3 4 4 5 2" xfId="41289"/>
    <cellStyle name="40% - Accent4 3 4 4 6" xfId="41290"/>
    <cellStyle name="40% - Accent4 3 4 4 6 2" xfId="41291"/>
    <cellStyle name="40% - Accent4 3 4 4 7" xfId="41292"/>
    <cellStyle name="40% - Accent4 3 4 4 8" xfId="41293"/>
    <cellStyle name="40% - Accent4 3 4 4 9" xfId="41294"/>
    <cellStyle name="40% - Accent4 3 4 5" xfId="41295"/>
    <cellStyle name="40% - Accent4 3 4 5 2" xfId="41296"/>
    <cellStyle name="40% - Accent4 3 4 5 2 2" xfId="41297"/>
    <cellStyle name="40% - Accent4 3 4 5 3" xfId="41298"/>
    <cellStyle name="40% - Accent4 3 4 5 3 2" xfId="41299"/>
    <cellStyle name="40% - Accent4 3 4 5 4" xfId="41300"/>
    <cellStyle name="40% - Accent4 3 4 5 5" xfId="41301"/>
    <cellStyle name="40% - Accent4 3 4 5 6" xfId="41302"/>
    <cellStyle name="40% - Accent4 3 4 5 7" xfId="41303"/>
    <cellStyle name="40% - Accent4 3 4 6" xfId="41304"/>
    <cellStyle name="40% - Accent4 3 4 6 2" xfId="41305"/>
    <cellStyle name="40% - Accent4 3 4 6 2 2" xfId="41306"/>
    <cellStyle name="40% - Accent4 3 4 6 3" xfId="41307"/>
    <cellStyle name="40% - Accent4 3 4 6 3 2" xfId="41308"/>
    <cellStyle name="40% - Accent4 3 4 6 4" xfId="41309"/>
    <cellStyle name="40% - Accent4 3 4 6 5" xfId="41310"/>
    <cellStyle name="40% - Accent4 3 4 6 6" xfId="41311"/>
    <cellStyle name="40% - Accent4 3 4 6 7" xfId="41312"/>
    <cellStyle name="40% - Accent4 3 4 7" xfId="41313"/>
    <cellStyle name="40% - Accent4 3 4 7 2" xfId="41314"/>
    <cellStyle name="40% - Accent4 3 4 7 2 2" xfId="41315"/>
    <cellStyle name="40% - Accent4 3 4 7 3" xfId="41316"/>
    <cellStyle name="40% - Accent4 3 4 7 3 2" xfId="41317"/>
    <cellStyle name="40% - Accent4 3 4 7 4" xfId="41318"/>
    <cellStyle name="40% - Accent4 3 4 7 5" xfId="41319"/>
    <cellStyle name="40% - Accent4 3 4 7 6" xfId="41320"/>
    <cellStyle name="40% - Accent4 3 4 7 7" xfId="41321"/>
    <cellStyle name="40% - Accent4 3 4 8" xfId="41322"/>
    <cellStyle name="40% - Accent4 3 4 8 2" xfId="41323"/>
    <cellStyle name="40% - Accent4 3 4 9" xfId="41324"/>
    <cellStyle name="40% - Accent4 3 4 9 2" xfId="41325"/>
    <cellStyle name="40% - Accent4 3 5" xfId="41326"/>
    <cellStyle name="40% - Accent4 3 5 10" xfId="41327"/>
    <cellStyle name="40% - Accent4 3 5 11" xfId="41328"/>
    <cellStyle name="40% - Accent4 3 5 12" xfId="41329"/>
    <cellStyle name="40% - Accent4 3 5 13" xfId="41330"/>
    <cellStyle name="40% - Accent4 3 5 2" xfId="41331"/>
    <cellStyle name="40% - Accent4 3 5 2 10" xfId="41332"/>
    <cellStyle name="40% - Accent4 3 5 2 11" xfId="41333"/>
    <cellStyle name="40% - Accent4 3 5 2 2" xfId="41334"/>
    <cellStyle name="40% - Accent4 3 5 2 2 10" xfId="41335"/>
    <cellStyle name="40% - Accent4 3 5 2 2 2" xfId="41336"/>
    <cellStyle name="40% - Accent4 3 5 2 2 2 2" xfId="41337"/>
    <cellStyle name="40% - Accent4 3 5 2 2 2 2 2" xfId="41338"/>
    <cellStyle name="40% - Accent4 3 5 2 2 2 3" xfId="41339"/>
    <cellStyle name="40% - Accent4 3 5 2 2 2 3 2" xfId="41340"/>
    <cellStyle name="40% - Accent4 3 5 2 2 2 4" xfId="41341"/>
    <cellStyle name="40% - Accent4 3 5 2 2 2 5" xfId="41342"/>
    <cellStyle name="40% - Accent4 3 5 2 2 2 6" xfId="41343"/>
    <cellStyle name="40% - Accent4 3 5 2 2 2 7" xfId="41344"/>
    <cellStyle name="40% - Accent4 3 5 2 2 3" xfId="41345"/>
    <cellStyle name="40% - Accent4 3 5 2 2 3 2" xfId="41346"/>
    <cellStyle name="40% - Accent4 3 5 2 2 3 2 2" xfId="41347"/>
    <cellStyle name="40% - Accent4 3 5 2 2 3 3" xfId="41348"/>
    <cellStyle name="40% - Accent4 3 5 2 2 3 3 2" xfId="41349"/>
    <cellStyle name="40% - Accent4 3 5 2 2 3 4" xfId="41350"/>
    <cellStyle name="40% - Accent4 3 5 2 2 3 5" xfId="41351"/>
    <cellStyle name="40% - Accent4 3 5 2 2 3 6" xfId="41352"/>
    <cellStyle name="40% - Accent4 3 5 2 2 3 7" xfId="41353"/>
    <cellStyle name="40% - Accent4 3 5 2 2 4" xfId="41354"/>
    <cellStyle name="40% - Accent4 3 5 2 2 4 2" xfId="41355"/>
    <cellStyle name="40% - Accent4 3 5 2 2 4 2 2" xfId="41356"/>
    <cellStyle name="40% - Accent4 3 5 2 2 4 3" xfId="41357"/>
    <cellStyle name="40% - Accent4 3 5 2 2 4 3 2" xfId="41358"/>
    <cellStyle name="40% - Accent4 3 5 2 2 4 4" xfId="41359"/>
    <cellStyle name="40% - Accent4 3 5 2 2 4 5" xfId="41360"/>
    <cellStyle name="40% - Accent4 3 5 2 2 4 6" xfId="41361"/>
    <cellStyle name="40% - Accent4 3 5 2 2 4 7" xfId="41362"/>
    <cellStyle name="40% - Accent4 3 5 2 2 5" xfId="41363"/>
    <cellStyle name="40% - Accent4 3 5 2 2 5 2" xfId="41364"/>
    <cellStyle name="40% - Accent4 3 5 2 2 6" xfId="41365"/>
    <cellStyle name="40% - Accent4 3 5 2 2 6 2" xfId="41366"/>
    <cellStyle name="40% - Accent4 3 5 2 2 7" xfId="41367"/>
    <cellStyle name="40% - Accent4 3 5 2 2 8" xfId="41368"/>
    <cellStyle name="40% - Accent4 3 5 2 2 9" xfId="41369"/>
    <cellStyle name="40% - Accent4 3 5 2 3" xfId="41370"/>
    <cellStyle name="40% - Accent4 3 5 2 3 2" xfId="41371"/>
    <cellStyle name="40% - Accent4 3 5 2 3 2 2" xfId="41372"/>
    <cellStyle name="40% - Accent4 3 5 2 3 3" xfId="41373"/>
    <cellStyle name="40% - Accent4 3 5 2 3 3 2" xfId="41374"/>
    <cellStyle name="40% - Accent4 3 5 2 3 4" xfId="41375"/>
    <cellStyle name="40% - Accent4 3 5 2 3 5" xfId="41376"/>
    <cellStyle name="40% - Accent4 3 5 2 3 6" xfId="41377"/>
    <cellStyle name="40% - Accent4 3 5 2 3 7" xfId="41378"/>
    <cellStyle name="40% - Accent4 3 5 2 4" xfId="41379"/>
    <cellStyle name="40% - Accent4 3 5 2 4 2" xfId="41380"/>
    <cellStyle name="40% - Accent4 3 5 2 4 2 2" xfId="41381"/>
    <cellStyle name="40% - Accent4 3 5 2 4 3" xfId="41382"/>
    <cellStyle name="40% - Accent4 3 5 2 4 3 2" xfId="41383"/>
    <cellStyle name="40% - Accent4 3 5 2 4 4" xfId="41384"/>
    <cellStyle name="40% - Accent4 3 5 2 4 5" xfId="41385"/>
    <cellStyle name="40% - Accent4 3 5 2 4 6" xfId="41386"/>
    <cellStyle name="40% - Accent4 3 5 2 4 7" xfId="41387"/>
    <cellStyle name="40% - Accent4 3 5 2 5" xfId="41388"/>
    <cellStyle name="40% - Accent4 3 5 2 5 2" xfId="41389"/>
    <cellStyle name="40% - Accent4 3 5 2 5 2 2" xfId="41390"/>
    <cellStyle name="40% - Accent4 3 5 2 5 3" xfId="41391"/>
    <cellStyle name="40% - Accent4 3 5 2 5 3 2" xfId="41392"/>
    <cellStyle name="40% - Accent4 3 5 2 5 4" xfId="41393"/>
    <cellStyle name="40% - Accent4 3 5 2 5 5" xfId="41394"/>
    <cellStyle name="40% - Accent4 3 5 2 5 6" xfId="41395"/>
    <cellStyle name="40% - Accent4 3 5 2 5 7" xfId="41396"/>
    <cellStyle name="40% - Accent4 3 5 2 6" xfId="41397"/>
    <cellStyle name="40% - Accent4 3 5 2 6 2" xfId="41398"/>
    <cellStyle name="40% - Accent4 3 5 2 7" xfId="41399"/>
    <cellStyle name="40% - Accent4 3 5 2 7 2" xfId="41400"/>
    <cellStyle name="40% - Accent4 3 5 2 8" xfId="41401"/>
    <cellStyle name="40% - Accent4 3 5 2 9" xfId="41402"/>
    <cellStyle name="40% - Accent4 3 5 3" xfId="41403"/>
    <cellStyle name="40% - Accent4 3 5 3 10" xfId="41404"/>
    <cellStyle name="40% - Accent4 3 5 3 11" xfId="41405"/>
    <cellStyle name="40% - Accent4 3 5 3 2" xfId="41406"/>
    <cellStyle name="40% - Accent4 3 5 3 2 10" xfId="41407"/>
    <cellStyle name="40% - Accent4 3 5 3 2 2" xfId="41408"/>
    <cellStyle name="40% - Accent4 3 5 3 2 2 2" xfId="41409"/>
    <cellStyle name="40% - Accent4 3 5 3 2 2 2 2" xfId="41410"/>
    <cellStyle name="40% - Accent4 3 5 3 2 2 3" xfId="41411"/>
    <cellStyle name="40% - Accent4 3 5 3 2 2 3 2" xfId="41412"/>
    <cellStyle name="40% - Accent4 3 5 3 2 2 4" xfId="41413"/>
    <cellStyle name="40% - Accent4 3 5 3 2 2 5" xfId="41414"/>
    <cellStyle name="40% - Accent4 3 5 3 2 2 6" xfId="41415"/>
    <cellStyle name="40% - Accent4 3 5 3 2 2 7" xfId="41416"/>
    <cellStyle name="40% - Accent4 3 5 3 2 3" xfId="41417"/>
    <cellStyle name="40% - Accent4 3 5 3 2 3 2" xfId="41418"/>
    <cellStyle name="40% - Accent4 3 5 3 2 3 2 2" xfId="41419"/>
    <cellStyle name="40% - Accent4 3 5 3 2 3 3" xfId="41420"/>
    <cellStyle name="40% - Accent4 3 5 3 2 3 3 2" xfId="41421"/>
    <cellStyle name="40% - Accent4 3 5 3 2 3 4" xfId="41422"/>
    <cellStyle name="40% - Accent4 3 5 3 2 3 5" xfId="41423"/>
    <cellStyle name="40% - Accent4 3 5 3 2 3 6" xfId="41424"/>
    <cellStyle name="40% - Accent4 3 5 3 2 3 7" xfId="41425"/>
    <cellStyle name="40% - Accent4 3 5 3 2 4" xfId="41426"/>
    <cellStyle name="40% - Accent4 3 5 3 2 4 2" xfId="41427"/>
    <cellStyle name="40% - Accent4 3 5 3 2 4 2 2" xfId="41428"/>
    <cellStyle name="40% - Accent4 3 5 3 2 4 3" xfId="41429"/>
    <cellStyle name="40% - Accent4 3 5 3 2 4 3 2" xfId="41430"/>
    <cellStyle name="40% - Accent4 3 5 3 2 4 4" xfId="41431"/>
    <cellStyle name="40% - Accent4 3 5 3 2 4 5" xfId="41432"/>
    <cellStyle name="40% - Accent4 3 5 3 2 4 6" xfId="41433"/>
    <cellStyle name="40% - Accent4 3 5 3 2 4 7" xfId="41434"/>
    <cellStyle name="40% - Accent4 3 5 3 2 5" xfId="41435"/>
    <cellStyle name="40% - Accent4 3 5 3 2 5 2" xfId="41436"/>
    <cellStyle name="40% - Accent4 3 5 3 2 6" xfId="41437"/>
    <cellStyle name="40% - Accent4 3 5 3 2 6 2" xfId="41438"/>
    <cellStyle name="40% - Accent4 3 5 3 2 7" xfId="41439"/>
    <cellStyle name="40% - Accent4 3 5 3 2 8" xfId="41440"/>
    <cellStyle name="40% - Accent4 3 5 3 2 9" xfId="41441"/>
    <cellStyle name="40% - Accent4 3 5 3 3" xfId="41442"/>
    <cellStyle name="40% - Accent4 3 5 3 3 2" xfId="41443"/>
    <cellStyle name="40% - Accent4 3 5 3 3 2 2" xfId="41444"/>
    <cellStyle name="40% - Accent4 3 5 3 3 3" xfId="41445"/>
    <cellStyle name="40% - Accent4 3 5 3 3 3 2" xfId="41446"/>
    <cellStyle name="40% - Accent4 3 5 3 3 4" xfId="41447"/>
    <cellStyle name="40% - Accent4 3 5 3 3 5" xfId="41448"/>
    <cellStyle name="40% - Accent4 3 5 3 3 6" xfId="41449"/>
    <cellStyle name="40% - Accent4 3 5 3 3 7" xfId="41450"/>
    <cellStyle name="40% - Accent4 3 5 3 4" xfId="41451"/>
    <cellStyle name="40% - Accent4 3 5 3 4 2" xfId="41452"/>
    <cellStyle name="40% - Accent4 3 5 3 4 2 2" xfId="41453"/>
    <cellStyle name="40% - Accent4 3 5 3 4 3" xfId="41454"/>
    <cellStyle name="40% - Accent4 3 5 3 4 3 2" xfId="41455"/>
    <cellStyle name="40% - Accent4 3 5 3 4 4" xfId="41456"/>
    <cellStyle name="40% - Accent4 3 5 3 4 5" xfId="41457"/>
    <cellStyle name="40% - Accent4 3 5 3 4 6" xfId="41458"/>
    <cellStyle name="40% - Accent4 3 5 3 4 7" xfId="41459"/>
    <cellStyle name="40% - Accent4 3 5 3 5" xfId="41460"/>
    <cellStyle name="40% - Accent4 3 5 3 5 2" xfId="41461"/>
    <cellStyle name="40% - Accent4 3 5 3 5 2 2" xfId="41462"/>
    <cellStyle name="40% - Accent4 3 5 3 5 3" xfId="41463"/>
    <cellStyle name="40% - Accent4 3 5 3 5 3 2" xfId="41464"/>
    <cellStyle name="40% - Accent4 3 5 3 5 4" xfId="41465"/>
    <cellStyle name="40% - Accent4 3 5 3 5 5" xfId="41466"/>
    <cellStyle name="40% - Accent4 3 5 3 5 6" xfId="41467"/>
    <cellStyle name="40% - Accent4 3 5 3 5 7" xfId="41468"/>
    <cellStyle name="40% - Accent4 3 5 3 6" xfId="41469"/>
    <cellStyle name="40% - Accent4 3 5 3 6 2" xfId="41470"/>
    <cellStyle name="40% - Accent4 3 5 3 7" xfId="41471"/>
    <cellStyle name="40% - Accent4 3 5 3 7 2" xfId="41472"/>
    <cellStyle name="40% - Accent4 3 5 3 8" xfId="41473"/>
    <cellStyle name="40% - Accent4 3 5 3 9" xfId="41474"/>
    <cellStyle name="40% - Accent4 3 5 4" xfId="41475"/>
    <cellStyle name="40% - Accent4 3 5 4 10" xfId="41476"/>
    <cellStyle name="40% - Accent4 3 5 4 2" xfId="41477"/>
    <cellStyle name="40% - Accent4 3 5 4 2 2" xfId="41478"/>
    <cellStyle name="40% - Accent4 3 5 4 2 2 2" xfId="41479"/>
    <cellStyle name="40% - Accent4 3 5 4 2 3" xfId="41480"/>
    <cellStyle name="40% - Accent4 3 5 4 2 3 2" xfId="41481"/>
    <cellStyle name="40% - Accent4 3 5 4 2 4" xfId="41482"/>
    <cellStyle name="40% - Accent4 3 5 4 2 5" xfId="41483"/>
    <cellStyle name="40% - Accent4 3 5 4 2 6" xfId="41484"/>
    <cellStyle name="40% - Accent4 3 5 4 2 7" xfId="41485"/>
    <cellStyle name="40% - Accent4 3 5 4 3" xfId="41486"/>
    <cellStyle name="40% - Accent4 3 5 4 3 2" xfId="41487"/>
    <cellStyle name="40% - Accent4 3 5 4 3 2 2" xfId="41488"/>
    <cellStyle name="40% - Accent4 3 5 4 3 3" xfId="41489"/>
    <cellStyle name="40% - Accent4 3 5 4 3 3 2" xfId="41490"/>
    <cellStyle name="40% - Accent4 3 5 4 3 4" xfId="41491"/>
    <cellStyle name="40% - Accent4 3 5 4 3 5" xfId="41492"/>
    <cellStyle name="40% - Accent4 3 5 4 3 6" xfId="41493"/>
    <cellStyle name="40% - Accent4 3 5 4 3 7" xfId="41494"/>
    <cellStyle name="40% - Accent4 3 5 4 4" xfId="41495"/>
    <cellStyle name="40% - Accent4 3 5 4 4 2" xfId="41496"/>
    <cellStyle name="40% - Accent4 3 5 4 4 2 2" xfId="41497"/>
    <cellStyle name="40% - Accent4 3 5 4 4 3" xfId="41498"/>
    <cellStyle name="40% - Accent4 3 5 4 4 3 2" xfId="41499"/>
    <cellStyle name="40% - Accent4 3 5 4 4 4" xfId="41500"/>
    <cellStyle name="40% - Accent4 3 5 4 4 5" xfId="41501"/>
    <cellStyle name="40% - Accent4 3 5 4 4 6" xfId="41502"/>
    <cellStyle name="40% - Accent4 3 5 4 4 7" xfId="41503"/>
    <cellStyle name="40% - Accent4 3 5 4 5" xfId="41504"/>
    <cellStyle name="40% - Accent4 3 5 4 5 2" xfId="41505"/>
    <cellStyle name="40% - Accent4 3 5 4 6" xfId="41506"/>
    <cellStyle name="40% - Accent4 3 5 4 6 2" xfId="41507"/>
    <cellStyle name="40% - Accent4 3 5 4 7" xfId="41508"/>
    <cellStyle name="40% - Accent4 3 5 4 8" xfId="41509"/>
    <cellStyle name="40% - Accent4 3 5 4 9" xfId="41510"/>
    <cellStyle name="40% - Accent4 3 5 5" xfId="41511"/>
    <cellStyle name="40% - Accent4 3 5 5 2" xfId="41512"/>
    <cellStyle name="40% - Accent4 3 5 5 2 2" xfId="41513"/>
    <cellStyle name="40% - Accent4 3 5 5 3" xfId="41514"/>
    <cellStyle name="40% - Accent4 3 5 5 3 2" xfId="41515"/>
    <cellStyle name="40% - Accent4 3 5 5 4" xfId="41516"/>
    <cellStyle name="40% - Accent4 3 5 5 5" xfId="41517"/>
    <cellStyle name="40% - Accent4 3 5 5 6" xfId="41518"/>
    <cellStyle name="40% - Accent4 3 5 5 7" xfId="41519"/>
    <cellStyle name="40% - Accent4 3 5 6" xfId="41520"/>
    <cellStyle name="40% - Accent4 3 5 6 2" xfId="41521"/>
    <cellStyle name="40% - Accent4 3 5 6 2 2" xfId="41522"/>
    <cellStyle name="40% - Accent4 3 5 6 3" xfId="41523"/>
    <cellStyle name="40% - Accent4 3 5 6 3 2" xfId="41524"/>
    <cellStyle name="40% - Accent4 3 5 6 4" xfId="41525"/>
    <cellStyle name="40% - Accent4 3 5 6 5" xfId="41526"/>
    <cellStyle name="40% - Accent4 3 5 6 6" xfId="41527"/>
    <cellStyle name="40% - Accent4 3 5 6 7" xfId="41528"/>
    <cellStyle name="40% - Accent4 3 5 7" xfId="41529"/>
    <cellStyle name="40% - Accent4 3 5 7 2" xfId="41530"/>
    <cellStyle name="40% - Accent4 3 5 7 2 2" xfId="41531"/>
    <cellStyle name="40% - Accent4 3 5 7 3" xfId="41532"/>
    <cellStyle name="40% - Accent4 3 5 7 3 2" xfId="41533"/>
    <cellStyle name="40% - Accent4 3 5 7 4" xfId="41534"/>
    <cellStyle name="40% - Accent4 3 5 7 5" xfId="41535"/>
    <cellStyle name="40% - Accent4 3 5 7 6" xfId="41536"/>
    <cellStyle name="40% - Accent4 3 5 7 7" xfId="41537"/>
    <cellStyle name="40% - Accent4 3 5 8" xfId="41538"/>
    <cellStyle name="40% - Accent4 3 5 8 2" xfId="41539"/>
    <cellStyle name="40% - Accent4 3 5 9" xfId="41540"/>
    <cellStyle name="40% - Accent4 3 5 9 2" xfId="41541"/>
    <cellStyle name="40% - Accent4 3 6" xfId="41542"/>
    <cellStyle name="40% - Accent4 3 6 10" xfId="41543"/>
    <cellStyle name="40% - Accent4 3 6 11" xfId="41544"/>
    <cellStyle name="40% - Accent4 3 6 12" xfId="41545"/>
    <cellStyle name="40% - Accent4 3 6 13" xfId="41546"/>
    <cellStyle name="40% - Accent4 3 6 2" xfId="41547"/>
    <cellStyle name="40% - Accent4 3 6 2 10" xfId="41548"/>
    <cellStyle name="40% - Accent4 3 6 2 11" xfId="41549"/>
    <cellStyle name="40% - Accent4 3 6 2 2" xfId="41550"/>
    <cellStyle name="40% - Accent4 3 6 2 2 10" xfId="41551"/>
    <cellStyle name="40% - Accent4 3 6 2 2 2" xfId="41552"/>
    <cellStyle name="40% - Accent4 3 6 2 2 2 2" xfId="41553"/>
    <cellStyle name="40% - Accent4 3 6 2 2 2 2 2" xfId="41554"/>
    <cellStyle name="40% - Accent4 3 6 2 2 2 3" xfId="41555"/>
    <cellStyle name="40% - Accent4 3 6 2 2 2 3 2" xfId="41556"/>
    <cellStyle name="40% - Accent4 3 6 2 2 2 4" xfId="41557"/>
    <cellStyle name="40% - Accent4 3 6 2 2 2 5" xfId="41558"/>
    <cellStyle name="40% - Accent4 3 6 2 2 2 6" xfId="41559"/>
    <cellStyle name="40% - Accent4 3 6 2 2 2 7" xfId="41560"/>
    <cellStyle name="40% - Accent4 3 6 2 2 3" xfId="41561"/>
    <cellStyle name="40% - Accent4 3 6 2 2 3 2" xfId="41562"/>
    <cellStyle name="40% - Accent4 3 6 2 2 3 2 2" xfId="41563"/>
    <cellStyle name="40% - Accent4 3 6 2 2 3 3" xfId="41564"/>
    <cellStyle name="40% - Accent4 3 6 2 2 3 3 2" xfId="41565"/>
    <cellStyle name="40% - Accent4 3 6 2 2 3 4" xfId="41566"/>
    <cellStyle name="40% - Accent4 3 6 2 2 3 5" xfId="41567"/>
    <cellStyle name="40% - Accent4 3 6 2 2 3 6" xfId="41568"/>
    <cellStyle name="40% - Accent4 3 6 2 2 3 7" xfId="41569"/>
    <cellStyle name="40% - Accent4 3 6 2 2 4" xfId="41570"/>
    <cellStyle name="40% - Accent4 3 6 2 2 4 2" xfId="41571"/>
    <cellStyle name="40% - Accent4 3 6 2 2 4 2 2" xfId="41572"/>
    <cellStyle name="40% - Accent4 3 6 2 2 4 3" xfId="41573"/>
    <cellStyle name="40% - Accent4 3 6 2 2 4 3 2" xfId="41574"/>
    <cellStyle name="40% - Accent4 3 6 2 2 4 4" xfId="41575"/>
    <cellStyle name="40% - Accent4 3 6 2 2 4 5" xfId="41576"/>
    <cellStyle name="40% - Accent4 3 6 2 2 4 6" xfId="41577"/>
    <cellStyle name="40% - Accent4 3 6 2 2 4 7" xfId="41578"/>
    <cellStyle name="40% - Accent4 3 6 2 2 5" xfId="41579"/>
    <cellStyle name="40% - Accent4 3 6 2 2 5 2" xfId="41580"/>
    <cellStyle name="40% - Accent4 3 6 2 2 6" xfId="41581"/>
    <cellStyle name="40% - Accent4 3 6 2 2 6 2" xfId="41582"/>
    <cellStyle name="40% - Accent4 3 6 2 2 7" xfId="41583"/>
    <cellStyle name="40% - Accent4 3 6 2 2 8" xfId="41584"/>
    <cellStyle name="40% - Accent4 3 6 2 2 9" xfId="41585"/>
    <cellStyle name="40% - Accent4 3 6 2 3" xfId="41586"/>
    <cellStyle name="40% - Accent4 3 6 2 3 2" xfId="41587"/>
    <cellStyle name="40% - Accent4 3 6 2 3 2 2" xfId="41588"/>
    <cellStyle name="40% - Accent4 3 6 2 3 3" xfId="41589"/>
    <cellStyle name="40% - Accent4 3 6 2 3 3 2" xfId="41590"/>
    <cellStyle name="40% - Accent4 3 6 2 3 4" xfId="41591"/>
    <cellStyle name="40% - Accent4 3 6 2 3 5" xfId="41592"/>
    <cellStyle name="40% - Accent4 3 6 2 3 6" xfId="41593"/>
    <cellStyle name="40% - Accent4 3 6 2 3 7" xfId="41594"/>
    <cellStyle name="40% - Accent4 3 6 2 4" xfId="41595"/>
    <cellStyle name="40% - Accent4 3 6 2 4 2" xfId="41596"/>
    <cellStyle name="40% - Accent4 3 6 2 4 2 2" xfId="41597"/>
    <cellStyle name="40% - Accent4 3 6 2 4 3" xfId="41598"/>
    <cellStyle name="40% - Accent4 3 6 2 4 3 2" xfId="41599"/>
    <cellStyle name="40% - Accent4 3 6 2 4 4" xfId="41600"/>
    <cellStyle name="40% - Accent4 3 6 2 4 5" xfId="41601"/>
    <cellStyle name="40% - Accent4 3 6 2 4 6" xfId="41602"/>
    <cellStyle name="40% - Accent4 3 6 2 4 7" xfId="41603"/>
    <cellStyle name="40% - Accent4 3 6 2 5" xfId="41604"/>
    <cellStyle name="40% - Accent4 3 6 2 5 2" xfId="41605"/>
    <cellStyle name="40% - Accent4 3 6 2 5 2 2" xfId="41606"/>
    <cellStyle name="40% - Accent4 3 6 2 5 3" xfId="41607"/>
    <cellStyle name="40% - Accent4 3 6 2 5 3 2" xfId="41608"/>
    <cellStyle name="40% - Accent4 3 6 2 5 4" xfId="41609"/>
    <cellStyle name="40% - Accent4 3 6 2 5 5" xfId="41610"/>
    <cellStyle name="40% - Accent4 3 6 2 5 6" xfId="41611"/>
    <cellStyle name="40% - Accent4 3 6 2 5 7" xfId="41612"/>
    <cellStyle name="40% - Accent4 3 6 2 6" xfId="41613"/>
    <cellStyle name="40% - Accent4 3 6 2 6 2" xfId="41614"/>
    <cellStyle name="40% - Accent4 3 6 2 7" xfId="41615"/>
    <cellStyle name="40% - Accent4 3 6 2 7 2" xfId="41616"/>
    <cellStyle name="40% - Accent4 3 6 2 8" xfId="41617"/>
    <cellStyle name="40% - Accent4 3 6 2 9" xfId="41618"/>
    <cellStyle name="40% - Accent4 3 6 3" xfId="41619"/>
    <cellStyle name="40% - Accent4 3 6 3 10" xfId="41620"/>
    <cellStyle name="40% - Accent4 3 6 3 11" xfId="41621"/>
    <cellStyle name="40% - Accent4 3 6 3 2" xfId="41622"/>
    <cellStyle name="40% - Accent4 3 6 3 2 10" xfId="41623"/>
    <cellStyle name="40% - Accent4 3 6 3 2 2" xfId="41624"/>
    <cellStyle name="40% - Accent4 3 6 3 2 2 2" xfId="41625"/>
    <cellStyle name="40% - Accent4 3 6 3 2 2 2 2" xfId="41626"/>
    <cellStyle name="40% - Accent4 3 6 3 2 2 3" xfId="41627"/>
    <cellStyle name="40% - Accent4 3 6 3 2 2 3 2" xfId="41628"/>
    <cellStyle name="40% - Accent4 3 6 3 2 2 4" xfId="41629"/>
    <cellStyle name="40% - Accent4 3 6 3 2 2 5" xfId="41630"/>
    <cellStyle name="40% - Accent4 3 6 3 2 2 6" xfId="41631"/>
    <cellStyle name="40% - Accent4 3 6 3 2 2 7" xfId="41632"/>
    <cellStyle name="40% - Accent4 3 6 3 2 3" xfId="41633"/>
    <cellStyle name="40% - Accent4 3 6 3 2 3 2" xfId="41634"/>
    <cellStyle name="40% - Accent4 3 6 3 2 3 2 2" xfId="41635"/>
    <cellStyle name="40% - Accent4 3 6 3 2 3 3" xfId="41636"/>
    <cellStyle name="40% - Accent4 3 6 3 2 3 3 2" xfId="41637"/>
    <cellStyle name="40% - Accent4 3 6 3 2 3 4" xfId="41638"/>
    <cellStyle name="40% - Accent4 3 6 3 2 3 5" xfId="41639"/>
    <cellStyle name="40% - Accent4 3 6 3 2 3 6" xfId="41640"/>
    <cellStyle name="40% - Accent4 3 6 3 2 3 7" xfId="41641"/>
    <cellStyle name="40% - Accent4 3 6 3 2 4" xfId="41642"/>
    <cellStyle name="40% - Accent4 3 6 3 2 4 2" xfId="41643"/>
    <cellStyle name="40% - Accent4 3 6 3 2 4 2 2" xfId="41644"/>
    <cellStyle name="40% - Accent4 3 6 3 2 4 3" xfId="41645"/>
    <cellStyle name="40% - Accent4 3 6 3 2 4 3 2" xfId="41646"/>
    <cellStyle name="40% - Accent4 3 6 3 2 4 4" xfId="41647"/>
    <cellStyle name="40% - Accent4 3 6 3 2 4 5" xfId="41648"/>
    <cellStyle name="40% - Accent4 3 6 3 2 4 6" xfId="41649"/>
    <cellStyle name="40% - Accent4 3 6 3 2 4 7" xfId="41650"/>
    <cellStyle name="40% - Accent4 3 6 3 2 5" xfId="41651"/>
    <cellStyle name="40% - Accent4 3 6 3 2 5 2" xfId="41652"/>
    <cellStyle name="40% - Accent4 3 6 3 2 6" xfId="41653"/>
    <cellStyle name="40% - Accent4 3 6 3 2 6 2" xfId="41654"/>
    <cellStyle name="40% - Accent4 3 6 3 2 7" xfId="41655"/>
    <cellStyle name="40% - Accent4 3 6 3 2 8" xfId="41656"/>
    <cellStyle name="40% - Accent4 3 6 3 2 9" xfId="41657"/>
    <cellStyle name="40% - Accent4 3 6 3 3" xfId="41658"/>
    <cellStyle name="40% - Accent4 3 6 3 3 2" xfId="41659"/>
    <cellStyle name="40% - Accent4 3 6 3 3 2 2" xfId="41660"/>
    <cellStyle name="40% - Accent4 3 6 3 3 3" xfId="41661"/>
    <cellStyle name="40% - Accent4 3 6 3 3 3 2" xfId="41662"/>
    <cellStyle name="40% - Accent4 3 6 3 3 4" xfId="41663"/>
    <cellStyle name="40% - Accent4 3 6 3 3 5" xfId="41664"/>
    <cellStyle name="40% - Accent4 3 6 3 3 6" xfId="41665"/>
    <cellStyle name="40% - Accent4 3 6 3 3 7" xfId="41666"/>
    <cellStyle name="40% - Accent4 3 6 3 4" xfId="41667"/>
    <cellStyle name="40% - Accent4 3 6 3 4 2" xfId="41668"/>
    <cellStyle name="40% - Accent4 3 6 3 4 2 2" xfId="41669"/>
    <cellStyle name="40% - Accent4 3 6 3 4 3" xfId="41670"/>
    <cellStyle name="40% - Accent4 3 6 3 4 3 2" xfId="41671"/>
    <cellStyle name="40% - Accent4 3 6 3 4 4" xfId="41672"/>
    <cellStyle name="40% - Accent4 3 6 3 4 5" xfId="41673"/>
    <cellStyle name="40% - Accent4 3 6 3 4 6" xfId="41674"/>
    <cellStyle name="40% - Accent4 3 6 3 4 7" xfId="41675"/>
    <cellStyle name="40% - Accent4 3 6 3 5" xfId="41676"/>
    <cellStyle name="40% - Accent4 3 6 3 5 2" xfId="41677"/>
    <cellStyle name="40% - Accent4 3 6 3 5 2 2" xfId="41678"/>
    <cellStyle name="40% - Accent4 3 6 3 5 3" xfId="41679"/>
    <cellStyle name="40% - Accent4 3 6 3 5 3 2" xfId="41680"/>
    <cellStyle name="40% - Accent4 3 6 3 5 4" xfId="41681"/>
    <cellStyle name="40% - Accent4 3 6 3 5 5" xfId="41682"/>
    <cellStyle name="40% - Accent4 3 6 3 5 6" xfId="41683"/>
    <cellStyle name="40% - Accent4 3 6 3 5 7" xfId="41684"/>
    <cellStyle name="40% - Accent4 3 6 3 6" xfId="41685"/>
    <cellStyle name="40% - Accent4 3 6 3 6 2" xfId="41686"/>
    <cellStyle name="40% - Accent4 3 6 3 7" xfId="41687"/>
    <cellStyle name="40% - Accent4 3 6 3 7 2" xfId="41688"/>
    <cellStyle name="40% - Accent4 3 6 3 8" xfId="41689"/>
    <cellStyle name="40% - Accent4 3 6 3 9" xfId="41690"/>
    <cellStyle name="40% - Accent4 3 6 4" xfId="41691"/>
    <cellStyle name="40% - Accent4 3 6 4 10" xfId="41692"/>
    <cellStyle name="40% - Accent4 3 6 4 2" xfId="41693"/>
    <cellStyle name="40% - Accent4 3 6 4 2 2" xfId="41694"/>
    <cellStyle name="40% - Accent4 3 6 4 2 2 2" xfId="41695"/>
    <cellStyle name="40% - Accent4 3 6 4 2 3" xfId="41696"/>
    <cellStyle name="40% - Accent4 3 6 4 2 3 2" xfId="41697"/>
    <cellStyle name="40% - Accent4 3 6 4 2 4" xfId="41698"/>
    <cellStyle name="40% - Accent4 3 6 4 2 5" xfId="41699"/>
    <cellStyle name="40% - Accent4 3 6 4 2 6" xfId="41700"/>
    <cellStyle name="40% - Accent4 3 6 4 2 7" xfId="41701"/>
    <cellStyle name="40% - Accent4 3 6 4 3" xfId="41702"/>
    <cellStyle name="40% - Accent4 3 6 4 3 2" xfId="41703"/>
    <cellStyle name="40% - Accent4 3 6 4 3 2 2" xfId="41704"/>
    <cellStyle name="40% - Accent4 3 6 4 3 3" xfId="41705"/>
    <cellStyle name="40% - Accent4 3 6 4 3 3 2" xfId="41706"/>
    <cellStyle name="40% - Accent4 3 6 4 3 4" xfId="41707"/>
    <cellStyle name="40% - Accent4 3 6 4 3 5" xfId="41708"/>
    <cellStyle name="40% - Accent4 3 6 4 3 6" xfId="41709"/>
    <cellStyle name="40% - Accent4 3 6 4 3 7" xfId="41710"/>
    <cellStyle name="40% - Accent4 3 6 4 4" xfId="41711"/>
    <cellStyle name="40% - Accent4 3 6 4 4 2" xfId="41712"/>
    <cellStyle name="40% - Accent4 3 6 4 4 2 2" xfId="41713"/>
    <cellStyle name="40% - Accent4 3 6 4 4 3" xfId="41714"/>
    <cellStyle name="40% - Accent4 3 6 4 4 3 2" xfId="41715"/>
    <cellStyle name="40% - Accent4 3 6 4 4 4" xfId="41716"/>
    <cellStyle name="40% - Accent4 3 6 4 4 5" xfId="41717"/>
    <cellStyle name="40% - Accent4 3 6 4 4 6" xfId="41718"/>
    <cellStyle name="40% - Accent4 3 6 4 4 7" xfId="41719"/>
    <cellStyle name="40% - Accent4 3 6 4 5" xfId="41720"/>
    <cellStyle name="40% - Accent4 3 6 4 5 2" xfId="41721"/>
    <cellStyle name="40% - Accent4 3 6 4 6" xfId="41722"/>
    <cellStyle name="40% - Accent4 3 6 4 6 2" xfId="41723"/>
    <cellStyle name="40% - Accent4 3 6 4 7" xfId="41724"/>
    <cellStyle name="40% - Accent4 3 6 4 8" xfId="41725"/>
    <cellStyle name="40% - Accent4 3 6 4 9" xfId="41726"/>
    <cellStyle name="40% - Accent4 3 6 5" xfId="41727"/>
    <cellStyle name="40% - Accent4 3 6 5 2" xfId="41728"/>
    <cellStyle name="40% - Accent4 3 6 5 2 2" xfId="41729"/>
    <cellStyle name="40% - Accent4 3 6 5 3" xfId="41730"/>
    <cellStyle name="40% - Accent4 3 6 5 3 2" xfId="41731"/>
    <cellStyle name="40% - Accent4 3 6 5 4" xfId="41732"/>
    <cellStyle name="40% - Accent4 3 6 5 5" xfId="41733"/>
    <cellStyle name="40% - Accent4 3 6 5 6" xfId="41734"/>
    <cellStyle name="40% - Accent4 3 6 5 7" xfId="41735"/>
    <cellStyle name="40% - Accent4 3 6 6" xfId="41736"/>
    <cellStyle name="40% - Accent4 3 6 6 2" xfId="41737"/>
    <cellStyle name="40% - Accent4 3 6 6 2 2" xfId="41738"/>
    <cellStyle name="40% - Accent4 3 6 6 3" xfId="41739"/>
    <cellStyle name="40% - Accent4 3 6 6 3 2" xfId="41740"/>
    <cellStyle name="40% - Accent4 3 6 6 4" xfId="41741"/>
    <cellStyle name="40% - Accent4 3 6 6 5" xfId="41742"/>
    <cellStyle name="40% - Accent4 3 6 6 6" xfId="41743"/>
    <cellStyle name="40% - Accent4 3 6 6 7" xfId="41744"/>
    <cellStyle name="40% - Accent4 3 6 7" xfId="41745"/>
    <cellStyle name="40% - Accent4 3 6 7 2" xfId="41746"/>
    <cellStyle name="40% - Accent4 3 6 7 2 2" xfId="41747"/>
    <cellStyle name="40% - Accent4 3 6 7 3" xfId="41748"/>
    <cellStyle name="40% - Accent4 3 6 7 3 2" xfId="41749"/>
    <cellStyle name="40% - Accent4 3 6 7 4" xfId="41750"/>
    <cellStyle name="40% - Accent4 3 6 7 5" xfId="41751"/>
    <cellStyle name="40% - Accent4 3 6 7 6" xfId="41752"/>
    <cellStyle name="40% - Accent4 3 6 7 7" xfId="41753"/>
    <cellStyle name="40% - Accent4 3 6 8" xfId="41754"/>
    <cellStyle name="40% - Accent4 3 6 8 2" xfId="41755"/>
    <cellStyle name="40% - Accent4 3 6 9" xfId="41756"/>
    <cellStyle name="40% - Accent4 3 6 9 2" xfId="41757"/>
    <cellStyle name="40% - Accent4 3 7" xfId="41758"/>
    <cellStyle name="40% - Accent4 3 7 10" xfId="41759"/>
    <cellStyle name="40% - Accent4 3 7 11" xfId="41760"/>
    <cellStyle name="40% - Accent4 3 7 2" xfId="41761"/>
    <cellStyle name="40% - Accent4 3 7 2 10" xfId="41762"/>
    <cellStyle name="40% - Accent4 3 7 2 2" xfId="41763"/>
    <cellStyle name="40% - Accent4 3 7 2 2 2" xfId="41764"/>
    <cellStyle name="40% - Accent4 3 7 2 2 2 2" xfId="41765"/>
    <cellStyle name="40% - Accent4 3 7 2 2 3" xfId="41766"/>
    <cellStyle name="40% - Accent4 3 7 2 2 3 2" xfId="41767"/>
    <cellStyle name="40% - Accent4 3 7 2 2 4" xfId="41768"/>
    <cellStyle name="40% - Accent4 3 7 2 2 5" xfId="41769"/>
    <cellStyle name="40% - Accent4 3 7 2 2 6" xfId="41770"/>
    <cellStyle name="40% - Accent4 3 7 2 2 7" xfId="41771"/>
    <cellStyle name="40% - Accent4 3 7 2 3" xfId="41772"/>
    <cellStyle name="40% - Accent4 3 7 2 3 2" xfId="41773"/>
    <cellStyle name="40% - Accent4 3 7 2 3 2 2" xfId="41774"/>
    <cellStyle name="40% - Accent4 3 7 2 3 3" xfId="41775"/>
    <cellStyle name="40% - Accent4 3 7 2 3 3 2" xfId="41776"/>
    <cellStyle name="40% - Accent4 3 7 2 3 4" xfId="41777"/>
    <cellStyle name="40% - Accent4 3 7 2 3 5" xfId="41778"/>
    <cellStyle name="40% - Accent4 3 7 2 3 6" xfId="41779"/>
    <cellStyle name="40% - Accent4 3 7 2 3 7" xfId="41780"/>
    <cellStyle name="40% - Accent4 3 7 2 4" xfId="41781"/>
    <cellStyle name="40% - Accent4 3 7 2 4 2" xfId="41782"/>
    <cellStyle name="40% - Accent4 3 7 2 4 2 2" xfId="41783"/>
    <cellStyle name="40% - Accent4 3 7 2 4 3" xfId="41784"/>
    <cellStyle name="40% - Accent4 3 7 2 4 3 2" xfId="41785"/>
    <cellStyle name="40% - Accent4 3 7 2 4 4" xfId="41786"/>
    <cellStyle name="40% - Accent4 3 7 2 4 5" xfId="41787"/>
    <cellStyle name="40% - Accent4 3 7 2 4 6" xfId="41788"/>
    <cellStyle name="40% - Accent4 3 7 2 4 7" xfId="41789"/>
    <cellStyle name="40% - Accent4 3 7 2 5" xfId="41790"/>
    <cellStyle name="40% - Accent4 3 7 2 5 2" xfId="41791"/>
    <cellStyle name="40% - Accent4 3 7 2 6" xfId="41792"/>
    <cellStyle name="40% - Accent4 3 7 2 6 2" xfId="41793"/>
    <cellStyle name="40% - Accent4 3 7 2 7" xfId="41794"/>
    <cellStyle name="40% - Accent4 3 7 2 8" xfId="41795"/>
    <cellStyle name="40% - Accent4 3 7 2 9" xfId="41796"/>
    <cellStyle name="40% - Accent4 3 7 3" xfId="41797"/>
    <cellStyle name="40% - Accent4 3 7 3 2" xfId="41798"/>
    <cellStyle name="40% - Accent4 3 7 3 2 2" xfId="41799"/>
    <cellStyle name="40% - Accent4 3 7 3 3" xfId="41800"/>
    <cellStyle name="40% - Accent4 3 7 3 3 2" xfId="41801"/>
    <cellStyle name="40% - Accent4 3 7 3 4" xfId="41802"/>
    <cellStyle name="40% - Accent4 3 7 3 5" xfId="41803"/>
    <cellStyle name="40% - Accent4 3 7 3 6" xfId="41804"/>
    <cellStyle name="40% - Accent4 3 7 3 7" xfId="41805"/>
    <cellStyle name="40% - Accent4 3 7 4" xfId="41806"/>
    <cellStyle name="40% - Accent4 3 7 4 2" xfId="41807"/>
    <cellStyle name="40% - Accent4 3 7 4 2 2" xfId="41808"/>
    <cellStyle name="40% - Accent4 3 7 4 3" xfId="41809"/>
    <cellStyle name="40% - Accent4 3 7 4 3 2" xfId="41810"/>
    <cellStyle name="40% - Accent4 3 7 4 4" xfId="41811"/>
    <cellStyle name="40% - Accent4 3 7 4 5" xfId="41812"/>
    <cellStyle name="40% - Accent4 3 7 4 6" xfId="41813"/>
    <cellStyle name="40% - Accent4 3 7 4 7" xfId="41814"/>
    <cellStyle name="40% - Accent4 3 7 5" xfId="41815"/>
    <cellStyle name="40% - Accent4 3 7 5 2" xfId="41816"/>
    <cellStyle name="40% - Accent4 3 7 5 2 2" xfId="41817"/>
    <cellStyle name="40% - Accent4 3 7 5 3" xfId="41818"/>
    <cellStyle name="40% - Accent4 3 7 5 3 2" xfId="41819"/>
    <cellStyle name="40% - Accent4 3 7 5 4" xfId="41820"/>
    <cellStyle name="40% - Accent4 3 7 5 5" xfId="41821"/>
    <cellStyle name="40% - Accent4 3 7 5 6" xfId="41822"/>
    <cellStyle name="40% - Accent4 3 7 5 7" xfId="41823"/>
    <cellStyle name="40% - Accent4 3 7 6" xfId="41824"/>
    <cellStyle name="40% - Accent4 3 7 6 2" xfId="41825"/>
    <cellStyle name="40% - Accent4 3 7 7" xfId="41826"/>
    <cellStyle name="40% - Accent4 3 7 7 2" xfId="41827"/>
    <cellStyle name="40% - Accent4 3 7 8" xfId="41828"/>
    <cellStyle name="40% - Accent4 3 7 9" xfId="41829"/>
    <cellStyle name="40% - Accent4 3 8" xfId="41830"/>
    <cellStyle name="40% - Accent4 3 8 10" xfId="41831"/>
    <cellStyle name="40% - Accent4 3 8 11" xfId="41832"/>
    <cellStyle name="40% - Accent4 3 8 2" xfId="41833"/>
    <cellStyle name="40% - Accent4 3 8 2 10" xfId="41834"/>
    <cellStyle name="40% - Accent4 3 8 2 2" xfId="41835"/>
    <cellStyle name="40% - Accent4 3 8 2 2 2" xfId="41836"/>
    <cellStyle name="40% - Accent4 3 8 2 2 2 2" xfId="41837"/>
    <cellStyle name="40% - Accent4 3 8 2 2 3" xfId="41838"/>
    <cellStyle name="40% - Accent4 3 8 2 2 3 2" xfId="41839"/>
    <cellStyle name="40% - Accent4 3 8 2 2 4" xfId="41840"/>
    <cellStyle name="40% - Accent4 3 8 2 2 5" xfId="41841"/>
    <cellStyle name="40% - Accent4 3 8 2 2 6" xfId="41842"/>
    <cellStyle name="40% - Accent4 3 8 2 2 7" xfId="41843"/>
    <cellStyle name="40% - Accent4 3 8 2 3" xfId="41844"/>
    <cellStyle name="40% - Accent4 3 8 2 3 2" xfId="41845"/>
    <cellStyle name="40% - Accent4 3 8 2 3 2 2" xfId="41846"/>
    <cellStyle name="40% - Accent4 3 8 2 3 3" xfId="41847"/>
    <cellStyle name="40% - Accent4 3 8 2 3 3 2" xfId="41848"/>
    <cellStyle name="40% - Accent4 3 8 2 3 4" xfId="41849"/>
    <cellStyle name="40% - Accent4 3 8 2 3 5" xfId="41850"/>
    <cellStyle name="40% - Accent4 3 8 2 3 6" xfId="41851"/>
    <cellStyle name="40% - Accent4 3 8 2 3 7" xfId="41852"/>
    <cellStyle name="40% - Accent4 3 8 2 4" xfId="41853"/>
    <cellStyle name="40% - Accent4 3 8 2 4 2" xfId="41854"/>
    <cellStyle name="40% - Accent4 3 8 2 4 2 2" xfId="41855"/>
    <cellStyle name="40% - Accent4 3 8 2 4 3" xfId="41856"/>
    <cellStyle name="40% - Accent4 3 8 2 4 3 2" xfId="41857"/>
    <cellStyle name="40% - Accent4 3 8 2 4 4" xfId="41858"/>
    <cellStyle name="40% - Accent4 3 8 2 4 5" xfId="41859"/>
    <cellStyle name="40% - Accent4 3 8 2 4 6" xfId="41860"/>
    <cellStyle name="40% - Accent4 3 8 2 4 7" xfId="41861"/>
    <cellStyle name="40% - Accent4 3 8 2 5" xfId="41862"/>
    <cellStyle name="40% - Accent4 3 8 2 5 2" xfId="41863"/>
    <cellStyle name="40% - Accent4 3 8 2 6" xfId="41864"/>
    <cellStyle name="40% - Accent4 3 8 2 6 2" xfId="41865"/>
    <cellStyle name="40% - Accent4 3 8 2 7" xfId="41866"/>
    <cellStyle name="40% - Accent4 3 8 2 8" xfId="41867"/>
    <cellStyle name="40% - Accent4 3 8 2 9" xfId="41868"/>
    <cellStyle name="40% - Accent4 3 8 3" xfId="41869"/>
    <cellStyle name="40% - Accent4 3 8 3 2" xfId="41870"/>
    <cellStyle name="40% - Accent4 3 8 3 2 2" xfId="41871"/>
    <cellStyle name="40% - Accent4 3 8 3 3" xfId="41872"/>
    <cellStyle name="40% - Accent4 3 8 3 3 2" xfId="41873"/>
    <cellStyle name="40% - Accent4 3 8 3 4" xfId="41874"/>
    <cellStyle name="40% - Accent4 3 8 3 5" xfId="41875"/>
    <cellStyle name="40% - Accent4 3 8 3 6" xfId="41876"/>
    <cellStyle name="40% - Accent4 3 8 3 7" xfId="41877"/>
    <cellStyle name="40% - Accent4 3 8 4" xfId="41878"/>
    <cellStyle name="40% - Accent4 3 8 4 2" xfId="41879"/>
    <cellStyle name="40% - Accent4 3 8 4 2 2" xfId="41880"/>
    <cellStyle name="40% - Accent4 3 8 4 3" xfId="41881"/>
    <cellStyle name="40% - Accent4 3 8 4 3 2" xfId="41882"/>
    <cellStyle name="40% - Accent4 3 8 4 4" xfId="41883"/>
    <cellStyle name="40% - Accent4 3 8 4 5" xfId="41884"/>
    <cellStyle name="40% - Accent4 3 8 4 6" xfId="41885"/>
    <cellStyle name="40% - Accent4 3 8 4 7" xfId="41886"/>
    <cellStyle name="40% - Accent4 3 8 5" xfId="41887"/>
    <cellStyle name="40% - Accent4 3 8 5 2" xfId="41888"/>
    <cellStyle name="40% - Accent4 3 8 5 2 2" xfId="41889"/>
    <cellStyle name="40% - Accent4 3 8 5 3" xfId="41890"/>
    <cellStyle name="40% - Accent4 3 8 5 3 2" xfId="41891"/>
    <cellStyle name="40% - Accent4 3 8 5 4" xfId="41892"/>
    <cellStyle name="40% - Accent4 3 8 5 5" xfId="41893"/>
    <cellStyle name="40% - Accent4 3 8 5 6" xfId="41894"/>
    <cellStyle name="40% - Accent4 3 8 5 7" xfId="41895"/>
    <cellStyle name="40% - Accent4 3 8 6" xfId="41896"/>
    <cellStyle name="40% - Accent4 3 8 6 2" xfId="41897"/>
    <cellStyle name="40% - Accent4 3 8 7" xfId="41898"/>
    <cellStyle name="40% - Accent4 3 8 7 2" xfId="41899"/>
    <cellStyle name="40% - Accent4 3 8 8" xfId="41900"/>
    <cellStyle name="40% - Accent4 3 8 9" xfId="41901"/>
    <cellStyle name="40% - Accent4 3 9" xfId="41902"/>
    <cellStyle name="40% - Accent4 3 9 10" xfId="41903"/>
    <cellStyle name="40% - Accent4 3 9 2" xfId="41904"/>
    <cellStyle name="40% - Accent4 3 9 2 2" xfId="41905"/>
    <cellStyle name="40% - Accent4 3 9 2 2 2" xfId="41906"/>
    <cellStyle name="40% - Accent4 3 9 2 3" xfId="41907"/>
    <cellStyle name="40% - Accent4 3 9 2 3 2" xfId="41908"/>
    <cellStyle name="40% - Accent4 3 9 2 4" xfId="41909"/>
    <cellStyle name="40% - Accent4 3 9 2 5" xfId="41910"/>
    <cellStyle name="40% - Accent4 3 9 2 6" xfId="41911"/>
    <cellStyle name="40% - Accent4 3 9 2 7" xfId="41912"/>
    <cellStyle name="40% - Accent4 3 9 3" xfId="41913"/>
    <cellStyle name="40% - Accent4 3 9 3 2" xfId="41914"/>
    <cellStyle name="40% - Accent4 3 9 3 2 2" xfId="41915"/>
    <cellStyle name="40% - Accent4 3 9 3 3" xfId="41916"/>
    <cellStyle name="40% - Accent4 3 9 3 3 2" xfId="41917"/>
    <cellStyle name="40% - Accent4 3 9 3 4" xfId="41918"/>
    <cellStyle name="40% - Accent4 3 9 3 5" xfId="41919"/>
    <cellStyle name="40% - Accent4 3 9 3 6" xfId="41920"/>
    <cellStyle name="40% - Accent4 3 9 3 7" xfId="41921"/>
    <cellStyle name="40% - Accent4 3 9 4" xfId="41922"/>
    <cellStyle name="40% - Accent4 3 9 4 2" xfId="41923"/>
    <cellStyle name="40% - Accent4 3 9 4 2 2" xfId="41924"/>
    <cellStyle name="40% - Accent4 3 9 4 3" xfId="41925"/>
    <cellStyle name="40% - Accent4 3 9 4 3 2" xfId="41926"/>
    <cellStyle name="40% - Accent4 3 9 4 4" xfId="41927"/>
    <cellStyle name="40% - Accent4 3 9 4 5" xfId="41928"/>
    <cellStyle name="40% - Accent4 3 9 4 6" xfId="41929"/>
    <cellStyle name="40% - Accent4 3 9 4 7" xfId="41930"/>
    <cellStyle name="40% - Accent4 3 9 5" xfId="41931"/>
    <cellStyle name="40% - Accent4 3 9 5 2" xfId="41932"/>
    <cellStyle name="40% - Accent4 3 9 6" xfId="41933"/>
    <cellStyle name="40% - Accent4 3 9 6 2" xfId="41934"/>
    <cellStyle name="40% - Accent4 3 9 7" xfId="41935"/>
    <cellStyle name="40% - Accent4 3 9 8" xfId="41936"/>
    <cellStyle name="40% - Accent4 3 9 9" xfId="41937"/>
    <cellStyle name="40% - Accent4 3_10-15-10-Stmt AU - Period I - Working 1 0" xfId="343"/>
    <cellStyle name="40% - Accent4 4" xfId="344"/>
    <cellStyle name="40% - Accent4 4 2" xfId="345"/>
    <cellStyle name="40% - Accent4 4 3" xfId="346"/>
    <cellStyle name="40% - Accent4 4_10-15-10-Stmt AU - Period I - Working 1 0" xfId="347"/>
    <cellStyle name="40% - Accent4 5" xfId="348"/>
    <cellStyle name="40% - Accent4 5 2" xfId="349"/>
    <cellStyle name="40% - Accent4 5 3" xfId="350"/>
    <cellStyle name="40% - Accent4 5_10-15-10-Stmt AU - Period I - Working 1 0" xfId="351"/>
    <cellStyle name="40% - Accent4 6" xfId="352"/>
    <cellStyle name="40% - Accent4 6 2" xfId="353"/>
    <cellStyle name="40% - Accent4 6 3" xfId="354"/>
    <cellStyle name="40% - Accent4 6_10-15-10-Stmt AU - Period I - Working 1 0" xfId="355"/>
    <cellStyle name="40% - Accent4 7" xfId="356"/>
    <cellStyle name="40% - Accent4 7 2" xfId="357"/>
    <cellStyle name="40% - Accent4 7 3" xfId="358"/>
    <cellStyle name="40% - Accent4 7_10-15-10-Stmt AU - Period I - Working 1 0" xfId="359"/>
    <cellStyle name="40% - Accent4 8" xfId="360"/>
    <cellStyle name="40% - Accent4 9" xfId="361"/>
    <cellStyle name="40% - Accent5 10" xfId="362"/>
    <cellStyle name="40% - Accent5 11" xfId="363"/>
    <cellStyle name="40% - Accent5 12" xfId="364"/>
    <cellStyle name="40% - Accent5 13" xfId="365"/>
    <cellStyle name="40% - Accent5 2" xfId="366"/>
    <cellStyle name="40% - Accent5 2 10" xfId="41938"/>
    <cellStyle name="40% - Accent5 2 10 2" xfId="41939"/>
    <cellStyle name="40% - Accent5 2 10 2 2" xfId="41940"/>
    <cellStyle name="40% - Accent5 2 10 3" xfId="41941"/>
    <cellStyle name="40% - Accent5 2 10 3 2" xfId="41942"/>
    <cellStyle name="40% - Accent5 2 10 4" xfId="41943"/>
    <cellStyle name="40% - Accent5 2 10 5" xfId="41944"/>
    <cellStyle name="40% - Accent5 2 10 6" xfId="41945"/>
    <cellStyle name="40% - Accent5 2 10 7" xfId="41946"/>
    <cellStyle name="40% - Accent5 2 11" xfId="41947"/>
    <cellStyle name="40% - Accent5 2 11 2" xfId="41948"/>
    <cellStyle name="40% - Accent5 2 11 2 2" xfId="41949"/>
    <cellStyle name="40% - Accent5 2 11 3" xfId="41950"/>
    <cellStyle name="40% - Accent5 2 11 3 2" xfId="41951"/>
    <cellStyle name="40% - Accent5 2 11 4" xfId="41952"/>
    <cellStyle name="40% - Accent5 2 11 5" xfId="41953"/>
    <cellStyle name="40% - Accent5 2 11 6" xfId="41954"/>
    <cellStyle name="40% - Accent5 2 11 7" xfId="41955"/>
    <cellStyle name="40% - Accent5 2 12" xfId="41956"/>
    <cellStyle name="40% - Accent5 2 12 2" xfId="41957"/>
    <cellStyle name="40% - Accent5 2 12 2 2" xfId="41958"/>
    <cellStyle name="40% - Accent5 2 12 3" xfId="41959"/>
    <cellStyle name="40% - Accent5 2 12 3 2" xfId="41960"/>
    <cellStyle name="40% - Accent5 2 12 4" xfId="41961"/>
    <cellStyle name="40% - Accent5 2 12 5" xfId="41962"/>
    <cellStyle name="40% - Accent5 2 12 6" xfId="41963"/>
    <cellStyle name="40% - Accent5 2 12 7" xfId="41964"/>
    <cellStyle name="40% - Accent5 2 13" xfId="41965"/>
    <cellStyle name="40% - Accent5 2 13 2" xfId="41966"/>
    <cellStyle name="40% - Accent5 2 14" xfId="41967"/>
    <cellStyle name="40% - Accent5 2 14 2" xfId="41968"/>
    <cellStyle name="40% - Accent5 2 15" xfId="41969"/>
    <cellStyle name="40% - Accent5 2 16" xfId="41970"/>
    <cellStyle name="40% - Accent5 2 17" xfId="41971"/>
    <cellStyle name="40% - Accent5 2 18" xfId="41972"/>
    <cellStyle name="40% - Accent5 2 2" xfId="367"/>
    <cellStyle name="40% - Accent5 2 2 10" xfId="41973"/>
    <cellStyle name="40% - Accent5 2 2 11" xfId="41974"/>
    <cellStyle name="40% - Accent5 2 2 12" xfId="41975"/>
    <cellStyle name="40% - Accent5 2 2 13" xfId="41976"/>
    <cellStyle name="40% - Accent5 2 2 2" xfId="41977"/>
    <cellStyle name="40% - Accent5 2 2 2 10" xfId="41978"/>
    <cellStyle name="40% - Accent5 2 2 2 11" xfId="41979"/>
    <cellStyle name="40% - Accent5 2 2 2 2" xfId="41980"/>
    <cellStyle name="40% - Accent5 2 2 2 2 10" xfId="41981"/>
    <cellStyle name="40% - Accent5 2 2 2 2 2" xfId="41982"/>
    <cellStyle name="40% - Accent5 2 2 2 2 2 2" xfId="41983"/>
    <cellStyle name="40% - Accent5 2 2 2 2 2 2 2" xfId="41984"/>
    <cellStyle name="40% - Accent5 2 2 2 2 2 3" xfId="41985"/>
    <cellStyle name="40% - Accent5 2 2 2 2 2 3 2" xfId="41986"/>
    <cellStyle name="40% - Accent5 2 2 2 2 2 4" xfId="41987"/>
    <cellStyle name="40% - Accent5 2 2 2 2 2 5" xfId="41988"/>
    <cellStyle name="40% - Accent5 2 2 2 2 2 6" xfId="41989"/>
    <cellStyle name="40% - Accent5 2 2 2 2 2 7" xfId="41990"/>
    <cellStyle name="40% - Accent5 2 2 2 2 3" xfId="41991"/>
    <cellStyle name="40% - Accent5 2 2 2 2 3 2" xfId="41992"/>
    <cellStyle name="40% - Accent5 2 2 2 2 3 2 2" xfId="41993"/>
    <cellStyle name="40% - Accent5 2 2 2 2 3 3" xfId="41994"/>
    <cellStyle name="40% - Accent5 2 2 2 2 3 3 2" xfId="41995"/>
    <cellStyle name="40% - Accent5 2 2 2 2 3 4" xfId="41996"/>
    <cellStyle name="40% - Accent5 2 2 2 2 3 5" xfId="41997"/>
    <cellStyle name="40% - Accent5 2 2 2 2 3 6" xfId="41998"/>
    <cellStyle name="40% - Accent5 2 2 2 2 3 7" xfId="41999"/>
    <cellStyle name="40% - Accent5 2 2 2 2 4" xfId="42000"/>
    <cellStyle name="40% - Accent5 2 2 2 2 4 2" xfId="42001"/>
    <cellStyle name="40% - Accent5 2 2 2 2 4 2 2" xfId="42002"/>
    <cellStyle name="40% - Accent5 2 2 2 2 4 3" xfId="42003"/>
    <cellStyle name="40% - Accent5 2 2 2 2 4 3 2" xfId="42004"/>
    <cellStyle name="40% - Accent5 2 2 2 2 4 4" xfId="42005"/>
    <cellStyle name="40% - Accent5 2 2 2 2 4 5" xfId="42006"/>
    <cellStyle name="40% - Accent5 2 2 2 2 4 6" xfId="42007"/>
    <cellStyle name="40% - Accent5 2 2 2 2 4 7" xfId="42008"/>
    <cellStyle name="40% - Accent5 2 2 2 2 5" xfId="42009"/>
    <cellStyle name="40% - Accent5 2 2 2 2 5 2" xfId="42010"/>
    <cellStyle name="40% - Accent5 2 2 2 2 6" xfId="42011"/>
    <cellStyle name="40% - Accent5 2 2 2 2 6 2" xfId="42012"/>
    <cellStyle name="40% - Accent5 2 2 2 2 7" xfId="42013"/>
    <cellStyle name="40% - Accent5 2 2 2 2 8" xfId="42014"/>
    <cellStyle name="40% - Accent5 2 2 2 2 9" xfId="42015"/>
    <cellStyle name="40% - Accent5 2 2 2 3" xfId="42016"/>
    <cellStyle name="40% - Accent5 2 2 2 3 2" xfId="42017"/>
    <cellStyle name="40% - Accent5 2 2 2 3 2 2" xfId="42018"/>
    <cellStyle name="40% - Accent5 2 2 2 3 3" xfId="42019"/>
    <cellStyle name="40% - Accent5 2 2 2 3 3 2" xfId="42020"/>
    <cellStyle name="40% - Accent5 2 2 2 3 4" xfId="42021"/>
    <cellStyle name="40% - Accent5 2 2 2 3 5" xfId="42022"/>
    <cellStyle name="40% - Accent5 2 2 2 3 6" xfId="42023"/>
    <cellStyle name="40% - Accent5 2 2 2 3 7" xfId="42024"/>
    <cellStyle name="40% - Accent5 2 2 2 4" xfId="42025"/>
    <cellStyle name="40% - Accent5 2 2 2 4 2" xfId="42026"/>
    <cellStyle name="40% - Accent5 2 2 2 4 2 2" xfId="42027"/>
    <cellStyle name="40% - Accent5 2 2 2 4 3" xfId="42028"/>
    <cellStyle name="40% - Accent5 2 2 2 4 3 2" xfId="42029"/>
    <cellStyle name="40% - Accent5 2 2 2 4 4" xfId="42030"/>
    <cellStyle name="40% - Accent5 2 2 2 4 5" xfId="42031"/>
    <cellStyle name="40% - Accent5 2 2 2 4 6" xfId="42032"/>
    <cellStyle name="40% - Accent5 2 2 2 4 7" xfId="42033"/>
    <cellStyle name="40% - Accent5 2 2 2 5" xfId="42034"/>
    <cellStyle name="40% - Accent5 2 2 2 5 2" xfId="42035"/>
    <cellStyle name="40% - Accent5 2 2 2 5 2 2" xfId="42036"/>
    <cellStyle name="40% - Accent5 2 2 2 5 3" xfId="42037"/>
    <cellStyle name="40% - Accent5 2 2 2 5 3 2" xfId="42038"/>
    <cellStyle name="40% - Accent5 2 2 2 5 4" xfId="42039"/>
    <cellStyle name="40% - Accent5 2 2 2 5 5" xfId="42040"/>
    <cellStyle name="40% - Accent5 2 2 2 5 6" xfId="42041"/>
    <cellStyle name="40% - Accent5 2 2 2 5 7" xfId="42042"/>
    <cellStyle name="40% - Accent5 2 2 2 6" xfId="42043"/>
    <cellStyle name="40% - Accent5 2 2 2 6 2" xfId="42044"/>
    <cellStyle name="40% - Accent5 2 2 2 7" xfId="42045"/>
    <cellStyle name="40% - Accent5 2 2 2 7 2" xfId="42046"/>
    <cellStyle name="40% - Accent5 2 2 2 8" xfId="42047"/>
    <cellStyle name="40% - Accent5 2 2 2 9" xfId="42048"/>
    <cellStyle name="40% - Accent5 2 2 3" xfId="42049"/>
    <cellStyle name="40% - Accent5 2 2 3 10" xfId="42050"/>
    <cellStyle name="40% - Accent5 2 2 3 11" xfId="42051"/>
    <cellStyle name="40% - Accent5 2 2 3 2" xfId="42052"/>
    <cellStyle name="40% - Accent5 2 2 3 2 10" xfId="42053"/>
    <cellStyle name="40% - Accent5 2 2 3 2 2" xfId="42054"/>
    <cellStyle name="40% - Accent5 2 2 3 2 2 2" xfId="42055"/>
    <cellStyle name="40% - Accent5 2 2 3 2 2 2 2" xfId="42056"/>
    <cellStyle name="40% - Accent5 2 2 3 2 2 3" xfId="42057"/>
    <cellStyle name="40% - Accent5 2 2 3 2 2 3 2" xfId="42058"/>
    <cellStyle name="40% - Accent5 2 2 3 2 2 4" xfId="42059"/>
    <cellStyle name="40% - Accent5 2 2 3 2 2 5" xfId="42060"/>
    <cellStyle name="40% - Accent5 2 2 3 2 2 6" xfId="42061"/>
    <cellStyle name="40% - Accent5 2 2 3 2 2 7" xfId="42062"/>
    <cellStyle name="40% - Accent5 2 2 3 2 3" xfId="42063"/>
    <cellStyle name="40% - Accent5 2 2 3 2 3 2" xfId="42064"/>
    <cellStyle name="40% - Accent5 2 2 3 2 3 2 2" xfId="42065"/>
    <cellStyle name="40% - Accent5 2 2 3 2 3 3" xfId="42066"/>
    <cellStyle name="40% - Accent5 2 2 3 2 3 3 2" xfId="42067"/>
    <cellStyle name="40% - Accent5 2 2 3 2 3 4" xfId="42068"/>
    <cellStyle name="40% - Accent5 2 2 3 2 3 5" xfId="42069"/>
    <cellStyle name="40% - Accent5 2 2 3 2 3 6" xfId="42070"/>
    <cellStyle name="40% - Accent5 2 2 3 2 3 7" xfId="42071"/>
    <cellStyle name="40% - Accent5 2 2 3 2 4" xfId="42072"/>
    <cellStyle name="40% - Accent5 2 2 3 2 4 2" xfId="42073"/>
    <cellStyle name="40% - Accent5 2 2 3 2 4 2 2" xfId="42074"/>
    <cellStyle name="40% - Accent5 2 2 3 2 4 3" xfId="42075"/>
    <cellStyle name="40% - Accent5 2 2 3 2 4 3 2" xfId="42076"/>
    <cellStyle name="40% - Accent5 2 2 3 2 4 4" xfId="42077"/>
    <cellStyle name="40% - Accent5 2 2 3 2 4 5" xfId="42078"/>
    <cellStyle name="40% - Accent5 2 2 3 2 4 6" xfId="42079"/>
    <cellStyle name="40% - Accent5 2 2 3 2 4 7" xfId="42080"/>
    <cellStyle name="40% - Accent5 2 2 3 2 5" xfId="42081"/>
    <cellStyle name="40% - Accent5 2 2 3 2 5 2" xfId="42082"/>
    <cellStyle name="40% - Accent5 2 2 3 2 6" xfId="42083"/>
    <cellStyle name="40% - Accent5 2 2 3 2 6 2" xfId="42084"/>
    <cellStyle name="40% - Accent5 2 2 3 2 7" xfId="42085"/>
    <cellStyle name="40% - Accent5 2 2 3 2 8" xfId="42086"/>
    <cellStyle name="40% - Accent5 2 2 3 2 9" xfId="42087"/>
    <cellStyle name="40% - Accent5 2 2 3 3" xfId="42088"/>
    <cellStyle name="40% - Accent5 2 2 3 3 2" xfId="42089"/>
    <cellStyle name="40% - Accent5 2 2 3 3 2 2" xfId="42090"/>
    <cellStyle name="40% - Accent5 2 2 3 3 3" xfId="42091"/>
    <cellStyle name="40% - Accent5 2 2 3 3 3 2" xfId="42092"/>
    <cellStyle name="40% - Accent5 2 2 3 3 4" xfId="42093"/>
    <cellStyle name="40% - Accent5 2 2 3 3 5" xfId="42094"/>
    <cellStyle name="40% - Accent5 2 2 3 3 6" xfId="42095"/>
    <cellStyle name="40% - Accent5 2 2 3 3 7" xfId="42096"/>
    <cellStyle name="40% - Accent5 2 2 3 4" xfId="42097"/>
    <cellStyle name="40% - Accent5 2 2 3 4 2" xfId="42098"/>
    <cellStyle name="40% - Accent5 2 2 3 4 2 2" xfId="42099"/>
    <cellStyle name="40% - Accent5 2 2 3 4 3" xfId="42100"/>
    <cellStyle name="40% - Accent5 2 2 3 4 3 2" xfId="42101"/>
    <cellStyle name="40% - Accent5 2 2 3 4 4" xfId="42102"/>
    <cellStyle name="40% - Accent5 2 2 3 4 5" xfId="42103"/>
    <cellStyle name="40% - Accent5 2 2 3 4 6" xfId="42104"/>
    <cellStyle name="40% - Accent5 2 2 3 4 7" xfId="42105"/>
    <cellStyle name="40% - Accent5 2 2 3 5" xfId="42106"/>
    <cellStyle name="40% - Accent5 2 2 3 5 2" xfId="42107"/>
    <cellStyle name="40% - Accent5 2 2 3 5 2 2" xfId="42108"/>
    <cellStyle name="40% - Accent5 2 2 3 5 3" xfId="42109"/>
    <cellStyle name="40% - Accent5 2 2 3 5 3 2" xfId="42110"/>
    <cellStyle name="40% - Accent5 2 2 3 5 4" xfId="42111"/>
    <cellStyle name="40% - Accent5 2 2 3 5 5" xfId="42112"/>
    <cellStyle name="40% - Accent5 2 2 3 5 6" xfId="42113"/>
    <cellStyle name="40% - Accent5 2 2 3 5 7" xfId="42114"/>
    <cellStyle name="40% - Accent5 2 2 3 6" xfId="42115"/>
    <cellStyle name="40% - Accent5 2 2 3 6 2" xfId="42116"/>
    <cellStyle name="40% - Accent5 2 2 3 7" xfId="42117"/>
    <cellStyle name="40% - Accent5 2 2 3 7 2" xfId="42118"/>
    <cellStyle name="40% - Accent5 2 2 3 8" xfId="42119"/>
    <cellStyle name="40% - Accent5 2 2 3 9" xfId="42120"/>
    <cellStyle name="40% - Accent5 2 2 4" xfId="42121"/>
    <cellStyle name="40% - Accent5 2 2 4 10" xfId="42122"/>
    <cellStyle name="40% - Accent5 2 2 4 2" xfId="42123"/>
    <cellStyle name="40% - Accent5 2 2 4 2 2" xfId="42124"/>
    <cellStyle name="40% - Accent5 2 2 4 2 2 2" xfId="42125"/>
    <cellStyle name="40% - Accent5 2 2 4 2 3" xfId="42126"/>
    <cellStyle name="40% - Accent5 2 2 4 2 3 2" xfId="42127"/>
    <cellStyle name="40% - Accent5 2 2 4 2 4" xfId="42128"/>
    <cellStyle name="40% - Accent5 2 2 4 2 5" xfId="42129"/>
    <cellStyle name="40% - Accent5 2 2 4 2 6" xfId="42130"/>
    <cellStyle name="40% - Accent5 2 2 4 2 7" xfId="42131"/>
    <cellStyle name="40% - Accent5 2 2 4 3" xfId="42132"/>
    <cellStyle name="40% - Accent5 2 2 4 3 2" xfId="42133"/>
    <cellStyle name="40% - Accent5 2 2 4 3 2 2" xfId="42134"/>
    <cellStyle name="40% - Accent5 2 2 4 3 3" xfId="42135"/>
    <cellStyle name="40% - Accent5 2 2 4 3 3 2" xfId="42136"/>
    <cellStyle name="40% - Accent5 2 2 4 3 4" xfId="42137"/>
    <cellStyle name="40% - Accent5 2 2 4 3 5" xfId="42138"/>
    <cellStyle name="40% - Accent5 2 2 4 3 6" xfId="42139"/>
    <cellStyle name="40% - Accent5 2 2 4 3 7" xfId="42140"/>
    <cellStyle name="40% - Accent5 2 2 4 4" xfId="42141"/>
    <cellStyle name="40% - Accent5 2 2 4 4 2" xfId="42142"/>
    <cellStyle name="40% - Accent5 2 2 4 4 2 2" xfId="42143"/>
    <cellStyle name="40% - Accent5 2 2 4 4 3" xfId="42144"/>
    <cellStyle name="40% - Accent5 2 2 4 4 3 2" xfId="42145"/>
    <cellStyle name="40% - Accent5 2 2 4 4 4" xfId="42146"/>
    <cellStyle name="40% - Accent5 2 2 4 4 5" xfId="42147"/>
    <cellStyle name="40% - Accent5 2 2 4 4 6" xfId="42148"/>
    <cellStyle name="40% - Accent5 2 2 4 4 7" xfId="42149"/>
    <cellStyle name="40% - Accent5 2 2 4 5" xfId="42150"/>
    <cellStyle name="40% - Accent5 2 2 4 5 2" xfId="42151"/>
    <cellStyle name="40% - Accent5 2 2 4 6" xfId="42152"/>
    <cellStyle name="40% - Accent5 2 2 4 6 2" xfId="42153"/>
    <cellStyle name="40% - Accent5 2 2 4 7" xfId="42154"/>
    <cellStyle name="40% - Accent5 2 2 4 8" xfId="42155"/>
    <cellStyle name="40% - Accent5 2 2 4 9" xfId="42156"/>
    <cellStyle name="40% - Accent5 2 2 5" xfId="42157"/>
    <cellStyle name="40% - Accent5 2 2 5 2" xfId="42158"/>
    <cellStyle name="40% - Accent5 2 2 5 2 2" xfId="42159"/>
    <cellStyle name="40% - Accent5 2 2 5 3" xfId="42160"/>
    <cellStyle name="40% - Accent5 2 2 5 3 2" xfId="42161"/>
    <cellStyle name="40% - Accent5 2 2 5 4" xfId="42162"/>
    <cellStyle name="40% - Accent5 2 2 5 5" xfId="42163"/>
    <cellStyle name="40% - Accent5 2 2 5 6" xfId="42164"/>
    <cellStyle name="40% - Accent5 2 2 5 7" xfId="42165"/>
    <cellStyle name="40% - Accent5 2 2 6" xfId="42166"/>
    <cellStyle name="40% - Accent5 2 2 6 2" xfId="42167"/>
    <cellStyle name="40% - Accent5 2 2 6 2 2" xfId="42168"/>
    <cellStyle name="40% - Accent5 2 2 6 3" xfId="42169"/>
    <cellStyle name="40% - Accent5 2 2 6 3 2" xfId="42170"/>
    <cellStyle name="40% - Accent5 2 2 6 4" xfId="42171"/>
    <cellStyle name="40% - Accent5 2 2 6 5" xfId="42172"/>
    <cellStyle name="40% - Accent5 2 2 6 6" xfId="42173"/>
    <cellStyle name="40% - Accent5 2 2 6 7" xfId="42174"/>
    <cellStyle name="40% - Accent5 2 2 7" xfId="42175"/>
    <cellStyle name="40% - Accent5 2 2 7 2" xfId="42176"/>
    <cellStyle name="40% - Accent5 2 2 7 2 2" xfId="42177"/>
    <cellStyle name="40% - Accent5 2 2 7 3" xfId="42178"/>
    <cellStyle name="40% - Accent5 2 2 7 3 2" xfId="42179"/>
    <cellStyle name="40% - Accent5 2 2 7 4" xfId="42180"/>
    <cellStyle name="40% - Accent5 2 2 7 5" xfId="42181"/>
    <cellStyle name="40% - Accent5 2 2 7 6" xfId="42182"/>
    <cellStyle name="40% - Accent5 2 2 7 7" xfId="42183"/>
    <cellStyle name="40% - Accent5 2 2 8" xfId="42184"/>
    <cellStyle name="40% - Accent5 2 2 8 2" xfId="42185"/>
    <cellStyle name="40% - Accent5 2 2 9" xfId="42186"/>
    <cellStyle name="40% - Accent5 2 2 9 2" xfId="42187"/>
    <cellStyle name="40% - Accent5 2 3" xfId="368"/>
    <cellStyle name="40% - Accent5 2 3 10" xfId="42188"/>
    <cellStyle name="40% - Accent5 2 3 11" xfId="42189"/>
    <cellStyle name="40% - Accent5 2 3 12" xfId="42190"/>
    <cellStyle name="40% - Accent5 2 3 13" xfId="42191"/>
    <cellStyle name="40% - Accent5 2 3 2" xfId="42192"/>
    <cellStyle name="40% - Accent5 2 3 2 10" xfId="42193"/>
    <cellStyle name="40% - Accent5 2 3 2 11" xfId="42194"/>
    <cellStyle name="40% - Accent5 2 3 2 2" xfId="42195"/>
    <cellStyle name="40% - Accent5 2 3 2 2 10" xfId="42196"/>
    <cellStyle name="40% - Accent5 2 3 2 2 2" xfId="42197"/>
    <cellStyle name="40% - Accent5 2 3 2 2 2 2" xfId="42198"/>
    <cellStyle name="40% - Accent5 2 3 2 2 2 2 2" xfId="42199"/>
    <cellStyle name="40% - Accent5 2 3 2 2 2 3" xfId="42200"/>
    <cellStyle name="40% - Accent5 2 3 2 2 2 3 2" xfId="42201"/>
    <cellStyle name="40% - Accent5 2 3 2 2 2 4" xfId="42202"/>
    <cellStyle name="40% - Accent5 2 3 2 2 2 5" xfId="42203"/>
    <cellStyle name="40% - Accent5 2 3 2 2 2 6" xfId="42204"/>
    <cellStyle name="40% - Accent5 2 3 2 2 2 7" xfId="42205"/>
    <cellStyle name="40% - Accent5 2 3 2 2 3" xfId="42206"/>
    <cellStyle name="40% - Accent5 2 3 2 2 3 2" xfId="42207"/>
    <cellStyle name="40% - Accent5 2 3 2 2 3 2 2" xfId="42208"/>
    <cellStyle name="40% - Accent5 2 3 2 2 3 3" xfId="42209"/>
    <cellStyle name="40% - Accent5 2 3 2 2 3 3 2" xfId="42210"/>
    <cellStyle name="40% - Accent5 2 3 2 2 3 4" xfId="42211"/>
    <cellStyle name="40% - Accent5 2 3 2 2 3 5" xfId="42212"/>
    <cellStyle name="40% - Accent5 2 3 2 2 3 6" xfId="42213"/>
    <cellStyle name="40% - Accent5 2 3 2 2 3 7" xfId="42214"/>
    <cellStyle name="40% - Accent5 2 3 2 2 4" xfId="42215"/>
    <cellStyle name="40% - Accent5 2 3 2 2 4 2" xfId="42216"/>
    <cellStyle name="40% - Accent5 2 3 2 2 4 2 2" xfId="42217"/>
    <cellStyle name="40% - Accent5 2 3 2 2 4 3" xfId="42218"/>
    <cellStyle name="40% - Accent5 2 3 2 2 4 3 2" xfId="42219"/>
    <cellStyle name="40% - Accent5 2 3 2 2 4 4" xfId="42220"/>
    <cellStyle name="40% - Accent5 2 3 2 2 4 5" xfId="42221"/>
    <cellStyle name="40% - Accent5 2 3 2 2 4 6" xfId="42222"/>
    <cellStyle name="40% - Accent5 2 3 2 2 4 7" xfId="42223"/>
    <cellStyle name="40% - Accent5 2 3 2 2 5" xfId="42224"/>
    <cellStyle name="40% - Accent5 2 3 2 2 5 2" xfId="42225"/>
    <cellStyle name="40% - Accent5 2 3 2 2 6" xfId="42226"/>
    <cellStyle name="40% - Accent5 2 3 2 2 6 2" xfId="42227"/>
    <cellStyle name="40% - Accent5 2 3 2 2 7" xfId="42228"/>
    <cellStyle name="40% - Accent5 2 3 2 2 8" xfId="42229"/>
    <cellStyle name="40% - Accent5 2 3 2 2 9" xfId="42230"/>
    <cellStyle name="40% - Accent5 2 3 2 3" xfId="42231"/>
    <cellStyle name="40% - Accent5 2 3 2 3 2" xfId="42232"/>
    <cellStyle name="40% - Accent5 2 3 2 3 2 2" xfId="42233"/>
    <cellStyle name="40% - Accent5 2 3 2 3 3" xfId="42234"/>
    <cellStyle name="40% - Accent5 2 3 2 3 3 2" xfId="42235"/>
    <cellStyle name="40% - Accent5 2 3 2 3 4" xfId="42236"/>
    <cellStyle name="40% - Accent5 2 3 2 3 5" xfId="42237"/>
    <cellStyle name="40% - Accent5 2 3 2 3 6" xfId="42238"/>
    <cellStyle name="40% - Accent5 2 3 2 3 7" xfId="42239"/>
    <cellStyle name="40% - Accent5 2 3 2 4" xfId="42240"/>
    <cellStyle name="40% - Accent5 2 3 2 4 2" xfId="42241"/>
    <cellStyle name="40% - Accent5 2 3 2 4 2 2" xfId="42242"/>
    <cellStyle name="40% - Accent5 2 3 2 4 3" xfId="42243"/>
    <cellStyle name="40% - Accent5 2 3 2 4 3 2" xfId="42244"/>
    <cellStyle name="40% - Accent5 2 3 2 4 4" xfId="42245"/>
    <cellStyle name="40% - Accent5 2 3 2 4 5" xfId="42246"/>
    <cellStyle name="40% - Accent5 2 3 2 4 6" xfId="42247"/>
    <cellStyle name="40% - Accent5 2 3 2 4 7" xfId="42248"/>
    <cellStyle name="40% - Accent5 2 3 2 5" xfId="42249"/>
    <cellStyle name="40% - Accent5 2 3 2 5 2" xfId="42250"/>
    <cellStyle name="40% - Accent5 2 3 2 5 2 2" xfId="42251"/>
    <cellStyle name="40% - Accent5 2 3 2 5 3" xfId="42252"/>
    <cellStyle name="40% - Accent5 2 3 2 5 3 2" xfId="42253"/>
    <cellStyle name="40% - Accent5 2 3 2 5 4" xfId="42254"/>
    <cellStyle name="40% - Accent5 2 3 2 5 5" xfId="42255"/>
    <cellStyle name="40% - Accent5 2 3 2 5 6" xfId="42256"/>
    <cellStyle name="40% - Accent5 2 3 2 5 7" xfId="42257"/>
    <cellStyle name="40% - Accent5 2 3 2 6" xfId="42258"/>
    <cellStyle name="40% - Accent5 2 3 2 6 2" xfId="42259"/>
    <cellStyle name="40% - Accent5 2 3 2 7" xfId="42260"/>
    <cellStyle name="40% - Accent5 2 3 2 7 2" xfId="42261"/>
    <cellStyle name="40% - Accent5 2 3 2 8" xfId="42262"/>
    <cellStyle name="40% - Accent5 2 3 2 9" xfId="42263"/>
    <cellStyle name="40% - Accent5 2 3 3" xfId="42264"/>
    <cellStyle name="40% - Accent5 2 3 3 10" xfId="42265"/>
    <cellStyle name="40% - Accent5 2 3 3 11" xfId="42266"/>
    <cellStyle name="40% - Accent5 2 3 3 2" xfId="42267"/>
    <cellStyle name="40% - Accent5 2 3 3 2 10" xfId="42268"/>
    <cellStyle name="40% - Accent5 2 3 3 2 2" xfId="42269"/>
    <cellStyle name="40% - Accent5 2 3 3 2 2 2" xfId="42270"/>
    <cellStyle name="40% - Accent5 2 3 3 2 2 2 2" xfId="42271"/>
    <cellStyle name="40% - Accent5 2 3 3 2 2 3" xfId="42272"/>
    <cellStyle name="40% - Accent5 2 3 3 2 2 3 2" xfId="42273"/>
    <cellStyle name="40% - Accent5 2 3 3 2 2 4" xfId="42274"/>
    <cellStyle name="40% - Accent5 2 3 3 2 2 5" xfId="42275"/>
    <cellStyle name="40% - Accent5 2 3 3 2 2 6" xfId="42276"/>
    <cellStyle name="40% - Accent5 2 3 3 2 2 7" xfId="42277"/>
    <cellStyle name="40% - Accent5 2 3 3 2 3" xfId="42278"/>
    <cellStyle name="40% - Accent5 2 3 3 2 3 2" xfId="42279"/>
    <cellStyle name="40% - Accent5 2 3 3 2 3 2 2" xfId="42280"/>
    <cellStyle name="40% - Accent5 2 3 3 2 3 3" xfId="42281"/>
    <cellStyle name="40% - Accent5 2 3 3 2 3 3 2" xfId="42282"/>
    <cellStyle name="40% - Accent5 2 3 3 2 3 4" xfId="42283"/>
    <cellStyle name="40% - Accent5 2 3 3 2 3 5" xfId="42284"/>
    <cellStyle name="40% - Accent5 2 3 3 2 3 6" xfId="42285"/>
    <cellStyle name="40% - Accent5 2 3 3 2 3 7" xfId="42286"/>
    <cellStyle name="40% - Accent5 2 3 3 2 4" xfId="42287"/>
    <cellStyle name="40% - Accent5 2 3 3 2 4 2" xfId="42288"/>
    <cellStyle name="40% - Accent5 2 3 3 2 4 2 2" xfId="42289"/>
    <cellStyle name="40% - Accent5 2 3 3 2 4 3" xfId="42290"/>
    <cellStyle name="40% - Accent5 2 3 3 2 4 3 2" xfId="42291"/>
    <cellStyle name="40% - Accent5 2 3 3 2 4 4" xfId="42292"/>
    <cellStyle name="40% - Accent5 2 3 3 2 4 5" xfId="42293"/>
    <cellStyle name="40% - Accent5 2 3 3 2 4 6" xfId="42294"/>
    <cellStyle name="40% - Accent5 2 3 3 2 4 7" xfId="42295"/>
    <cellStyle name="40% - Accent5 2 3 3 2 5" xfId="42296"/>
    <cellStyle name="40% - Accent5 2 3 3 2 5 2" xfId="42297"/>
    <cellStyle name="40% - Accent5 2 3 3 2 6" xfId="42298"/>
    <cellStyle name="40% - Accent5 2 3 3 2 6 2" xfId="42299"/>
    <cellStyle name="40% - Accent5 2 3 3 2 7" xfId="42300"/>
    <cellStyle name="40% - Accent5 2 3 3 2 8" xfId="42301"/>
    <cellStyle name="40% - Accent5 2 3 3 2 9" xfId="42302"/>
    <cellStyle name="40% - Accent5 2 3 3 3" xfId="42303"/>
    <cellStyle name="40% - Accent5 2 3 3 3 2" xfId="42304"/>
    <cellStyle name="40% - Accent5 2 3 3 3 2 2" xfId="42305"/>
    <cellStyle name="40% - Accent5 2 3 3 3 3" xfId="42306"/>
    <cellStyle name="40% - Accent5 2 3 3 3 3 2" xfId="42307"/>
    <cellStyle name="40% - Accent5 2 3 3 3 4" xfId="42308"/>
    <cellStyle name="40% - Accent5 2 3 3 3 5" xfId="42309"/>
    <cellStyle name="40% - Accent5 2 3 3 3 6" xfId="42310"/>
    <cellStyle name="40% - Accent5 2 3 3 3 7" xfId="42311"/>
    <cellStyle name="40% - Accent5 2 3 3 4" xfId="42312"/>
    <cellStyle name="40% - Accent5 2 3 3 4 2" xfId="42313"/>
    <cellStyle name="40% - Accent5 2 3 3 4 2 2" xfId="42314"/>
    <cellStyle name="40% - Accent5 2 3 3 4 3" xfId="42315"/>
    <cellStyle name="40% - Accent5 2 3 3 4 3 2" xfId="42316"/>
    <cellStyle name="40% - Accent5 2 3 3 4 4" xfId="42317"/>
    <cellStyle name="40% - Accent5 2 3 3 4 5" xfId="42318"/>
    <cellStyle name="40% - Accent5 2 3 3 4 6" xfId="42319"/>
    <cellStyle name="40% - Accent5 2 3 3 4 7" xfId="42320"/>
    <cellStyle name="40% - Accent5 2 3 3 5" xfId="42321"/>
    <cellStyle name="40% - Accent5 2 3 3 5 2" xfId="42322"/>
    <cellStyle name="40% - Accent5 2 3 3 5 2 2" xfId="42323"/>
    <cellStyle name="40% - Accent5 2 3 3 5 3" xfId="42324"/>
    <cellStyle name="40% - Accent5 2 3 3 5 3 2" xfId="42325"/>
    <cellStyle name="40% - Accent5 2 3 3 5 4" xfId="42326"/>
    <cellStyle name="40% - Accent5 2 3 3 5 5" xfId="42327"/>
    <cellStyle name="40% - Accent5 2 3 3 5 6" xfId="42328"/>
    <cellStyle name="40% - Accent5 2 3 3 5 7" xfId="42329"/>
    <cellStyle name="40% - Accent5 2 3 3 6" xfId="42330"/>
    <cellStyle name="40% - Accent5 2 3 3 6 2" xfId="42331"/>
    <cellStyle name="40% - Accent5 2 3 3 7" xfId="42332"/>
    <cellStyle name="40% - Accent5 2 3 3 7 2" xfId="42333"/>
    <cellStyle name="40% - Accent5 2 3 3 8" xfId="42334"/>
    <cellStyle name="40% - Accent5 2 3 3 9" xfId="42335"/>
    <cellStyle name="40% - Accent5 2 3 4" xfId="42336"/>
    <cellStyle name="40% - Accent5 2 3 4 10" xfId="42337"/>
    <cellStyle name="40% - Accent5 2 3 4 2" xfId="42338"/>
    <cellStyle name="40% - Accent5 2 3 4 2 2" xfId="42339"/>
    <cellStyle name="40% - Accent5 2 3 4 2 2 2" xfId="42340"/>
    <cellStyle name="40% - Accent5 2 3 4 2 3" xfId="42341"/>
    <cellStyle name="40% - Accent5 2 3 4 2 3 2" xfId="42342"/>
    <cellStyle name="40% - Accent5 2 3 4 2 4" xfId="42343"/>
    <cellStyle name="40% - Accent5 2 3 4 2 5" xfId="42344"/>
    <cellStyle name="40% - Accent5 2 3 4 2 6" xfId="42345"/>
    <cellStyle name="40% - Accent5 2 3 4 2 7" xfId="42346"/>
    <cellStyle name="40% - Accent5 2 3 4 3" xfId="42347"/>
    <cellStyle name="40% - Accent5 2 3 4 3 2" xfId="42348"/>
    <cellStyle name="40% - Accent5 2 3 4 3 2 2" xfId="42349"/>
    <cellStyle name="40% - Accent5 2 3 4 3 3" xfId="42350"/>
    <cellStyle name="40% - Accent5 2 3 4 3 3 2" xfId="42351"/>
    <cellStyle name="40% - Accent5 2 3 4 3 4" xfId="42352"/>
    <cellStyle name="40% - Accent5 2 3 4 3 5" xfId="42353"/>
    <cellStyle name="40% - Accent5 2 3 4 3 6" xfId="42354"/>
    <cellStyle name="40% - Accent5 2 3 4 3 7" xfId="42355"/>
    <cellStyle name="40% - Accent5 2 3 4 4" xfId="42356"/>
    <cellStyle name="40% - Accent5 2 3 4 4 2" xfId="42357"/>
    <cellStyle name="40% - Accent5 2 3 4 4 2 2" xfId="42358"/>
    <cellStyle name="40% - Accent5 2 3 4 4 3" xfId="42359"/>
    <cellStyle name="40% - Accent5 2 3 4 4 3 2" xfId="42360"/>
    <cellStyle name="40% - Accent5 2 3 4 4 4" xfId="42361"/>
    <cellStyle name="40% - Accent5 2 3 4 4 5" xfId="42362"/>
    <cellStyle name="40% - Accent5 2 3 4 4 6" xfId="42363"/>
    <cellStyle name="40% - Accent5 2 3 4 4 7" xfId="42364"/>
    <cellStyle name="40% - Accent5 2 3 4 5" xfId="42365"/>
    <cellStyle name="40% - Accent5 2 3 4 5 2" xfId="42366"/>
    <cellStyle name="40% - Accent5 2 3 4 6" xfId="42367"/>
    <cellStyle name="40% - Accent5 2 3 4 6 2" xfId="42368"/>
    <cellStyle name="40% - Accent5 2 3 4 7" xfId="42369"/>
    <cellStyle name="40% - Accent5 2 3 4 8" xfId="42370"/>
    <cellStyle name="40% - Accent5 2 3 4 9" xfId="42371"/>
    <cellStyle name="40% - Accent5 2 3 5" xfId="42372"/>
    <cellStyle name="40% - Accent5 2 3 5 2" xfId="42373"/>
    <cellStyle name="40% - Accent5 2 3 5 2 2" xfId="42374"/>
    <cellStyle name="40% - Accent5 2 3 5 3" xfId="42375"/>
    <cellStyle name="40% - Accent5 2 3 5 3 2" xfId="42376"/>
    <cellStyle name="40% - Accent5 2 3 5 4" xfId="42377"/>
    <cellStyle name="40% - Accent5 2 3 5 5" xfId="42378"/>
    <cellStyle name="40% - Accent5 2 3 5 6" xfId="42379"/>
    <cellStyle name="40% - Accent5 2 3 5 7" xfId="42380"/>
    <cellStyle name="40% - Accent5 2 3 6" xfId="42381"/>
    <cellStyle name="40% - Accent5 2 3 6 2" xfId="42382"/>
    <cellStyle name="40% - Accent5 2 3 6 2 2" xfId="42383"/>
    <cellStyle name="40% - Accent5 2 3 6 3" xfId="42384"/>
    <cellStyle name="40% - Accent5 2 3 6 3 2" xfId="42385"/>
    <cellStyle name="40% - Accent5 2 3 6 4" xfId="42386"/>
    <cellStyle name="40% - Accent5 2 3 6 5" xfId="42387"/>
    <cellStyle name="40% - Accent5 2 3 6 6" xfId="42388"/>
    <cellStyle name="40% - Accent5 2 3 6 7" xfId="42389"/>
    <cellStyle name="40% - Accent5 2 3 7" xfId="42390"/>
    <cellStyle name="40% - Accent5 2 3 7 2" xfId="42391"/>
    <cellStyle name="40% - Accent5 2 3 7 2 2" xfId="42392"/>
    <cellStyle name="40% - Accent5 2 3 7 3" xfId="42393"/>
    <cellStyle name="40% - Accent5 2 3 7 3 2" xfId="42394"/>
    <cellStyle name="40% - Accent5 2 3 7 4" xfId="42395"/>
    <cellStyle name="40% - Accent5 2 3 7 5" xfId="42396"/>
    <cellStyle name="40% - Accent5 2 3 7 6" xfId="42397"/>
    <cellStyle name="40% - Accent5 2 3 7 7" xfId="42398"/>
    <cellStyle name="40% - Accent5 2 3 8" xfId="42399"/>
    <cellStyle name="40% - Accent5 2 3 8 2" xfId="42400"/>
    <cellStyle name="40% - Accent5 2 3 9" xfId="42401"/>
    <cellStyle name="40% - Accent5 2 3 9 2" xfId="42402"/>
    <cellStyle name="40% - Accent5 2 4" xfId="42403"/>
    <cellStyle name="40% - Accent5 2 4 10" xfId="42404"/>
    <cellStyle name="40% - Accent5 2 4 11" xfId="42405"/>
    <cellStyle name="40% - Accent5 2 4 12" xfId="42406"/>
    <cellStyle name="40% - Accent5 2 4 13" xfId="42407"/>
    <cellStyle name="40% - Accent5 2 4 2" xfId="42408"/>
    <cellStyle name="40% - Accent5 2 4 2 10" xfId="42409"/>
    <cellStyle name="40% - Accent5 2 4 2 11" xfId="42410"/>
    <cellStyle name="40% - Accent5 2 4 2 2" xfId="42411"/>
    <cellStyle name="40% - Accent5 2 4 2 2 10" xfId="42412"/>
    <cellStyle name="40% - Accent5 2 4 2 2 2" xfId="42413"/>
    <cellStyle name="40% - Accent5 2 4 2 2 2 2" xfId="42414"/>
    <cellStyle name="40% - Accent5 2 4 2 2 2 2 2" xfId="42415"/>
    <cellStyle name="40% - Accent5 2 4 2 2 2 3" xfId="42416"/>
    <cellStyle name="40% - Accent5 2 4 2 2 2 3 2" xfId="42417"/>
    <cellStyle name="40% - Accent5 2 4 2 2 2 4" xfId="42418"/>
    <cellStyle name="40% - Accent5 2 4 2 2 2 5" xfId="42419"/>
    <cellStyle name="40% - Accent5 2 4 2 2 2 6" xfId="42420"/>
    <cellStyle name="40% - Accent5 2 4 2 2 2 7" xfId="42421"/>
    <cellStyle name="40% - Accent5 2 4 2 2 3" xfId="42422"/>
    <cellStyle name="40% - Accent5 2 4 2 2 3 2" xfId="42423"/>
    <cellStyle name="40% - Accent5 2 4 2 2 3 2 2" xfId="42424"/>
    <cellStyle name="40% - Accent5 2 4 2 2 3 3" xfId="42425"/>
    <cellStyle name="40% - Accent5 2 4 2 2 3 3 2" xfId="42426"/>
    <cellStyle name="40% - Accent5 2 4 2 2 3 4" xfId="42427"/>
    <cellStyle name="40% - Accent5 2 4 2 2 3 5" xfId="42428"/>
    <cellStyle name="40% - Accent5 2 4 2 2 3 6" xfId="42429"/>
    <cellStyle name="40% - Accent5 2 4 2 2 3 7" xfId="42430"/>
    <cellStyle name="40% - Accent5 2 4 2 2 4" xfId="42431"/>
    <cellStyle name="40% - Accent5 2 4 2 2 4 2" xfId="42432"/>
    <cellStyle name="40% - Accent5 2 4 2 2 4 2 2" xfId="42433"/>
    <cellStyle name="40% - Accent5 2 4 2 2 4 3" xfId="42434"/>
    <cellStyle name="40% - Accent5 2 4 2 2 4 3 2" xfId="42435"/>
    <cellStyle name="40% - Accent5 2 4 2 2 4 4" xfId="42436"/>
    <cellStyle name="40% - Accent5 2 4 2 2 4 5" xfId="42437"/>
    <cellStyle name="40% - Accent5 2 4 2 2 4 6" xfId="42438"/>
    <cellStyle name="40% - Accent5 2 4 2 2 4 7" xfId="42439"/>
    <cellStyle name="40% - Accent5 2 4 2 2 5" xfId="42440"/>
    <cellStyle name="40% - Accent5 2 4 2 2 5 2" xfId="42441"/>
    <cellStyle name="40% - Accent5 2 4 2 2 6" xfId="42442"/>
    <cellStyle name="40% - Accent5 2 4 2 2 6 2" xfId="42443"/>
    <cellStyle name="40% - Accent5 2 4 2 2 7" xfId="42444"/>
    <cellStyle name="40% - Accent5 2 4 2 2 8" xfId="42445"/>
    <cellStyle name="40% - Accent5 2 4 2 2 9" xfId="42446"/>
    <cellStyle name="40% - Accent5 2 4 2 3" xfId="42447"/>
    <cellStyle name="40% - Accent5 2 4 2 3 2" xfId="42448"/>
    <cellStyle name="40% - Accent5 2 4 2 3 2 2" xfId="42449"/>
    <cellStyle name="40% - Accent5 2 4 2 3 3" xfId="42450"/>
    <cellStyle name="40% - Accent5 2 4 2 3 3 2" xfId="42451"/>
    <cellStyle name="40% - Accent5 2 4 2 3 4" xfId="42452"/>
    <cellStyle name="40% - Accent5 2 4 2 3 5" xfId="42453"/>
    <cellStyle name="40% - Accent5 2 4 2 3 6" xfId="42454"/>
    <cellStyle name="40% - Accent5 2 4 2 3 7" xfId="42455"/>
    <cellStyle name="40% - Accent5 2 4 2 4" xfId="42456"/>
    <cellStyle name="40% - Accent5 2 4 2 4 2" xfId="42457"/>
    <cellStyle name="40% - Accent5 2 4 2 4 2 2" xfId="42458"/>
    <cellStyle name="40% - Accent5 2 4 2 4 3" xfId="42459"/>
    <cellStyle name="40% - Accent5 2 4 2 4 3 2" xfId="42460"/>
    <cellStyle name="40% - Accent5 2 4 2 4 4" xfId="42461"/>
    <cellStyle name="40% - Accent5 2 4 2 4 5" xfId="42462"/>
    <cellStyle name="40% - Accent5 2 4 2 4 6" xfId="42463"/>
    <cellStyle name="40% - Accent5 2 4 2 4 7" xfId="42464"/>
    <cellStyle name="40% - Accent5 2 4 2 5" xfId="42465"/>
    <cellStyle name="40% - Accent5 2 4 2 5 2" xfId="42466"/>
    <cellStyle name="40% - Accent5 2 4 2 5 2 2" xfId="42467"/>
    <cellStyle name="40% - Accent5 2 4 2 5 3" xfId="42468"/>
    <cellStyle name="40% - Accent5 2 4 2 5 3 2" xfId="42469"/>
    <cellStyle name="40% - Accent5 2 4 2 5 4" xfId="42470"/>
    <cellStyle name="40% - Accent5 2 4 2 5 5" xfId="42471"/>
    <cellStyle name="40% - Accent5 2 4 2 5 6" xfId="42472"/>
    <cellStyle name="40% - Accent5 2 4 2 5 7" xfId="42473"/>
    <cellStyle name="40% - Accent5 2 4 2 6" xfId="42474"/>
    <cellStyle name="40% - Accent5 2 4 2 6 2" xfId="42475"/>
    <cellStyle name="40% - Accent5 2 4 2 7" xfId="42476"/>
    <cellStyle name="40% - Accent5 2 4 2 7 2" xfId="42477"/>
    <cellStyle name="40% - Accent5 2 4 2 8" xfId="42478"/>
    <cellStyle name="40% - Accent5 2 4 2 9" xfId="42479"/>
    <cellStyle name="40% - Accent5 2 4 3" xfId="42480"/>
    <cellStyle name="40% - Accent5 2 4 3 10" xfId="42481"/>
    <cellStyle name="40% - Accent5 2 4 3 11" xfId="42482"/>
    <cellStyle name="40% - Accent5 2 4 3 2" xfId="42483"/>
    <cellStyle name="40% - Accent5 2 4 3 2 10" xfId="42484"/>
    <cellStyle name="40% - Accent5 2 4 3 2 2" xfId="42485"/>
    <cellStyle name="40% - Accent5 2 4 3 2 2 2" xfId="42486"/>
    <cellStyle name="40% - Accent5 2 4 3 2 2 2 2" xfId="42487"/>
    <cellStyle name="40% - Accent5 2 4 3 2 2 3" xfId="42488"/>
    <cellStyle name="40% - Accent5 2 4 3 2 2 3 2" xfId="42489"/>
    <cellStyle name="40% - Accent5 2 4 3 2 2 4" xfId="42490"/>
    <cellStyle name="40% - Accent5 2 4 3 2 2 5" xfId="42491"/>
    <cellStyle name="40% - Accent5 2 4 3 2 2 6" xfId="42492"/>
    <cellStyle name="40% - Accent5 2 4 3 2 2 7" xfId="42493"/>
    <cellStyle name="40% - Accent5 2 4 3 2 3" xfId="42494"/>
    <cellStyle name="40% - Accent5 2 4 3 2 3 2" xfId="42495"/>
    <cellStyle name="40% - Accent5 2 4 3 2 3 2 2" xfId="42496"/>
    <cellStyle name="40% - Accent5 2 4 3 2 3 3" xfId="42497"/>
    <cellStyle name="40% - Accent5 2 4 3 2 3 3 2" xfId="42498"/>
    <cellStyle name="40% - Accent5 2 4 3 2 3 4" xfId="42499"/>
    <cellStyle name="40% - Accent5 2 4 3 2 3 5" xfId="42500"/>
    <cellStyle name="40% - Accent5 2 4 3 2 3 6" xfId="42501"/>
    <cellStyle name="40% - Accent5 2 4 3 2 3 7" xfId="42502"/>
    <cellStyle name="40% - Accent5 2 4 3 2 4" xfId="42503"/>
    <cellStyle name="40% - Accent5 2 4 3 2 4 2" xfId="42504"/>
    <cellStyle name="40% - Accent5 2 4 3 2 4 2 2" xfId="42505"/>
    <cellStyle name="40% - Accent5 2 4 3 2 4 3" xfId="42506"/>
    <cellStyle name="40% - Accent5 2 4 3 2 4 3 2" xfId="42507"/>
    <cellStyle name="40% - Accent5 2 4 3 2 4 4" xfId="42508"/>
    <cellStyle name="40% - Accent5 2 4 3 2 4 5" xfId="42509"/>
    <cellStyle name="40% - Accent5 2 4 3 2 4 6" xfId="42510"/>
    <cellStyle name="40% - Accent5 2 4 3 2 4 7" xfId="42511"/>
    <cellStyle name="40% - Accent5 2 4 3 2 5" xfId="42512"/>
    <cellStyle name="40% - Accent5 2 4 3 2 5 2" xfId="42513"/>
    <cellStyle name="40% - Accent5 2 4 3 2 6" xfId="42514"/>
    <cellStyle name="40% - Accent5 2 4 3 2 6 2" xfId="42515"/>
    <cellStyle name="40% - Accent5 2 4 3 2 7" xfId="42516"/>
    <cellStyle name="40% - Accent5 2 4 3 2 8" xfId="42517"/>
    <cellStyle name="40% - Accent5 2 4 3 2 9" xfId="42518"/>
    <cellStyle name="40% - Accent5 2 4 3 3" xfId="42519"/>
    <cellStyle name="40% - Accent5 2 4 3 3 2" xfId="42520"/>
    <cellStyle name="40% - Accent5 2 4 3 3 2 2" xfId="42521"/>
    <cellStyle name="40% - Accent5 2 4 3 3 3" xfId="42522"/>
    <cellStyle name="40% - Accent5 2 4 3 3 3 2" xfId="42523"/>
    <cellStyle name="40% - Accent5 2 4 3 3 4" xfId="42524"/>
    <cellStyle name="40% - Accent5 2 4 3 3 5" xfId="42525"/>
    <cellStyle name="40% - Accent5 2 4 3 3 6" xfId="42526"/>
    <cellStyle name="40% - Accent5 2 4 3 3 7" xfId="42527"/>
    <cellStyle name="40% - Accent5 2 4 3 4" xfId="42528"/>
    <cellStyle name="40% - Accent5 2 4 3 4 2" xfId="42529"/>
    <cellStyle name="40% - Accent5 2 4 3 4 2 2" xfId="42530"/>
    <cellStyle name="40% - Accent5 2 4 3 4 3" xfId="42531"/>
    <cellStyle name="40% - Accent5 2 4 3 4 3 2" xfId="42532"/>
    <cellStyle name="40% - Accent5 2 4 3 4 4" xfId="42533"/>
    <cellStyle name="40% - Accent5 2 4 3 4 5" xfId="42534"/>
    <cellStyle name="40% - Accent5 2 4 3 4 6" xfId="42535"/>
    <cellStyle name="40% - Accent5 2 4 3 4 7" xfId="42536"/>
    <cellStyle name="40% - Accent5 2 4 3 5" xfId="42537"/>
    <cellStyle name="40% - Accent5 2 4 3 5 2" xfId="42538"/>
    <cellStyle name="40% - Accent5 2 4 3 5 2 2" xfId="42539"/>
    <cellStyle name="40% - Accent5 2 4 3 5 3" xfId="42540"/>
    <cellStyle name="40% - Accent5 2 4 3 5 3 2" xfId="42541"/>
    <cellStyle name="40% - Accent5 2 4 3 5 4" xfId="42542"/>
    <cellStyle name="40% - Accent5 2 4 3 5 5" xfId="42543"/>
    <cellStyle name="40% - Accent5 2 4 3 5 6" xfId="42544"/>
    <cellStyle name="40% - Accent5 2 4 3 5 7" xfId="42545"/>
    <cellStyle name="40% - Accent5 2 4 3 6" xfId="42546"/>
    <cellStyle name="40% - Accent5 2 4 3 6 2" xfId="42547"/>
    <cellStyle name="40% - Accent5 2 4 3 7" xfId="42548"/>
    <cellStyle name="40% - Accent5 2 4 3 7 2" xfId="42549"/>
    <cellStyle name="40% - Accent5 2 4 3 8" xfId="42550"/>
    <cellStyle name="40% - Accent5 2 4 3 9" xfId="42551"/>
    <cellStyle name="40% - Accent5 2 4 4" xfId="42552"/>
    <cellStyle name="40% - Accent5 2 4 4 10" xfId="42553"/>
    <cellStyle name="40% - Accent5 2 4 4 2" xfId="42554"/>
    <cellStyle name="40% - Accent5 2 4 4 2 2" xfId="42555"/>
    <cellStyle name="40% - Accent5 2 4 4 2 2 2" xfId="42556"/>
    <cellStyle name="40% - Accent5 2 4 4 2 3" xfId="42557"/>
    <cellStyle name="40% - Accent5 2 4 4 2 3 2" xfId="42558"/>
    <cellStyle name="40% - Accent5 2 4 4 2 4" xfId="42559"/>
    <cellStyle name="40% - Accent5 2 4 4 2 5" xfId="42560"/>
    <cellStyle name="40% - Accent5 2 4 4 2 6" xfId="42561"/>
    <cellStyle name="40% - Accent5 2 4 4 2 7" xfId="42562"/>
    <cellStyle name="40% - Accent5 2 4 4 3" xfId="42563"/>
    <cellStyle name="40% - Accent5 2 4 4 3 2" xfId="42564"/>
    <cellStyle name="40% - Accent5 2 4 4 3 2 2" xfId="42565"/>
    <cellStyle name="40% - Accent5 2 4 4 3 3" xfId="42566"/>
    <cellStyle name="40% - Accent5 2 4 4 3 3 2" xfId="42567"/>
    <cellStyle name="40% - Accent5 2 4 4 3 4" xfId="42568"/>
    <cellStyle name="40% - Accent5 2 4 4 3 5" xfId="42569"/>
    <cellStyle name="40% - Accent5 2 4 4 3 6" xfId="42570"/>
    <cellStyle name="40% - Accent5 2 4 4 3 7" xfId="42571"/>
    <cellStyle name="40% - Accent5 2 4 4 4" xfId="42572"/>
    <cellStyle name="40% - Accent5 2 4 4 4 2" xfId="42573"/>
    <cellStyle name="40% - Accent5 2 4 4 4 2 2" xfId="42574"/>
    <cellStyle name="40% - Accent5 2 4 4 4 3" xfId="42575"/>
    <cellStyle name="40% - Accent5 2 4 4 4 3 2" xfId="42576"/>
    <cellStyle name="40% - Accent5 2 4 4 4 4" xfId="42577"/>
    <cellStyle name="40% - Accent5 2 4 4 4 5" xfId="42578"/>
    <cellStyle name="40% - Accent5 2 4 4 4 6" xfId="42579"/>
    <cellStyle name="40% - Accent5 2 4 4 4 7" xfId="42580"/>
    <cellStyle name="40% - Accent5 2 4 4 5" xfId="42581"/>
    <cellStyle name="40% - Accent5 2 4 4 5 2" xfId="42582"/>
    <cellStyle name="40% - Accent5 2 4 4 6" xfId="42583"/>
    <cellStyle name="40% - Accent5 2 4 4 6 2" xfId="42584"/>
    <cellStyle name="40% - Accent5 2 4 4 7" xfId="42585"/>
    <cellStyle name="40% - Accent5 2 4 4 8" xfId="42586"/>
    <cellStyle name="40% - Accent5 2 4 4 9" xfId="42587"/>
    <cellStyle name="40% - Accent5 2 4 5" xfId="42588"/>
    <cellStyle name="40% - Accent5 2 4 5 2" xfId="42589"/>
    <cellStyle name="40% - Accent5 2 4 5 2 2" xfId="42590"/>
    <cellStyle name="40% - Accent5 2 4 5 3" xfId="42591"/>
    <cellStyle name="40% - Accent5 2 4 5 3 2" xfId="42592"/>
    <cellStyle name="40% - Accent5 2 4 5 4" xfId="42593"/>
    <cellStyle name="40% - Accent5 2 4 5 5" xfId="42594"/>
    <cellStyle name="40% - Accent5 2 4 5 6" xfId="42595"/>
    <cellStyle name="40% - Accent5 2 4 5 7" xfId="42596"/>
    <cellStyle name="40% - Accent5 2 4 6" xfId="42597"/>
    <cellStyle name="40% - Accent5 2 4 6 2" xfId="42598"/>
    <cellStyle name="40% - Accent5 2 4 6 2 2" xfId="42599"/>
    <cellStyle name="40% - Accent5 2 4 6 3" xfId="42600"/>
    <cellStyle name="40% - Accent5 2 4 6 3 2" xfId="42601"/>
    <cellStyle name="40% - Accent5 2 4 6 4" xfId="42602"/>
    <cellStyle name="40% - Accent5 2 4 6 5" xfId="42603"/>
    <cellStyle name="40% - Accent5 2 4 6 6" xfId="42604"/>
    <cellStyle name="40% - Accent5 2 4 6 7" xfId="42605"/>
    <cellStyle name="40% - Accent5 2 4 7" xfId="42606"/>
    <cellStyle name="40% - Accent5 2 4 7 2" xfId="42607"/>
    <cellStyle name="40% - Accent5 2 4 7 2 2" xfId="42608"/>
    <cellStyle name="40% - Accent5 2 4 7 3" xfId="42609"/>
    <cellStyle name="40% - Accent5 2 4 7 3 2" xfId="42610"/>
    <cellStyle name="40% - Accent5 2 4 7 4" xfId="42611"/>
    <cellStyle name="40% - Accent5 2 4 7 5" xfId="42612"/>
    <cellStyle name="40% - Accent5 2 4 7 6" xfId="42613"/>
    <cellStyle name="40% - Accent5 2 4 7 7" xfId="42614"/>
    <cellStyle name="40% - Accent5 2 4 8" xfId="42615"/>
    <cellStyle name="40% - Accent5 2 4 8 2" xfId="42616"/>
    <cellStyle name="40% - Accent5 2 4 9" xfId="42617"/>
    <cellStyle name="40% - Accent5 2 4 9 2" xfId="42618"/>
    <cellStyle name="40% - Accent5 2 5" xfId="42619"/>
    <cellStyle name="40% - Accent5 2 5 10" xfId="42620"/>
    <cellStyle name="40% - Accent5 2 5 11" xfId="42621"/>
    <cellStyle name="40% - Accent5 2 5 12" xfId="42622"/>
    <cellStyle name="40% - Accent5 2 5 13" xfId="42623"/>
    <cellStyle name="40% - Accent5 2 5 2" xfId="42624"/>
    <cellStyle name="40% - Accent5 2 5 2 10" xfId="42625"/>
    <cellStyle name="40% - Accent5 2 5 2 11" xfId="42626"/>
    <cellStyle name="40% - Accent5 2 5 2 2" xfId="42627"/>
    <cellStyle name="40% - Accent5 2 5 2 2 10" xfId="42628"/>
    <cellStyle name="40% - Accent5 2 5 2 2 2" xfId="42629"/>
    <cellStyle name="40% - Accent5 2 5 2 2 2 2" xfId="42630"/>
    <cellStyle name="40% - Accent5 2 5 2 2 2 2 2" xfId="42631"/>
    <cellStyle name="40% - Accent5 2 5 2 2 2 3" xfId="42632"/>
    <cellStyle name="40% - Accent5 2 5 2 2 2 3 2" xfId="42633"/>
    <cellStyle name="40% - Accent5 2 5 2 2 2 4" xfId="42634"/>
    <cellStyle name="40% - Accent5 2 5 2 2 2 5" xfId="42635"/>
    <cellStyle name="40% - Accent5 2 5 2 2 2 6" xfId="42636"/>
    <cellStyle name="40% - Accent5 2 5 2 2 2 7" xfId="42637"/>
    <cellStyle name="40% - Accent5 2 5 2 2 3" xfId="42638"/>
    <cellStyle name="40% - Accent5 2 5 2 2 3 2" xfId="42639"/>
    <cellStyle name="40% - Accent5 2 5 2 2 3 2 2" xfId="42640"/>
    <cellStyle name="40% - Accent5 2 5 2 2 3 3" xfId="42641"/>
    <cellStyle name="40% - Accent5 2 5 2 2 3 3 2" xfId="42642"/>
    <cellStyle name="40% - Accent5 2 5 2 2 3 4" xfId="42643"/>
    <cellStyle name="40% - Accent5 2 5 2 2 3 5" xfId="42644"/>
    <cellStyle name="40% - Accent5 2 5 2 2 3 6" xfId="42645"/>
    <cellStyle name="40% - Accent5 2 5 2 2 3 7" xfId="42646"/>
    <cellStyle name="40% - Accent5 2 5 2 2 4" xfId="42647"/>
    <cellStyle name="40% - Accent5 2 5 2 2 4 2" xfId="42648"/>
    <cellStyle name="40% - Accent5 2 5 2 2 4 2 2" xfId="42649"/>
    <cellStyle name="40% - Accent5 2 5 2 2 4 3" xfId="42650"/>
    <cellStyle name="40% - Accent5 2 5 2 2 4 3 2" xfId="42651"/>
    <cellStyle name="40% - Accent5 2 5 2 2 4 4" xfId="42652"/>
    <cellStyle name="40% - Accent5 2 5 2 2 4 5" xfId="42653"/>
    <cellStyle name="40% - Accent5 2 5 2 2 4 6" xfId="42654"/>
    <cellStyle name="40% - Accent5 2 5 2 2 4 7" xfId="42655"/>
    <cellStyle name="40% - Accent5 2 5 2 2 5" xfId="42656"/>
    <cellStyle name="40% - Accent5 2 5 2 2 5 2" xfId="42657"/>
    <cellStyle name="40% - Accent5 2 5 2 2 6" xfId="42658"/>
    <cellStyle name="40% - Accent5 2 5 2 2 6 2" xfId="42659"/>
    <cellStyle name="40% - Accent5 2 5 2 2 7" xfId="42660"/>
    <cellStyle name="40% - Accent5 2 5 2 2 8" xfId="42661"/>
    <cellStyle name="40% - Accent5 2 5 2 2 9" xfId="42662"/>
    <cellStyle name="40% - Accent5 2 5 2 3" xfId="42663"/>
    <cellStyle name="40% - Accent5 2 5 2 3 2" xfId="42664"/>
    <cellStyle name="40% - Accent5 2 5 2 3 2 2" xfId="42665"/>
    <cellStyle name="40% - Accent5 2 5 2 3 3" xfId="42666"/>
    <cellStyle name="40% - Accent5 2 5 2 3 3 2" xfId="42667"/>
    <cellStyle name="40% - Accent5 2 5 2 3 4" xfId="42668"/>
    <cellStyle name="40% - Accent5 2 5 2 3 5" xfId="42669"/>
    <cellStyle name="40% - Accent5 2 5 2 3 6" xfId="42670"/>
    <cellStyle name="40% - Accent5 2 5 2 3 7" xfId="42671"/>
    <cellStyle name="40% - Accent5 2 5 2 4" xfId="42672"/>
    <cellStyle name="40% - Accent5 2 5 2 4 2" xfId="42673"/>
    <cellStyle name="40% - Accent5 2 5 2 4 2 2" xfId="42674"/>
    <cellStyle name="40% - Accent5 2 5 2 4 3" xfId="42675"/>
    <cellStyle name="40% - Accent5 2 5 2 4 3 2" xfId="42676"/>
    <cellStyle name="40% - Accent5 2 5 2 4 4" xfId="42677"/>
    <cellStyle name="40% - Accent5 2 5 2 4 5" xfId="42678"/>
    <cellStyle name="40% - Accent5 2 5 2 4 6" xfId="42679"/>
    <cellStyle name="40% - Accent5 2 5 2 4 7" xfId="42680"/>
    <cellStyle name="40% - Accent5 2 5 2 5" xfId="42681"/>
    <cellStyle name="40% - Accent5 2 5 2 5 2" xfId="42682"/>
    <cellStyle name="40% - Accent5 2 5 2 5 2 2" xfId="42683"/>
    <cellStyle name="40% - Accent5 2 5 2 5 3" xfId="42684"/>
    <cellStyle name="40% - Accent5 2 5 2 5 3 2" xfId="42685"/>
    <cellStyle name="40% - Accent5 2 5 2 5 4" xfId="42686"/>
    <cellStyle name="40% - Accent5 2 5 2 5 5" xfId="42687"/>
    <cellStyle name="40% - Accent5 2 5 2 5 6" xfId="42688"/>
    <cellStyle name="40% - Accent5 2 5 2 5 7" xfId="42689"/>
    <cellStyle name="40% - Accent5 2 5 2 6" xfId="42690"/>
    <cellStyle name="40% - Accent5 2 5 2 6 2" xfId="42691"/>
    <cellStyle name="40% - Accent5 2 5 2 7" xfId="42692"/>
    <cellStyle name="40% - Accent5 2 5 2 7 2" xfId="42693"/>
    <cellStyle name="40% - Accent5 2 5 2 8" xfId="42694"/>
    <cellStyle name="40% - Accent5 2 5 2 9" xfId="42695"/>
    <cellStyle name="40% - Accent5 2 5 3" xfId="42696"/>
    <cellStyle name="40% - Accent5 2 5 3 10" xfId="42697"/>
    <cellStyle name="40% - Accent5 2 5 3 11" xfId="42698"/>
    <cellStyle name="40% - Accent5 2 5 3 2" xfId="42699"/>
    <cellStyle name="40% - Accent5 2 5 3 2 10" xfId="42700"/>
    <cellStyle name="40% - Accent5 2 5 3 2 2" xfId="42701"/>
    <cellStyle name="40% - Accent5 2 5 3 2 2 2" xfId="42702"/>
    <cellStyle name="40% - Accent5 2 5 3 2 2 2 2" xfId="42703"/>
    <cellStyle name="40% - Accent5 2 5 3 2 2 3" xfId="42704"/>
    <cellStyle name="40% - Accent5 2 5 3 2 2 3 2" xfId="42705"/>
    <cellStyle name="40% - Accent5 2 5 3 2 2 4" xfId="42706"/>
    <cellStyle name="40% - Accent5 2 5 3 2 2 5" xfId="42707"/>
    <cellStyle name="40% - Accent5 2 5 3 2 2 6" xfId="42708"/>
    <cellStyle name="40% - Accent5 2 5 3 2 2 7" xfId="42709"/>
    <cellStyle name="40% - Accent5 2 5 3 2 3" xfId="42710"/>
    <cellStyle name="40% - Accent5 2 5 3 2 3 2" xfId="42711"/>
    <cellStyle name="40% - Accent5 2 5 3 2 3 2 2" xfId="42712"/>
    <cellStyle name="40% - Accent5 2 5 3 2 3 3" xfId="42713"/>
    <cellStyle name="40% - Accent5 2 5 3 2 3 3 2" xfId="42714"/>
    <cellStyle name="40% - Accent5 2 5 3 2 3 4" xfId="42715"/>
    <cellStyle name="40% - Accent5 2 5 3 2 3 5" xfId="42716"/>
    <cellStyle name="40% - Accent5 2 5 3 2 3 6" xfId="42717"/>
    <cellStyle name="40% - Accent5 2 5 3 2 3 7" xfId="42718"/>
    <cellStyle name="40% - Accent5 2 5 3 2 4" xfId="42719"/>
    <cellStyle name="40% - Accent5 2 5 3 2 4 2" xfId="42720"/>
    <cellStyle name="40% - Accent5 2 5 3 2 4 2 2" xfId="42721"/>
    <cellStyle name="40% - Accent5 2 5 3 2 4 3" xfId="42722"/>
    <cellStyle name="40% - Accent5 2 5 3 2 4 3 2" xfId="42723"/>
    <cellStyle name="40% - Accent5 2 5 3 2 4 4" xfId="42724"/>
    <cellStyle name="40% - Accent5 2 5 3 2 4 5" xfId="42725"/>
    <cellStyle name="40% - Accent5 2 5 3 2 4 6" xfId="42726"/>
    <cellStyle name="40% - Accent5 2 5 3 2 4 7" xfId="42727"/>
    <cellStyle name="40% - Accent5 2 5 3 2 5" xfId="42728"/>
    <cellStyle name="40% - Accent5 2 5 3 2 5 2" xfId="42729"/>
    <cellStyle name="40% - Accent5 2 5 3 2 6" xfId="42730"/>
    <cellStyle name="40% - Accent5 2 5 3 2 6 2" xfId="42731"/>
    <cellStyle name="40% - Accent5 2 5 3 2 7" xfId="42732"/>
    <cellStyle name="40% - Accent5 2 5 3 2 8" xfId="42733"/>
    <cellStyle name="40% - Accent5 2 5 3 2 9" xfId="42734"/>
    <cellStyle name="40% - Accent5 2 5 3 3" xfId="42735"/>
    <cellStyle name="40% - Accent5 2 5 3 3 2" xfId="42736"/>
    <cellStyle name="40% - Accent5 2 5 3 3 2 2" xfId="42737"/>
    <cellStyle name="40% - Accent5 2 5 3 3 3" xfId="42738"/>
    <cellStyle name="40% - Accent5 2 5 3 3 3 2" xfId="42739"/>
    <cellStyle name="40% - Accent5 2 5 3 3 4" xfId="42740"/>
    <cellStyle name="40% - Accent5 2 5 3 3 5" xfId="42741"/>
    <cellStyle name="40% - Accent5 2 5 3 3 6" xfId="42742"/>
    <cellStyle name="40% - Accent5 2 5 3 3 7" xfId="42743"/>
    <cellStyle name="40% - Accent5 2 5 3 4" xfId="42744"/>
    <cellStyle name="40% - Accent5 2 5 3 4 2" xfId="42745"/>
    <cellStyle name="40% - Accent5 2 5 3 4 2 2" xfId="42746"/>
    <cellStyle name="40% - Accent5 2 5 3 4 3" xfId="42747"/>
    <cellStyle name="40% - Accent5 2 5 3 4 3 2" xfId="42748"/>
    <cellStyle name="40% - Accent5 2 5 3 4 4" xfId="42749"/>
    <cellStyle name="40% - Accent5 2 5 3 4 5" xfId="42750"/>
    <cellStyle name="40% - Accent5 2 5 3 4 6" xfId="42751"/>
    <cellStyle name="40% - Accent5 2 5 3 4 7" xfId="42752"/>
    <cellStyle name="40% - Accent5 2 5 3 5" xfId="42753"/>
    <cellStyle name="40% - Accent5 2 5 3 5 2" xfId="42754"/>
    <cellStyle name="40% - Accent5 2 5 3 5 2 2" xfId="42755"/>
    <cellStyle name="40% - Accent5 2 5 3 5 3" xfId="42756"/>
    <cellStyle name="40% - Accent5 2 5 3 5 3 2" xfId="42757"/>
    <cellStyle name="40% - Accent5 2 5 3 5 4" xfId="42758"/>
    <cellStyle name="40% - Accent5 2 5 3 5 5" xfId="42759"/>
    <cellStyle name="40% - Accent5 2 5 3 5 6" xfId="42760"/>
    <cellStyle name="40% - Accent5 2 5 3 5 7" xfId="42761"/>
    <cellStyle name="40% - Accent5 2 5 3 6" xfId="42762"/>
    <cellStyle name="40% - Accent5 2 5 3 6 2" xfId="42763"/>
    <cellStyle name="40% - Accent5 2 5 3 7" xfId="42764"/>
    <cellStyle name="40% - Accent5 2 5 3 7 2" xfId="42765"/>
    <cellStyle name="40% - Accent5 2 5 3 8" xfId="42766"/>
    <cellStyle name="40% - Accent5 2 5 3 9" xfId="42767"/>
    <cellStyle name="40% - Accent5 2 5 4" xfId="42768"/>
    <cellStyle name="40% - Accent5 2 5 4 10" xfId="42769"/>
    <cellStyle name="40% - Accent5 2 5 4 2" xfId="42770"/>
    <cellStyle name="40% - Accent5 2 5 4 2 2" xfId="42771"/>
    <cellStyle name="40% - Accent5 2 5 4 2 2 2" xfId="42772"/>
    <cellStyle name="40% - Accent5 2 5 4 2 3" xfId="42773"/>
    <cellStyle name="40% - Accent5 2 5 4 2 3 2" xfId="42774"/>
    <cellStyle name="40% - Accent5 2 5 4 2 4" xfId="42775"/>
    <cellStyle name="40% - Accent5 2 5 4 2 5" xfId="42776"/>
    <cellStyle name="40% - Accent5 2 5 4 2 6" xfId="42777"/>
    <cellStyle name="40% - Accent5 2 5 4 2 7" xfId="42778"/>
    <cellStyle name="40% - Accent5 2 5 4 3" xfId="42779"/>
    <cellStyle name="40% - Accent5 2 5 4 3 2" xfId="42780"/>
    <cellStyle name="40% - Accent5 2 5 4 3 2 2" xfId="42781"/>
    <cellStyle name="40% - Accent5 2 5 4 3 3" xfId="42782"/>
    <cellStyle name="40% - Accent5 2 5 4 3 3 2" xfId="42783"/>
    <cellStyle name="40% - Accent5 2 5 4 3 4" xfId="42784"/>
    <cellStyle name="40% - Accent5 2 5 4 3 5" xfId="42785"/>
    <cellStyle name="40% - Accent5 2 5 4 3 6" xfId="42786"/>
    <cellStyle name="40% - Accent5 2 5 4 3 7" xfId="42787"/>
    <cellStyle name="40% - Accent5 2 5 4 4" xfId="42788"/>
    <cellStyle name="40% - Accent5 2 5 4 4 2" xfId="42789"/>
    <cellStyle name="40% - Accent5 2 5 4 4 2 2" xfId="42790"/>
    <cellStyle name="40% - Accent5 2 5 4 4 3" xfId="42791"/>
    <cellStyle name="40% - Accent5 2 5 4 4 3 2" xfId="42792"/>
    <cellStyle name="40% - Accent5 2 5 4 4 4" xfId="42793"/>
    <cellStyle name="40% - Accent5 2 5 4 4 5" xfId="42794"/>
    <cellStyle name="40% - Accent5 2 5 4 4 6" xfId="42795"/>
    <cellStyle name="40% - Accent5 2 5 4 4 7" xfId="42796"/>
    <cellStyle name="40% - Accent5 2 5 4 5" xfId="42797"/>
    <cellStyle name="40% - Accent5 2 5 4 5 2" xfId="42798"/>
    <cellStyle name="40% - Accent5 2 5 4 6" xfId="42799"/>
    <cellStyle name="40% - Accent5 2 5 4 6 2" xfId="42800"/>
    <cellStyle name="40% - Accent5 2 5 4 7" xfId="42801"/>
    <cellStyle name="40% - Accent5 2 5 4 8" xfId="42802"/>
    <cellStyle name="40% - Accent5 2 5 4 9" xfId="42803"/>
    <cellStyle name="40% - Accent5 2 5 5" xfId="42804"/>
    <cellStyle name="40% - Accent5 2 5 5 2" xfId="42805"/>
    <cellStyle name="40% - Accent5 2 5 5 2 2" xfId="42806"/>
    <cellStyle name="40% - Accent5 2 5 5 3" xfId="42807"/>
    <cellStyle name="40% - Accent5 2 5 5 3 2" xfId="42808"/>
    <cellStyle name="40% - Accent5 2 5 5 4" xfId="42809"/>
    <cellStyle name="40% - Accent5 2 5 5 5" xfId="42810"/>
    <cellStyle name="40% - Accent5 2 5 5 6" xfId="42811"/>
    <cellStyle name="40% - Accent5 2 5 5 7" xfId="42812"/>
    <cellStyle name="40% - Accent5 2 5 6" xfId="42813"/>
    <cellStyle name="40% - Accent5 2 5 6 2" xfId="42814"/>
    <cellStyle name="40% - Accent5 2 5 6 2 2" xfId="42815"/>
    <cellStyle name="40% - Accent5 2 5 6 3" xfId="42816"/>
    <cellStyle name="40% - Accent5 2 5 6 3 2" xfId="42817"/>
    <cellStyle name="40% - Accent5 2 5 6 4" xfId="42818"/>
    <cellStyle name="40% - Accent5 2 5 6 5" xfId="42819"/>
    <cellStyle name="40% - Accent5 2 5 6 6" xfId="42820"/>
    <cellStyle name="40% - Accent5 2 5 6 7" xfId="42821"/>
    <cellStyle name="40% - Accent5 2 5 7" xfId="42822"/>
    <cellStyle name="40% - Accent5 2 5 7 2" xfId="42823"/>
    <cellStyle name="40% - Accent5 2 5 7 2 2" xfId="42824"/>
    <cellStyle name="40% - Accent5 2 5 7 3" xfId="42825"/>
    <cellStyle name="40% - Accent5 2 5 7 3 2" xfId="42826"/>
    <cellStyle name="40% - Accent5 2 5 7 4" xfId="42827"/>
    <cellStyle name="40% - Accent5 2 5 7 5" xfId="42828"/>
    <cellStyle name="40% - Accent5 2 5 7 6" xfId="42829"/>
    <cellStyle name="40% - Accent5 2 5 7 7" xfId="42830"/>
    <cellStyle name="40% - Accent5 2 5 8" xfId="42831"/>
    <cellStyle name="40% - Accent5 2 5 8 2" xfId="42832"/>
    <cellStyle name="40% - Accent5 2 5 9" xfId="42833"/>
    <cellStyle name="40% - Accent5 2 5 9 2" xfId="42834"/>
    <cellStyle name="40% - Accent5 2 6" xfId="42835"/>
    <cellStyle name="40% - Accent5 2 6 10" xfId="42836"/>
    <cellStyle name="40% - Accent5 2 6 11" xfId="42837"/>
    <cellStyle name="40% - Accent5 2 6 12" xfId="42838"/>
    <cellStyle name="40% - Accent5 2 6 13" xfId="42839"/>
    <cellStyle name="40% - Accent5 2 6 2" xfId="42840"/>
    <cellStyle name="40% - Accent5 2 6 2 10" xfId="42841"/>
    <cellStyle name="40% - Accent5 2 6 2 11" xfId="42842"/>
    <cellStyle name="40% - Accent5 2 6 2 2" xfId="42843"/>
    <cellStyle name="40% - Accent5 2 6 2 2 10" xfId="42844"/>
    <cellStyle name="40% - Accent5 2 6 2 2 2" xfId="42845"/>
    <cellStyle name="40% - Accent5 2 6 2 2 2 2" xfId="42846"/>
    <cellStyle name="40% - Accent5 2 6 2 2 2 2 2" xfId="42847"/>
    <cellStyle name="40% - Accent5 2 6 2 2 2 3" xfId="42848"/>
    <cellStyle name="40% - Accent5 2 6 2 2 2 3 2" xfId="42849"/>
    <cellStyle name="40% - Accent5 2 6 2 2 2 4" xfId="42850"/>
    <cellStyle name="40% - Accent5 2 6 2 2 2 5" xfId="42851"/>
    <cellStyle name="40% - Accent5 2 6 2 2 2 6" xfId="42852"/>
    <cellStyle name="40% - Accent5 2 6 2 2 2 7" xfId="42853"/>
    <cellStyle name="40% - Accent5 2 6 2 2 3" xfId="42854"/>
    <cellStyle name="40% - Accent5 2 6 2 2 3 2" xfId="42855"/>
    <cellStyle name="40% - Accent5 2 6 2 2 3 2 2" xfId="42856"/>
    <cellStyle name="40% - Accent5 2 6 2 2 3 3" xfId="42857"/>
    <cellStyle name="40% - Accent5 2 6 2 2 3 3 2" xfId="42858"/>
    <cellStyle name="40% - Accent5 2 6 2 2 3 4" xfId="42859"/>
    <cellStyle name="40% - Accent5 2 6 2 2 3 5" xfId="42860"/>
    <cellStyle name="40% - Accent5 2 6 2 2 3 6" xfId="42861"/>
    <cellStyle name="40% - Accent5 2 6 2 2 3 7" xfId="42862"/>
    <cellStyle name="40% - Accent5 2 6 2 2 4" xfId="42863"/>
    <cellStyle name="40% - Accent5 2 6 2 2 4 2" xfId="42864"/>
    <cellStyle name="40% - Accent5 2 6 2 2 4 2 2" xfId="42865"/>
    <cellStyle name="40% - Accent5 2 6 2 2 4 3" xfId="42866"/>
    <cellStyle name="40% - Accent5 2 6 2 2 4 3 2" xfId="42867"/>
    <cellStyle name="40% - Accent5 2 6 2 2 4 4" xfId="42868"/>
    <cellStyle name="40% - Accent5 2 6 2 2 4 5" xfId="42869"/>
    <cellStyle name="40% - Accent5 2 6 2 2 4 6" xfId="42870"/>
    <cellStyle name="40% - Accent5 2 6 2 2 4 7" xfId="42871"/>
    <cellStyle name="40% - Accent5 2 6 2 2 5" xfId="42872"/>
    <cellStyle name="40% - Accent5 2 6 2 2 5 2" xfId="42873"/>
    <cellStyle name="40% - Accent5 2 6 2 2 6" xfId="42874"/>
    <cellStyle name="40% - Accent5 2 6 2 2 6 2" xfId="42875"/>
    <cellStyle name="40% - Accent5 2 6 2 2 7" xfId="42876"/>
    <cellStyle name="40% - Accent5 2 6 2 2 8" xfId="42877"/>
    <cellStyle name="40% - Accent5 2 6 2 2 9" xfId="42878"/>
    <cellStyle name="40% - Accent5 2 6 2 3" xfId="42879"/>
    <cellStyle name="40% - Accent5 2 6 2 3 2" xfId="42880"/>
    <cellStyle name="40% - Accent5 2 6 2 3 2 2" xfId="42881"/>
    <cellStyle name="40% - Accent5 2 6 2 3 3" xfId="42882"/>
    <cellStyle name="40% - Accent5 2 6 2 3 3 2" xfId="42883"/>
    <cellStyle name="40% - Accent5 2 6 2 3 4" xfId="42884"/>
    <cellStyle name="40% - Accent5 2 6 2 3 5" xfId="42885"/>
    <cellStyle name="40% - Accent5 2 6 2 3 6" xfId="42886"/>
    <cellStyle name="40% - Accent5 2 6 2 3 7" xfId="42887"/>
    <cellStyle name="40% - Accent5 2 6 2 4" xfId="42888"/>
    <cellStyle name="40% - Accent5 2 6 2 4 2" xfId="42889"/>
    <cellStyle name="40% - Accent5 2 6 2 4 2 2" xfId="42890"/>
    <cellStyle name="40% - Accent5 2 6 2 4 3" xfId="42891"/>
    <cellStyle name="40% - Accent5 2 6 2 4 3 2" xfId="42892"/>
    <cellStyle name="40% - Accent5 2 6 2 4 4" xfId="42893"/>
    <cellStyle name="40% - Accent5 2 6 2 4 5" xfId="42894"/>
    <cellStyle name="40% - Accent5 2 6 2 4 6" xfId="42895"/>
    <cellStyle name="40% - Accent5 2 6 2 4 7" xfId="42896"/>
    <cellStyle name="40% - Accent5 2 6 2 5" xfId="42897"/>
    <cellStyle name="40% - Accent5 2 6 2 5 2" xfId="42898"/>
    <cellStyle name="40% - Accent5 2 6 2 5 2 2" xfId="42899"/>
    <cellStyle name="40% - Accent5 2 6 2 5 3" xfId="42900"/>
    <cellStyle name="40% - Accent5 2 6 2 5 3 2" xfId="42901"/>
    <cellStyle name="40% - Accent5 2 6 2 5 4" xfId="42902"/>
    <cellStyle name="40% - Accent5 2 6 2 5 5" xfId="42903"/>
    <cellStyle name="40% - Accent5 2 6 2 5 6" xfId="42904"/>
    <cellStyle name="40% - Accent5 2 6 2 5 7" xfId="42905"/>
    <cellStyle name="40% - Accent5 2 6 2 6" xfId="42906"/>
    <cellStyle name="40% - Accent5 2 6 2 6 2" xfId="42907"/>
    <cellStyle name="40% - Accent5 2 6 2 7" xfId="42908"/>
    <cellStyle name="40% - Accent5 2 6 2 7 2" xfId="42909"/>
    <cellStyle name="40% - Accent5 2 6 2 8" xfId="42910"/>
    <cellStyle name="40% - Accent5 2 6 2 9" xfId="42911"/>
    <cellStyle name="40% - Accent5 2 6 3" xfId="42912"/>
    <cellStyle name="40% - Accent5 2 6 3 10" xfId="42913"/>
    <cellStyle name="40% - Accent5 2 6 3 11" xfId="42914"/>
    <cellStyle name="40% - Accent5 2 6 3 2" xfId="42915"/>
    <cellStyle name="40% - Accent5 2 6 3 2 10" xfId="42916"/>
    <cellStyle name="40% - Accent5 2 6 3 2 2" xfId="42917"/>
    <cellStyle name="40% - Accent5 2 6 3 2 2 2" xfId="42918"/>
    <cellStyle name="40% - Accent5 2 6 3 2 2 2 2" xfId="42919"/>
    <cellStyle name="40% - Accent5 2 6 3 2 2 3" xfId="42920"/>
    <cellStyle name="40% - Accent5 2 6 3 2 2 3 2" xfId="42921"/>
    <cellStyle name="40% - Accent5 2 6 3 2 2 4" xfId="42922"/>
    <cellStyle name="40% - Accent5 2 6 3 2 2 5" xfId="42923"/>
    <cellStyle name="40% - Accent5 2 6 3 2 2 6" xfId="42924"/>
    <cellStyle name="40% - Accent5 2 6 3 2 2 7" xfId="42925"/>
    <cellStyle name="40% - Accent5 2 6 3 2 3" xfId="42926"/>
    <cellStyle name="40% - Accent5 2 6 3 2 3 2" xfId="42927"/>
    <cellStyle name="40% - Accent5 2 6 3 2 3 2 2" xfId="42928"/>
    <cellStyle name="40% - Accent5 2 6 3 2 3 3" xfId="42929"/>
    <cellStyle name="40% - Accent5 2 6 3 2 3 3 2" xfId="42930"/>
    <cellStyle name="40% - Accent5 2 6 3 2 3 4" xfId="42931"/>
    <cellStyle name="40% - Accent5 2 6 3 2 3 5" xfId="42932"/>
    <cellStyle name="40% - Accent5 2 6 3 2 3 6" xfId="42933"/>
    <cellStyle name="40% - Accent5 2 6 3 2 3 7" xfId="42934"/>
    <cellStyle name="40% - Accent5 2 6 3 2 4" xfId="42935"/>
    <cellStyle name="40% - Accent5 2 6 3 2 4 2" xfId="42936"/>
    <cellStyle name="40% - Accent5 2 6 3 2 4 2 2" xfId="42937"/>
    <cellStyle name="40% - Accent5 2 6 3 2 4 3" xfId="42938"/>
    <cellStyle name="40% - Accent5 2 6 3 2 4 3 2" xfId="42939"/>
    <cellStyle name="40% - Accent5 2 6 3 2 4 4" xfId="42940"/>
    <cellStyle name="40% - Accent5 2 6 3 2 4 5" xfId="42941"/>
    <cellStyle name="40% - Accent5 2 6 3 2 4 6" xfId="42942"/>
    <cellStyle name="40% - Accent5 2 6 3 2 4 7" xfId="42943"/>
    <cellStyle name="40% - Accent5 2 6 3 2 5" xfId="42944"/>
    <cellStyle name="40% - Accent5 2 6 3 2 5 2" xfId="42945"/>
    <cellStyle name="40% - Accent5 2 6 3 2 6" xfId="42946"/>
    <cellStyle name="40% - Accent5 2 6 3 2 6 2" xfId="42947"/>
    <cellStyle name="40% - Accent5 2 6 3 2 7" xfId="42948"/>
    <cellStyle name="40% - Accent5 2 6 3 2 8" xfId="42949"/>
    <cellStyle name="40% - Accent5 2 6 3 2 9" xfId="42950"/>
    <cellStyle name="40% - Accent5 2 6 3 3" xfId="42951"/>
    <cellStyle name="40% - Accent5 2 6 3 3 2" xfId="42952"/>
    <cellStyle name="40% - Accent5 2 6 3 3 2 2" xfId="42953"/>
    <cellStyle name="40% - Accent5 2 6 3 3 3" xfId="42954"/>
    <cellStyle name="40% - Accent5 2 6 3 3 3 2" xfId="42955"/>
    <cellStyle name="40% - Accent5 2 6 3 3 4" xfId="42956"/>
    <cellStyle name="40% - Accent5 2 6 3 3 5" xfId="42957"/>
    <cellStyle name="40% - Accent5 2 6 3 3 6" xfId="42958"/>
    <cellStyle name="40% - Accent5 2 6 3 3 7" xfId="42959"/>
    <cellStyle name="40% - Accent5 2 6 3 4" xfId="42960"/>
    <cellStyle name="40% - Accent5 2 6 3 4 2" xfId="42961"/>
    <cellStyle name="40% - Accent5 2 6 3 4 2 2" xfId="42962"/>
    <cellStyle name="40% - Accent5 2 6 3 4 3" xfId="42963"/>
    <cellStyle name="40% - Accent5 2 6 3 4 3 2" xfId="42964"/>
    <cellStyle name="40% - Accent5 2 6 3 4 4" xfId="42965"/>
    <cellStyle name="40% - Accent5 2 6 3 4 5" xfId="42966"/>
    <cellStyle name="40% - Accent5 2 6 3 4 6" xfId="42967"/>
    <cellStyle name="40% - Accent5 2 6 3 4 7" xfId="42968"/>
    <cellStyle name="40% - Accent5 2 6 3 5" xfId="42969"/>
    <cellStyle name="40% - Accent5 2 6 3 5 2" xfId="42970"/>
    <cellStyle name="40% - Accent5 2 6 3 5 2 2" xfId="42971"/>
    <cellStyle name="40% - Accent5 2 6 3 5 3" xfId="42972"/>
    <cellStyle name="40% - Accent5 2 6 3 5 3 2" xfId="42973"/>
    <cellStyle name="40% - Accent5 2 6 3 5 4" xfId="42974"/>
    <cellStyle name="40% - Accent5 2 6 3 5 5" xfId="42975"/>
    <cellStyle name="40% - Accent5 2 6 3 5 6" xfId="42976"/>
    <cellStyle name="40% - Accent5 2 6 3 5 7" xfId="42977"/>
    <cellStyle name="40% - Accent5 2 6 3 6" xfId="42978"/>
    <cellStyle name="40% - Accent5 2 6 3 6 2" xfId="42979"/>
    <cellStyle name="40% - Accent5 2 6 3 7" xfId="42980"/>
    <cellStyle name="40% - Accent5 2 6 3 7 2" xfId="42981"/>
    <cellStyle name="40% - Accent5 2 6 3 8" xfId="42982"/>
    <cellStyle name="40% - Accent5 2 6 3 9" xfId="42983"/>
    <cellStyle name="40% - Accent5 2 6 4" xfId="42984"/>
    <cellStyle name="40% - Accent5 2 6 4 10" xfId="42985"/>
    <cellStyle name="40% - Accent5 2 6 4 2" xfId="42986"/>
    <cellStyle name="40% - Accent5 2 6 4 2 2" xfId="42987"/>
    <cellStyle name="40% - Accent5 2 6 4 2 2 2" xfId="42988"/>
    <cellStyle name="40% - Accent5 2 6 4 2 3" xfId="42989"/>
    <cellStyle name="40% - Accent5 2 6 4 2 3 2" xfId="42990"/>
    <cellStyle name="40% - Accent5 2 6 4 2 4" xfId="42991"/>
    <cellStyle name="40% - Accent5 2 6 4 2 5" xfId="42992"/>
    <cellStyle name="40% - Accent5 2 6 4 2 6" xfId="42993"/>
    <cellStyle name="40% - Accent5 2 6 4 2 7" xfId="42994"/>
    <cellStyle name="40% - Accent5 2 6 4 3" xfId="42995"/>
    <cellStyle name="40% - Accent5 2 6 4 3 2" xfId="42996"/>
    <cellStyle name="40% - Accent5 2 6 4 3 2 2" xfId="42997"/>
    <cellStyle name="40% - Accent5 2 6 4 3 3" xfId="42998"/>
    <cellStyle name="40% - Accent5 2 6 4 3 3 2" xfId="42999"/>
    <cellStyle name="40% - Accent5 2 6 4 3 4" xfId="43000"/>
    <cellStyle name="40% - Accent5 2 6 4 3 5" xfId="43001"/>
    <cellStyle name="40% - Accent5 2 6 4 3 6" xfId="43002"/>
    <cellStyle name="40% - Accent5 2 6 4 3 7" xfId="43003"/>
    <cellStyle name="40% - Accent5 2 6 4 4" xfId="43004"/>
    <cellStyle name="40% - Accent5 2 6 4 4 2" xfId="43005"/>
    <cellStyle name="40% - Accent5 2 6 4 4 2 2" xfId="43006"/>
    <cellStyle name="40% - Accent5 2 6 4 4 3" xfId="43007"/>
    <cellStyle name="40% - Accent5 2 6 4 4 3 2" xfId="43008"/>
    <cellStyle name="40% - Accent5 2 6 4 4 4" xfId="43009"/>
    <cellStyle name="40% - Accent5 2 6 4 4 5" xfId="43010"/>
    <cellStyle name="40% - Accent5 2 6 4 4 6" xfId="43011"/>
    <cellStyle name="40% - Accent5 2 6 4 4 7" xfId="43012"/>
    <cellStyle name="40% - Accent5 2 6 4 5" xfId="43013"/>
    <cellStyle name="40% - Accent5 2 6 4 5 2" xfId="43014"/>
    <cellStyle name="40% - Accent5 2 6 4 6" xfId="43015"/>
    <cellStyle name="40% - Accent5 2 6 4 6 2" xfId="43016"/>
    <cellStyle name="40% - Accent5 2 6 4 7" xfId="43017"/>
    <cellStyle name="40% - Accent5 2 6 4 8" xfId="43018"/>
    <cellStyle name="40% - Accent5 2 6 4 9" xfId="43019"/>
    <cellStyle name="40% - Accent5 2 6 5" xfId="43020"/>
    <cellStyle name="40% - Accent5 2 6 5 2" xfId="43021"/>
    <cellStyle name="40% - Accent5 2 6 5 2 2" xfId="43022"/>
    <cellStyle name="40% - Accent5 2 6 5 3" xfId="43023"/>
    <cellStyle name="40% - Accent5 2 6 5 3 2" xfId="43024"/>
    <cellStyle name="40% - Accent5 2 6 5 4" xfId="43025"/>
    <cellStyle name="40% - Accent5 2 6 5 5" xfId="43026"/>
    <cellStyle name="40% - Accent5 2 6 5 6" xfId="43027"/>
    <cellStyle name="40% - Accent5 2 6 5 7" xfId="43028"/>
    <cellStyle name="40% - Accent5 2 6 6" xfId="43029"/>
    <cellStyle name="40% - Accent5 2 6 6 2" xfId="43030"/>
    <cellStyle name="40% - Accent5 2 6 6 2 2" xfId="43031"/>
    <cellStyle name="40% - Accent5 2 6 6 3" xfId="43032"/>
    <cellStyle name="40% - Accent5 2 6 6 3 2" xfId="43033"/>
    <cellStyle name="40% - Accent5 2 6 6 4" xfId="43034"/>
    <cellStyle name="40% - Accent5 2 6 6 5" xfId="43035"/>
    <cellStyle name="40% - Accent5 2 6 6 6" xfId="43036"/>
    <cellStyle name="40% - Accent5 2 6 6 7" xfId="43037"/>
    <cellStyle name="40% - Accent5 2 6 7" xfId="43038"/>
    <cellStyle name="40% - Accent5 2 6 7 2" xfId="43039"/>
    <cellStyle name="40% - Accent5 2 6 7 2 2" xfId="43040"/>
    <cellStyle name="40% - Accent5 2 6 7 3" xfId="43041"/>
    <cellStyle name="40% - Accent5 2 6 7 3 2" xfId="43042"/>
    <cellStyle name="40% - Accent5 2 6 7 4" xfId="43043"/>
    <cellStyle name="40% - Accent5 2 6 7 5" xfId="43044"/>
    <cellStyle name="40% - Accent5 2 6 7 6" xfId="43045"/>
    <cellStyle name="40% - Accent5 2 6 7 7" xfId="43046"/>
    <cellStyle name="40% - Accent5 2 6 8" xfId="43047"/>
    <cellStyle name="40% - Accent5 2 6 8 2" xfId="43048"/>
    <cellStyle name="40% - Accent5 2 6 9" xfId="43049"/>
    <cellStyle name="40% - Accent5 2 6 9 2" xfId="43050"/>
    <cellStyle name="40% - Accent5 2 7" xfId="43051"/>
    <cellStyle name="40% - Accent5 2 7 10" xfId="43052"/>
    <cellStyle name="40% - Accent5 2 7 11" xfId="43053"/>
    <cellStyle name="40% - Accent5 2 7 2" xfId="43054"/>
    <cellStyle name="40% - Accent5 2 7 2 10" xfId="43055"/>
    <cellStyle name="40% - Accent5 2 7 2 2" xfId="43056"/>
    <cellStyle name="40% - Accent5 2 7 2 2 2" xfId="43057"/>
    <cellStyle name="40% - Accent5 2 7 2 2 2 2" xfId="43058"/>
    <cellStyle name="40% - Accent5 2 7 2 2 3" xfId="43059"/>
    <cellStyle name="40% - Accent5 2 7 2 2 3 2" xfId="43060"/>
    <cellStyle name="40% - Accent5 2 7 2 2 4" xfId="43061"/>
    <cellStyle name="40% - Accent5 2 7 2 2 5" xfId="43062"/>
    <cellStyle name="40% - Accent5 2 7 2 2 6" xfId="43063"/>
    <cellStyle name="40% - Accent5 2 7 2 2 7" xfId="43064"/>
    <cellStyle name="40% - Accent5 2 7 2 3" xfId="43065"/>
    <cellStyle name="40% - Accent5 2 7 2 3 2" xfId="43066"/>
    <cellStyle name="40% - Accent5 2 7 2 3 2 2" xfId="43067"/>
    <cellStyle name="40% - Accent5 2 7 2 3 3" xfId="43068"/>
    <cellStyle name="40% - Accent5 2 7 2 3 3 2" xfId="43069"/>
    <cellStyle name="40% - Accent5 2 7 2 3 4" xfId="43070"/>
    <cellStyle name="40% - Accent5 2 7 2 3 5" xfId="43071"/>
    <cellStyle name="40% - Accent5 2 7 2 3 6" xfId="43072"/>
    <cellStyle name="40% - Accent5 2 7 2 3 7" xfId="43073"/>
    <cellStyle name="40% - Accent5 2 7 2 4" xfId="43074"/>
    <cellStyle name="40% - Accent5 2 7 2 4 2" xfId="43075"/>
    <cellStyle name="40% - Accent5 2 7 2 4 2 2" xfId="43076"/>
    <cellStyle name="40% - Accent5 2 7 2 4 3" xfId="43077"/>
    <cellStyle name="40% - Accent5 2 7 2 4 3 2" xfId="43078"/>
    <cellStyle name="40% - Accent5 2 7 2 4 4" xfId="43079"/>
    <cellStyle name="40% - Accent5 2 7 2 4 5" xfId="43080"/>
    <cellStyle name="40% - Accent5 2 7 2 4 6" xfId="43081"/>
    <cellStyle name="40% - Accent5 2 7 2 4 7" xfId="43082"/>
    <cellStyle name="40% - Accent5 2 7 2 5" xfId="43083"/>
    <cellStyle name="40% - Accent5 2 7 2 5 2" xfId="43084"/>
    <cellStyle name="40% - Accent5 2 7 2 6" xfId="43085"/>
    <cellStyle name="40% - Accent5 2 7 2 6 2" xfId="43086"/>
    <cellStyle name="40% - Accent5 2 7 2 7" xfId="43087"/>
    <cellStyle name="40% - Accent5 2 7 2 8" xfId="43088"/>
    <cellStyle name="40% - Accent5 2 7 2 9" xfId="43089"/>
    <cellStyle name="40% - Accent5 2 7 3" xfId="43090"/>
    <cellStyle name="40% - Accent5 2 7 3 2" xfId="43091"/>
    <cellStyle name="40% - Accent5 2 7 3 2 2" xfId="43092"/>
    <cellStyle name="40% - Accent5 2 7 3 3" xfId="43093"/>
    <cellStyle name="40% - Accent5 2 7 3 3 2" xfId="43094"/>
    <cellStyle name="40% - Accent5 2 7 3 4" xfId="43095"/>
    <cellStyle name="40% - Accent5 2 7 3 5" xfId="43096"/>
    <cellStyle name="40% - Accent5 2 7 3 6" xfId="43097"/>
    <cellStyle name="40% - Accent5 2 7 3 7" xfId="43098"/>
    <cellStyle name="40% - Accent5 2 7 4" xfId="43099"/>
    <cellStyle name="40% - Accent5 2 7 4 2" xfId="43100"/>
    <cellStyle name="40% - Accent5 2 7 4 2 2" xfId="43101"/>
    <cellStyle name="40% - Accent5 2 7 4 3" xfId="43102"/>
    <cellStyle name="40% - Accent5 2 7 4 3 2" xfId="43103"/>
    <cellStyle name="40% - Accent5 2 7 4 4" xfId="43104"/>
    <cellStyle name="40% - Accent5 2 7 4 5" xfId="43105"/>
    <cellStyle name="40% - Accent5 2 7 4 6" xfId="43106"/>
    <cellStyle name="40% - Accent5 2 7 4 7" xfId="43107"/>
    <cellStyle name="40% - Accent5 2 7 5" xfId="43108"/>
    <cellStyle name="40% - Accent5 2 7 5 2" xfId="43109"/>
    <cellStyle name="40% - Accent5 2 7 5 2 2" xfId="43110"/>
    <cellStyle name="40% - Accent5 2 7 5 3" xfId="43111"/>
    <cellStyle name="40% - Accent5 2 7 5 3 2" xfId="43112"/>
    <cellStyle name="40% - Accent5 2 7 5 4" xfId="43113"/>
    <cellStyle name="40% - Accent5 2 7 5 5" xfId="43114"/>
    <cellStyle name="40% - Accent5 2 7 5 6" xfId="43115"/>
    <cellStyle name="40% - Accent5 2 7 5 7" xfId="43116"/>
    <cellStyle name="40% - Accent5 2 7 6" xfId="43117"/>
    <cellStyle name="40% - Accent5 2 7 6 2" xfId="43118"/>
    <cellStyle name="40% - Accent5 2 7 7" xfId="43119"/>
    <cellStyle name="40% - Accent5 2 7 7 2" xfId="43120"/>
    <cellStyle name="40% - Accent5 2 7 8" xfId="43121"/>
    <cellStyle name="40% - Accent5 2 7 9" xfId="43122"/>
    <cellStyle name="40% - Accent5 2 8" xfId="43123"/>
    <cellStyle name="40% - Accent5 2 8 10" xfId="43124"/>
    <cellStyle name="40% - Accent5 2 8 11" xfId="43125"/>
    <cellStyle name="40% - Accent5 2 8 2" xfId="43126"/>
    <cellStyle name="40% - Accent5 2 8 2 10" xfId="43127"/>
    <cellStyle name="40% - Accent5 2 8 2 2" xfId="43128"/>
    <cellStyle name="40% - Accent5 2 8 2 2 2" xfId="43129"/>
    <cellStyle name="40% - Accent5 2 8 2 2 2 2" xfId="43130"/>
    <cellStyle name="40% - Accent5 2 8 2 2 3" xfId="43131"/>
    <cellStyle name="40% - Accent5 2 8 2 2 3 2" xfId="43132"/>
    <cellStyle name="40% - Accent5 2 8 2 2 4" xfId="43133"/>
    <cellStyle name="40% - Accent5 2 8 2 2 5" xfId="43134"/>
    <cellStyle name="40% - Accent5 2 8 2 2 6" xfId="43135"/>
    <cellStyle name="40% - Accent5 2 8 2 2 7" xfId="43136"/>
    <cellStyle name="40% - Accent5 2 8 2 3" xfId="43137"/>
    <cellStyle name="40% - Accent5 2 8 2 3 2" xfId="43138"/>
    <cellStyle name="40% - Accent5 2 8 2 3 2 2" xfId="43139"/>
    <cellStyle name="40% - Accent5 2 8 2 3 3" xfId="43140"/>
    <cellStyle name="40% - Accent5 2 8 2 3 3 2" xfId="43141"/>
    <cellStyle name="40% - Accent5 2 8 2 3 4" xfId="43142"/>
    <cellStyle name="40% - Accent5 2 8 2 3 5" xfId="43143"/>
    <cellStyle name="40% - Accent5 2 8 2 3 6" xfId="43144"/>
    <cellStyle name="40% - Accent5 2 8 2 3 7" xfId="43145"/>
    <cellStyle name="40% - Accent5 2 8 2 4" xfId="43146"/>
    <cellStyle name="40% - Accent5 2 8 2 4 2" xfId="43147"/>
    <cellStyle name="40% - Accent5 2 8 2 4 2 2" xfId="43148"/>
    <cellStyle name="40% - Accent5 2 8 2 4 3" xfId="43149"/>
    <cellStyle name="40% - Accent5 2 8 2 4 3 2" xfId="43150"/>
    <cellStyle name="40% - Accent5 2 8 2 4 4" xfId="43151"/>
    <cellStyle name="40% - Accent5 2 8 2 4 5" xfId="43152"/>
    <cellStyle name="40% - Accent5 2 8 2 4 6" xfId="43153"/>
    <cellStyle name="40% - Accent5 2 8 2 4 7" xfId="43154"/>
    <cellStyle name="40% - Accent5 2 8 2 5" xfId="43155"/>
    <cellStyle name="40% - Accent5 2 8 2 5 2" xfId="43156"/>
    <cellStyle name="40% - Accent5 2 8 2 6" xfId="43157"/>
    <cellStyle name="40% - Accent5 2 8 2 6 2" xfId="43158"/>
    <cellStyle name="40% - Accent5 2 8 2 7" xfId="43159"/>
    <cellStyle name="40% - Accent5 2 8 2 8" xfId="43160"/>
    <cellStyle name="40% - Accent5 2 8 2 9" xfId="43161"/>
    <cellStyle name="40% - Accent5 2 8 3" xfId="43162"/>
    <cellStyle name="40% - Accent5 2 8 3 2" xfId="43163"/>
    <cellStyle name="40% - Accent5 2 8 3 2 2" xfId="43164"/>
    <cellStyle name="40% - Accent5 2 8 3 3" xfId="43165"/>
    <cellStyle name="40% - Accent5 2 8 3 3 2" xfId="43166"/>
    <cellStyle name="40% - Accent5 2 8 3 4" xfId="43167"/>
    <cellStyle name="40% - Accent5 2 8 3 5" xfId="43168"/>
    <cellStyle name="40% - Accent5 2 8 3 6" xfId="43169"/>
    <cellStyle name="40% - Accent5 2 8 3 7" xfId="43170"/>
    <cellStyle name="40% - Accent5 2 8 4" xfId="43171"/>
    <cellStyle name="40% - Accent5 2 8 4 2" xfId="43172"/>
    <cellStyle name="40% - Accent5 2 8 4 2 2" xfId="43173"/>
    <cellStyle name="40% - Accent5 2 8 4 3" xfId="43174"/>
    <cellStyle name="40% - Accent5 2 8 4 3 2" xfId="43175"/>
    <cellStyle name="40% - Accent5 2 8 4 4" xfId="43176"/>
    <cellStyle name="40% - Accent5 2 8 4 5" xfId="43177"/>
    <cellStyle name="40% - Accent5 2 8 4 6" xfId="43178"/>
    <cellStyle name="40% - Accent5 2 8 4 7" xfId="43179"/>
    <cellStyle name="40% - Accent5 2 8 5" xfId="43180"/>
    <cellStyle name="40% - Accent5 2 8 5 2" xfId="43181"/>
    <cellStyle name="40% - Accent5 2 8 5 2 2" xfId="43182"/>
    <cellStyle name="40% - Accent5 2 8 5 3" xfId="43183"/>
    <cellStyle name="40% - Accent5 2 8 5 3 2" xfId="43184"/>
    <cellStyle name="40% - Accent5 2 8 5 4" xfId="43185"/>
    <cellStyle name="40% - Accent5 2 8 5 5" xfId="43186"/>
    <cellStyle name="40% - Accent5 2 8 5 6" xfId="43187"/>
    <cellStyle name="40% - Accent5 2 8 5 7" xfId="43188"/>
    <cellStyle name="40% - Accent5 2 8 6" xfId="43189"/>
    <cellStyle name="40% - Accent5 2 8 6 2" xfId="43190"/>
    <cellStyle name="40% - Accent5 2 8 7" xfId="43191"/>
    <cellStyle name="40% - Accent5 2 8 7 2" xfId="43192"/>
    <cellStyle name="40% - Accent5 2 8 8" xfId="43193"/>
    <cellStyle name="40% - Accent5 2 8 9" xfId="43194"/>
    <cellStyle name="40% - Accent5 2 9" xfId="43195"/>
    <cellStyle name="40% - Accent5 2 9 10" xfId="43196"/>
    <cellStyle name="40% - Accent5 2 9 2" xfId="43197"/>
    <cellStyle name="40% - Accent5 2 9 2 2" xfId="43198"/>
    <cellStyle name="40% - Accent5 2 9 2 2 2" xfId="43199"/>
    <cellStyle name="40% - Accent5 2 9 2 3" xfId="43200"/>
    <cellStyle name="40% - Accent5 2 9 2 3 2" xfId="43201"/>
    <cellStyle name="40% - Accent5 2 9 2 4" xfId="43202"/>
    <cellStyle name="40% - Accent5 2 9 2 5" xfId="43203"/>
    <cellStyle name="40% - Accent5 2 9 2 6" xfId="43204"/>
    <cellStyle name="40% - Accent5 2 9 2 7" xfId="43205"/>
    <cellStyle name="40% - Accent5 2 9 3" xfId="43206"/>
    <cellStyle name="40% - Accent5 2 9 3 2" xfId="43207"/>
    <cellStyle name="40% - Accent5 2 9 3 2 2" xfId="43208"/>
    <cellStyle name="40% - Accent5 2 9 3 3" xfId="43209"/>
    <cellStyle name="40% - Accent5 2 9 3 3 2" xfId="43210"/>
    <cellStyle name="40% - Accent5 2 9 3 4" xfId="43211"/>
    <cellStyle name="40% - Accent5 2 9 3 5" xfId="43212"/>
    <cellStyle name="40% - Accent5 2 9 3 6" xfId="43213"/>
    <cellStyle name="40% - Accent5 2 9 3 7" xfId="43214"/>
    <cellStyle name="40% - Accent5 2 9 4" xfId="43215"/>
    <cellStyle name="40% - Accent5 2 9 4 2" xfId="43216"/>
    <cellStyle name="40% - Accent5 2 9 4 2 2" xfId="43217"/>
    <cellStyle name="40% - Accent5 2 9 4 3" xfId="43218"/>
    <cellStyle name="40% - Accent5 2 9 4 3 2" xfId="43219"/>
    <cellStyle name="40% - Accent5 2 9 4 4" xfId="43220"/>
    <cellStyle name="40% - Accent5 2 9 4 5" xfId="43221"/>
    <cellStyle name="40% - Accent5 2 9 4 6" xfId="43222"/>
    <cellStyle name="40% - Accent5 2 9 4 7" xfId="43223"/>
    <cellStyle name="40% - Accent5 2 9 5" xfId="43224"/>
    <cellStyle name="40% - Accent5 2 9 5 2" xfId="43225"/>
    <cellStyle name="40% - Accent5 2 9 6" xfId="43226"/>
    <cellStyle name="40% - Accent5 2 9 6 2" xfId="43227"/>
    <cellStyle name="40% - Accent5 2 9 7" xfId="43228"/>
    <cellStyle name="40% - Accent5 2 9 8" xfId="43229"/>
    <cellStyle name="40% - Accent5 2 9 9" xfId="43230"/>
    <cellStyle name="40% - Accent5 2_10-15-10-Stmt AU - Period I - Working 1 0" xfId="369"/>
    <cellStyle name="40% - Accent5 3" xfId="370"/>
    <cellStyle name="40% - Accent5 3 10" xfId="43231"/>
    <cellStyle name="40% - Accent5 3 10 2" xfId="43232"/>
    <cellStyle name="40% - Accent5 3 10 2 2" xfId="43233"/>
    <cellStyle name="40% - Accent5 3 10 3" xfId="43234"/>
    <cellStyle name="40% - Accent5 3 10 3 2" xfId="43235"/>
    <cellStyle name="40% - Accent5 3 10 4" xfId="43236"/>
    <cellStyle name="40% - Accent5 3 10 5" xfId="43237"/>
    <cellStyle name="40% - Accent5 3 10 6" xfId="43238"/>
    <cellStyle name="40% - Accent5 3 10 7" xfId="43239"/>
    <cellStyle name="40% - Accent5 3 11" xfId="43240"/>
    <cellStyle name="40% - Accent5 3 11 2" xfId="43241"/>
    <cellStyle name="40% - Accent5 3 11 2 2" xfId="43242"/>
    <cellStyle name="40% - Accent5 3 11 3" xfId="43243"/>
    <cellStyle name="40% - Accent5 3 11 3 2" xfId="43244"/>
    <cellStyle name="40% - Accent5 3 11 4" xfId="43245"/>
    <cellStyle name="40% - Accent5 3 11 5" xfId="43246"/>
    <cellStyle name="40% - Accent5 3 11 6" xfId="43247"/>
    <cellStyle name="40% - Accent5 3 11 7" xfId="43248"/>
    <cellStyle name="40% - Accent5 3 12" xfId="43249"/>
    <cellStyle name="40% - Accent5 3 12 2" xfId="43250"/>
    <cellStyle name="40% - Accent5 3 12 2 2" xfId="43251"/>
    <cellStyle name="40% - Accent5 3 12 3" xfId="43252"/>
    <cellStyle name="40% - Accent5 3 12 3 2" xfId="43253"/>
    <cellStyle name="40% - Accent5 3 12 4" xfId="43254"/>
    <cellStyle name="40% - Accent5 3 12 5" xfId="43255"/>
    <cellStyle name="40% - Accent5 3 12 6" xfId="43256"/>
    <cellStyle name="40% - Accent5 3 12 7" xfId="43257"/>
    <cellStyle name="40% - Accent5 3 13" xfId="43258"/>
    <cellStyle name="40% - Accent5 3 13 2" xfId="43259"/>
    <cellStyle name="40% - Accent5 3 14" xfId="43260"/>
    <cellStyle name="40% - Accent5 3 14 2" xfId="43261"/>
    <cellStyle name="40% - Accent5 3 15" xfId="43262"/>
    <cellStyle name="40% - Accent5 3 16" xfId="43263"/>
    <cellStyle name="40% - Accent5 3 17" xfId="43264"/>
    <cellStyle name="40% - Accent5 3 18" xfId="43265"/>
    <cellStyle name="40% - Accent5 3 2" xfId="371"/>
    <cellStyle name="40% - Accent5 3 2 10" xfId="43266"/>
    <cellStyle name="40% - Accent5 3 2 11" xfId="43267"/>
    <cellStyle name="40% - Accent5 3 2 12" xfId="43268"/>
    <cellStyle name="40% - Accent5 3 2 13" xfId="43269"/>
    <cellStyle name="40% - Accent5 3 2 2" xfId="43270"/>
    <cellStyle name="40% - Accent5 3 2 2 10" xfId="43271"/>
    <cellStyle name="40% - Accent5 3 2 2 11" xfId="43272"/>
    <cellStyle name="40% - Accent5 3 2 2 2" xfId="43273"/>
    <cellStyle name="40% - Accent5 3 2 2 2 10" xfId="43274"/>
    <cellStyle name="40% - Accent5 3 2 2 2 2" xfId="43275"/>
    <cellStyle name="40% - Accent5 3 2 2 2 2 2" xfId="43276"/>
    <cellStyle name="40% - Accent5 3 2 2 2 2 2 2" xfId="43277"/>
    <cellStyle name="40% - Accent5 3 2 2 2 2 3" xfId="43278"/>
    <cellStyle name="40% - Accent5 3 2 2 2 2 3 2" xfId="43279"/>
    <cellStyle name="40% - Accent5 3 2 2 2 2 4" xfId="43280"/>
    <cellStyle name="40% - Accent5 3 2 2 2 2 5" xfId="43281"/>
    <cellStyle name="40% - Accent5 3 2 2 2 2 6" xfId="43282"/>
    <cellStyle name="40% - Accent5 3 2 2 2 2 7" xfId="43283"/>
    <cellStyle name="40% - Accent5 3 2 2 2 3" xfId="43284"/>
    <cellStyle name="40% - Accent5 3 2 2 2 3 2" xfId="43285"/>
    <cellStyle name="40% - Accent5 3 2 2 2 3 2 2" xfId="43286"/>
    <cellStyle name="40% - Accent5 3 2 2 2 3 3" xfId="43287"/>
    <cellStyle name="40% - Accent5 3 2 2 2 3 3 2" xfId="43288"/>
    <cellStyle name="40% - Accent5 3 2 2 2 3 4" xfId="43289"/>
    <cellStyle name="40% - Accent5 3 2 2 2 3 5" xfId="43290"/>
    <cellStyle name="40% - Accent5 3 2 2 2 3 6" xfId="43291"/>
    <cellStyle name="40% - Accent5 3 2 2 2 3 7" xfId="43292"/>
    <cellStyle name="40% - Accent5 3 2 2 2 4" xfId="43293"/>
    <cellStyle name="40% - Accent5 3 2 2 2 4 2" xfId="43294"/>
    <cellStyle name="40% - Accent5 3 2 2 2 4 2 2" xfId="43295"/>
    <cellStyle name="40% - Accent5 3 2 2 2 4 3" xfId="43296"/>
    <cellStyle name="40% - Accent5 3 2 2 2 4 3 2" xfId="43297"/>
    <cellStyle name="40% - Accent5 3 2 2 2 4 4" xfId="43298"/>
    <cellStyle name="40% - Accent5 3 2 2 2 4 5" xfId="43299"/>
    <cellStyle name="40% - Accent5 3 2 2 2 4 6" xfId="43300"/>
    <cellStyle name="40% - Accent5 3 2 2 2 4 7" xfId="43301"/>
    <cellStyle name="40% - Accent5 3 2 2 2 5" xfId="43302"/>
    <cellStyle name="40% - Accent5 3 2 2 2 5 2" xfId="43303"/>
    <cellStyle name="40% - Accent5 3 2 2 2 6" xfId="43304"/>
    <cellStyle name="40% - Accent5 3 2 2 2 6 2" xfId="43305"/>
    <cellStyle name="40% - Accent5 3 2 2 2 7" xfId="43306"/>
    <cellStyle name="40% - Accent5 3 2 2 2 8" xfId="43307"/>
    <cellStyle name="40% - Accent5 3 2 2 2 9" xfId="43308"/>
    <cellStyle name="40% - Accent5 3 2 2 3" xfId="43309"/>
    <cellStyle name="40% - Accent5 3 2 2 3 2" xfId="43310"/>
    <cellStyle name="40% - Accent5 3 2 2 3 2 2" xfId="43311"/>
    <cellStyle name="40% - Accent5 3 2 2 3 3" xfId="43312"/>
    <cellStyle name="40% - Accent5 3 2 2 3 3 2" xfId="43313"/>
    <cellStyle name="40% - Accent5 3 2 2 3 4" xfId="43314"/>
    <cellStyle name="40% - Accent5 3 2 2 3 5" xfId="43315"/>
    <cellStyle name="40% - Accent5 3 2 2 3 6" xfId="43316"/>
    <cellStyle name="40% - Accent5 3 2 2 3 7" xfId="43317"/>
    <cellStyle name="40% - Accent5 3 2 2 4" xfId="43318"/>
    <cellStyle name="40% - Accent5 3 2 2 4 2" xfId="43319"/>
    <cellStyle name="40% - Accent5 3 2 2 4 2 2" xfId="43320"/>
    <cellStyle name="40% - Accent5 3 2 2 4 3" xfId="43321"/>
    <cellStyle name="40% - Accent5 3 2 2 4 3 2" xfId="43322"/>
    <cellStyle name="40% - Accent5 3 2 2 4 4" xfId="43323"/>
    <cellStyle name="40% - Accent5 3 2 2 4 5" xfId="43324"/>
    <cellStyle name="40% - Accent5 3 2 2 4 6" xfId="43325"/>
    <cellStyle name="40% - Accent5 3 2 2 4 7" xfId="43326"/>
    <cellStyle name="40% - Accent5 3 2 2 5" xfId="43327"/>
    <cellStyle name="40% - Accent5 3 2 2 5 2" xfId="43328"/>
    <cellStyle name="40% - Accent5 3 2 2 5 2 2" xfId="43329"/>
    <cellStyle name="40% - Accent5 3 2 2 5 3" xfId="43330"/>
    <cellStyle name="40% - Accent5 3 2 2 5 3 2" xfId="43331"/>
    <cellStyle name="40% - Accent5 3 2 2 5 4" xfId="43332"/>
    <cellStyle name="40% - Accent5 3 2 2 5 5" xfId="43333"/>
    <cellStyle name="40% - Accent5 3 2 2 5 6" xfId="43334"/>
    <cellStyle name="40% - Accent5 3 2 2 5 7" xfId="43335"/>
    <cellStyle name="40% - Accent5 3 2 2 6" xfId="43336"/>
    <cellStyle name="40% - Accent5 3 2 2 6 2" xfId="43337"/>
    <cellStyle name="40% - Accent5 3 2 2 7" xfId="43338"/>
    <cellStyle name="40% - Accent5 3 2 2 7 2" xfId="43339"/>
    <cellStyle name="40% - Accent5 3 2 2 8" xfId="43340"/>
    <cellStyle name="40% - Accent5 3 2 2 9" xfId="43341"/>
    <cellStyle name="40% - Accent5 3 2 3" xfId="43342"/>
    <cellStyle name="40% - Accent5 3 2 3 10" xfId="43343"/>
    <cellStyle name="40% - Accent5 3 2 3 11" xfId="43344"/>
    <cellStyle name="40% - Accent5 3 2 3 2" xfId="43345"/>
    <cellStyle name="40% - Accent5 3 2 3 2 10" xfId="43346"/>
    <cellStyle name="40% - Accent5 3 2 3 2 2" xfId="43347"/>
    <cellStyle name="40% - Accent5 3 2 3 2 2 2" xfId="43348"/>
    <cellStyle name="40% - Accent5 3 2 3 2 2 2 2" xfId="43349"/>
    <cellStyle name="40% - Accent5 3 2 3 2 2 3" xfId="43350"/>
    <cellStyle name="40% - Accent5 3 2 3 2 2 3 2" xfId="43351"/>
    <cellStyle name="40% - Accent5 3 2 3 2 2 4" xfId="43352"/>
    <cellStyle name="40% - Accent5 3 2 3 2 2 5" xfId="43353"/>
    <cellStyle name="40% - Accent5 3 2 3 2 2 6" xfId="43354"/>
    <cellStyle name="40% - Accent5 3 2 3 2 2 7" xfId="43355"/>
    <cellStyle name="40% - Accent5 3 2 3 2 3" xfId="43356"/>
    <cellStyle name="40% - Accent5 3 2 3 2 3 2" xfId="43357"/>
    <cellStyle name="40% - Accent5 3 2 3 2 3 2 2" xfId="43358"/>
    <cellStyle name="40% - Accent5 3 2 3 2 3 3" xfId="43359"/>
    <cellStyle name="40% - Accent5 3 2 3 2 3 3 2" xfId="43360"/>
    <cellStyle name="40% - Accent5 3 2 3 2 3 4" xfId="43361"/>
    <cellStyle name="40% - Accent5 3 2 3 2 3 5" xfId="43362"/>
    <cellStyle name="40% - Accent5 3 2 3 2 3 6" xfId="43363"/>
    <cellStyle name="40% - Accent5 3 2 3 2 3 7" xfId="43364"/>
    <cellStyle name="40% - Accent5 3 2 3 2 4" xfId="43365"/>
    <cellStyle name="40% - Accent5 3 2 3 2 4 2" xfId="43366"/>
    <cellStyle name="40% - Accent5 3 2 3 2 4 2 2" xfId="43367"/>
    <cellStyle name="40% - Accent5 3 2 3 2 4 3" xfId="43368"/>
    <cellStyle name="40% - Accent5 3 2 3 2 4 3 2" xfId="43369"/>
    <cellStyle name="40% - Accent5 3 2 3 2 4 4" xfId="43370"/>
    <cellStyle name="40% - Accent5 3 2 3 2 4 5" xfId="43371"/>
    <cellStyle name="40% - Accent5 3 2 3 2 4 6" xfId="43372"/>
    <cellStyle name="40% - Accent5 3 2 3 2 4 7" xfId="43373"/>
    <cellStyle name="40% - Accent5 3 2 3 2 5" xfId="43374"/>
    <cellStyle name="40% - Accent5 3 2 3 2 5 2" xfId="43375"/>
    <cellStyle name="40% - Accent5 3 2 3 2 6" xfId="43376"/>
    <cellStyle name="40% - Accent5 3 2 3 2 6 2" xfId="43377"/>
    <cellStyle name="40% - Accent5 3 2 3 2 7" xfId="43378"/>
    <cellStyle name="40% - Accent5 3 2 3 2 8" xfId="43379"/>
    <cellStyle name="40% - Accent5 3 2 3 2 9" xfId="43380"/>
    <cellStyle name="40% - Accent5 3 2 3 3" xfId="43381"/>
    <cellStyle name="40% - Accent5 3 2 3 3 2" xfId="43382"/>
    <cellStyle name="40% - Accent5 3 2 3 3 2 2" xfId="43383"/>
    <cellStyle name="40% - Accent5 3 2 3 3 3" xfId="43384"/>
    <cellStyle name="40% - Accent5 3 2 3 3 3 2" xfId="43385"/>
    <cellStyle name="40% - Accent5 3 2 3 3 4" xfId="43386"/>
    <cellStyle name="40% - Accent5 3 2 3 3 5" xfId="43387"/>
    <cellStyle name="40% - Accent5 3 2 3 3 6" xfId="43388"/>
    <cellStyle name="40% - Accent5 3 2 3 3 7" xfId="43389"/>
    <cellStyle name="40% - Accent5 3 2 3 4" xfId="43390"/>
    <cellStyle name="40% - Accent5 3 2 3 4 2" xfId="43391"/>
    <cellStyle name="40% - Accent5 3 2 3 4 2 2" xfId="43392"/>
    <cellStyle name="40% - Accent5 3 2 3 4 3" xfId="43393"/>
    <cellStyle name="40% - Accent5 3 2 3 4 3 2" xfId="43394"/>
    <cellStyle name="40% - Accent5 3 2 3 4 4" xfId="43395"/>
    <cellStyle name="40% - Accent5 3 2 3 4 5" xfId="43396"/>
    <cellStyle name="40% - Accent5 3 2 3 4 6" xfId="43397"/>
    <cellStyle name="40% - Accent5 3 2 3 4 7" xfId="43398"/>
    <cellStyle name="40% - Accent5 3 2 3 5" xfId="43399"/>
    <cellStyle name="40% - Accent5 3 2 3 5 2" xfId="43400"/>
    <cellStyle name="40% - Accent5 3 2 3 5 2 2" xfId="43401"/>
    <cellStyle name="40% - Accent5 3 2 3 5 3" xfId="43402"/>
    <cellStyle name="40% - Accent5 3 2 3 5 3 2" xfId="43403"/>
    <cellStyle name="40% - Accent5 3 2 3 5 4" xfId="43404"/>
    <cellStyle name="40% - Accent5 3 2 3 5 5" xfId="43405"/>
    <cellStyle name="40% - Accent5 3 2 3 5 6" xfId="43406"/>
    <cellStyle name="40% - Accent5 3 2 3 5 7" xfId="43407"/>
    <cellStyle name="40% - Accent5 3 2 3 6" xfId="43408"/>
    <cellStyle name="40% - Accent5 3 2 3 6 2" xfId="43409"/>
    <cellStyle name="40% - Accent5 3 2 3 7" xfId="43410"/>
    <cellStyle name="40% - Accent5 3 2 3 7 2" xfId="43411"/>
    <cellStyle name="40% - Accent5 3 2 3 8" xfId="43412"/>
    <cellStyle name="40% - Accent5 3 2 3 9" xfId="43413"/>
    <cellStyle name="40% - Accent5 3 2 4" xfId="43414"/>
    <cellStyle name="40% - Accent5 3 2 4 10" xfId="43415"/>
    <cellStyle name="40% - Accent5 3 2 4 2" xfId="43416"/>
    <cellStyle name="40% - Accent5 3 2 4 2 2" xfId="43417"/>
    <cellStyle name="40% - Accent5 3 2 4 2 2 2" xfId="43418"/>
    <cellStyle name="40% - Accent5 3 2 4 2 3" xfId="43419"/>
    <cellStyle name="40% - Accent5 3 2 4 2 3 2" xfId="43420"/>
    <cellStyle name="40% - Accent5 3 2 4 2 4" xfId="43421"/>
    <cellStyle name="40% - Accent5 3 2 4 2 5" xfId="43422"/>
    <cellStyle name="40% - Accent5 3 2 4 2 6" xfId="43423"/>
    <cellStyle name="40% - Accent5 3 2 4 2 7" xfId="43424"/>
    <cellStyle name="40% - Accent5 3 2 4 3" xfId="43425"/>
    <cellStyle name="40% - Accent5 3 2 4 3 2" xfId="43426"/>
    <cellStyle name="40% - Accent5 3 2 4 3 2 2" xfId="43427"/>
    <cellStyle name="40% - Accent5 3 2 4 3 3" xfId="43428"/>
    <cellStyle name="40% - Accent5 3 2 4 3 3 2" xfId="43429"/>
    <cellStyle name="40% - Accent5 3 2 4 3 4" xfId="43430"/>
    <cellStyle name="40% - Accent5 3 2 4 3 5" xfId="43431"/>
    <cellStyle name="40% - Accent5 3 2 4 3 6" xfId="43432"/>
    <cellStyle name="40% - Accent5 3 2 4 3 7" xfId="43433"/>
    <cellStyle name="40% - Accent5 3 2 4 4" xfId="43434"/>
    <cellStyle name="40% - Accent5 3 2 4 4 2" xfId="43435"/>
    <cellStyle name="40% - Accent5 3 2 4 4 2 2" xfId="43436"/>
    <cellStyle name="40% - Accent5 3 2 4 4 3" xfId="43437"/>
    <cellStyle name="40% - Accent5 3 2 4 4 3 2" xfId="43438"/>
    <cellStyle name="40% - Accent5 3 2 4 4 4" xfId="43439"/>
    <cellStyle name="40% - Accent5 3 2 4 4 5" xfId="43440"/>
    <cellStyle name="40% - Accent5 3 2 4 4 6" xfId="43441"/>
    <cellStyle name="40% - Accent5 3 2 4 4 7" xfId="43442"/>
    <cellStyle name="40% - Accent5 3 2 4 5" xfId="43443"/>
    <cellStyle name="40% - Accent5 3 2 4 5 2" xfId="43444"/>
    <cellStyle name="40% - Accent5 3 2 4 6" xfId="43445"/>
    <cellStyle name="40% - Accent5 3 2 4 6 2" xfId="43446"/>
    <cellStyle name="40% - Accent5 3 2 4 7" xfId="43447"/>
    <cellStyle name="40% - Accent5 3 2 4 8" xfId="43448"/>
    <cellStyle name="40% - Accent5 3 2 4 9" xfId="43449"/>
    <cellStyle name="40% - Accent5 3 2 5" xfId="43450"/>
    <cellStyle name="40% - Accent5 3 2 5 2" xfId="43451"/>
    <cellStyle name="40% - Accent5 3 2 5 2 2" xfId="43452"/>
    <cellStyle name="40% - Accent5 3 2 5 3" xfId="43453"/>
    <cellStyle name="40% - Accent5 3 2 5 3 2" xfId="43454"/>
    <cellStyle name="40% - Accent5 3 2 5 4" xfId="43455"/>
    <cellStyle name="40% - Accent5 3 2 5 5" xfId="43456"/>
    <cellStyle name="40% - Accent5 3 2 5 6" xfId="43457"/>
    <cellStyle name="40% - Accent5 3 2 5 7" xfId="43458"/>
    <cellStyle name="40% - Accent5 3 2 6" xfId="43459"/>
    <cellStyle name="40% - Accent5 3 2 6 2" xfId="43460"/>
    <cellStyle name="40% - Accent5 3 2 6 2 2" xfId="43461"/>
    <cellStyle name="40% - Accent5 3 2 6 3" xfId="43462"/>
    <cellStyle name="40% - Accent5 3 2 6 3 2" xfId="43463"/>
    <cellStyle name="40% - Accent5 3 2 6 4" xfId="43464"/>
    <cellStyle name="40% - Accent5 3 2 6 5" xfId="43465"/>
    <cellStyle name="40% - Accent5 3 2 6 6" xfId="43466"/>
    <cellStyle name="40% - Accent5 3 2 6 7" xfId="43467"/>
    <cellStyle name="40% - Accent5 3 2 7" xfId="43468"/>
    <cellStyle name="40% - Accent5 3 2 7 2" xfId="43469"/>
    <cellStyle name="40% - Accent5 3 2 7 2 2" xfId="43470"/>
    <cellStyle name="40% - Accent5 3 2 7 3" xfId="43471"/>
    <cellStyle name="40% - Accent5 3 2 7 3 2" xfId="43472"/>
    <cellStyle name="40% - Accent5 3 2 7 4" xfId="43473"/>
    <cellStyle name="40% - Accent5 3 2 7 5" xfId="43474"/>
    <cellStyle name="40% - Accent5 3 2 7 6" xfId="43475"/>
    <cellStyle name="40% - Accent5 3 2 7 7" xfId="43476"/>
    <cellStyle name="40% - Accent5 3 2 8" xfId="43477"/>
    <cellStyle name="40% - Accent5 3 2 8 2" xfId="43478"/>
    <cellStyle name="40% - Accent5 3 2 9" xfId="43479"/>
    <cellStyle name="40% - Accent5 3 2 9 2" xfId="43480"/>
    <cellStyle name="40% - Accent5 3 3" xfId="372"/>
    <cellStyle name="40% - Accent5 3 3 10" xfId="43481"/>
    <cellStyle name="40% - Accent5 3 3 11" xfId="43482"/>
    <cellStyle name="40% - Accent5 3 3 12" xfId="43483"/>
    <cellStyle name="40% - Accent5 3 3 13" xfId="43484"/>
    <cellStyle name="40% - Accent5 3 3 2" xfId="43485"/>
    <cellStyle name="40% - Accent5 3 3 2 10" xfId="43486"/>
    <cellStyle name="40% - Accent5 3 3 2 11" xfId="43487"/>
    <cellStyle name="40% - Accent5 3 3 2 2" xfId="43488"/>
    <cellStyle name="40% - Accent5 3 3 2 2 10" xfId="43489"/>
    <cellStyle name="40% - Accent5 3 3 2 2 2" xfId="43490"/>
    <cellStyle name="40% - Accent5 3 3 2 2 2 2" xfId="43491"/>
    <cellStyle name="40% - Accent5 3 3 2 2 2 2 2" xfId="43492"/>
    <cellStyle name="40% - Accent5 3 3 2 2 2 3" xfId="43493"/>
    <cellStyle name="40% - Accent5 3 3 2 2 2 3 2" xfId="43494"/>
    <cellStyle name="40% - Accent5 3 3 2 2 2 4" xfId="43495"/>
    <cellStyle name="40% - Accent5 3 3 2 2 2 5" xfId="43496"/>
    <cellStyle name="40% - Accent5 3 3 2 2 2 6" xfId="43497"/>
    <cellStyle name="40% - Accent5 3 3 2 2 2 7" xfId="43498"/>
    <cellStyle name="40% - Accent5 3 3 2 2 3" xfId="43499"/>
    <cellStyle name="40% - Accent5 3 3 2 2 3 2" xfId="43500"/>
    <cellStyle name="40% - Accent5 3 3 2 2 3 2 2" xfId="43501"/>
    <cellStyle name="40% - Accent5 3 3 2 2 3 3" xfId="43502"/>
    <cellStyle name="40% - Accent5 3 3 2 2 3 3 2" xfId="43503"/>
    <cellStyle name="40% - Accent5 3 3 2 2 3 4" xfId="43504"/>
    <cellStyle name="40% - Accent5 3 3 2 2 3 5" xfId="43505"/>
    <cellStyle name="40% - Accent5 3 3 2 2 3 6" xfId="43506"/>
    <cellStyle name="40% - Accent5 3 3 2 2 3 7" xfId="43507"/>
    <cellStyle name="40% - Accent5 3 3 2 2 4" xfId="43508"/>
    <cellStyle name="40% - Accent5 3 3 2 2 4 2" xfId="43509"/>
    <cellStyle name="40% - Accent5 3 3 2 2 4 2 2" xfId="43510"/>
    <cellStyle name="40% - Accent5 3 3 2 2 4 3" xfId="43511"/>
    <cellStyle name="40% - Accent5 3 3 2 2 4 3 2" xfId="43512"/>
    <cellStyle name="40% - Accent5 3 3 2 2 4 4" xfId="43513"/>
    <cellStyle name="40% - Accent5 3 3 2 2 4 5" xfId="43514"/>
    <cellStyle name="40% - Accent5 3 3 2 2 4 6" xfId="43515"/>
    <cellStyle name="40% - Accent5 3 3 2 2 4 7" xfId="43516"/>
    <cellStyle name="40% - Accent5 3 3 2 2 5" xfId="43517"/>
    <cellStyle name="40% - Accent5 3 3 2 2 5 2" xfId="43518"/>
    <cellStyle name="40% - Accent5 3 3 2 2 6" xfId="43519"/>
    <cellStyle name="40% - Accent5 3 3 2 2 6 2" xfId="43520"/>
    <cellStyle name="40% - Accent5 3 3 2 2 7" xfId="43521"/>
    <cellStyle name="40% - Accent5 3 3 2 2 8" xfId="43522"/>
    <cellStyle name="40% - Accent5 3 3 2 2 9" xfId="43523"/>
    <cellStyle name="40% - Accent5 3 3 2 3" xfId="43524"/>
    <cellStyle name="40% - Accent5 3 3 2 3 2" xfId="43525"/>
    <cellStyle name="40% - Accent5 3 3 2 3 2 2" xfId="43526"/>
    <cellStyle name="40% - Accent5 3 3 2 3 3" xfId="43527"/>
    <cellStyle name="40% - Accent5 3 3 2 3 3 2" xfId="43528"/>
    <cellStyle name="40% - Accent5 3 3 2 3 4" xfId="43529"/>
    <cellStyle name="40% - Accent5 3 3 2 3 5" xfId="43530"/>
    <cellStyle name="40% - Accent5 3 3 2 3 6" xfId="43531"/>
    <cellStyle name="40% - Accent5 3 3 2 3 7" xfId="43532"/>
    <cellStyle name="40% - Accent5 3 3 2 4" xfId="43533"/>
    <cellStyle name="40% - Accent5 3 3 2 4 2" xfId="43534"/>
    <cellStyle name="40% - Accent5 3 3 2 4 2 2" xfId="43535"/>
    <cellStyle name="40% - Accent5 3 3 2 4 3" xfId="43536"/>
    <cellStyle name="40% - Accent5 3 3 2 4 3 2" xfId="43537"/>
    <cellStyle name="40% - Accent5 3 3 2 4 4" xfId="43538"/>
    <cellStyle name="40% - Accent5 3 3 2 4 5" xfId="43539"/>
    <cellStyle name="40% - Accent5 3 3 2 4 6" xfId="43540"/>
    <cellStyle name="40% - Accent5 3 3 2 4 7" xfId="43541"/>
    <cellStyle name="40% - Accent5 3 3 2 5" xfId="43542"/>
    <cellStyle name="40% - Accent5 3 3 2 5 2" xfId="43543"/>
    <cellStyle name="40% - Accent5 3 3 2 5 2 2" xfId="43544"/>
    <cellStyle name="40% - Accent5 3 3 2 5 3" xfId="43545"/>
    <cellStyle name="40% - Accent5 3 3 2 5 3 2" xfId="43546"/>
    <cellStyle name="40% - Accent5 3 3 2 5 4" xfId="43547"/>
    <cellStyle name="40% - Accent5 3 3 2 5 5" xfId="43548"/>
    <cellStyle name="40% - Accent5 3 3 2 5 6" xfId="43549"/>
    <cellStyle name="40% - Accent5 3 3 2 5 7" xfId="43550"/>
    <cellStyle name="40% - Accent5 3 3 2 6" xfId="43551"/>
    <cellStyle name="40% - Accent5 3 3 2 6 2" xfId="43552"/>
    <cellStyle name="40% - Accent5 3 3 2 7" xfId="43553"/>
    <cellStyle name="40% - Accent5 3 3 2 7 2" xfId="43554"/>
    <cellStyle name="40% - Accent5 3 3 2 8" xfId="43555"/>
    <cellStyle name="40% - Accent5 3 3 2 9" xfId="43556"/>
    <cellStyle name="40% - Accent5 3 3 3" xfId="43557"/>
    <cellStyle name="40% - Accent5 3 3 3 10" xfId="43558"/>
    <cellStyle name="40% - Accent5 3 3 3 11" xfId="43559"/>
    <cellStyle name="40% - Accent5 3 3 3 2" xfId="43560"/>
    <cellStyle name="40% - Accent5 3 3 3 2 10" xfId="43561"/>
    <cellStyle name="40% - Accent5 3 3 3 2 2" xfId="43562"/>
    <cellStyle name="40% - Accent5 3 3 3 2 2 2" xfId="43563"/>
    <cellStyle name="40% - Accent5 3 3 3 2 2 2 2" xfId="43564"/>
    <cellStyle name="40% - Accent5 3 3 3 2 2 3" xfId="43565"/>
    <cellStyle name="40% - Accent5 3 3 3 2 2 3 2" xfId="43566"/>
    <cellStyle name="40% - Accent5 3 3 3 2 2 4" xfId="43567"/>
    <cellStyle name="40% - Accent5 3 3 3 2 2 5" xfId="43568"/>
    <cellStyle name="40% - Accent5 3 3 3 2 2 6" xfId="43569"/>
    <cellStyle name="40% - Accent5 3 3 3 2 2 7" xfId="43570"/>
    <cellStyle name="40% - Accent5 3 3 3 2 3" xfId="43571"/>
    <cellStyle name="40% - Accent5 3 3 3 2 3 2" xfId="43572"/>
    <cellStyle name="40% - Accent5 3 3 3 2 3 2 2" xfId="43573"/>
    <cellStyle name="40% - Accent5 3 3 3 2 3 3" xfId="43574"/>
    <cellStyle name="40% - Accent5 3 3 3 2 3 3 2" xfId="43575"/>
    <cellStyle name="40% - Accent5 3 3 3 2 3 4" xfId="43576"/>
    <cellStyle name="40% - Accent5 3 3 3 2 3 5" xfId="43577"/>
    <cellStyle name="40% - Accent5 3 3 3 2 3 6" xfId="43578"/>
    <cellStyle name="40% - Accent5 3 3 3 2 3 7" xfId="43579"/>
    <cellStyle name="40% - Accent5 3 3 3 2 4" xfId="43580"/>
    <cellStyle name="40% - Accent5 3 3 3 2 4 2" xfId="43581"/>
    <cellStyle name="40% - Accent5 3 3 3 2 4 2 2" xfId="43582"/>
    <cellStyle name="40% - Accent5 3 3 3 2 4 3" xfId="43583"/>
    <cellStyle name="40% - Accent5 3 3 3 2 4 3 2" xfId="43584"/>
    <cellStyle name="40% - Accent5 3 3 3 2 4 4" xfId="43585"/>
    <cellStyle name="40% - Accent5 3 3 3 2 4 5" xfId="43586"/>
    <cellStyle name="40% - Accent5 3 3 3 2 4 6" xfId="43587"/>
    <cellStyle name="40% - Accent5 3 3 3 2 4 7" xfId="43588"/>
    <cellStyle name="40% - Accent5 3 3 3 2 5" xfId="43589"/>
    <cellStyle name="40% - Accent5 3 3 3 2 5 2" xfId="43590"/>
    <cellStyle name="40% - Accent5 3 3 3 2 6" xfId="43591"/>
    <cellStyle name="40% - Accent5 3 3 3 2 6 2" xfId="43592"/>
    <cellStyle name="40% - Accent5 3 3 3 2 7" xfId="43593"/>
    <cellStyle name="40% - Accent5 3 3 3 2 8" xfId="43594"/>
    <cellStyle name="40% - Accent5 3 3 3 2 9" xfId="43595"/>
    <cellStyle name="40% - Accent5 3 3 3 3" xfId="43596"/>
    <cellStyle name="40% - Accent5 3 3 3 3 2" xfId="43597"/>
    <cellStyle name="40% - Accent5 3 3 3 3 2 2" xfId="43598"/>
    <cellStyle name="40% - Accent5 3 3 3 3 3" xfId="43599"/>
    <cellStyle name="40% - Accent5 3 3 3 3 3 2" xfId="43600"/>
    <cellStyle name="40% - Accent5 3 3 3 3 4" xfId="43601"/>
    <cellStyle name="40% - Accent5 3 3 3 3 5" xfId="43602"/>
    <cellStyle name="40% - Accent5 3 3 3 3 6" xfId="43603"/>
    <cellStyle name="40% - Accent5 3 3 3 3 7" xfId="43604"/>
    <cellStyle name="40% - Accent5 3 3 3 4" xfId="43605"/>
    <cellStyle name="40% - Accent5 3 3 3 4 2" xfId="43606"/>
    <cellStyle name="40% - Accent5 3 3 3 4 2 2" xfId="43607"/>
    <cellStyle name="40% - Accent5 3 3 3 4 3" xfId="43608"/>
    <cellStyle name="40% - Accent5 3 3 3 4 3 2" xfId="43609"/>
    <cellStyle name="40% - Accent5 3 3 3 4 4" xfId="43610"/>
    <cellStyle name="40% - Accent5 3 3 3 4 5" xfId="43611"/>
    <cellStyle name="40% - Accent5 3 3 3 4 6" xfId="43612"/>
    <cellStyle name="40% - Accent5 3 3 3 4 7" xfId="43613"/>
    <cellStyle name="40% - Accent5 3 3 3 5" xfId="43614"/>
    <cellStyle name="40% - Accent5 3 3 3 5 2" xfId="43615"/>
    <cellStyle name="40% - Accent5 3 3 3 5 2 2" xfId="43616"/>
    <cellStyle name="40% - Accent5 3 3 3 5 3" xfId="43617"/>
    <cellStyle name="40% - Accent5 3 3 3 5 3 2" xfId="43618"/>
    <cellStyle name="40% - Accent5 3 3 3 5 4" xfId="43619"/>
    <cellStyle name="40% - Accent5 3 3 3 5 5" xfId="43620"/>
    <cellStyle name="40% - Accent5 3 3 3 5 6" xfId="43621"/>
    <cellStyle name="40% - Accent5 3 3 3 5 7" xfId="43622"/>
    <cellStyle name="40% - Accent5 3 3 3 6" xfId="43623"/>
    <cellStyle name="40% - Accent5 3 3 3 6 2" xfId="43624"/>
    <cellStyle name="40% - Accent5 3 3 3 7" xfId="43625"/>
    <cellStyle name="40% - Accent5 3 3 3 7 2" xfId="43626"/>
    <cellStyle name="40% - Accent5 3 3 3 8" xfId="43627"/>
    <cellStyle name="40% - Accent5 3 3 3 9" xfId="43628"/>
    <cellStyle name="40% - Accent5 3 3 4" xfId="43629"/>
    <cellStyle name="40% - Accent5 3 3 4 10" xfId="43630"/>
    <cellStyle name="40% - Accent5 3 3 4 2" xfId="43631"/>
    <cellStyle name="40% - Accent5 3 3 4 2 2" xfId="43632"/>
    <cellStyle name="40% - Accent5 3 3 4 2 2 2" xfId="43633"/>
    <cellStyle name="40% - Accent5 3 3 4 2 3" xfId="43634"/>
    <cellStyle name="40% - Accent5 3 3 4 2 3 2" xfId="43635"/>
    <cellStyle name="40% - Accent5 3 3 4 2 4" xfId="43636"/>
    <cellStyle name="40% - Accent5 3 3 4 2 5" xfId="43637"/>
    <cellStyle name="40% - Accent5 3 3 4 2 6" xfId="43638"/>
    <cellStyle name="40% - Accent5 3 3 4 2 7" xfId="43639"/>
    <cellStyle name="40% - Accent5 3 3 4 3" xfId="43640"/>
    <cellStyle name="40% - Accent5 3 3 4 3 2" xfId="43641"/>
    <cellStyle name="40% - Accent5 3 3 4 3 2 2" xfId="43642"/>
    <cellStyle name="40% - Accent5 3 3 4 3 3" xfId="43643"/>
    <cellStyle name="40% - Accent5 3 3 4 3 3 2" xfId="43644"/>
    <cellStyle name="40% - Accent5 3 3 4 3 4" xfId="43645"/>
    <cellStyle name="40% - Accent5 3 3 4 3 5" xfId="43646"/>
    <cellStyle name="40% - Accent5 3 3 4 3 6" xfId="43647"/>
    <cellStyle name="40% - Accent5 3 3 4 3 7" xfId="43648"/>
    <cellStyle name="40% - Accent5 3 3 4 4" xfId="43649"/>
    <cellStyle name="40% - Accent5 3 3 4 4 2" xfId="43650"/>
    <cellStyle name="40% - Accent5 3 3 4 4 2 2" xfId="43651"/>
    <cellStyle name="40% - Accent5 3 3 4 4 3" xfId="43652"/>
    <cellStyle name="40% - Accent5 3 3 4 4 3 2" xfId="43653"/>
    <cellStyle name="40% - Accent5 3 3 4 4 4" xfId="43654"/>
    <cellStyle name="40% - Accent5 3 3 4 4 5" xfId="43655"/>
    <cellStyle name="40% - Accent5 3 3 4 4 6" xfId="43656"/>
    <cellStyle name="40% - Accent5 3 3 4 4 7" xfId="43657"/>
    <cellStyle name="40% - Accent5 3 3 4 5" xfId="43658"/>
    <cellStyle name="40% - Accent5 3 3 4 5 2" xfId="43659"/>
    <cellStyle name="40% - Accent5 3 3 4 6" xfId="43660"/>
    <cellStyle name="40% - Accent5 3 3 4 6 2" xfId="43661"/>
    <cellStyle name="40% - Accent5 3 3 4 7" xfId="43662"/>
    <cellStyle name="40% - Accent5 3 3 4 8" xfId="43663"/>
    <cellStyle name="40% - Accent5 3 3 4 9" xfId="43664"/>
    <cellStyle name="40% - Accent5 3 3 5" xfId="43665"/>
    <cellStyle name="40% - Accent5 3 3 5 2" xfId="43666"/>
    <cellStyle name="40% - Accent5 3 3 5 2 2" xfId="43667"/>
    <cellStyle name="40% - Accent5 3 3 5 3" xfId="43668"/>
    <cellStyle name="40% - Accent5 3 3 5 3 2" xfId="43669"/>
    <cellStyle name="40% - Accent5 3 3 5 4" xfId="43670"/>
    <cellStyle name="40% - Accent5 3 3 5 5" xfId="43671"/>
    <cellStyle name="40% - Accent5 3 3 5 6" xfId="43672"/>
    <cellStyle name="40% - Accent5 3 3 5 7" xfId="43673"/>
    <cellStyle name="40% - Accent5 3 3 6" xfId="43674"/>
    <cellStyle name="40% - Accent5 3 3 6 2" xfId="43675"/>
    <cellStyle name="40% - Accent5 3 3 6 2 2" xfId="43676"/>
    <cellStyle name="40% - Accent5 3 3 6 3" xfId="43677"/>
    <cellStyle name="40% - Accent5 3 3 6 3 2" xfId="43678"/>
    <cellStyle name="40% - Accent5 3 3 6 4" xfId="43679"/>
    <cellStyle name="40% - Accent5 3 3 6 5" xfId="43680"/>
    <cellStyle name="40% - Accent5 3 3 6 6" xfId="43681"/>
    <cellStyle name="40% - Accent5 3 3 6 7" xfId="43682"/>
    <cellStyle name="40% - Accent5 3 3 7" xfId="43683"/>
    <cellStyle name="40% - Accent5 3 3 7 2" xfId="43684"/>
    <cellStyle name="40% - Accent5 3 3 7 2 2" xfId="43685"/>
    <cellStyle name="40% - Accent5 3 3 7 3" xfId="43686"/>
    <cellStyle name="40% - Accent5 3 3 7 3 2" xfId="43687"/>
    <cellStyle name="40% - Accent5 3 3 7 4" xfId="43688"/>
    <cellStyle name="40% - Accent5 3 3 7 5" xfId="43689"/>
    <cellStyle name="40% - Accent5 3 3 7 6" xfId="43690"/>
    <cellStyle name="40% - Accent5 3 3 7 7" xfId="43691"/>
    <cellStyle name="40% - Accent5 3 3 8" xfId="43692"/>
    <cellStyle name="40% - Accent5 3 3 8 2" xfId="43693"/>
    <cellStyle name="40% - Accent5 3 3 9" xfId="43694"/>
    <cellStyle name="40% - Accent5 3 3 9 2" xfId="43695"/>
    <cellStyle name="40% - Accent5 3 4" xfId="43696"/>
    <cellStyle name="40% - Accent5 3 4 10" xfId="43697"/>
    <cellStyle name="40% - Accent5 3 4 11" xfId="43698"/>
    <cellStyle name="40% - Accent5 3 4 12" xfId="43699"/>
    <cellStyle name="40% - Accent5 3 4 13" xfId="43700"/>
    <cellStyle name="40% - Accent5 3 4 2" xfId="43701"/>
    <cellStyle name="40% - Accent5 3 4 2 10" xfId="43702"/>
    <cellStyle name="40% - Accent5 3 4 2 11" xfId="43703"/>
    <cellStyle name="40% - Accent5 3 4 2 2" xfId="43704"/>
    <cellStyle name="40% - Accent5 3 4 2 2 10" xfId="43705"/>
    <cellStyle name="40% - Accent5 3 4 2 2 2" xfId="43706"/>
    <cellStyle name="40% - Accent5 3 4 2 2 2 2" xfId="43707"/>
    <cellStyle name="40% - Accent5 3 4 2 2 2 2 2" xfId="43708"/>
    <cellStyle name="40% - Accent5 3 4 2 2 2 3" xfId="43709"/>
    <cellStyle name="40% - Accent5 3 4 2 2 2 3 2" xfId="43710"/>
    <cellStyle name="40% - Accent5 3 4 2 2 2 4" xfId="43711"/>
    <cellStyle name="40% - Accent5 3 4 2 2 2 5" xfId="43712"/>
    <cellStyle name="40% - Accent5 3 4 2 2 2 6" xfId="43713"/>
    <cellStyle name="40% - Accent5 3 4 2 2 2 7" xfId="43714"/>
    <cellStyle name="40% - Accent5 3 4 2 2 3" xfId="43715"/>
    <cellStyle name="40% - Accent5 3 4 2 2 3 2" xfId="43716"/>
    <cellStyle name="40% - Accent5 3 4 2 2 3 2 2" xfId="43717"/>
    <cellStyle name="40% - Accent5 3 4 2 2 3 3" xfId="43718"/>
    <cellStyle name="40% - Accent5 3 4 2 2 3 3 2" xfId="43719"/>
    <cellStyle name="40% - Accent5 3 4 2 2 3 4" xfId="43720"/>
    <cellStyle name="40% - Accent5 3 4 2 2 3 5" xfId="43721"/>
    <cellStyle name="40% - Accent5 3 4 2 2 3 6" xfId="43722"/>
    <cellStyle name="40% - Accent5 3 4 2 2 3 7" xfId="43723"/>
    <cellStyle name="40% - Accent5 3 4 2 2 4" xfId="43724"/>
    <cellStyle name="40% - Accent5 3 4 2 2 4 2" xfId="43725"/>
    <cellStyle name="40% - Accent5 3 4 2 2 4 2 2" xfId="43726"/>
    <cellStyle name="40% - Accent5 3 4 2 2 4 3" xfId="43727"/>
    <cellStyle name="40% - Accent5 3 4 2 2 4 3 2" xfId="43728"/>
    <cellStyle name="40% - Accent5 3 4 2 2 4 4" xfId="43729"/>
    <cellStyle name="40% - Accent5 3 4 2 2 4 5" xfId="43730"/>
    <cellStyle name="40% - Accent5 3 4 2 2 4 6" xfId="43731"/>
    <cellStyle name="40% - Accent5 3 4 2 2 4 7" xfId="43732"/>
    <cellStyle name="40% - Accent5 3 4 2 2 5" xfId="43733"/>
    <cellStyle name="40% - Accent5 3 4 2 2 5 2" xfId="43734"/>
    <cellStyle name="40% - Accent5 3 4 2 2 6" xfId="43735"/>
    <cellStyle name="40% - Accent5 3 4 2 2 6 2" xfId="43736"/>
    <cellStyle name="40% - Accent5 3 4 2 2 7" xfId="43737"/>
    <cellStyle name="40% - Accent5 3 4 2 2 8" xfId="43738"/>
    <cellStyle name="40% - Accent5 3 4 2 2 9" xfId="43739"/>
    <cellStyle name="40% - Accent5 3 4 2 3" xfId="43740"/>
    <cellStyle name="40% - Accent5 3 4 2 3 2" xfId="43741"/>
    <cellStyle name="40% - Accent5 3 4 2 3 2 2" xfId="43742"/>
    <cellStyle name="40% - Accent5 3 4 2 3 3" xfId="43743"/>
    <cellStyle name="40% - Accent5 3 4 2 3 3 2" xfId="43744"/>
    <cellStyle name="40% - Accent5 3 4 2 3 4" xfId="43745"/>
    <cellStyle name="40% - Accent5 3 4 2 3 5" xfId="43746"/>
    <cellStyle name="40% - Accent5 3 4 2 3 6" xfId="43747"/>
    <cellStyle name="40% - Accent5 3 4 2 3 7" xfId="43748"/>
    <cellStyle name="40% - Accent5 3 4 2 4" xfId="43749"/>
    <cellStyle name="40% - Accent5 3 4 2 4 2" xfId="43750"/>
    <cellStyle name="40% - Accent5 3 4 2 4 2 2" xfId="43751"/>
    <cellStyle name="40% - Accent5 3 4 2 4 3" xfId="43752"/>
    <cellStyle name="40% - Accent5 3 4 2 4 3 2" xfId="43753"/>
    <cellStyle name="40% - Accent5 3 4 2 4 4" xfId="43754"/>
    <cellStyle name="40% - Accent5 3 4 2 4 5" xfId="43755"/>
    <cellStyle name="40% - Accent5 3 4 2 4 6" xfId="43756"/>
    <cellStyle name="40% - Accent5 3 4 2 4 7" xfId="43757"/>
    <cellStyle name="40% - Accent5 3 4 2 5" xfId="43758"/>
    <cellStyle name="40% - Accent5 3 4 2 5 2" xfId="43759"/>
    <cellStyle name="40% - Accent5 3 4 2 5 2 2" xfId="43760"/>
    <cellStyle name="40% - Accent5 3 4 2 5 3" xfId="43761"/>
    <cellStyle name="40% - Accent5 3 4 2 5 3 2" xfId="43762"/>
    <cellStyle name="40% - Accent5 3 4 2 5 4" xfId="43763"/>
    <cellStyle name="40% - Accent5 3 4 2 5 5" xfId="43764"/>
    <cellStyle name="40% - Accent5 3 4 2 5 6" xfId="43765"/>
    <cellStyle name="40% - Accent5 3 4 2 5 7" xfId="43766"/>
    <cellStyle name="40% - Accent5 3 4 2 6" xfId="43767"/>
    <cellStyle name="40% - Accent5 3 4 2 6 2" xfId="43768"/>
    <cellStyle name="40% - Accent5 3 4 2 7" xfId="43769"/>
    <cellStyle name="40% - Accent5 3 4 2 7 2" xfId="43770"/>
    <cellStyle name="40% - Accent5 3 4 2 8" xfId="43771"/>
    <cellStyle name="40% - Accent5 3 4 2 9" xfId="43772"/>
    <cellStyle name="40% - Accent5 3 4 3" xfId="43773"/>
    <cellStyle name="40% - Accent5 3 4 3 10" xfId="43774"/>
    <cellStyle name="40% - Accent5 3 4 3 11" xfId="43775"/>
    <cellStyle name="40% - Accent5 3 4 3 2" xfId="43776"/>
    <cellStyle name="40% - Accent5 3 4 3 2 10" xfId="43777"/>
    <cellStyle name="40% - Accent5 3 4 3 2 2" xfId="43778"/>
    <cellStyle name="40% - Accent5 3 4 3 2 2 2" xfId="43779"/>
    <cellStyle name="40% - Accent5 3 4 3 2 2 2 2" xfId="43780"/>
    <cellStyle name="40% - Accent5 3 4 3 2 2 3" xfId="43781"/>
    <cellStyle name="40% - Accent5 3 4 3 2 2 3 2" xfId="43782"/>
    <cellStyle name="40% - Accent5 3 4 3 2 2 4" xfId="43783"/>
    <cellStyle name="40% - Accent5 3 4 3 2 2 5" xfId="43784"/>
    <cellStyle name="40% - Accent5 3 4 3 2 2 6" xfId="43785"/>
    <cellStyle name="40% - Accent5 3 4 3 2 2 7" xfId="43786"/>
    <cellStyle name="40% - Accent5 3 4 3 2 3" xfId="43787"/>
    <cellStyle name="40% - Accent5 3 4 3 2 3 2" xfId="43788"/>
    <cellStyle name="40% - Accent5 3 4 3 2 3 2 2" xfId="43789"/>
    <cellStyle name="40% - Accent5 3 4 3 2 3 3" xfId="43790"/>
    <cellStyle name="40% - Accent5 3 4 3 2 3 3 2" xfId="43791"/>
    <cellStyle name="40% - Accent5 3 4 3 2 3 4" xfId="43792"/>
    <cellStyle name="40% - Accent5 3 4 3 2 3 5" xfId="43793"/>
    <cellStyle name="40% - Accent5 3 4 3 2 3 6" xfId="43794"/>
    <cellStyle name="40% - Accent5 3 4 3 2 3 7" xfId="43795"/>
    <cellStyle name="40% - Accent5 3 4 3 2 4" xfId="43796"/>
    <cellStyle name="40% - Accent5 3 4 3 2 4 2" xfId="43797"/>
    <cellStyle name="40% - Accent5 3 4 3 2 4 2 2" xfId="43798"/>
    <cellStyle name="40% - Accent5 3 4 3 2 4 3" xfId="43799"/>
    <cellStyle name="40% - Accent5 3 4 3 2 4 3 2" xfId="43800"/>
    <cellStyle name="40% - Accent5 3 4 3 2 4 4" xfId="43801"/>
    <cellStyle name="40% - Accent5 3 4 3 2 4 5" xfId="43802"/>
    <cellStyle name="40% - Accent5 3 4 3 2 4 6" xfId="43803"/>
    <cellStyle name="40% - Accent5 3 4 3 2 4 7" xfId="43804"/>
    <cellStyle name="40% - Accent5 3 4 3 2 5" xfId="43805"/>
    <cellStyle name="40% - Accent5 3 4 3 2 5 2" xfId="43806"/>
    <cellStyle name="40% - Accent5 3 4 3 2 6" xfId="43807"/>
    <cellStyle name="40% - Accent5 3 4 3 2 6 2" xfId="43808"/>
    <cellStyle name="40% - Accent5 3 4 3 2 7" xfId="43809"/>
    <cellStyle name="40% - Accent5 3 4 3 2 8" xfId="43810"/>
    <cellStyle name="40% - Accent5 3 4 3 2 9" xfId="43811"/>
    <cellStyle name="40% - Accent5 3 4 3 3" xfId="43812"/>
    <cellStyle name="40% - Accent5 3 4 3 3 2" xfId="43813"/>
    <cellStyle name="40% - Accent5 3 4 3 3 2 2" xfId="43814"/>
    <cellStyle name="40% - Accent5 3 4 3 3 3" xfId="43815"/>
    <cellStyle name="40% - Accent5 3 4 3 3 3 2" xfId="43816"/>
    <cellStyle name="40% - Accent5 3 4 3 3 4" xfId="43817"/>
    <cellStyle name="40% - Accent5 3 4 3 3 5" xfId="43818"/>
    <cellStyle name="40% - Accent5 3 4 3 3 6" xfId="43819"/>
    <cellStyle name="40% - Accent5 3 4 3 3 7" xfId="43820"/>
    <cellStyle name="40% - Accent5 3 4 3 4" xfId="43821"/>
    <cellStyle name="40% - Accent5 3 4 3 4 2" xfId="43822"/>
    <cellStyle name="40% - Accent5 3 4 3 4 2 2" xfId="43823"/>
    <cellStyle name="40% - Accent5 3 4 3 4 3" xfId="43824"/>
    <cellStyle name="40% - Accent5 3 4 3 4 3 2" xfId="43825"/>
    <cellStyle name="40% - Accent5 3 4 3 4 4" xfId="43826"/>
    <cellStyle name="40% - Accent5 3 4 3 4 5" xfId="43827"/>
    <cellStyle name="40% - Accent5 3 4 3 4 6" xfId="43828"/>
    <cellStyle name="40% - Accent5 3 4 3 4 7" xfId="43829"/>
    <cellStyle name="40% - Accent5 3 4 3 5" xfId="43830"/>
    <cellStyle name="40% - Accent5 3 4 3 5 2" xfId="43831"/>
    <cellStyle name="40% - Accent5 3 4 3 5 2 2" xfId="43832"/>
    <cellStyle name="40% - Accent5 3 4 3 5 3" xfId="43833"/>
    <cellStyle name="40% - Accent5 3 4 3 5 3 2" xfId="43834"/>
    <cellStyle name="40% - Accent5 3 4 3 5 4" xfId="43835"/>
    <cellStyle name="40% - Accent5 3 4 3 5 5" xfId="43836"/>
    <cellStyle name="40% - Accent5 3 4 3 5 6" xfId="43837"/>
    <cellStyle name="40% - Accent5 3 4 3 5 7" xfId="43838"/>
    <cellStyle name="40% - Accent5 3 4 3 6" xfId="43839"/>
    <cellStyle name="40% - Accent5 3 4 3 6 2" xfId="43840"/>
    <cellStyle name="40% - Accent5 3 4 3 7" xfId="43841"/>
    <cellStyle name="40% - Accent5 3 4 3 7 2" xfId="43842"/>
    <cellStyle name="40% - Accent5 3 4 3 8" xfId="43843"/>
    <cellStyle name="40% - Accent5 3 4 3 9" xfId="43844"/>
    <cellStyle name="40% - Accent5 3 4 4" xfId="43845"/>
    <cellStyle name="40% - Accent5 3 4 4 10" xfId="43846"/>
    <cellStyle name="40% - Accent5 3 4 4 2" xfId="43847"/>
    <cellStyle name="40% - Accent5 3 4 4 2 2" xfId="43848"/>
    <cellStyle name="40% - Accent5 3 4 4 2 2 2" xfId="43849"/>
    <cellStyle name="40% - Accent5 3 4 4 2 3" xfId="43850"/>
    <cellStyle name="40% - Accent5 3 4 4 2 3 2" xfId="43851"/>
    <cellStyle name="40% - Accent5 3 4 4 2 4" xfId="43852"/>
    <cellStyle name="40% - Accent5 3 4 4 2 5" xfId="43853"/>
    <cellStyle name="40% - Accent5 3 4 4 2 6" xfId="43854"/>
    <cellStyle name="40% - Accent5 3 4 4 2 7" xfId="43855"/>
    <cellStyle name="40% - Accent5 3 4 4 3" xfId="43856"/>
    <cellStyle name="40% - Accent5 3 4 4 3 2" xfId="43857"/>
    <cellStyle name="40% - Accent5 3 4 4 3 2 2" xfId="43858"/>
    <cellStyle name="40% - Accent5 3 4 4 3 3" xfId="43859"/>
    <cellStyle name="40% - Accent5 3 4 4 3 3 2" xfId="43860"/>
    <cellStyle name="40% - Accent5 3 4 4 3 4" xfId="43861"/>
    <cellStyle name="40% - Accent5 3 4 4 3 5" xfId="43862"/>
    <cellStyle name="40% - Accent5 3 4 4 3 6" xfId="43863"/>
    <cellStyle name="40% - Accent5 3 4 4 3 7" xfId="43864"/>
    <cellStyle name="40% - Accent5 3 4 4 4" xfId="43865"/>
    <cellStyle name="40% - Accent5 3 4 4 4 2" xfId="43866"/>
    <cellStyle name="40% - Accent5 3 4 4 4 2 2" xfId="43867"/>
    <cellStyle name="40% - Accent5 3 4 4 4 3" xfId="43868"/>
    <cellStyle name="40% - Accent5 3 4 4 4 3 2" xfId="43869"/>
    <cellStyle name="40% - Accent5 3 4 4 4 4" xfId="43870"/>
    <cellStyle name="40% - Accent5 3 4 4 4 5" xfId="43871"/>
    <cellStyle name="40% - Accent5 3 4 4 4 6" xfId="43872"/>
    <cellStyle name="40% - Accent5 3 4 4 4 7" xfId="43873"/>
    <cellStyle name="40% - Accent5 3 4 4 5" xfId="43874"/>
    <cellStyle name="40% - Accent5 3 4 4 5 2" xfId="43875"/>
    <cellStyle name="40% - Accent5 3 4 4 6" xfId="43876"/>
    <cellStyle name="40% - Accent5 3 4 4 6 2" xfId="43877"/>
    <cellStyle name="40% - Accent5 3 4 4 7" xfId="43878"/>
    <cellStyle name="40% - Accent5 3 4 4 8" xfId="43879"/>
    <cellStyle name="40% - Accent5 3 4 4 9" xfId="43880"/>
    <cellStyle name="40% - Accent5 3 4 5" xfId="43881"/>
    <cellStyle name="40% - Accent5 3 4 5 2" xfId="43882"/>
    <cellStyle name="40% - Accent5 3 4 5 2 2" xfId="43883"/>
    <cellStyle name="40% - Accent5 3 4 5 3" xfId="43884"/>
    <cellStyle name="40% - Accent5 3 4 5 3 2" xfId="43885"/>
    <cellStyle name="40% - Accent5 3 4 5 4" xfId="43886"/>
    <cellStyle name="40% - Accent5 3 4 5 5" xfId="43887"/>
    <cellStyle name="40% - Accent5 3 4 5 6" xfId="43888"/>
    <cellStyle name="40% - Accent5 3 4 5 7" xfId="43889"/>
    <cellStyle name="40% - Accent5 3 4 6" xfId="43890"/>
    <cellStyle name="40% - Accent5 3 4 6 2" xfId="43891"/>
    <cellStyle name="40% - Accent5 3 4 6 2 2" xfId="43892"/>
    <cellStyle name="40% - Accent5 3 4 6 3" xfId="43893"/>
    <cellStyle name="40% - Accent5 3 4 6 3 2" xfId="43894"/>
    <cellStyle name="40% - Accent5 3 4 6 4" xfId="43895"/>
    <cellStyle name="40% - Accent5 3 4 6 5" xfId="43896"/>
    <cellStyle name="40% - Accent5 3 4 6 6" xfId="43897"/>
    <cellStyle name="40% - Accent5 3 4 6 7" xfId="43898"/>
    <cellStyle name="40% - Accent5 3 4 7" xfId="43899"/>
    <cellStyle name="40% - Accent5 3 4 7 2" xfId="43900"/>
    <cellStyle name="40% - Accent5 3 4 7 2 2" xfId="43901"/>
    <cellStyle name="40% - Accent5 3 4 7 3" xfId="43902"/>
    <cellStyle name="40% - Accent5 3 4 7 3 2" xfId="43903"/>
    <cellStyle name="40% - Accent5 3 4 7 4" xfId="43904"/>
    <cellStyle name="40% - Accent5 3 4 7 5" xfId="43905"/>
    <cellStyle name="40% - Accent5 3 4 7 6" xfId="43906"/>
    <cellStyle name="40% - Accent5 3 4 7 7" xfId="43907"/>
    <cellStyle name="40% - Accent5 3 4 8" xfId="43908"/>
    <cellStyle name="40% - Accent5 3 4 8 2" xfId="43909"/>
    <cellStyle name="40% - Accent5 3 4 9" xfId="43910"/>
    <cellStyle name="40% - Accent5 3 4 9 2" xfId="43911"/>
    <cellStyle name="40% - Accent5 3 5" xfId="43912"/>
    <cellStyle name="40% - Accent5 3 5 10" xfId="43913"/>
    <cellStyle name="40% - Accent5 3 5 11" xfId="43914"/>
    <cellStyle name="40% - Accent5 3 5 12" xfId="43915"/>
    <cellStyle name="40% - Accent5 3 5 13" xfId="43916"/>
    <cellStyle name="40% - Accent5 3 5 2" xfId="43917"/>
    <cellStyle name="40% - Accent5 3 5 2 10" xfId="43918"/>
    <cellStyle name="40% - Accent5 3 5 2 11" xfId="43919"/>
    <cellStyle name="40% - Accent5 3 5 2 2" xfId="43920"/>
    <cellStyle name="40% - Accent5 3 5 2 2 10" xfId="43921"/>
    <cellStyle name="40% - Accent5 3 5 2 2 2" xfId="43922"/>
    <cellStyle name="40% - Accent5 3 5 2 2 2 2" xfId="43923"/>
    <cellStyle name="40% - Accent5 3 5 2 2 2 2 2" xfId="43924"/>
    <cellStyle name="40% - Accent5 3 5 2 2 2 3" xfId="43925"/>
    <cellStyle name="40% - Accent5 3 5 2 2 2 3 2" xfId="43926"/>
    <cellStyle name="40% - Accent5 3 5 2 2 2 4" xfId="43927"/>
    <cellStyle name="40% - Accent5 3 5 2 2 2 5" xfId="43928"/>
    <cellStyle name="40% - Accent5 3 5 2 2 2 6" xfId="43929"/>
    <cellStyle name="40% - Accent5 3 5 2 2 2 7" xfId="43930"/>
    <cellStyle name="40% - Accent5 3 5 2 2 3" xfId="43931"/>
    <cellStyle name="40% - Accent5 3 5 2 2 3 2" xfId="43932"/>
    <cellStyle name="40% - Accent5 3 5 2 2 3 2 2" xfId="43933"/>
    <cellStyle name="40% - Accent5 3 5 2 2 3 3" xfId="43934"/>
    <cellStyle name="40% - Accent5 3 5 2 2 3 3 2" xfId="43935"/>
    <cellStyle name="40% - Accent5 3 5 2 2 3 4" xfId="43936"/>
    <cellStyle name="40% - Accent5 3 5 2 2 3 5" xfId="43937"/>
    <cellStyle name="40% - Accent5 3 5 2 2 3 6" xfId="43938"/>
    <cellStyle name="40% - Accent5 3 5 2 2 3 7" xfId="43939"/>
    <cellStyle name="40% - Accent5 3 5 2 2 4" xfId="43940"/>
    <cellStyle name="40% - Accent5 3 5 2 2 4 2" xfId="43941"/>
    <cellStyle name="40% - Accent5 3 5 2 2 4 2 2" xfId="43942"/>
    <cellStyle name="40% - Accent5 3 5 2 2 4 3" xfId="43943"/>
    <cellStyle name="40% - Accent5 3 5 2 2 4 3 2" xfId="43944"/>
    <cellStyle name="40% - Accent5 3 5 2 2 4 4" xfId="43945"/>
    <cellStyle name="40% - Accent5 3 5 2 2 4 5" xfId="43946"/>
    <cellStyle name="40% - Accent5 3 5 2 2 4 6" xfId="43947"/>
    <cellStyle name="40% - Accent5 3 5 2 2 4 7" xfId="43948"/>
    <cellStyle name="40% - Accent5 3 5 2 2 5" xfId="43949"/>
    <cellStyle name="40% - Accent5 3 5 2 2 5 2" xfId="43950"/>
    <cellStyle name="40% - Accent5 3 5 2 2 6" xfId="43951"/>
    <cellStyle name="40% - Accent5 3 5 2 2 6 2" xfId="43952"/>
    <cellStyle name="40% - Accent5 3 5 2 2 7" xfId="43953"/>
    <cellStyle name="40% - Accent5 3 5 2 2 8" xfId="43954"/>
    <cellStyle name="40% - Accent5 3 5 2 2 9" xfId="43955"/>
    <cellStyle name="40% - Accent5 3 5 2 3" xfId="43956"/>
    <cellStyle name="40% - Accent5 3 5 2 3 2" xfId="43957"/>
    <cellStyle name="40% - Accent5 3 5 2 3 2 2" xfId="43958"/>
    <cellStyle name="40% - Accent5 3 5 2 3 3" xfId="43959"/>
    <cellStyle name="40% - Accent5 3 5 2 3 3 2" xfId="43960"/>
    <cellStyle name="40% - Accent5 3 5 2 3 4" xfId="43961"/>
    <cellStyle name="40% - Accent5 3 5 2 3 5" xfId="43962"/>
    <cellStyle name="40% - Accent5 3 5 2 3 6" xfId="43963"/>
    <cellStyle name="40% - Accent5 3 5 2 3 7" xfId="43964"/>
    <cellStyle name="40% - Accent5 3 5 2 4" xfId="43965"/>
    <cellStyle name="40% - Accent5 3 5 2 4 2" xfId="43966"/>
    <cellStyle name="40% - Accent5 3 5 2 4 2 2" xfId="43967"/>
    <cellStyle name="40% - Accent5 3 5 2 4 3" xfId="43968"/>
    <cellStyle name="40% - Accent5 3 5 2 4 3 2" xfId="43969"/>
    <cellStyle name="40% - Accent5 3 5 2 4 4" xfId="43970"/>
    <cellStyle name="40% - Accent5 3 5 2 4 5" xfId="43971"/>
    <cellStyle name="40% - Accent5 3 5 2 4 6" xfId="43972"/>
    <cellStyle name="40% - Accent5 3 5 2 4 7" xfId="43973"/>
    <cellStyle name="40% - Accent5 3 5 2 5" xfId="43974"/>
    <cellStyle name="40% - Accent5 3 5 2 5 2" xfId="43975"/>
    <cellStyle name="40% - Accent5 3 5 2 5 2 2" xfId="43976"/>
    <cellStyle name="40% - Accent5 3 5 2 5 3" xfId="43977"/>
    <cellStyle name="40% - Accent5 3 5 2 5 3 2" xfId="43978"/>
    <cellStyle name="40% - Accent5 3 5 2 5 4" xfId="43979"/>
    <cellStyle name="40% - Accent5 3 5 2 5 5" xfId="43980"/>
    <cellStyle name="40% - Accent5 3 5 2 5 6" xfId="43981"/>
    <cellStyle name="40% - Accent5 3 5 2 5 7" xfId="43982"/>
    <cellStyle name="40% - Accent5 3 5 2 6" xfId="43983"/>
    <cellStyle name="40% - Accent5 3 5 2 6 2" xfId="43984"/>
    <cellStyle name="40% - Accent5 3 5 2 7" xfId="43985"/>
    <cellStyle name="40% - Accent5 3 5 2 7 2" xfId="43986"/>
    <cellStyle name="40% - Accent5 3 5 2 8" xfId="43987"/>
    <cellStyle name="40% - Accent5 3 5 2 9" xfId="43988"/>
    <cellStyle name="40% - Accent5 3 5 3" xfId="43989"/>
    <cellStyle name="40% - Accent5 3 5 3 10" xfId="43990"/>
    <cellStyle name="40% - Accent5 3 5 3 11" xfId="43991"/>
    <cellStyle name="40% - Accent5 3 5 3 2" xfId="43992"/>
    <cellStyle name="40% - Accent5 3 5 3 2 10" xfId="43993"/>
    <cellStyle name="40% - Accent5 3 5 3 2 2" xfId="43994"/>
    <cellStyle name="40% - Accent5 3 5 3 2 2 2" xfId="43995"/>
    <cellStyle name="40% - Accent5 3 5 3 2 2 2 2" xfId="43996"/>
    <cellStyle name="40% - Accent5 3 5 3 2 2 3" xfId="43997"/>
    <cellStyle name="40% - Accent5 3 5 3 2 2 3 2" xfId="43998"/>
    <cellStyle name="40% - Accent5 3 5 3 2 2 4" xfId="43999"/>
    <cellStyle name="40% - Accent5 3 5 3 2 2 5" xfId="44000"/>
    <cellStyle name="40% - Accent5 3 5 3 2 2 6" xfId="44001"/>
    <cellStyle name="40% - Accent5 3 5 3 2 2 7" xfId="44002"/>
    <cellStyle name="40% - Accent5 3 5 3 2 3" xfId="44003"/>
    <cellStyle name="40% - Accent5 3 5 3 2 3 2" xfId="44004"/>
    <cellStyle name="40% - Accent5 3 5 3 2 3 2 2" xfId="44005"/>
    <cellStyle name="40% - Accent5 3 5 3 2 3 3" xfId="44006"/>
    <cellStyle name="40% - Accent5 3 5 3 2 3 3 2" xfId="44007"/>
    <cellStyle name="40% - Accent5 3 5 3 2 3 4" xfId="44008"/>
    <cellStyle name="40% - Accent5 3 5 3 2 3 5" xfId="44009"/>
    <cellStyle name="40% - Accent5 3 5 3 2 3 6" xfId="44010"/>
    <cellStyle name="40% - Accent5 3 5 3 2 3 7" xfId="44011"/>
    <cellStyle name="40% - Accent5 3 5 3 2 4" xfId="44012"/>
    <cellStyle name="40% - Accent5 3 5 3 2 4 2" xfId="44013"/>
    <cellStyle name="40% - Accent5 3 5 3 2 4 2 2" xfId="44014"/>
    <cellStyle name="40% - Accent5 3 5 3 2 4 3" xfId="44015"/>
    <cellStyle name="40% - Accent5 3 5 3 2 4 3 2" xfId="44016"/>
    <cellStyle name="40% - Accent5 3 5 3 2 4 4" xfId="44017"/>
    <cellStyle name="40% - Accent5 3 5 3 2 4 5" xfId="44018"/>
    <cellStyle name="40% - Accent5 3 5 3 2 4 6" xfId="44019"/>
    <cellStyle name="40% - Accent5 3 5 3 2 4 7" xfId="44020"/>
    <cellStyle name="40% - Accent5 3 5 3 2 5" xfId="44021"/>
    <cellStyle name="40% - Accent5 3 5 3 2 5 2" xfId="44022"/>
    <cellStyle name="40% - Accent5 3 5 3 2 6" xfId="44023"/>
    <cellStyle name="40% - Accent5 3 5 3 2 6 2" xfId="44024"/>
    <cellStyle name="40% - Accent5 3 5 3 2 7" xfId="44025"/>
    <cellStyle name="40% - Accent5 3 5 3 2 8" xfId="44026"/>
    <cellStyle name="40% - Accent5 3 5 3 2 9" xfId="44027"/>
    <cellStyle name="40% - Accent5 3 5 3 3" xfId="44028"/>
    <cellStyle name="40% - Accent5 3 5 3 3 2" xfId="44029"/>
    <cellStyle name="40% - Accent5 3 5 3 3 2 2" xfId="44030"/>
    <cellStyle name="40% - Accent5 3 5 3 3 3" xfId="44031"/>
    <cellStyle name="40% - Accent5 3 5 3 3 3 2" xfId="44032"/>
    <cellStyle name="40% - Accent5 3 5 3 3 4" xfId="44033"/>
    <cellStyle name="40% - Accent5 3 5 3 3 5" xfId="44034"/>
    <cellStyle name="40% - Accent5 3 5 3 3 6" xfId="44035"/>
    <cellStyle name="40% - Accent5 3 5 3 3 7" xfId="44036"/>
    <cellStyle name="40% - Accent5 3 5 3 4" xfId="44037"/>
    <cellStyle name="40% - Accent5 3 5 3 4 2" xfId="44038"/>
    <cellStyle name="40% - Accent5 3 5 3 4 2 2" xfId="44039"/>
    <cellStyle name="40% - Accent5 3 5 3 4 3" xfId="44040"/>
    <cellStyle name="40% - Accent5 3 5 3 4 3 2" xfId="44041"/>
    <cellStyle name="40% - Accent5 3 5 3 4 4" xfId="44042"/>
    <cellStyle name="40% - Accent5 3 5 3 4 5" xfId="44043"/>
    <cellStyle name="40% - Accent5 3 5 3 4 6" xfId="44044"/>
    <cellStyle name="40% - Accent5 3 5 3 4 7" xfId="44045"/>
    <cellStyle name="40% - Accent5 3 5 3 5" xfId="44046"/>
    <cellStyle name="40% - Accent5 3 5 3 5 2" xfId="44047"/>
    <cellStyle name="40% - Accent5 3 5 3 5 2 2" xfId="44048"/>
    <cellStyle name="40% - Accent5 3 5 3 5 3" xfId="44049"/>
    <cellStyle name="40% - Accent5 3 5 3 5 3 2" xfId="44050"/>
    <cellStyle name="40% - Accent5 3 5 3 5 4" xfId="44051"/>
    <cellStyle name="40% - Accent5 3 5 3 5 5" xfId="44052"/>
    <cellStyle name="40% - Accent5 3 5 3 5 6" xfId="44053"/>
    <cellStyle name="40% - Accent5 3 5 3 5 7" xfId="44054"/>
    <cellStyle name="40% - Accent5 3 5 3 6" xfId="44055"/>
    <cellStyle name="40% - Accent5 3 5 3 6 2" xfId="44056"/>
    <cellStyle name="40% - Accent5 3 5 3 7" xfId="44057"/>
    <cellStyle name="40% - Accent5 3 5 3 7 2" xfId="44058"/>
    <cellStyle name="40% - Accent5 3 5 3 8" xfId="44059"/>
    <cellStyle name="40% - Accent5 3 5 3 9" xfId="44060"/>
    <cellStyle name="40% - Accent5 3 5 4" xfId="44061"/>
    <cellStyle name="40% - Accent5 3 5 4 10" xfId="44062"/>
    <cellStyle name="40% - Accent5 3 5 4 2" xfId="44063"/>
    <cellStyle name="40% - Accent5 3 5 4 2 2" xfId="44064"/>
    <cellStyle name="40% - Accent5 3 5 4 2 2 2" xfId="44065"/>
    <cellStyle name="40% - Accent5 3 5 4 2 3" xfId="44066"/>
    <cellStyle name="40% - Accent5 3 5 4 2 3 2" xfId="44067"/>
    <cellStyle name="40% - Accent5 3 5 4 2 4" xfId="44068"/>
    <cellStyle name="40% - Accent5 3 5 4 2 5" xfId="44069"/>
    <cellStyle name="40% - Accent5 3 5 4 2 6" xfId="44070"/>
    <cellStyle name="40% - Accent5 3 5 4 2 7" xfId="44071"/>
    <cellStyle name="40% - Accent5 3 5 4 3" xfId="44072"/>
    <cellStyle name="40% - Accent5 3 5 4 3 2" xfId="44073"/>
    <cellStyle name="40% - Accent5 3 5 4 3 2 2" xfId="44074"/>
    <cellStyle name="40% - Accent5 3 5 4 3 3" xfId="44075"/>
    <cellStyle name="40% - Accent5 3 5 4 3 3 2" xfId="44076"/>
    <cellStyle name="40% - Accent5 3 5 4 3 4" xfId="44077"/>
    <cellStyle name="40% - Accent5 3 5 4 3 5" xfId="44078"/>
    <cellStyle name="40% - Accent5 3 5 4 3 6" xfId="44079"/>
    <cellStyle name="40% - Accent5 3 5 4 3 7" xfId="44080"/>
    <cellStyle name="40% - Accent5 3 5 4 4" xfId="44081"/>
    <cellStyle name="40% - Accent5 3 5 4 4 2" xfId="44082"/>
    <cellStyle name="40% - Accent5 3 5 4 4 2 2" xfId="44083"/>
    <cellStyle name="40% - Accent5 3 5 4 4 3" xfId="44084"/>
    <cellStyle name="40% - Accent5 3 5 4 4 3 2" xfId="44085"/>
    <cellStyle name="40% - Accent5 3 5 4 4 4" xfId="44086"/>
    <cellStyle name="40% - Accent5 3 5 4 4 5" xfId="44087"/>
    <cellStyle name="40% - Accent5 3 5 4 4 6" xfId="44088"/>
    <cellStyle name="40% - Accent5 3 5 4 4 7" xfId="44089"/>
    <cellStyle name="40% - Accent5 3 5 4 5" xfId="44090"/>
    <cellStyle name="40% - Accent5 3 5 4 5 2" xfId="44091"/>
    <cellStyle name="40% - Accent5 3 5 4 6" xfId="44092"/>
    <cellStyle name="40% - Accent5 3 5 4 6 2" xfId="44093"/>
    <cellStyle name="40% - Accent5 3 5 4 7" xfId="44094"/>
    <cellStyle name="40% - Accent5 3 5 4 8" xfId="44095"/>
    <cellStyle name="40% - Accent5 3 5 4 9" xfId="44096"/>
    <cellStyle name="40% - Accent5 3 5 5" xfId="44097"/>
    <cellStyle name="40% - Accent5 3 5 5 2" xfId="44098"/>
    <cellStyle name="40% - Accent5 3 5 5 2 2" xfId="44099"/>
    <cellStyle name="40% - Accent5 3 5 5 3" xfId="44100"/>
    <cellStyle name="40% - Accent5 3 5 5 3 2" xfId="44101"/>
    <cellStyle name="40% - Accent5 3 5 5 4" xfId="44102"/>
    <cellStyle name="40% - Accent5 3 5 5 5" xfId="44103"/>
    <cellStyle name="40% - Accent5 3 5 5 6" xfId="44104"/>
    <cellStyle name="40% - Accent5 3 5 5 7" xfId="44105"/>
    <cellStyle name="40% - Accent5 3 5 6" xfId="44106"/>
    <cellStyle name="40% - Accent5 3 5 6 2" xfId="44107"/>
    <cellStyle name="40% - Accent5 3 5 6 2 2" xfId="44108"/>
    <cellStyle name="40% - Accent5 3 5 6 3" xfId="44109"/>
    <cellStyle name="40% - Accent5 3 5 6 3 2" xfId="44110"/>
    <cellStyle name="40% - Accent5 3 5 6 4" xfId="44111"/>
    <cellStyle name="40% - Accent5 3 5 6 5" xfId="44112"/>
    <cellStyle name="40% - Accent5 3 5 6 6" xfId="44113"/>
    <cellStyle name="40% - Accent5 3 5 6 7" xfId="44114"/>
    <cellStyle name="40% - Accent5 3 5 7" xfId="44115"/>
    <cellStyle name="40% - Accent5 3 5 7 2" xfId="44116"/>
    <cellStyle name="40% - Accent5 3 5 7 2 2" xfId="44117"/>
    <cellStyle name="40% - Accent5 3 5 7 3" xfId="44118"/>
    <cellStyle name="40% - Accent5 3 5 7 3 2" xfId="44119"/>
    <cellStyle name="40% - Accent5 3 5 7 4" xfId="44120"/>
    <cellStyle name="40% - Accent5 3 5 7 5" xfId="44121"/>
    <cellStyle name="40% - Accent5 3 5 7 6" xfId="44122"/>
    <cellStyle name="40% - Accent5 3 5 7 7" xfId="44123"/>
    <cellStyle name="40% - Accent5 3 5 8" xfId="44124"/>
    <cellStyle name="40% - Accent5 3 5 8 2" xfId="44125"/>
    <cellStyle name="40% - Accent5 3 5 9" xfId="44126"/>
    <cellStyle name="40% - Accent5 3 5 9 2" xfId="44127"/>
    <cellStyle name="40% - Accent5 3 6" xfId="44128"/>
    <cellStyle name="40% - Accent5 3 6 10" xfId="44129"/>
    <cellStyle name="40% - Accent5 3 6 11" xfId="44130"/>
    <cellStyle name="40% - Accent5 3 6 12" xfId="44131"/>
    <cellStyle name="40% - Accent5 3 6 13" xfId="44132"/>
    <cellStyle name="40% - Accent5 3 6 2" xfId="44133"/>
    <cellStyle name="40% - Accent5 3 6 2 10" xfId="44134"/>
    <cellStyle name="40% - Accent5 3 6 2 11" xfId="44135"/>
    <cellStyle name="40% - Accent5 3 6 2 2" xfId="44136"/>
    <cellStyle name="40% - Accent5 3 6 2 2 10" xfId="44137"/>
    <cellStyle name="40% - Accent5 3 6 2 2 2" xfId="44138"/>
    <cellStyle name="40% - Accent5 3 6 2 2 2 2" xfId="44139"/>
    <cellStyle name="40% - Accent5 3 6 2 2 2 2 2" xfId="44140"/>
    <cellStyle name="40% - Accent5 3 6 2 2 2 3" xfId="44141"/>
    <cellStyle name="40% - Accent5 3 6 2 2 2 3 2" xfId="44142"/>
    <cellStyle name="40% - Accent5 3 6 2 2 2 4" xfId="44143"/>
    <cellStyle name="40% - Accent5 3 6 2 2 2 5" xfId="44144"/>
    <cellStyle name="40% - Accent5 3 6 2 2 2 6" xfId="44145"/>
    <cellStyle name="40% - Accent5 3 6 2 2 2 7" xfId="44146"/>
    <cellStyle name="40% - Accent5 3 6 2 2 3" xfId="44147"/>
    <cellStyle name="40% - Accent5 3 6 2 2 3 2" xfId="44148"/>
    <cellStyle name="40% - Accent5 3 6 2 2 3 2 2" xfId="44149"/>
    <cellStyle name="40% - Accent5 3 6 2 2 3 3" xfId="44150"/>
    <cellStyle name="40% - Accent5 3 6 2 2 3 3 2" xfId="44151"/>
    <cellStyle name="40% - Accent5 3 6 2 2 3 4" xfId="44152"/>
    <cellStyle name="40% - Accent5 3 6 2 2 3 5" xfId="44153"/>
    <cellStyle name="40% - Accent5 3 6 2 2 3 6" xfId="44154"/>
    <cellStyle name="40% - Accent5 3 6 2 2 3 7" xfId="44155"/>
    <cellStyle name="40% - Accent5 3 6 2 2 4" xfId="44156"/>
    <cellStyle name="40% - Accent5 3 6 2 2 4 2" xfId="44157"/>
    <cellStyle name="40% - Accent5 3 6 2 2 4 2 2" xfId="44158"/>
    <cellStyle name="40% - Accent5 3 6 2 2 4 3" xfId="44159"/>
    <cellStyle name="40% - Accent5 3 6 2 2 4 3 2" xfId="44160"/>
    <cellStyle name="40% - Accent5 3 6 2 2 4 4" xfId="44161"/>
    <cellStyle name="40% - Accent5 3 6 2 2 4 5" xfId="44162"/>
    <cellStyle name="40% - Accent5 3 6 2 2 4 6" xfId="44163"/>
    <cellStyle name="40% - Accent5 3 6 2 2 4 7" xfId="44164"/>
    <cellStyle name="40% - Accent5 3 6 2 2 5" xfId="44165"/>
    <cellStyle name="40% - Accent5 3 6 2 2 5 2" xfId="44166"/>
    <cellStyle name="40% - Accent5 3 6 2 2 6" xfId="44167"/>
    <cellStyle name="40% - Accent5 3 6 2 2 6 2" xfId="44168"/>
    <cellStyle name="40% - Accent5 3 6 2 2 7" xfId="44169"/>
    <cellStyle name="40% - Accent5 3 6 2 2 8" xfId="44170"/>
    <cellStyle name="40% - Accent5 3 6 2 2 9" xfId="44171"/>
    <cellStyle name="40% - Accent5 3 6 2 3" xfId="44172"/>
    <cellStyle name="40% - Accent5 3 6 2 3 2" xfId="44173"/>
    <cellStyle name="40% - Accent5 3 6 2 3 2 2" xfId="44174"/>
    <cellStyle name="40% - Accent5 3 6 2 3 3" xfId="44175"/>
    <cellStyle name="40% - Accent5 3 6 2 3 3 2" xfId="44176"/>
    <cellStyle name="40% - Accent5 3 6 2 3 4" xfId="44177"/>
    <cellStyle name="40% - Accent5 3 6 2 3 5" xfId="44178"/>
    <cellStyle name="40% - Accent5 3 6 2 3 6" xfId="44179"/>
    <cellStyle name="40% - Accent5 3 6 2 3 7" xfId="44180"/>
    <cellStyle name="40% - Accent5 3 6 2 4" xfId="44181"/>
    <cellStyle name="40% - Accent5 3 6 2 4 2" xfId="44182"/>
    <cellStyle name="40% - Accent5 3 6 2 4 2 2" xfId="44183"/>
    <cellStyle name="40% - Accent5 3 6 2 4 3" xfId="44184"/>
    <cellStyle name="40% - Accent5 3 6 2 4 3 2" xfId="44185"/>
    <cellStyle name="40% - Accent5 3 6 2 4 4" xfId="44186"/>
    <cellStyle name="40% - Accent5 3 6 2 4 5" xfId="44187"/>
    <cellStyle name="40% - Accent5 3 6 2 4 6" xfId="44188"/>
    <cellStyle name="40% - Accent5 3 6 2 4 7" xfId="44189"/>
    <cellStyle name="40% - Accent5 3 6 2 5" xfId="44190"/>
    <cellStyle name="40% - Accent5 3 6 2 5 2" xfId="44191"/>
    <cellStyle name="40% - Accent5 3 6 2 5 2 2" xfId="44192"/>
    <cellStyle name="40% - Accent5 3 6 2 5 3" xfId="44193"/>
    <cellStyle name="40% - Accent5 3 6 2 5 3 2" xfId="44194"/>
    <cellStyle name="40% - Accent5 3 6 2 5 4" xfId="44195"/>
    <cellStyle name="40% - Accent5 3 6 2 5 5" xfId="44196"/>
    <cellStyle name="40% - Accent5 3 6 2 5 6" xfId="44197"/>
    <cellStyle name="40% - Accent5 3 6 2 5 7" xfId="44198"/>
    <cellStyle name="40% - Accent5 3 6 2 6" xfId="44199"/>
    <cellStyle name="40% - Accent5 3 6 2 6 2" xfId="44200"/>
    <cellStyle name="40% - Accent5 3 6 2 7" xfId="44201"/>
    <cellStyle name="40% - Accent5 3 6 2 7 2" xfId="44202"/>
    <cellStyle name="40% - Accent5 3 6 2 8" xfId="44203"/>
    <cellStyle name="40% - Accent5 3 6 2 9" xfId="44204"/>
    <cellStyle name="40% - Accent5 3 6 3" xfId="44205"/>
    <cellStyle name="40% - Accent5 3 6 3 10" xfId="44206"/>
    <cellStyle name="40% - Accent5 3 6 3 11" xfId="44207"/>
    <cellStyle name="40% - Accent5 3 6 3 2" xfId="44208"/>
    <cellStyle name="40% - Accent5 3 6 3 2 10" xfId="44209"/>
    <cellStyle name="40% - Accent5 3 6 3 2 2" xfId="44210"/>
    <cellStyle name="40% - Accent5 3 6 3 2 2 2" xfId="44211"/>
    <cellStyle name="40% - Accent5 3 6 3 2 2 2 2" xfId="44212"/>
    <cellStyle name="40% - Accent5 3 6 3 2 2 3" xfId="44213"/>
    <cellStyle name="40% - Accent5 3 6 3 2 2 3 2" xfId="44214"/>
    <cellStyle name="40% - Accent5 3 6 3 2 2 4" xfId="44215"/>
    <cellStyle name="40% - Accent5 3 6 3 2 2 5" xfId="44216"/>
    <cellStyle name="40% - Accent5 3 6 3 2 2 6" xfId="44217"/>
    <cellStyle name="40% - Accent5 3 6 3 2 2 7" xfId="44218"/>
    <cellStyle name="40% - Accent5 3 6 3 2 3" xfId="44219"/>
    <cellStyle name="40% - Accent5 3 6 3 2 3 2" xfId="44220"/>
    <cellStyle name="40% - Accent5 3 6 3 2 3 2 2" xfId="44221"/>
    <cellStyle name="40% - Accent5 3 6 3 2 3 3" xfId="44222"/>
    <cellStyle name="40% - Accent5 3 6 3 2 3 3 2" xfId="44223"/>
    <cellStyle name="40% - Accent5 3 6 3 2 3 4" xfId="44224"/>
    <cellStyle name="40% - Accent5 3 6 3 2 3 5" xfId="44225"/>
    <cellStyle name="40% - Accent5 3 6 3 2 3 6" xfId="44226"/>
    <cellStyle name="40% - Accent5 3 6 3 2 3 7" xfId="44227"/>
    <cellStyle name="40% - Accent5 3 6 3 2 4" xfId="44228"/>
    <cellStyle name="40% - Accent5 3 6 3 2 4 2" xfId="44229"/>
    <cellStyle name="40% - Accent5 3 6 3 2 4 2 2" xfId="44230"/>
    <cellStyle name="40% - Accent5 3 6 3 2 4 3" xfId="44231"/>
    <cellStyle name="40% - Accent5 3 6 3 2 4 3 2" xfId="44232"/>
    <cellStyle name="40% - Accent5 3 6 3 2 4 4" xfId="44233"/>
    <cellStyle name="40% - Accent5 3 6 3 2 4 5" xfId="44234"/>
    <cellStyle name="40% - Accent5 3 6 3 2 4 6" xfId="44235"/>
    <cellStyle name="40% - Accent5 3 6 3 2 4 7" xfId="44236"/>
    <cellStyle name="40% - Accent5 3 6 3 2 5" xfId="44237"/>
    <cellStyle name="40% - Accent5 3 6 3 2 5 2" xfId="44238"/>
    <cellStyle name="40% - Accent5 3 6 3 2 6" xfId="44239"/>
    <cellStyle name="40% - Accent5 3 6 3 2 6 2" xfId="44240"/>
    <cellStyle name="40% - Accent5 3 6 3 2 7" xfId="44241"/>
    <cellStyle name="40% - Accent5 3 6 3 2 8" xfId="44242"/>
    <cellStyle name="40% - Accent5 3 6 3 2 9" xfId="44243"/>
    <cellStyle name="40% - Accent5 3 6 3 3" xfId="44244"/>
    <cellStyle name="40% - Accent5 3 6 3 3 2" xfId="44245"/>
    <cellStyle name="40% - Accent5 3 6 3 3 2 2" xfId="44246"/>
    <cellStyle name="40% - Accent5 3 6 3 3 3" xfId="44247"/>
    <cellStyle name="40% - Accent5 3 6 3 3 3 2" xfId="44248"/>
    <cellStyle name="40% - Accent5 3 6 3 3 4" xfId="44249"/>
    <cellStyle name="40% - Accent5 3 6 3 3 5" xfId="44250"/>
    <cellStyle name="40% - Accent5 3 6 3 3 6" xfId="44251"/>
    <cellStyle name="40% - Accent5 3 6 3 3 7" xfId="44252"/>
    <cellStyle name="40% - Accent5 3 6 3 4" xfId="44253"/>
    <cellStyle name="40% - Accent5 3 6 3 4 2" xfId="44254"/>
    <cellStyle name="40% - Accent5 3 6 3 4 2 2" xfId="44255"/>
    <cellStyle name="40% - Accent5 3 6 3 4 3" xfId="44256"/>
    <cellStyle name="40% - Accent5 3 6 3 4 3 2" xfId="44257"/>
    <cellStyle name="40% - Accent5 3 6 3 4 4" xfId="44258"/>
    <cellStyle name="40% - Accent5 3 6 3 4 5" xfId="44259"/>
    <cellStyle name="40% - Accent5 3 6 3 4 6" xfId="44260"/>
    <cellStyle name="40% - Accent5 3 6 3 4 7" xfId="44261"/>
    <cellStyle name="40% - Accent5 3 6 3 5" xfId="44262"/>
    <cellStyle name="40% - Accent5 3 6 3 5 2" xfId="44263"/>
    <cellStyle name="40% - Accent5 3 6 3 5 2 2" xfId="44264"/>
    <cellStyle name="40% - Accent5 3 6 3 5 3" xfId="44265"/>
    <cellStyle name="40% - Accent5 3 6 3 5 3 2" xfId="44266"/>
    <cellStyle name="40% - Accent5 3 6 3 5 4" xfId="44267"/>
    <cellStyle name="40% - Accent5 3 6 3 5 5" xfId="44268"/>
    <cellStyle name="40% - Accent5 3 6 3 5 6" xfId="44269"/>
    <cellStyle name="40% - Accent5 3 6 3 5 7" xfId="44270"/>
    <cellStyle name="40% - Accent5 3 6 3 6" xfId="44271"/>
    <cellStyle name="40% - Accent5 3 6 3 6 2" xfId="44272"/>
    <cellStyle name="40% - Accent5 3 6 3 7" xfId="44273"/>
    <cellStyle name="40% - Accent5 3 6 3 7 2" xfId="44274"/>
    <cellStyle name="40% - Accent5 3 6 3 8" xfId="44275"/>
    <cellStyle name="40% - Accent5 3 6 3 9" xfId="44276"/>
    <cellStyle name="40% - Accent5 3 6 4" xfId="44277"/>
    <cellStyle name="40% - Accent5 3 6 4 10" xfId="44278"/>
    <cellStyle name="40% - Accent5 3 6 4 2" xfId="44279"/>
    <cellStyle name="40% - Accent5 3 6 4 2 2" xfId="44280"/>
    <cellStyle name="40% - Accent5 3 6 4 2 2 2" xfId="44281"/>
    <cellStyle name="40% - Accent5 3 6 4 2 3" xfId="44282"/>
    <cellStyle name="40% - Accent5 3 6 4 2 3 2" xfId="44283"/>
    <cellStyle name="40% - Accent5 3 6 4 2 4" xfId="44284"/>
    <cellStyle name="40% - Accent5 3 6 4 2 5" xfId="44285"/>
    <cellStyle name="40% - Accent5 3 6 4 2 6" xfId="44286"/>
    <cellStyle name="40% - Accent5 3 6 4 2 7" xfId="44287"/>
    <cellStyle name="40% - Accent5 3 6 4 3" xfId="44288"/>
    <cellStyle name="40% - Accent5 3 6 4 3 2" xfId="44289"/>
    <cellStyle name="40% - Accent5 3 6 4 3 2 2" xfId="44290"/>
    <cellStyle name="40% - Accent5 3 6 4 3 3" xfId="44291"/>
    <cellStyle name="40% - Accent5 3 6 4 3 3 2" xfId="44292"/>
    <cellStyle name="40% - Accent5 3 6 4 3 4" xfId="44293"/>
    <cellStyle name="40% - Accent5 3 6 4 3 5" xfId="44294"/>
    <cellStyle name="40% - Accent5 3 6 4 3 6" xfId="44295"/>
    <cellStyle name="40% - Accent5 3 6 4 3 7" xfId="44296"/>
    <cellStyle name="40% - Accent5 3 6 4 4" xfId="44297"/>
    <cellStyle name="40% - Accent5 3 6 4 4 2" xfId="44298"/>
    <cellStyle name="40% - Accent5 3 6 4 4 2 2" xfId="44299"/>
    <cellStyle name="40% - Accent5 3 6 4 4 3" xfId="44300"/>
    <cellStyle name="40% - Accent5 3 6 4 4 3 2" xfId="44301"/>
    <cellStyle name="40% - Accent5 3 6 4 4 4" xfId="44302"/>
    <cellStyle name="40% - Accent5 3 6 4 4 5" xfId="44303"/>
    <cellStyle name="40% - Accent5 3 6 4 4 6" xfId="44304"/>
    <cellStyle name="40% - Accent5 3 6 4 4 7" xfId="44305"/>
    <cellStyle name="40% - Accent5 3 6 4 5" xfId="44306"/>
    <cellStyle name="40% - Accent5 3 6 4 5 2" xfId="44307"/>
    <cellStyle name="40% - Accent5 3 6 4 6" xfId="44308"/>
    <cellStyle name="40% - Accent5 3 6 4 6 2" xfId="44309"/>
    <cellStyle name="40% - Accent5 3 6 4 7" xfId="44310"/>
    <cellStyle name="40% - Accent5 3 6 4 8" xfId="44311"/>
    <cellStyle name="40% - Accent5 3 6 4 9" xfId="44312"/>
    <cellStyle name="40% - Accent5 3 6 5" xfId="44313"/>
    <cellStyle name="40% - Accent5 3 6 5 2" xfId="44314"/>
    <cellStyle name="40% - Accent5 3 6 5 2 2" xfId="44315"/>
    <cellStyle name="40% - Accent5 3 6 5 3" xfId="44316"/>
    <cellStyle name="40% - Accent5 3 6 5 3 2" xfId="44317"/>
    <cellStyle name="40% - Accent5 3 6 5 4" xfId="44318"/>
    <cellStyle name="40% - Accent5 3 6 5 5" xfId="44319"/>
    <cellStyle name="40% - Accent5 3 6 5 6" xfId="44320"/>
    <cellStyle name="40% - Accent5 3 6 5 7" xfId="44321"/>
    <cellStyle name="40% - Accent5 3 6 6" xfId="44322"/>
    <cellStyle name="40% - Accent5 3 6 6 2" xfId="44323"/>
    <cellStyle name="40% - Accent5 3 6 6 2 2" xfId="44324"/>
    <cellStyle name="40% - Accent5 3 6 6 3" xfId="44325"/>
    <cellStyle name="40% - Accent5 3 6 6 3 2" xfId="44326"/>
    <cellStyle name="40% - Accent5 3 6 6 4" xfId="44327"/>
    <cellStyle name="40% - Accent5 3 6 6 5" xfId="44328"/>
    <cellStyle name="40% - Accent5 3 6 6 6" xfId="44329"/>
    <cellStyle name="40% - Accent5 3 6 6 7" xfId="44330"/>
    <cellStyle name="40% - Accent5 3 6 7" xfId="44331"/>
    <cellStyle name="40% - Accent5 3 6 7 2" xfId="44332"/>
    <cellStyle name="40% - Accent5 3 6 7 2 2" xfId="44333"/>
    <cellStyle name="40% - Accent5 3 6 7 3" xfId="44334"/>
    <cellStyle name="40% - Accent5 3 6 7 3 2" xfId="44335"/>
    <cellStyle name="40% - Accent5 3 6 7 4" xfId="44336"/>
    <cellStyle name="40% - Accent5 3 6 7 5" xfId="44337"/>
    <cellStyle name="40% - Accent5 3 6 7 6" xfId="44338"/>
    <cellStyle name="40% - Accent5 3 6 7 7" xfId="44339"/>
    <cellStyle name="40% - Accent5 3 6 8" xfId="44340"/>
    <cellStyle name="40% - Accent5 3 6 8 2" xfId="44341"/>
    <cellStyle name="40% - Accent5 3 6 9" xfId="44342"/>
    <cellStyle name="40% - Accent5 3 6 9 2" xfId="44343"/>
    <cellStyle name="40% - Accent5 3 7" xfId="44344"/>
    <cellStyle name="40% - Accent5 3 7 10" xfId="44345"/>
    <cellStyle name="40% - Accent5 3 7 11" xfId="44346"/>
    <cellStyle name="40% - Accent5 3 7 2" xfId="44347"/>
    <cellStyle name="40% - Accent5 3 7 2 10" xfId="44348"/>
    <cellStyle name="40% - Accent5 3 7 2 2" xfId="44349"/>
    <cellStyle name="40% - Accent5 3 7 2 2 2" xfId="44350"/>
    <cellStyle name="40% - Accent5 3 7 2 2 2 2" xfId="44351"/>
    <cellStyle name="40% - Accent5 3 7 2 2 3" xfId="44352"/>
    <cellStyle name="40% - Accent5 3 7 2 2 3 2" xfId="44353"/>
    <cellStyle name="40% - Accent5 3 7 2 2 4" xfId="44354"/>
    <cellStyle name="40% - Accent5 3 7 2 2 5" xfId="44355"/>
    <cellStyle name="40% - Accent5 3 7 2 2 6" xfId="44356"/>
    <cellStyle name="40% - Accent5 3 7 2 2 7" xfId="44357"/>
    <cellStyle name="40% - Accent5 3 7 2 3" xfId="44358"/>
    <cellStyle name="40% - Accent5 3 7 2 3 2" xfId="44359"/>
    <cellStyle name="40% - Accent5 3 7 2 3 2 2" xfId="44360"/>
    <cellStyle name="40% - Accent5 3 7 2 3 3" xfId="44361"/>
    <cellStyle name="40% - Accent5 3 7 2 3 3 2" xfId="44362"/>
    <cellStyle name="40% - Accent5 3 7 2 3 4" xfId="44363"/>
    <cellStyle name="40% - Accent5 3 7 2 3 5" xfId="44364"/>
    <cellStyle name="40% - Accent5 3 7 2 3 6" xfId="44365"/>
    <cellStyle name="40% - Accent5 3 7 2 3 7" xfId="44366"/>
    <cellStyle name="40% - Accent5 3 7 2 4" xfId="44367"/>
    <cellStyle name="40% - Accent5 3 7 2 4 2" xfId="44368"/>
    <cellStyle name="40% - Accent5 3 7 2 4 2 2" xfId="44369"/>
    <cellStyle name="40% - Accent5 3 7 2 4 3" xfId="44370"/>
    <cellStyle name="40% - Accent5 3 7 2 4 3 2" xfId="44371"/>
    <cellStyle name="40% - Accent5 3 7 2 4 4" xfId="44372"/>
    <cellStyle name="40% - Accent5 3 7 2 4 5" xfId="44373"/>
    <cellStyle name="40% - Accent5 3 7 2 4 6" xfId="44374"/>
    <cellStyle name="40% - Accent5 3 7 2 4 7" xfId="44375"/>
    <cellStyle name="40% - Accent5 3 7 2 5" xfId="44376"/>
    <cellStyle name="40% - Accent5 3 7 2 5 2" xfId="44377"/>
    <cellStyle name="40% - Accent5 3 7 2 6" xfId="44378"/>
    <cellStyle name="40% - Accent5 3 7 2 6 2" xfId="44379"/>
    <cellStyle name="40% - Accent5 3 7 2 7" xfId="44380"/>
    <cellStyle name="40% - Accent5 3 7 2 8" xfId="44381"/>
    <cellStyle name="40% - Accent5 3 7 2 9" xfId="44382"/>
    <cellStyle name="40% - Accent5 3 7 3" xfId="44383"/>
    <cellStyle name="40% - Accent5 3 7 3 2" xfId="44384"/>
    <cellStyle name="40% - Accent5 3 7 3 2 2" xfId="44385"/>
    <cellStyle name="40% - Accent5 3 7 3 3" xfId="44386"/>
    <cellStyle name="40% - Accent5 3 7 3 3 2" xfId="44387"/>
    <cellStyle name="40% - Accent5 3 7 3 4" xfId="44388"/>
    <cellStyle name="40% - Accent5 3 7 3 5" xfId="44389"/>
    <cellStyle name="40% - Accent5 3 7 3 6" xfId="44390"/>
    <cellStyle name="40% - Accent5 3 7 3 7" xfId="44391"/>
    <cellStyle name="40% - Accent5 3 7 4" xfId="44392"/>
    <cellStyle name="40% - Accent5 3 7 4 2" xfId="44393"/>
    <cellStyle name="40% - Accent5 3 7 4 2 2" xfId="44394"/>
    <cellStyle name="40% - Accent5 3 7 4 3" xfId="44395"/>
    <cellStyle name="40% - Accent5 3 7 4 3 2" xfId="44396"/>
    <cellStyle name="40% - Accent5 3 7 4 4" xfId="44397"/>
    <cellStyle name="40% - Accent5 3 7 4 5" xfId="44398"/>
    <cellStyle name="40% - Accent5 3 7 4 6" xfId="44399"/>
    <cellStyle name="40% - Accent5 3 7 4 7" xfId="44400"/>
    <cellStyle name="40% - Accent5 3 7 5" xfId="44401"/>
    <cellStyle name="40% - Accent5 3 7 5 2" xfId="44402"/>
    <cellStyle name="40% - Accent5 3 7 5 2 2" xfId="44403"/>
    <cellStyle name="40% - Accent5 3 7 5 3" xfId="44404"/>
    <cellStyle name="40% - Accent5 3 7 5 3 2" xfId="44405"/>
    <cellStyle name="40% - Accent5 3 7 5 4" xfId="44406"/>
    <cellStyle name="40% - Accent5 3 7 5 5" xfId="44407"/>
    <cellStyle name="40% - Accent5 3 7 5 6" xfId="44408"/>
    <cellStyle name="40% - Accent5 3 7 5 7" xfId="44409"/>
    <cellStyle name="40% - Accent5 3 7 6" xfId="44410"/>
    <cellStyle name="40% - Accent5 3 7 6 2" xfId="44411"/>
    <cellStyle name="40% - Accent5 3 7 7" xfId="44412"/>
    <cellStyle name="40% - Accent5 3 7 7 2" xfId="44413"/>
    <cellStyle name="40% - Accent5 3 7 8" xfId="44414"/>
    <cellStyle name="40% - Accent5 3 7 9" xfId="44415"/>
    <cellStyle name="40% - Accent5 3 8" xfId="44416"/>
    <cellStyle name="40% - Accent5 3 8 10" xfId="44417"/>
    <cellStyle name="40% - Accent5 3 8 11" xfId="44418"/>
    <cellStyle name="40% - Accent5 3 8 2" xfId="44419"/>
    <cellStyle name="40% - Accent5 3 8 2 10" xfId="44420"/>
    <cellStyle name="40% - Accent5 3 8 2 2" xfId="44421"/>
    <cellStyle name="40% - Accent5 3 8 2 2 2" xfId="44422"/>
    <cellStyle name="40% - Accent5 3 8 2 2 2 2" xfId="44423"/>
    <cellStyle name="40% - Accent5 3 8 2 2 3" xfId="44424"/>
    <cellStyle name="40% - Accent5 3 8 2 2 3 2" xfId="44425"/>
    <cellStyle name="40% - Accent5 3 8 2 2 4" xfId="44426"/>
    <cellStyle name="40% - Accent5 3 8 2 2 5" xfId="44427"/>
    <cellStyle name="40% - Accent5 3 8 2 2 6" xfId="44428"/>
    <cellStyle name="40% - Accent5 3 8 2 2 7" xfId="44429"/>
    <cellStyle name="40% - Accent5 3 8 2 3" xfId="44430"/>
    <cellStyle name="40% - Accent5 3 8 2 3 2" xfId="44431"/>
    <cellStyle name="40% - Accent5 3 8 2 3 2 2" xfId="44432"/>
    <cellStyle name="40% - Accent5 3 8 2 3 3" xfId="44433"/>
    <cellStyle name="40% - Accent5 3 8 2 3 3 2" xfId="44434"/>
    <cellStyle name="40% - Accent5 3 8 2 3 4" xfId="44435"/>
    <cellStyle name="40% - Accent5 3 8 2 3 5" xfId="44436"/>
    <cellStyle name="40% - Accent5 3 8 2 3 6" xfId="44437"/>
    <cellStyle name="40% - Accent5 3 8 2 3 7" xfId="44438"/>
    <cellStyle name="40% - Accent5 3 8 2 4" xfId="44439"/>
    <cellStyle name="40% - Accent5 3 8 2 4 2" xfId="44440"/>
    <cellStyle name="40% - Accent5 3 8 2 4 2 2" xfId="44441"/>
    <cellStyle name="40% - Accent5 3 8 2 4 3" xfId="44442"/>
    <cellStyle name="40% - Accent5 3 8 2 4 3 2" xfId="44443"/>
    <cellStyle name="40% - Accent5 3 8 2 4 4" xfId="44444"/>
    <cellStyle name="40% - Accent5 3 8 2 4 5" xfId="44445"/>
    <cellStyle name="40% - Accent5 3 8 2 4 6" xfId="44446"/>
    <cellStyle name="40% - Accent5 3 8 2 4 7" xfId="44447"/>
    <cellStyle name="40% - Accent5 3 8 2 5" xfId="44448"/>
    <cellStyle name="40% - Accent5 3 8 2 5 2" xfId="44449"/>
    <cellStyle name="40% - Accent5 3 8 2 6" xfId="44450"/>
    <cellStyle name="40% - Accent5 3 8 2 6 2" xfId="44451"/>
    <cellStyle name="40% - Accent5 3 8 2 7" xfId="44452"/>
    <cellStyle name="40% - Accent5 3 8 2 8" xfId="44453"/>
    <cellStyle name="40% - Accent5 3 8 2 9" xfId="44454"/>
    <cellStyle name="40% - Accent5 3 8 3" xfId="44455"/>
    <cellStyle name="40% - Accent5 3 8 3 2" xfId="44456"/>
    <cellStyle name="40% - Accent5 3 8 3 2 2" xfId="44457"/>
    <cellStyle name="40% - Accent5 3 8 3 3" xfId="44458"/>
    <cellStyle name="40% - Accent5 3 8 3 3 2" xfId="44459"/>
    <cellStyle name="40% - Accent5 3 8 3 4" xfId="44460"/>
    <cellStyle name="40% - Accent5 3 8 3 5" xfId="44461"/>
    <cellStyle name="40% - Accent5 3 8 3 6" xfId="44462"/>
    <cellStyle name="40% - Accent5 3 8 3 7" xfId="44463"/>
    <cellStyle name="40% - Accent5 3 8 4" xfId="44464"/>
    <cellStyle name="40% - Accent5 3 8 4 2" xfId="44465"/>
    <cellStyle name="40% - Accent5 3 8 4 2 2" xfId="44466"/>
    <cellStyle name="40% - Accent5 3 8 4 3" xfId="44467"/>
    <cellStyle name="40% - Accent5 3 8 4 3 2" xfId="44468"/>
    <cellStyle name="40% - Accent5 3 8 4 4" xfId="44469"/>
    <cellStyle name="40% - Accent5 3 8 4 5" xfId="44470"/>
    <cellStyle name="40% - Accent5 3 8 4 6" xfId="44471"/>
    <cellStyle name="40% - Accent5 3 8 4 7" xfId="44472"/>
    <cellStyle name="40% - Accent5 3 8 5" xfId="44473"/>
    <cellStyle name="40% - Accent5 3 8 5 2" xfId="44474"/>
    <cellStyle name="40% - Accent5 3 8 5 2 2" xfId="44475"/>
    <cellStyle name="40% - Accent5 3 8 5 3" xfId="44476"/>
    <cellStyle name="40% - Accent5 3 8 5 3 2" xfId="44477"/>
    <cellStyle name="40% - Accent5 3 8 5 4" xfId="44478"/>
    <cellStyle name="40% - Accent5 3 8 5 5" xfId="44479"/>
    <cellStyle name="40% - Accent5 3 8 5 6" xfId="44480"/>
    <cellStyle name="40% - Accent5 3 8 5 7" xfId="44481"/>
    <cellStyle name="40% - Accent5 3 8 6" xfId="44482"/>
    <cellStyle name="40% - Accent5 3 8 6 2" xfId="44483"/>
    <cellStyle name="40% - Accent5 3 8 7" xfId="44484"/>
    <cellStyle name="40% - Accent5 3 8 7 2" xfId="44485"/>
    <cellStyle name="40% - Accent5 3 8 8" xfId="44486"/>
    <cellStyle name="40% - Accent5 3 8 9" xfId="44487"/>
    <cellStyle name="40% - Accent5 3 9" xfId="44488"/>
    <cellStyle name="40% - Accent5 3 9 10" xfId="44489"/>
    <cellStyle name="40% - Accent5 3 9 2" xfId="44490"/>
    <cellStyle name="40% - Accent5 3 9 2 2" xfId="44491"/>
    <cellStyle name="40% - Accent5 3 9 2 2 2" xfId="44492"/>
    <cellStyle name="40% - Accent5 3 9 2 3" xfId="44493"/>
    <cellStyle name="40% - Accent5 3 9 2 3 2" xfId="44494"/>
    <cellStyle name="40% - Accent5 3 9 2 4" xfId="44495"/>
    <cellStyle name="40% - Accent5 3 9 2 5" xfId="44496"/>
    <cellStyle name="40% - Accent5 3 9 2 6" xfId="44497"/>
    <cellStyle name="40% - Accent5 3 9 2 7" xfId="44498"/>
    <cellStyle name="40% - Accent5 3 9 3" xfId="44499"/>
    <cellStyle name="40% - Accent5 3 9 3 2" xfId="44500"/>
    <cellStyle name="40% - Accent5 3 9 3 2 2" xfId="44501"/>
    <cellStyle name="40% - Accent5 3 9 3 3" xfId="44502"/>
    <cellStyle name="40% - Accent5 3 9 3 3 2" xfId="44503"/>
    <cellStyle name="40% - Accent5 3 9 3 4" xfId="44504"/>
    <cellStyle name="40% - Accent5 3 9 3 5" xfId="44505"/>
    <cellStyle name="40% - Accent5 3 9 3 6" xfId="44506"/>
    <cellStyle name="40% - Accent5 3 9 3 7" xfId="44507"/>
    <cellStyle name="40% - Accent5 3 9 4" xfId="44508"/>
    <cellStyle name="40% - Accent5 3 9 4 2" xfId="44509"/>
    <cellStyle name="40% - Accent5 3 9 4 2 2" xfId="44510"/>
    <cellStyle name="40% - Accent5 3 9 4 3" xfId="44511"/>
    <cellStyle name="40% - Accent5 3 9 4 3 2" xfId="44512"/>
    <cellStyle name="40% - Accent5 3 9 4 4" xfId="44513"/>
    <cellStyle name="40% - Accent5 3 9 4 5" xfId="44514"/>
    <cellStyle name="40% - Accent5 3 9 4 6" xfId="44515"/>
    <cellStyle name="40% - Accent5 3 9 4 7" xfId="44516"/>
    <cellStyle name="40% - Accent5 3 9 5" xfId="44517"/>
    <cellStyle name="40% - Accent5 3 9 5 2" xfId="44518"/>
    <cellStyle name="40% - Accent5 3 9 6" xfId="44519"/>
    <cellStyle name="40% - Accent5 3 9 6 2" xfId="44520"/>
    <cellStyle name="40% - Accent5 3 9 7" xfId="44521"/>
    <cellStyle name="40% - Accent5 3 9 8" xfId="44522"/>
    <cellStyle name="40% - Accent5 3 9 9" xfId="44523"/>
    <cellStyle name="40% - Accent5 3_10-15-10-Stmt AU - Period I - Working 1 0" xfId="373"/>
    <cellStyle name="40% - Accent5 4" xfId="374"/>
    <cellStyle name="40% - Accent5 4 2" xfId="375"/>
    <cellStyle name="40% - Accent5 4 3" xfId="376"/>
    <cellStyle name="40% - Accent5 4_10-15-10-Stmt AU - Period I - Working 1 0" xfId="377"/>
    <cellStyle name="40% - Accent5 5" xfId="378"/>
    <cellStyle name="40% - Accent5 5 2" xfId="379"/>
    <cellStyle name="40% - Accent5 5 3" xfId="380"/>
    <cellStyle name="40% - Accent5 5_10-15-10-Stmt AU - Period I - Working 1 0" xfId="381"/>
    <cellStyle name="40% - Accent5 6" xfId="382"/>
    <cellStyle name="40% - Accent5 6 2" xfId="383"/>
    <cellStyle name="40% - Accent5 6 3" xfId="384"/>
    <cellStyle name="40% - Accent5 6_10-15-10-Stmt AU - Period I - Working 1 0" xfId="385"/>
    <cellStyle name="40% - Accent5 7" xfId="386"/>
    <cellStyle name="40% - Accent5 7 2" xfId="387"/>
    <cellStyle name="40% - Accent5 7 3" xfId="388"/>
    <cellStyle name="40% - Accent5 7_10-15-10-Stmt AU - Period I - Working 1 0" xfId="389"/>
    <cellStyle name="40% - Accent5 8" xfId="390"/>
    <cellStyle name="40% - Accent5 9" xfId="391"/>
    <cellStyle name="40% - Accent6 10" xfId="392"/>
    <cellStyle name="40% - Accent6 11" xfId="393"/>
    <cellStyle name="40% - Accent6 12" xfId="394"/>
    <cellStyle name="40% - Accent6 13" xfId="395"/>
    <cellStyle name="40% - Accent6 2" xfId="396"/>
    <cellStyle name="40% - Accent6 2 10" xfId="44524"/>
    <cellStyle name="40% - Accent6 2 10 2" xfId="44525"/>
    <cellStyle name="40% - Accent6 2 10 2 2" xfId="44526"/>
    <cellStyle name="40% - Accent6 2 10 3" xfId="44527"/>
    <cellStyle name="40% - Accent6 2 10 3 2" xfId="44528"/>
    <cellStyle name="40% - Accent6 2 10 4" xfId="44529"/>
    <cellStyle name="40% - Accent6 2 10 5" xfId="44530"/>
    <cellStyle name="40% - Accent6 2 10 6" xfId="44531"/>
    <cellStyle name="40% - Accent6 2 10 7" xfId="44532"/>
    <cellStyle name="40% - Accent6 2 11" xfId="44533"/>
    <cellStyle name="40% - Accent6 2 11 2" xfId="44534"/>
    <cellStyle name="40% - Accent6 2 11 2 2" xfId="44535"/>
    <cellStyle name="40% - Accent6 2 11 3" xfId="44536"/>
    <cellStyle name="40% - Accent6 2 11 3 2" xfId="44537"/>
    <cellStyle name="40% - Accent6 2 11 4" xfId="44538"/>
    <cellStyle name="40% - Accent6 2 11 5" xfId="44539"/>
    <cellStyle name="40% - Accent6 2 11 6" xfId="44540"/>
    <cellStyle name="40% - Accent6 2 11 7" xfId="44541"/>
    <cellStyle name="40% - Accent6 2 12" xfId="44542"/>
    <cellStyle name="40% - Accent6 2 12 2" xfId="44543"/>
    <cellStyle name="40% - Accent6 2 12 2 2" xfId="44544"/>
    <cellStyle name="40% - Accent6 2 12 3" xfId="44545"/>
    <cellStyle name="40% - Accent6 2 12 3 2" xfId="44546"/>
    <cellStyle name="40% - Accent6 2 12 4" xfId="44547"/>
    <cellStyle name="40% - Accent6 2 12 5" xfId="44548"/>
    <cellStyle name="40% - Accent6 2 12 6" xfId="44549"/>
    <cellStyle name="40% - Accent6 2 12 7" xfId="44550"/>
    <cellStyle name="40% - Accent6 2 13" xfId="44551"/>
    <cellStyle name="40% - Accent6 2 13 2" xfId="44552"/>
    <cellStyle name="40% - Accent6 2 14" xfId="44553"/>
    <cellStyle name="40% - Accent6 2 15" xfId="44554"/>
    <cellStyle name="40% - Accent6 2 16" xfId="44555"/>
    <cellStyle name="40% - Accent6 2 17" xfId="44556"/>
    <cellStyle name="40% - Accent6 2 18" xfId="44557"/>
    <cellStyle name="40% - Accent6 2 2" xfId="397"/>
    <cellStyle name="40% - Accent6 2 2 10" xfId="44558"/>
    <cellStyle name="40% - Accent6 2 2 11" xfId="44559"/>
    <cellStyle name="40% - Accent6 2 2 12" xfId="44560"/>
    <cellStyle name="40% - Accent6 2 2 13" xfId="44561"/>
    <cellStyle name="40% - Accent6 2 2 2" xfId="44562"/>
    <cellStyle name="40% - Accent6 2 2 2 10" xfId="44563"/>
    <cellStyle name="40% - Accent6 2 2 2 11" xfId="44564"/>
    <cellStyle name="40% - Accent6 2 2 2 2" xfId="44565"/>
    <cellStyle name="40% - Accent6 2 2 2 2 10" xfId="44566"/>
    <cellStyle name="40% - Accent6 2 2 2 2 2" xfId="44567"/>
    <cellStyle name="40% - Accent6 2 2 2 2 2 2" xfId="44568"/>
    <cellStyle name="40% - Accent6 2 2 2 2 2 2 2" xfId="44569"/>
    <cellStyle name="40% - Accent6 2 2 2 2 2 3" xfId="44570"/>
    <cellStyle name="40% - Accent6 2 2 2 2 2 3 2" xfId="44571"/>
    <cellStyle name="40% - Accent6 2 2 2 2 2 4" xfId="44572"/>
    <cellStyle name="40% - Accent6 2 2 2 2 2 5" xfId="44573"/>
    <cellStyle name="40% - Accent6 2 2 2 2 2 6" xfId="44574"/>
    <cellStyle name="40% - Accent6 2 2 2 2 2 7" xfId="44575"/>
    <cellStyle name="40% - Accent6 2 2 2 2 3" xfId="44576"/>
    <cellStyle name="40% - Accent6 2 2 2 2 3 2" xfId="44577"/>
    <cellStyle name="40% - Accent6 2 2 2 2 3 2 2" xfId="44578"/>
    <cellStyle name="40% - Accent6 2 2 2 2 3 3" xfId="44579"/>
    <cellStyle name="40% - Accent6 2 2 2 2 3 3 2" xfId="44580"/>
    <cellStyle name="40% - Accent6 2 2 2 2 3 4" xfId="44581"/>
    <cellStyle name="40% - Accent6 2 2 2 2 3 5" xfId="44582"/>
    <cellStyle name="40% - Accent6 2 2 2 2 3 6" xfId="44583"/>
    <cellStyle name="40% - Accent6 2 2 2 2 3 7" xfId="44584"/>
    <cellStyle name="40% - Accent6 2 2 2 2 4" xfId="44585"/>
    <cellStyle name="40% - Accent6 2 2 2 2 4 2" xfId="44586"/>
    <cellStyle name="40% - Accent6 2 2 2 2 4 2 2" xfId="44587"/>
    <cellStyle name="40% - Accent6 2 2 2 2 4 3" xfId="44588"/>
    <cellStyle name="40% - Accent6 2 2 2 2 4 3 2" xfId="44589"/>
    <cellStyle name="40% - Accent6 2 2 2 2 4 4" xfId="44590"/>
    <cellStyle name="40% - Accent6 2 2 2 2 4 5" xfId="44591"/>
    <cellStyle name="40% - Accent6 2 2 2 2 4 6" xfId="44592"/>
    <cellStyle name="40% - Accent6 2 2 2 2 4 7" xfId="44593"/>
    <cellStyle name="40% - Accent6 2 2 2 2 5" xfId="44594"/>
    <cellStyle name="40% - Accent6 2 2 2 2 5 2" xfId="44595"/>
    <cellStyle name="40% - Accent6 2 2 2 2 6" xfId="44596"/>
    <cellStyle name="40% - Accent6 2 2 2 2 6 2" xfId="44597"/>
    <cellStyle name="40% - Accent6 2 2 2 2 7" xfId="44598"/>
    <cellStyle name="40% - Accent6 2 2 2 2 8" xfId="44599"/>
    <cellStyle name="40% - Accent6 2 2 2 2 9" xfId="44600"/>
    <cellStyle name="40% - Accent6 2 2 2 3" xfId="44601"/>
    <cellStyle name="40% - Accent6 2 2 2 3 2" xfId="44602"/>
    <cellStyle name="40% - Accent6 2 2 2 3 2 2" xfId="44603"/>
    <cellStyle name="40% - Accent6 2 2 2 3 3" xfId="44604"/>
    <cellStyle name="40% - Accent6 2 2 2 3 3 2" xfId="44605"/>
    <cellStyle name="40% - Accent6 2 2 2 3 4" xfId="44606"/>
    <cellStyle name="40% - Accent6 2 2 2 3 5" xfId="44607"/>
    <cellStyle name="40% - Accent6 2 2 2 3 6" xfId="44608"/>
    <cellStyle name="40% - Accent6 2 2 2 3 7" xfId="44609"/>
    <cellStyle name="40% - Accent6 2 2 2 4" xfId="44610"/>
    <cellStyle name="40% - Accent6 2 2 2 4 2" xfId="44611"/>
    <cellStyle name="40% - Accent6 2 2 2 4 2 2" xfId="44612"/>
    <cellStyle name="40% - Accent6 2 2 2 4 3" xfId="44613"/>
    <cellStyle name="40% - Accent6 2 2 2 4 3 2" xfId="44614"/>
    <cellStyle name="40% - Accent6 2 2 2 4 4" xfId="44615"/>
    <cellStyle name="40% - Accent6 2 2 2 4 5" xfId="44616"/>
    <cellStyle name="40% - Accent6 2 2 2 4 6" xfId="44617"/>
    <cellStyle name="40% - Accent6 2 2 2 4 7" xfId="44618"/>
    <cellStyle name="40% - Accent6 2 2 2 5" xfId="44619"/>
    <cellStyle name="40% - Accent6 2 2 2 5 2" xfId="44620"/>
    <cellStyle name="40% - Accent6 2 2 2 5 2 2" xfId="44621"/>
    <cellStyle name="40% - Accent6 2 2 2 5 3" xfId="44622"/>
    <cellStyle name="40% - Accent6 2 2 2 5 3 2" xfId="44623"/>
    <cellStyle name="40% - Accent6 2 2 2 5 4" xfId="44624"/>
    <cellStyle name="40% - Accent6 2 2 2 5 5" xfId="44625"/>
    <cellStyle name="40% - Accent6 2 2 2 5 6" xfId="44626"/>
    <cellStyle name="40% - Accent6 2 2 2 5 7" xfId="44627"/>
    <cellStyle name="40% - Accent6 2 2 2 6" xfId="44628"/>
    <cellStyle name="40% - Accent6 2 2 2 6 2" xfId="44629"/>
    <cellStyle name="40% - Accent6 2 2 2 7" xfId="44630"/>
    <cellStyle name="40% - Accent6 2 2 2 7 2" xfId="44631"/>
    <cellStyle name="40% - Accent6 2 2 2 8" xfId="44632"/>
    <cellStyle name="40% - Accent6 2 2 2 9" xfId="44633"/>
    <cellStyle name="40% - Accent6 2 2 3" xfId="44634"/>
    <cellStyle name="40% - Accent6 2 2 3 10" xfId="44635"/>
    <cellStyle name="40% - Accent6 2 2 3 11" xfId="44636"/>
    <cellStyle name="40% - Accent6 2 2 3 2" xfId="44637"/>
    <cellStyle name="40% - Accent6 2 2 3 2 10" xfId="44638"/>
    <cellStyle name="40% - Accent6 2 2 3 2 2" xfId="44639"/>
    <cellStyle name="40% - Accent6 2 2 3 2 2 2" xfId="44640"/>
    <cellStyle name="40% - Accent6 2 2 3 2 2 2 2" xfId="44641"/>
    <cellStyle name="40% - Accent6 2 2 3 2 2 3" xfId="44642"/>
    <cellStyle name="40% - Accent6 2 2 3 2 2 3 2" xfId="44643"/>
    <cellStyle name="40% - Accent6 2 2 3 2 2 4" xfId="44644"/>
    <cellStyle name="40% - Accent6 2 2 3 2 2 5" xfId="44645"/>
    <cellStyle name="40% - Accent6 2 2 3 2 2 6" xfId="44646"/>
    <cellStyle name="40% - Accent6 2 2 3 2 2 7" xfId="44647"/>
    <cellStyle name="40% - Accent6 2 2 3 2 3" xfId="44648"/>
    <cellStyle name="40% - Accent6 2 2 3 2 3 2" xfId="44649"/>
    <cellStyle name="40% - Accent6 2 2 3 2 3 2 2" xfId="44650"/>
    <cellStyle name="40% - Accent6 2 2 3 2 3 3" xfId="44651"/>
    <cellStyle name="40% - Accent6 2 2 3 2 3 3 2" xfId="44652"/>
    <cellStyle name="40% - Accent6 2 2 3 2 3 4" xfId="44653"/>
    <cellStyle name="40% - Accent6 2 2 3 2 3 5" xfId="44654"/>
    <cellStyle name="40% - Accent6 2 2 3 2 3 6" xfId="44655"/>
    <cellStyle name="40% - Accent6 2 2 3 2 3 7" xfId="44656"/>
    <cellStyle name="40% - Accent6 2 2 3 2 4" xfId="44657"/>
    <cellStyle name="40% - Accent6 2 2 3 2 4 2" xfId="44658"/>
    <cellStyle name="40% - Accent6 2 2 3 2 4 2 2" xfId="44659"/>
    <cellStyle name="40% - Accent6 2 2 3 2 4 3" xfId="44660"/>
    <cellStyle name="40% - Accent6 2 2 3 2 4 3 2" xfId="44661"/>
    <cellStyle name="40% - Accent6 2 2 3 2 4 4" xfId="44662"/>
    <cellStyle name="40% - Accent6 2 2 3 2 4 5" xfId="44663"/>
    <cellStyle name="40% - Accent6 2 2 3 2 4 6" xfId="44664"/>
    <cellStyle name="40% - Accent6 2 2 3 2 4 7" xfId="44665"/>
    <cellStyle name="40% - Accent6 2 2 3 2 5" xfId="44666"/>
    <cellStyle name="40% - Accent6 2 2 3 2 5 2" xfId="44667"/>
    <cellStyle name="40% - Accent6 2 2 3 2 6" xfId="44668"/>
    <cellStyle name="40% - Accent6 2 2 3 2 6 2" xfId="44669"/>
    <cellStyle name="40% - Accent6 2 2 3 2 7" xfId="44670"/>
    <cellStyle name="40% - Accent6 2 2 3 2 8" xfId="44671"/>
    <cellStyle name="40% - Accent6 2 2 3 2 9" xfId="44672"/>
    <cellStyle name="40% - Accent6 2 2 3 3" xfId="44673"/>
    <cellStyle name="40% - Accent6 2 2 3 3 2" xfId="44674"/>
    <cellStyle name="40% - Accent6 2 2 3 3 2 2" xfId="44675"/>
    <cellStyle name="40% - Accent6 2 2 3 3 3" xfId="44676"/>
    <cellStyle name="40% - Accent6 2 2 3 3 3 2" xfId="44677"/>
    <cellStyle name="40% - Accent6 2 2 3 3 4" xfId="44678"/>
    <cellStyle name="40% - Accent6 2 2 3 3 5" xfId="44679"/>
    <cellStyle name="40% - Accent6 2 2 3 3 6" xfId="44680"/>
    <cellStyle name="40% - Accent6 2 2 3 3 7" xfId="44681"/>
    <cellStyle name="40% - Accent6 2 2 3 4" xfId="44682"/>
    <cellStyle name="40% - Accent6 2 2 3 4 2" xfId="44683"/>
    <cellStyle name="40% - Accent6 2 2 3 4 2 2" xfId="44684"/>
    <cellStyle name="40% - Accent6 2 2 3 4 3" xfId="44685"/>
    <cellStyle name="40% - Accent6 2 2 3 4 3 2" xfId="44686"/>
    <cellStyle name="40% - Accent6 2 2 3 4 4" xfId="44687"/>
    <cellStyle name="40% - Accent6 2 2 3 4 5" xfId="44688"/>
    <cellStyle name="40% - Accent6 2 2 3 4 6" xfId="44689"/>
    <cellStyle name="40% - Accent6 2 2 3 4 7" xfId="44690"/>
    <cellStyle name="40% - Accent6 2 2 3 5" xfId="44691"/>
    <cellStyle name="40% - Accent6 2 2 3 5 2" xfId="44692"/>
    <cellStyle name="40% - Accent6 2 2 3 5 2 2" xfId="44693"/>
    <cellStyle name="40% - Accent6 2 2 3 5 3" xfId="44694"/>
    <cellStyle name="40% - Accent6 2 2 3 5 3 2" xfId="44695"/>
    <cellStyle name="40% - Accent6 2 2 3 5 4" xfId="44696"/>
    <cellStyle name="40% - Accent6 2 2 3 5 5" xfId="44697"/>
    <cellStyle name="40% - Accent6 2 2 3 5 6" xfId="44698"/>
    <cellStyle name="40% - Accent6 2 2 3 5 7" xfId="44699"/>
    <cellStyle name="40% - Accent6 2 2 3 6" xfId="44700"/>
    <cellStyle name="40% - Accent6 2 2 3 6 2" xfId="44701"/>
    <cellStyle name="40% - Accent6 2 2 3 7" xfId="44702"/>
    <cellStyle name="40% - Accent6 2 2 3 7 2" xfId="44703"/>
    <cellStyle name="40% - Accent6 2 2 3 8" xfId="44704"/>
    <cellStyle name="40% - Accent6 2 2 3 9" xfId="44705"/>
    <cellStyle name="40% - Accent6 2 2 4" xfId="44706"/>
    <cellStyle name="40% - Accent6 2 2 4 10" xfId="44707"/>
    <cellStyle name="40% - Accent6 2 2 4 2" xfId="44708"/>
    <cellStyle name="40% - Accent6 2 2 4 2 2" xfId="44709"/>
    <cellStyle name="40% - Accent6 2 2 4 2 2 2" xfId="44710"/>
    <cellStyle name="40% - Accent6 2 2 4 2 3" xfId="44711"/>
    <cellStyle name="40% - Accent6 2 2 4 2 3 2" xfId="44712"/>
    <cellStyle name="40% - Accent6 2 2 4 2 4" xfId="44713"/>
    <cellStyle name="40% - Accent6 2 2 4 2 5" xfId="44714"/>
    <cellStyle name="40% - Accent6 2 2 4 2 6" xfId="44715"/>
    <cellStyle name="40% - Accent6 2 2 4 2 7" xfId="44716"/>
    <cellStyle name="40% - Accent6 2 2 4 3" xfId="44717"/>
    <cellStyle name="40% - Accent6 2 2 4 3 2" xfId="44718"/>
    <cellStyle name="40% - Accent6 2 2 4 3 2 2" xfId="44719"/>
    <cellStyle name="40% - Accent6 2 2 4 3 3" xfId="44720"/>
    <cellStyle name="40% - Accent6 2 2 4 3 3 2" xfId="44721"/>
    <cellStyle name="40% - Accent6 2 2 4 3 4" xfId="44722"/>
    <cellStyle name="40% - Accent6 2 2 4 3 5" xfId="44723"/>
    <cellStyle name="40% - Accent6 2 2 4 3 6" xfId="44724"/>
    <cellStyle name="40% - Accent6 2 2 4 3 7" xfId="44725"/>
    <cellStyle name="40% - Accent6 2 2 4 4" xfId="44726"/>
    <cellStyle name="40% - Accent6 2 2 4 4 2" xfId="44727"/>
    <cellStyle name="40% - Accent6 2 2 4 4 2 2" xfId="44728"/>
    <cellStyle name="40% - Accent6 2 2 4 4 3" xfId="44729"/>
    <cellStyle name="40% - Accent6 2 2 4 4 3 2" xfId="44730"/>
    <cellStyle name="40% - Accent6 2 2 4 4 4" xfId="44731"/>
    <cellStyle name="40% - Accent6 2 2 4 4 5" xfId="44732"/>
    <cellStyle name="40% - Accent6 2 2 4 4 6" xfId="44733"/>
    <cellStyle name="40% - Accent6 2 2 4 4 7" xfId="44734"/>
    <cellStyle name="40% - Accent6 2 2 4 5" xfId="44735"/>
    <cellStyle name="40% - Accent6 2 2 4 5 2" xfId="44736"/>
    <cellStyle name="40% - Accent6 2 2 4 6" xfId="44737"/>
    <cellStyle name="40% - Accent6 2 2 4 6 2" xfId="44738"/>
    <cellStyle name="40% - Accent6 2 2 4 7" xfId="44739"/>
    <cellStyle name="40% - Accent6 2 2 4 8" xfId="44740"/>
    <cellStyle name="40% - Accent6 2 2 4 9" xfId="44741"/>
    <cellStyle name="40% - Accent6 2 2 5" xfId="44742"/>
    <cellStyle name="40% - Accent6 2 2 5 2" xfId="44743"/>
    <cellStyle name="40% - Accent6 2 2 5 2 2" xfId="44744"/>
    <cellStyle name="40% - Accent6 2 2 5 3" xfId="44745"/>
    <cellStyle name="40% - Accent6 2 2 5 3 2" xfId="44746"/>
    <cellStyle name="40% - Accent6 2 2 5 4" xfId="44747"/>
    <cellStyle name="40% - Accent6 2 2 5 5" xfId="44748"/>
    <cellStyle name="40% - Accent6 2 2 5 6" xfId="44749"/>
    <cellStyle name="40% - Accent6 2 2 5 7" xfId="44750"/>
    <cellStyle name="40% - Accent6 2 2 6" xfId="44751"/>
    <cellStyle name="40% - Accent6 2 2 6 2" xfId="44752"/>
    <cellStyle name="40% - Accent6 2 2 6 2 2" xfId="44753"/>
    <cellStyle name="40% - Accent6 2 2 6 3" xfId="44754"/>
    <cellStyle name="40% - Accent6 2 2 6 3 2" xfId="44755"/>
    <cellStyle name="40% - Accent6 2 2 6 4" xfId="44756"/>
    <cellStyle name="40% - Accent6 2 2 6 5" xfId="44757"/>
    <cellStyle name="40% - Accent6 2 2 6 6" xfId="44758"/>
    <cellStyle name="40% - Accent6 2 2 6 7" xfId="44759"/>
    <cellStyle name="40% - Accent6 2 2 7" xfId="44760"/>
    <cellStyle name="40% - Accent6 2 2 7 2" xfId="44761"/>
    <cellStyle name="40% - Accent6 2 2 7 2 2" xfId="44762"/>
    <cellStyle name="40% - Accent6 2 2 7 3" xfId="44763"/>
    <cellStyle name="40% - Accent6 2 2 7 3 2" xfId="44764"/>
    <cellStyle name="40% - Accent6 2 2 7 4" xfId="44765"/>
    <cellStyle name="40% - Accent6 2 2 7 5" xfId="44766"/>
    <cellStyle name="40% - Accent6 2 2 7 6" xfId="44767"/>
    <cellStyle name="40% - Accent6 2 2 7 7" xfId="44768"/>
    <cellStyle name="40% - Accent6 2 2 8" xfId="44769"/>
    <cellStyle name="40% - Accent6 2 2 8 2" xfId="44770"/>
    <cellStyle name="40% - Accent6 2 2 9" xfId="44771"/>
    <cellStyle name="40% - Accent6 2 2 9 2" xfId="44772"/>
    <cellStyle name="40% - Accent6 2 3" xfId="398"/>
    <cellStyle name="40% - Accent6 2 3 10" xfId="44773"/>
    <cellStyle name="40% - Accent6 2 3 11" xfId="44774"/>
    <cellStyle name="40% - Accent6 2 3 12" xfId="44775"/>
    <cellStyle name="40% - Accent6 2 3 13" xfId="44776"/>
    <cellStyle name="40% - Accent6 2 3 2" xfId="44777"/>
    <cellStyle name="40% - Accent6 2 3 2 10" xfId="44778"/>
    <cellStyle name="40% - Accent6 2 3 2 11" xfId="44779"/>
    <cellStyle name="40% - Accent6 2 3 2 2" xfId="44780"/>
    <cellStyle name="40% - Accent6 2 3 2 2 10" xfId="44781"/>
    <cellStyle name="40% - Accent6 2 3 2 2 2" xfId="44782"/>
    <cellStyle name="40% - Accent6 2 3 2 2 2 2" xfId="44783"/>
    <cellStyle name="40% - Accent6 2 3 2 2 2 2 2" xfId="44784"/>
    <cellStyle name="40% - Accent6 2 3 2 2 2 3" xfId="44785"/>
    <cellStyle name="40% - Accent6 2 3 2 2 2 3 2" xfId="44786"/>
    <cellStyle name="40% - Accent6 2 3 2 2 2 4" xfId="44787"/>
    <cellStyle name="40% - Accent6 2 3 2 2 2 5" xfId="44788"/>
    <cellStyle name="40% - Accent6 2 3 2 2 2 6" xfId="44789"/>
    <cellStyle name="40% - Accent6 2 3 2 2 2 7" xfId="44790"/>
    <cellStyle name="40% - Accent6 2 3 2 2 3" xfId="44791"/>
    <cellStyle name="40% - Accent6 2 3 2 2 3 2" xfId="44792"/>
    <cellStyle name="40% - Accent6 2 3 2 2 3 2 2" xfId="44793"/>
    <cellStyle name="40% - Accent6 2 3 2 2 3 3" xfId="44794"/>
    <cellStyle name="40% - Accent6 2 3 2 2 3 3 2" xfId="44795"/>
    <cellStyle name="40% - Accent6 2 3 2 2 3 4" xfId="44796"/>
    <cellStyle name="40% - Accent6 2 3 2 2 3 5" xfId="44797"/>
    <cellStyle name="40% - Accent6 2 3 2 2 3 6" xfId="44798"/>
    <cellStyle name="40% - Accent6 2 3 2 2 3 7" xfId="44799"/>
    <cellStyle name="40% - Accent6 2 3 2 2 4" xfId="44800"/>
    <cellStyle name="40% - Accent6 2 3 2 2 4 2" xfId="44801"/>
    <cellStyle name="40% - Accent6 2 3 2 2 4 2 2" xfId="44802"/>
    <cellStyle name="40% - Accent6 2 3 2 2 4 3" xfId="44803"/>
    <cellStyle name="40% - Accent6 2 3 2 2 4 3 2" xfId="44804"/>
    <cellStyle name="40% - Accent6 2 3 2 2 4 4" xfId="44805"/>
    <cellStyle name="40% - Accent6 2 3 2 2 4 5" xfId="44806"/>
    <cellStyle name="40% - Accent6 2 3 2 2 4 6" xfId="44807"/>
    <cellStyle name="40% - Accent6 2 3 2 2 4 7" xfId="44808"/>
    <cellStyle name="40% - Accent6 2 3 2 2 5" xfId="44809"/>
    <cellStyle name="40% - Accent6 2 3 2 2 5 2" xfId="44810"/>
    <cellStyle name="40% - Accent6 2 3 2 2 6" xfId="44811"/>
    <cellStyle name="40% - Accent6 2 3 2 2 6 2" xfId="44812"/>
    <cellStyle name="40% - Accent6 2 3 2 2 7" xfId="44813"/>
    <cellStyle name="40% - Accent6 2 3 2 2 8" xfId="44814"/>
    <cellStyle name="40% - Accent6 2 3 2 2 9" xfId="44815"/>
    <cellStyle name="40% - Accent6 2 3 2 3" xfId="44816"/>
    <cellStyle name="40% - Accent6 2 3 2 3 2" xfId="44817"/>
    <cellStyle name="40% - Accent6 2 3 2 3 2 2" xfId="44818"/>
    <cellStyle name="40% - Accent6 2 3 2 3 3" xfId="44819"/>
    <cellStyle name="40% - Accent6 2 3 2 3 3 2" xfId="44820"/>
    <cellStyle name="40% - Accent6 2 3 2 3 4" xfId="44821"/>
    <cellStyle name="40% - Accent6 2 3 2 3 5" xfId="44822"/>
    <cellStyle name="40% - Accent6 2 3 2 3 6" xfId="44823"/>
    <cellStyle name="40% - Accent6 2 3 2 3 7" xfId="44824"/>
    <cellStyle name="40% - Accent6 2 3 2 4" xfId="44825"/>
    <cellStyle name="40% - Accent6 2 3 2 4 2" xfId="44826"/>
    <cellStyle name="40% - Accent6 2 3 2 4 2 2" xfId="44827"/>
    <cellStyle name="40% - Accent6 2 3 2 4 3" xfId="44828"/>
    <cellStyle name="40% - Accent6 2 3 2 4 3 2" xfId="44829"/>
    <cellStyle name="40% - Accent6 2 3 2 4 4" xfId="44830"/>
    <cellStyle name="40% - Accent6 2 3 2 4 5" xfId="44831"/>
    <cellStyle name="40% - Accent6 2 3 2 4 6" xfId="44832"/>
    <cellStyle name="40% - Accent6 2 3 2 4 7" xfId="44833"/>
    <cellStyle name="40% - Accent6 2 3 2 5" xfId="44834"/>
    <cellStyle name="40% - Accent6 2 3 2 5 2" xfId="44835"/>
    <cellStyle name="40% - Accent6 2 3 2 5 2 2" xfId="44836"/>
    <cellStyle name="40% - Accent6 2 3 2 5 3" xfId="44837"/>
    <cellStyle name="40% - Accent6 2 3 2 5 3 2" xfId="44838"/>
    <cellStyle name="40% - Accent6 2 3 2 5 4" xfId="44839"/>
    <cellStyle name="40% - Accent6 2 3 2 5 5" xfId="44840"/>
    <cellStyle name="40% - Accent6 2 3 2 5 6" xfId="44841"/>
    <cellStyle name="40% - Accent6 2 3 2 5 7" xfId="44842"/>
    <cellStyle name="40% - Accent6 2 3 2 6" xfId="44843"/>
    <cellStyle name="40% - Accent6 2 3 2 6 2" xfId="44844"/>
    <cellStyle name="40% - Accent6 2 3 2 7" xfId="44845"/>
    <cellStyle name="40% - Accent6 2 3 2 7 2" xfId="44846"/>
    <cellStyle name="40% - Accent6 2 3 2 8" xfId="44847"/>
    <cellStyle name="40% - Accent6 2 3 2 9" xfId="44848"/>
    <cellStyle name="40% - Accent6 2 3 3" xfId="44849"/>
    <cellStyle name="40% - Accent6 2 3 3 10" xfId="44850"/>
    <cellStyle name="40% - Accent6 2 3 3 11" xfId="44851"/>
    <cellStyle name="40% - Accent6 2 3 3 2" xfId="44852"/>
    <cellStyle name="40% - Accent6 2 3 3 2 10" xfId="44853"/>
    <cellStyle name="40% - Accent6 2 3 3 2 2" xfId="44854"/>
    <cellStyle name="40% - Accent6 2 3 3 2 2 2" xfId="44855"/>
    <cellStyle name="40% - Accent6 2 3 3 2 2 2 2" xfId="44856"/>
    <cellStyle name="40% - Accent6 2 3 3 2 2 3" xfId="44857"/>
    <cellStyle name="40% - Accent6 2 3 3 2 2 3 2" xfId="44858"/>
    <cellStyle name="40% - Accent6 2 3 3 2 2 4" xfId="44859"/>
    <cellStyle name="40% - Accent6 2 3 3 2 2 5" xfId="44860"/>
    <cellStyle name="40% - Accent6 2 3 3 2 2 6" xfId="44861"/>
    <cellStyle name="40% - Accent6 2 3 3 2 2 7" xfId="44862"/>
    <cellStyle name="40% - Accent6 2 3 3 2 3" xfId="44863"/>
    <cellStyle name="40% - Accent6 2 3 3 2 3 2" xfId="44864"/>
    <cellStyle name="40% - Accent6 2 3 3 2 3 2 2" xfId="44865"/>
    <cellStyle name="40% - Accent6 2 3 3 2 3 3" xfId="44866"/>
    <cellStyle name="40% - Accent6 2 3 3 2 3 3 2" xfId="44867"/>
    <cellStyle name="40% - Accent6 2 3 3 2 3 4" xfId="44868"/>
    <cellStyle name="40% - Accent6 2 3 3 2 3 5" xfId="44869"/>
    <cellStyle name="40% - Accent6 2 3 3 2 3 6" xfId="44870"/>
    <cellStyle name="40% - Accent6 2 3 3 2 3 7" xfId="44871"/>
    <cellStyle name="40% - Accent6 2 3 3 2 4" xfId="44872"/>
    <cellStyle name="40% - Accent6 2 3 3 2 4 2" xfId="44873"/>
    <cellStyle name="40% - Accent6 2 3 3 2 4 2 2" xfId="44874"/>
    <cellStyle name="40% - Accent6 2 3 3 2 4 3" xfId="44875"/>
    <cellStyle name="40% - Accent6 2 3 3 2 4 3 2" xfId="44876"/>
    <cellStyle name="40% - Accent6 2 3 3 2 4 4" xfId="44877"/>
    <cellStyle name="40% - Accent6 2 3 3 2 4 5" xfId="44878"/>
    <cellStyle name="40% - Accent6 2 3 3 2 4 6" xfId="44879"/>
    <cellStyle name="40% - Accent6 2 3 3 2 4 7" xfId="44880"/>
    <cellStyle name="40% - Accent6 2 3 3 2 5" xfId="44881"/>
    <cellStyle name="40% - Accent6 2 3 3 2 5 2" xfId="44882"/>
    <cellStyle name="40% - Accent6 2 3 3 2 6" xfId="44883"/>
    <cellStyle name="40% - Accent6 2 3 3 2 6 2" xfId="44884"/>
    <cellStyle name="40% - Accent6 2 3 3 2 7" xfId="44885"/>
    <cellStyle name="40% - Accent6 2 3 3 2 8" xfId="44886"/>
    <cellStyle name="40% - Accent6 2 3 3 2 9" xfId="44887"/>
    <cellStyle name="40% - Accent6 2 3 3 3" xfId="44888"/>
    <cellStyle name="40% - Accent6 2 3 3 3 2" xfId="44889"/>
    <cellStyle name="40% - Accent6 2 3 3 3 2 2" xfId="44890"/>
    <cellStyle name="40% - Accent6 2 3 3 3 3" xfId="44891"/>
    <cellStyle name="40% - Accent6 2 3 3 3 3 2" xfId="44892"/>
    <cellStyle name="40% - Accent6 2 3 3 3 4" xfId="44893"/>
    <cellStyle name="40% - Accent6 2 3 3 3 5" xfId="44894"/>
    <cellStyle name="40% - Accent6 2 3 3 3 6" xfId="44895"/>
    <cellStyle name="40% - Accent6 2 3 3 3 7" xfId="44896"/>
    <cellStyle name="40% - Accent6 2 3 3 4" xfId="44897"/>
    <cellStyle name="40% - Accent6 2 3 3 4 2" xfId="44898"/>
    <cellStyle name="40% - Accent6 2 3 3 4 2 2" xfId="44899"/>
    <cellStyle name="40% - Accent6 2 3 3 4 3" xfId="44900"/>
    <cellStyle name="40% - Accent6 2 3 3 4 3 2" xfId="44901"/>
    <cellStyle name="40% - Accent6 2 3 3 4 4" xfId="44902"/>
    <cellStyle name="40% - Accent6 2 3 3 4 5" xfId="44903"/>
    <cellStyle name="40% - Accent6 2 3 3 4 6" xfId="44904"/>
    <cellStyle name="40% - Accent6 2 3 3 4 7" xfId="44905"/>
    <cellStyle name="40% - Accent6 2 3 3 5" xfId="44906"/>
    <cellStyle name="40% - Accent6 2 3 3 5 2" xfId="44907"/>
    <cellStyle name="40% - Accent6 2 3 3 5 2 2" xfId="44908"/>
    <cellStyle name="40% - Accent6 2 3 3 5 3" xfId="44909"/>
    <cellStyle name="40% - Accent6 2 3 3 5 3 2" xfId="44910"/>
    <cellStyle name="40% - Accent6 2 3 3 5 4" xfId="44911"/>
    <cellStyle name="40% - Accent6 2 3 3 5 5" xfId="44912"/>
    <cellStyle name="40% - Accent6 2 3 3 5 6" xfId="44913"/>
    <cellStyle name="40% - Accent6 2 3 3 5 7" xfId="44914"/>
    <cellStyle name="40% - Accent6 2 3 3 6" xfId="44915"/>
    <cellStyle name="40% - Accent6 2 3 3 6 2" xfId="44916"/>
    <cellStyle name="40% - Accent6 2 3 3 7" xfId="44917"/>
    <cellStyle name="40% - Accent6 2 3 3 7 2" xfId="44918"/>
    <cellStyle name="40% - Accent6 2 3 3 8" xfId="44919"/>
    <cellStyle name="40% - Accent6 2 3 3 9" xfId="44920"/>
    <cellStyle name="40% - Accent6 2 3 4" xfId="44921"/>
    <cellStyle name="40% - Accent6 2 3 4 10" xfId="44922"/>
    <cellStyle name="40% - Accent6 2 3 4 2" xfId="44923"/>
    <cellStyle name="40% - Accent6 2 3 4 2 2" xfId="44924"/>
    <cellStyle name="40% - Accent6 2 3 4 2 2 2" xfId="44925"/>
    <cellStyle name="40% - Accent6 2 3 4 2 3" xfId="44926"/>
    <cellStyle name="40% - Accent6 2 3 4 2 3 2" xfId="44927"/>
    <cellStyle name="40% - Accent6 2 3 4 2 4" xfId="44928"/>
    <cellStyle name="40% - Accent6 2 3 4 2 5" xfId="44929"/>
    <cellStyle name="40% - Accent6 2 3 4 2 6" xfId="44930"/>
    <cellStyle name="40% - Accent6 2 3 4 2 7" xfId="44931"/>
    <cellStyle name="40% - Accent6 2 3 4 3" xfId="44932"/>
    <cellStyle name="40% - Accent6 2 3 4 3 2" xfId="44933"/>
    <cellStyle name="40% - Accent6 2 3 4 3 2 2" xfId="44934"/>
    <cellStyle name="40% - Accent6 2 3 4 3 3" xfId="44935"/>
    <cellStyle name="40% - Accent6 2 3 4 3 3 2" xfId="44936"/>
    <cellStyle name="40% - Accent6 2 3 4 3 4" xfId="44937"/>
    <cellStyle name="40% - Accent6 2 3 4 3 5" xfId="44938"/>
    <cellStyle name="40% - Accent6 2 3 4 3 6" xfId="44939"/>
    <cellStyle name="40% - Accent6 2 3 4 3 7" xfId="44940"/>
    <cellStyle name="40% - Accent6 2 3 4 4" xfId="44941"/>
    <cellStyle name="40% - Accent6 2 3 4 4 2" xfId="44942"/>
    <cellStyle name="40% - Accent6 2 3 4 4 2 2" xfId="44943"/>
    <cellStyle name="40% - Accent6 2 3 4 4 3" xfId="44944"/>
    <cellStyle name="40% - Accent6 2 3 4 4 3 2" xfId="44945"/>
    <cellStyle name="40% - Accent6 2 3 4 4 4" xfId="44946"/>
    <cellStyle name="40% - Accent6 2 3 4 4 5" xfId="44947"/>
    <cellStyle name="40% - Accent6 2 3 4 4 6" xfId="44948"/>
    <cellStyle name="40% - Accent6 2 3 4 4 7" xfId="44949"/>
    <cellStyle name="40% - Accent6 2 3 4 5" xfId="44950"/>
    <cellStyle name="40% - Accent6 2 3 4 5 2" xfId="44951"/>
    <cellStyle name="40% - Accent6 2 3 4 6" xfId="44952"/>
    <cellStyle name="40% - Accent6 2 3 4 6 2" xfId="44953"/>
    <cellStyle name="40% - Accent6 2 3 4 7" xfId="44954"/>
    <cellStyle name="40% - Accent6 2 3 4 8" xfId="44955"/>
    <cellStyle name="40% - Accent6 2 3 4 9" xfId="44956"/>
    <cellStyle name="40% - Accent6 2 3 5" xfId="44957"/>
    <cellStyle name="40% - Accent6 2 3 5 2" xfId="44958"/>
    <cellStyle name="40% - Accent6 2 3 5 2 2" xfId="44959"/>
    <cellStyle name="40% - Accent6 2 3 5 3" xfId="44960"/>
    <cellStyle name="40% - Accent6 2 3 5 3 2" xfId="44961"/>
    <cellStyle name="40% - Accent6 2 3 5 4" xfId="44962"/>
    <cellStyle name="40% - Accent6 2 3 5 5" xfId="44963"/>
    <cellStyle name="40% - Accent6 2 3 5 6" xfId="44964"/>
    <cellStyle name="40% - Accent6 2 3 5 7" xfId="44965"/>
    <cellStyle name="40% - Accent6 2 3 6" xfId="44966"/>
    <cellStyle name="40% - Accent6 2 3 6 2" xfId="44967"/>
    <cellStyle name="40% - Accent6 2 3 6 2 2" xfId="44968"/>
    <cellStyle name="40% - Accent6 2 3 6 3" xfId="44969"/>
    <cellStyle name="40% - Accent6 2 3 6 3 2" xfId="44970"/>
    <cellStyle name="40% - Accent6 2 3 6 4" xfId="44971"/>
    <cellStyle name="40% - Accent6 2 3 6 5" xfId="44972"/>
    <cellStyle name="40% - Accent6 2 3 6 6" xfId="44973"/>
    <cellStyle name="40% - Accent6 2 3 6 7" xfId="44974"/>
    <cellStyle name="40% - Accent6 2 3 7" xfId="44975"/>
    <cellStyle name="40% - Accent6 2 3 7 2" xfId="44976"/>
    <cellStyle name="40% - Accent6 2 3 7 2 2" xfId="44977"/>
    <cellStyle name="40% - Accent6 2 3 7 3" xfId="44978"/>
    <cellStyle name="40% - Accent6 2 3 7 3 2" xfId="44979"/>
    <cellStyle name="40% - Accent6 2 3 7 4" xfId="44980"/>
    <cellStyle name="40% - Accent6 2 3 7 5" xfId="44981"/>
    <cellStyle name="40% - Accent6 2 3 7 6" xfId="44982"/>
    <cellStyle name="40% - Accent6 2 3 7 7" xfId="44983"/>
    <cellStyle name="40% - Accent6 2 3 8" xfId="44984"/>
    <cellStyle name="40% - Accent6 2 3 8 2" xfId="44985"/>
    <cellStyle name="40% - Accent6 2 3 9" xfId="44986"/>
    <cellStyle name="40% - Accent6 2 3 9 2" xfId="44987"/>
    <cellStyle name="40% - Accent6 2 4" xfId="44988"/>
    <cellStyle name="40% - Accent6 2 4 10" xfId="44989"/>
    <cellStyle name="40% - Accent6 2 4 11" xfId="44990"/>
    <cellStyle name="40% - Accent6 2 4 12" xfId="44991"/>
    <cellStyle name="40% - Accent6 2 4 13" xfId="44992"/>
    <cellStyle name="40% - Accent6 2 4 2" xfId="44993"/>
    <cellStyle name="40% - Accent6 2 4 2 10" xfId="44994"/>
    <cellStyle name="40% - Accent6 2 4 2 11" xfId="44995"/>
    <cellStyle name="40% - Accent6 2 4 2 2" xfId="44996"/>
    <cellStyle name="40% - Accent6 2 4 2 2 10" xfId="44997"/>
    <cellStyle name="40% - Accent6 2 4 2 2 2" xfId="44998"/>
    <cellStyle name="40% - Accent6 2 4 2 2 2 2" xfId="44999"/>
    <cellStyle name="40% - Accent6 2 4 2 2 2 2 2" xfId="45000"/>
    <cellStyle name="40% - Accent6 2 4 2 2 2 3" xfId="45001"/>
    <cellStyle name="40% - Accent6 2 4 2 2 2 3 2" xfId="45002"/>
    <cellStyle name="40% - Accent6 2 4 2 2 2 4" xfId="45003"/>
    <cellStyle name="40% - Accent6 2 4 2 2 2 5" xfId="45004"/>
    <cellStyle name="40% - Accent6 2 4 2 2 2 6" xfId="45005"/>
    <cellStyle name="40% - Accent6 2 4 2 2 2 7" xfId="45006"/>
    <cellStyle name="40% - Accent6 2 4 2 2 3" xfId="45007"/>
    <cellStyle name="40% - Accent6 2 4 2 2 3 2" xfId="45008"/>
    <cellStyle name="40% - Accent6 2 4 2 2 3 2 2" xfId="45009"/>
    <cellStyle name="40% - Accent6 2 4 2 2 3 3" xfId="45010"/>
    <cellStyle name="40% - Accent6 2 4 2 2 3 3 2" xfId="45011"/>
    <cellStyle name="40% - Accent6 2 4 2 2 3 4" xfId="45012"/>
    <cellStyle name="40% - Accent6 2 4 2 2 3 5" xfId="45013"/>
    <cellStyle name="40% - Accent6 2 4 2 2 3 6" xfId="45014"/>
    <cellStyle name="40% - Accent6 2 4 2 2 3 7" xfId="45015"/>
    <cellStyle name="40% - Accent6 2 4 2 2 4" xfId="45016"/>
    <cellStyle name="40% - Accent6 2 4 2 2 4 2" xfId="45017"/>
    <cellStyle name="40% - Accent6 2 4 2 2 4 2 2" xfId="45018"/>
    <cellStyle name="40% - Accent6 2 4 2 2 4 3" xfId="45019"/>
    <cellStyle name="40% - Accent6 2 4 2 2 4 3 2" xfId="45020"/>
    <cellStyle name="40% - Accent6 2 4 2 2 4 4" xfId="45021"/>
    <cellStyle name="40% - Accent6 2 4 2 2 4 5" xfId="45022"/>
    <cellStyle name="40% - Accent6 2 4 2 2 4 6" xfId="45023"/>
    <cellStyle name="40% - Accent6 2 4 2 2 4 7" xfId="45024"/>
    <cellStyle name="40% - Accent6 2 4 2 2 5" xfId="45025"/>
    <cellStyle name="40% - Accent6 2 4 2 2 5 2" xfId="45026"/>
    <cellStyle name="40% - Accent6 2 4 2 2 6" xfId="45027"/>
    <cellStyle name="40% - Accent6 2 4 2 2 6 2" xfId="45028"/>
    <cellStyle name="40% - Accent6 2 4 2 2 7" xfId="45029"/>
    <cellStyle name="40% - Accent6 2 4 2 2 8" xfId="45030"/>
    <cellStyle name="40% - Accent6 2 4 2 2 9" xfId="45031"/>
    <cellStyle name="40% - Accent6 2 4 2 3" xfId="45032"/>
    <cellStyle name="40% - Accent6 2 4 2 3 2" xfId="45033"/>
    <cellStyle name="40% - Accent6 2 4 2 3 2 2" xfId="45034"/>
    <cellStyle name="40% - Accent6 2 4 2 3 3" xfId="45035"/>
    <cellStyle name="40% - Accent6 2 4 2 3 3 2" xfId="45036"/>
    <cellStyle name="40% - Accent6 2 4 2 3 4" xfId="45037"/>
    <cellStyle name="40% - Accent6 2 4 2 3 5" xfId="45038"/>
    <cellStyle name="40% - Accent6 2 4 2 3 6" xfId="45039"/>
    <cellStyle name="40% - Accent6 2 4 2 3 7" xfId="45040"/>
    <cellStyle name="40% - Accent6 2 4 2 4" xfId="45041"/>
    <cellStyle name="40% - Accent6 2 4 2 4 2" xfId="45042"/>
    <cellStyle name="40% - Accent6 2 4 2 4 2 2" xfId="45043"/>
    <cellStyle name="40% - Accent6 2 4 2 4 3" xfId="45044"/>
    <cellStyle name="40% - Accent6 2 4 2 4 3 2" xfId="45045"/>
    <cellStyle name="40% - Accent6 2 4 2 4 4" xfId="45046"/>
    <cellStyle name="40% - Accent6 2 4 2 4 5" xfId="45047"/>
    <cellStyle name="40% - Accent6 2 4 2 4 6" xfId="45048"/>
    <cellStyle name="40% - Accent6 2 4 2 4 7" xfId="45049"/>
    <cellStyle name="40% - Accent6 2 4 2 5" xfId="45050"/>
    <cellStyle name="40% - Accent6 2 4 2 5 2" xfId="45051"/>
    <cellStyle name="40% - Accent6 2 4 2 5 2 2" xfId="45052"/>
    <cellStyle name="40% - Accent6 2 4 2 5 3" xfId="45053"/>
    <cellStyle name="40% - Accent6 2 4 2 5 3 2" xfId="45054"/>
    <cellStyle name="40% - Accent6 2 4 2 5 4" xfId="45055"/>
    <cellStyle name="40% - Accent6 2 4 2 5 5" xfId="45056"/>
    <cellStyle name="40% - Accent6 2 4 2 5 6" xfId="45057"/>
    <cellStyle name="40% - Accent6 2 4 2 5 7" xfId="45058"/>
    <cellStyle name="40% - Accent6 2 4 2 6" xfId="45059"/>
    <cellStyle name="40% - Accent6 2 4 2 6 2" xfId="45060"/>
    <cellStyle name="40% - Accent6 2 4 2 7" xfId="45061"/>
    <cellStyle name="40% - Accent6 2 4 2 7 2" xfId="45062"/>
    <cellStyle name="40% - Accent6 2 4 2 8" xfId="45063"/>
    <cellStyle name="40% - Accent6 2 4 2 9" xfId="45064"/>
    <cellStyle name="40% - Accent6 2 4 3" xfId="45065"/>
    <cellStyle name="40% - Accent6 2 4 3 10" xfId="45066"/>
    <cellStyle name="40% - Accent6 2 4 3 11" xfId="45067"/>
    <cellStyle name="40% - Accent6 2 4 3 2" xfId="45068"/>
    <cellStyle name="40% - Accent6 2 4 3 2 10" xfId="45069"/>
    <cellStyle name="40% - Accent6 2 4 3 2 2" xfId="45070"/>
    <cellStyle name="40% - Accent6 2 4 3 2 2 2" xfId="45071"/>
    <cellStyle name="40% - Accent6 2 4 3 2 2 2 2" xfId="45072"/>
    <cellStyle name="40% - Accent6 2 4 3 2 2 3" xfId="45073"/>
    <cellStyle name="40% - Accent6 2 4 3 2 2 3 2" xfId="45074"/>
    <cellStyle name="40% - Accent6 2 4 3 2 2 4" xfId="45075"/>
    <cellStyle name="40% - Accent6 2 4 3 2 2 5" xfId="45076"/>
    <cellStyle name="40% - Accent6 2 4 3 2 2 6" xfId="45077"/>
    <cellStyle name="40% - Accent6 2 4 3 2 2 7" xfId="45078"/>
    <cellStyle name="40% - Accent6 2 4 3 2 3" xfId="45079"/>
    <cellStyle name="40% - Accent6 2 4 3 2 3 2" xfId="45080"/>
    <cellStyle name="40% - Accent6 2 4 3 2 3 2 2" xfId="45081"/>
    <cellStyle name="40% - Accent6 2 4 3 2 3 3" xfId="45082"/>
    <cellStyle name="40% - Accent6 2 4 3 2 3 3 2" xfId="45083"/>
    <cellStyle name="40% - Accent6 2 4 3 2 3 4" xfId="45084"/>
    <cellStyle name="40% - Accent6 2 4 3 2 3 5" xfId="45085"/>
    <cellStyle name="40% - Accent6 2 4 3 2 3 6" xfId="45086"/>
    <cellStyle name="40% - Accent6 2 4 3 2 3 7" xfId="45087"/>
    <cellStyle name="40% - Accent6 2 4 3 2 4" xfId="45088"/>
    <cellStyle name="40% - Accent6 2 4 3 2 4 2" xfId="45089"/>
    <cellStyle name="40% - Accent6 2 4 3 2 4 2 2" xfId="45090"/>
    <cellStyle name="40% - Accent6 2 4 3 2 4 3" xfId="45091"/>
    <cellStyle name="40% - Accent6 2 4 3 2 4 3 2" xfId="45092"/>
    <cellStyle name="40% - Accent6 2 4 3 2 4 4" xfId="45093"/>
    <cellStyle name="40% - Accent6 2 4 3 2 4 5" xfId="45094"/>
    <cellStyle name="40% - Accent6 2 4 3 2 4 6" xfId="45095"/>
    <cellStyle name="40% - Accent6 2 4 3 2 4 7" xfId="45096"/>
    <cellStyle name="40% - Accent6 2 4 3 2 5" xfId="45097"/>
    <cellStyle name="40% - Accent6 2 4 3 2 5 2" xfId="45098"/>
    <cellStyle name="40% - Accent6 2 4 3 2 6" xfId="45099"/>
    <cellStyle name="40% - Accent6 2 4 3 2 6 2" xfId="45100"/>
    <cellStyle name="40% - Accent6 2 4 3 2 7" xfId="45101"/>
    <cellStyle name="40% - Accent6 2 4 3 2 8" xfId="45102"/>
    <cellStyle name="40% - Accent6 2 4 3 2 9" xfId="45103"/>
    <cellStyle name="40% - Accent6 2 4 3 3" xfId="45104"/>
    <cellStyle name="40% - Accent6 2 4 3 3 2" xfId="45105"/>
    <cellStyle name="40% - Accent6 2 4 3 3 2 2" xfId="45106"/>
    <cellStyle name="40% - Accent6 2 4 3 3 3" xfId="45107"/>
    <cellStyle name="40% - Accent6 2 4 3 3 3 2" xfId="45108"/>
    <cellStyle name="40% - Accent6 2 4 3 3 4" xfId="45109"/>
    <cellStyle name="40% - Accent6 2 4 3 3 5" xfId="45110"/>
    <cellStyle name="40% - Accent6 2 4 3 3 6" xfId="45111"/>
    <cellStyle name="40% - Accent6 2 4 3 3 7" xfId="45112"/>
    <cellStyle name="40% - Accent6 2 4 3 4" xfId="45113"/>
    <cellStyle name="40% - Accent6 2 4 3 4 2" xfId="45114"/>
    <cellStyle name="40% - Accent6 2 4 3 4 2 2" xfId="45115"/>
    <cellStyle name="40% - Accent6 2 4 3 4 3" xfId="45116"/>
    <cellStyle name="40% - Accent6 2 4 3 4 3 2" xfId="45117"/>
    <cellStyle name="40% - Accent6 2 4 3 4 4" xfId="45118"/>
    <cellStyle name="40% - Accent6 2 4 3 4 5" xfId="45119"/>
    <cellStyle name="40% - Accent6 2 4 3 4 6" xfId="45120"/>
    <cellStyle name="40% - Accent6 2 4 3 4 7" xfId="45121"/>
    <cellStyle name="40% - Accent6 2 4 3 5" xfId="45122"/>
    <cellStyle name="40% - Accent6 2 4 3 5 2" xfId="45123"/>
    <cellStyle name="40% - Accent6 2 4 3 5 2 2" xfId="45124"/>
    <cellStyle name="40% - Accent6 2 4 3 5 3" xfId="45125"/>
    <cellStyle name="40% - Accent6 2 4 3 5 3 2" xfId="45126"/>
    <cellStyle name="40% - Accent6 2 4 3 5 4" xfId="45127"/>
    <cellStyle name="40% - Accent6 2 4 3 5 5" xfId="45128"/>
    <cellStyle name="40% - Accent6 2 4 3 5 6" xfId="45129"/>
    <cellStyle name="40% - Accent6 2 4 3 5 7" xfId="45130"/>
    <cellStyle name="40% - Accent6 2 4 3 6" xfId="45131"/>
    <cellStyle name="40% - Accent6 2 4 3 6 2" xfId="45132"/>
    <cellStyle name="40% - Accent6 2 4 3 7" xfId="45133"/>
    <cellStyle name="40% - Accent6 2 4 3 7 2" xfId="45134"/>
    <cellStyle name="40% - Accent6 2 4 3 8" xfId="45135"/>
    <cellStyle name="40% - Accent6 2 4 3 9" xfId="45136"/>
    <cellStyle name="40% - Accent6 2 4 4" xfId="45137"/>
    <cellStyle name="40% - Accent6 2 4 4 10" xfId="45138"/>
    <cellStyle name="40% - Accent6 2 4 4 2" xfId="45139"/>
    <cellStyle name="40% - Accent6 2 4 4 2 2" xfId="45140"/>
    <cellStyle name="40% - Accent6 2 4 4 2 2 2" xfId="45141"/>
    <cellStyle name="40% - Accent6 2 4 4 2 3" xfId="45142"/>
    <cellStyle name="40% - Accent6 2 4 4 2 3 2" xfId="45143"/>
    <cellStyle name="40% - Accent6 2 4 4 2 4" xfId="45144"/>
    <cellStyle name="40% - Accent6 2 4 4 2 5" xfId="45145"/>
    <cellStyle name="40% - Accent6 2 4 4 2 6" xfId="45146"/>
    <cellStyle name="40% - Accent6 2 4 4 2 7" xfId="45147"/>
    <cellStyle name="40% - Accent6 2 4 4 3" xfId="45148"/>
    <cellStyle name="40% - Accent6 2 4 4 3 2" xfId="45149"/>
    <cellStyle name="40% - Accent6 2 4 4 3 2 2" xfId="45150"/>
    <cellStyle name="40% - Accent6 2 4 4 3 3" xfId="45151"/>
    <cellStyle name="40% - Accent6 2 4 4 3 3 2" xfId="45152"/>
    <cellStyle name="40% - Accent6 2 4 4 3 4" xfId="45153"/>
    <cellStyle name="40% - Accent6 2 4 4 3 5" xfId="45154"/>
    <cellStyle name="40% - Accent6 2 4 4 3 6" xfId="45155"/>
    <cellStyle name="40% - Accent6 2 4 4 3 7" xfId="45156"/>
    <cellStyle name="40% - Accent6 2 4 4 4" xfId="45157"/>
    <cellStyle name="40% - Accent6 2 4 4 4 2" xfId="45158"/>
    <cellStyle name="40% - Accent6 2 4 4 4 2 2" xfId="45159"/>
    <cellStyle name="40% - Accent6 2 4 4 4 3" xfId="45160"/>
    <cellStyle name="40% - Accent6 2 4 4 4 3 2" xfId="45161"/>
    <cellStyle name="40% - Accent6 2 4 4 4 4" xfId="45162"/>
    <cellStyle name="40% - Accent6 2 4 4 4 5" xfId="45163"/>
    <cellStyle name="40% - Accent6 2 4 4 4 6" xfId="45164"/>
    <cellStyle name="40% - Accent6 2 4 4 4 7" xfId="45165"/>
    <cellStyle name="40% - Accent6 2 4 4 5" xfId="45166"/>
    <cellStyle name="40% - Accent6 2 4 4 5 2" xfId="45167"/>
    <cellStyle name="40% - Accent6 2 4 4 6" xfId="45168"/>
    <cellStyle name="40% - Accent6 2 4 4 6 2" xfId="45169"/>
    <cellStyle name="40% - Accent6 2 4 4 7" xfId="45170"/>
    <cellStyle name="40% - Accent6 2 4 4 8" xfId="45171"/>
    <cellStyle name="40% - Accent6 2 4 4 9" xfId="45172"/>
    <cellStyle name="40% - Accent6 2 4 5" xfId="45173"/>
    <cellStyle name="40% - Accent6 2 4 5 2" xfId="45174"/>
    <cellStyle name="40% - Accent6 2 4 5 2 2" xfId="45175"/>
    <cellStyle name="40% - Accent6 2 4 5 3" xfId="45176"/>
    <cellStyle name="40% - Accent6 2 4 5 3 2" xfId="45177"/>
    <cellStyle name="40% - Accent6 2 4 5 4" xfId="45178"/>
    <cellStyle name="40% - Accent6 2 4 5 5" xfId="45179"/>
    <cellStyle name="40% - Accent6 2 4 5 6" xfId="45180"/>
    <cellStyle name="40% - Accent6 2 4 5 7" xfId="45181"/>
    <cellStyle name="40% - Accent6 2 4 6" xfId="45182"/>
    <cellStyle name="40% - Accent6 2 4 6 2" xfId="45183"/>
    <cellStyle name="40% - Accent6 2 4 6 2 2" xfId="45184"/>
    <cellStyle name="40% - Accent6 2 4 6 3" xfId="45185"/>
    <cellStyle name="40% - Accent6 2 4 6 3 2" xfId="45186"/>
    <cellStyle name="40% - Accent6 2 4 6 4" xfId="45187"/>
    <cellStyle name="40% - Accent6 2 4 6 5" xfId="45188"/>
    <cellStyle name="40% - Accent6 2 4 6 6" xfId="45189"/>
    <cellStyle name="40% - Accent6 2 4 6 7" xfId="45190"/>
    <cellStyle name="40% - Accent6 2 4 7" xfId="45191"/>
    <cellStyle name="40% - Accent6 2 4 7 2" xfId="45192"/>
    <cellStyle name="40% - Accent6 2 4 7 2 2" xfId="45193"/>
    <cellStyle name="40% - Accent6 2 4 7 3" xfId="45194"/>
    <cellStyle name="40% - Accent6 2 4 7 3 2" xfId="45195"/>
    <cellStyle name="40% - Accent6 2 4 7 4" xfId="45196"/>
    <cellStyle name="40% - Accent6 2 4 7 5" xfId="45197"/>
    <cellStyle name="40% - Accent6 2 4 7 6" xfId="45198"/>
    <cellStyle name="40% - Accent6 2 4 7 7" xfId="45199"/>
    <cellStyle name="40% - Accent6 2 4 8" xfId="45200"/>
    <cellStyle name="40% - Accent6 2 4 8 2" xfId="45201"/>
    <cellStyle name="40% - Accent6 2 4 9" xfId="45202"/>
    <cellStyle name="40% - Accent6 2 4 9 2" xfId="45203"/>
    <cellStyle name="40% - Accent6 2 5" xfId="45204"/>
    <cellStyle name="40% - Accent6 2 5 10" xfId="45205"/>
    <cellStyle name="40% - Accent6 2 5 11" xfId="45206"/>
    <cellStyle name="40% - Accent6 2 5 12" xfId="45207"/>
    <cellStyle name="40% - Accent6 2 5 13" xfId="45208"/>
    <cellStyle name="40% - Accent6 2 5 2" xfId="45209"/>
    <cellStyle name="40% - Accent6 2 5 2 10" xfId="45210"/>
    <cellStyle name="40% - Accent6 2 5 2 11" xfId="45211"/>
    <cellStyle name="40% - Accent6 2 5 2 2" xfId="45212"/>
    <cellStyle name="40% - Accent6 2 5 2 2 10" xfId="45213"/>
    <cellStyle name="40% - Accent6 2 5 2 2 2" xfId="45214"/>
    <cellStyle name="40% - Accent6 2 5 2 2 2 2" xfId="45215"/>
    <cellStyle name="40% - Accent6 2 5 2 2 2 2 2" xfId="45216"/>
    <cellStyle name="40% - Accent6 2 5 2 2 2 3" xfId="45217"/>
    <cellStyle name="40% - Accent6 2 5 2 2 2 3 2" xfId="45218"/>
    <cellStyle name="40% - Accent6 2 5 2 2 2 4" xfId="45219"/>
    <cellStyle name="40% - Accent6 2 5 2 2 2 5" xfId="45220"/>
    <cellStyle name="40% - Accent6 2 5 2 2 2 6" xfId="45221"/>
    <cellStyle name="40% - Accent6 2 5 2 2 2 7" xfId="45222"/>
    <cellStyle name="40% - Accent6 2 5 2 2 3" xfId="45223"/>
    <cellStyle name="40% - Accent6 2 5 2 2 3 2" xfId="45224"/>
    <cellStyle name="40% - Accent6 2 5 2 2 3 2 2" xfId="45225"/>
    <cellStyle name="40% - Accent6 2 5 2 2 3 3" xfId="45226"/>
    <cellStyle name="40% - Accent6 2 5 2 2 3 3 2" xfId="45227"/>
    <cellStyle name="40% - Accent6 2 5 2 2 3 4" xfId="45228"/>
    <cellStyle name="40% - Accent6 2 5 2 2 3 5" xfId="45229"/>
    <cellStyle name="40% - Accent6 2 5 2 2 3 6" xfId="45230"/>
    <cellStyle name="40% - Accent6 2 5 2 2 3 7" xfId="45231"/>
    <cellStyle name="40% - Accent6 2 5 2 2 4" xfId="45232"/>
    <cellStyle name="40% - Accent6 2 5 2 2 4 2" xfId="45233"/>
    <cellStyle name="40% - Accent6 2 5 2 2 4 2 2" xfId="45234"/>
    <cellStyle name="40% - Accent6 2 5 2 2 4 3" xfId="45235"/>
    <cellStyle name="40% - Accent6 2 5 2 2 4 3 2" xfId="45236"/>
    <cellStyle name="40% - Accent6 2 5 2 2 4 4" xfId="45237"/>
    <cellStyle name="40% - Accent6 2 5 2 2 4 5" xfId="45238"/>
    <cellStyle name="40% - Accent6 2 5 2 2 4 6" xfId="45239"/>
    <cellStyle name="40% - Accent6 2 5 2 2 4 7" xfId="45240"/>
    <cellStyle name="40% - Accent6 2 5 2 2 5" xfId="45241"/>
    <cellStyle name="40% - Accent6 2 5 2 2 5 2" xfId="45242"/>
    <cellStyle name="40% - Accent6 2 5 2 2 6" xfId="45243"/>
    <cellStyle name="40% - Accent6 2 5 2 2 6 2" xfId="45244"/>
    <cellStyle name="40% - Accent6 2 5 2 2 7" xfId="45245"/>
    <cellStyle name="40% - Accent6 2 5 2 2 8" xfId="45246"/>
    <cellStyle name="40% - Accent6 2 5 2 2 9" xfId="45247"/>
    <cellStyle name="40% - Accent6 2 5 2 3" xfId="45248"/>
    <cellStyle name="40% - Accent6 2 5 2 3 2" xfId="45249"/>
    <cellStyle name="40% - Accent6 2 5 2 3 2 2" xfId="45250"/>
    <cellStyle name="40% - Accent6 2 5 2 3 3" xfId="45251"/>
    <cellStyle name="40% - Accent6 2 5 2 3 3 2" xfId="45252"/>
    <cellStyle name="40% - Accent6 2 5 2 3 4" xfId="45253"/>
    <cellStyle name="40% - Accent6 2 5 2 3 5" xfId="45254"/>
    <cellStyle name="40% - Accent6 2 5 2 3 6" xfId="45255"/>
    <cellStyle name="40% - Accent6 2 5 2 3 7" xfId="45256"/>
    <cellStyle name="40% - Accent6 2 5 2 4" xfId="45257"/>
    <cellStyle name="40% - Accent6 2 5 2 4 2" xfId="45258"/>
    <cellStyle name="40% - Accent6 2 5 2 4 2 2" xfId="45259"/>
    <cellStyle name="40% - Accent6 2 5 2 4 3" xfId="45260"/>
    <cellStyle name="40% - Accent6 2 5 2 4 3 2" xfId="45261"/>
    <cellStyle name="40% - Accent6 2 5 2 4 4" xfId="45262"/>
    <cellStyle name="40% - Accent6 2 5 2 4 5" xfId="45263"/>
    <cellStyle name="40% - Accent6 2 5 2 4 6" xfId="45264"/>
    <cellStyle name="40% - Accent6 2 5 2 4 7" xfId="45265"/>
    <cellStyle name="40% - Accent6 2 5 2 5" xfId="45266"/>
    <cellStyle name="40% - Accent6 2 5 2 5 2" xfId="45267"/>
    <cellStyle name="40% - Accent6 2 5 2 5 2 2" xfId="45268"/>
    <cellStyle name="40% - Accent6 2 5 2 5 3" xfId="45269"/>
    <cellStyle name="40% - Accent6 2 5 2 5 3 2" xfId="45270"/>
    <cellStyle name="40% - Accent6 2 5 2 5 4" xfId="45271"/>
    <cellStyle name="40% - Accent6 2 5 2 5 5" xfId="45272"/>
    <cellStyle name="40% - Accent6 2 5 2 5 6" xfId="45273"/>
    <cellStyle name="40% - Accent6 2 5 2 5 7" xfId="45274"/>
    <cellStyle name="40% - Accent6 2 5 2 6" xfId="45275"/>
    <cellStyle name="40% - Accent6 2 5 2 6 2" xfId="45276"/>
    <cellStyle name="40% - Accent6 2 5 2 7" xfId="45277"/>
    <cellStyle name="40% - Accent6 2 5 2 7 2" xfId="45278"/>
    <cellStyle name="40% - Accent6 2 5 2 8" xfId="45279"/>
    <cellStyle name="40% - Accent6 2 5 2 9" xfId="45280"/>
    <cellStyle name="40% - Accent6 2 5 3" xfId="45281"/>
    <cellStyle name="40% - Accent6 2 5 3 10" xfId="45282"/>
    <cellStyle name="40% - Accent6 2 5 3 11" xfId="45283"/>
    <cellStyle name="40% - Accent6 2 5 3 2" xfId="45284"/>
    <cellStyle name="40% - Accent6 2 5 3 2 10" xfId="45285"/>
    <cellStyle name="40% - Accent6 2 5 3 2 2" xfId="45286"/>
    <cellStyle name="40% - Accent6 2 5 3 2 2 2" xfId="45287"/>
    <cellStyle name="40% - Accent6 2 5 3 2 2 2 2" xfId="45288"/>
    <cellStyle name="40% - Accent6 2 5 3 2 2 3" xfId="45289"/>
    <cellStyle name="40% - Accent6 2 5 3 2 2 3 2" xfId="45290"/>
    <cellStyle name="40% - Accent6 2 5 3 2 2 4" xfId="45291"/>
    <cellStyle name="40% - Accent6 2 5 3 2 2 5" xfId="45292"/>
    <cellStyle name="40% - Accent6 2 5 3 2 2 6" xfId="45293"/>
    <cellStyle name="40% - Accent6 2 5 3 2 2 7" xfId="45294"/>
    <cellStyle name="40% - Accent6 2 5 3 2 3" xfId="45295"/>
    <cellStyle name="40% - Accent6 2 5 3 2 3 2" xfId="45296"/>
    <cellStyle name="40% - Accent6 2 5 3 2 3 2 2" xfId="45297"/>
    <cellStyle name="40% - Accent6 2 5 3 2 3 3" xfId="45298"/>
    <cellStyle name="40% - Accent6 2 5 3 2 3 3 2" xfId="45299"/>
    <cellStyle name="40% - Accent6 2 5 3 2 3 4" xfId="45300"/>
    <cellStyle name="40% - Accent6 2 5 3 2 3 5" xfId="45301"/>
    <cellStyle name="40% - Accent6 2 5 3 2 3 6" xfId="45302"/>
    <cellStyle name="40% - Accent6 2 5 3 2 3 7" xfId="45303"/>
    <cellStyle name="40% - Accent6 2 5 3 2 4" xfId="45304"/>
    <cellStyle name="40% - Accent6 2 5 3 2 4 2" xfId="45305"/>
    <cellStyle name="40% - Accent6 2 5 3 2 4 2 2" xfId="45306"/>
    <cellStyle name="40% - Accent6 2 5 3 2 4 3" xfId="45307"/>
    <cellStyle name="40% - Accent6 2 5 3 2 4 3 2" xfId="45308"/>
    <cellStyle name="40% - Accent6 2 5 3 2 4 4" xfId="45309"/>
    <cellStyle name="40% - Accent6 2 5 3 2 4 5" xfId="45310"/>
    <cellStyle name="40% - Accent6 2 5 3 2 4 6" xfId="45311"/>
    <cellStyle name="40% - Accent6 2 5 3 2 4 7" xfId="45312"/>
    <cellStyle name="40% - Accent6 2 5 3 2 5" xfId="45313"/>
    <cellStyle name="40% - Accent6 2 5 3 2 5 2" xfId="45314"/>
    <cellStyle name="40% - Accent6 2 5 3 2 6" xfId="45315"/>
    <cellStyle name="40% - Accent6 2 5 3 2 6 2" xfId="45316"/>
    <cellStyle name="40% - Accent6 2 5 3 2 7" xfId="45317"/>
    <cellStyle name="40% - Accent6 2 5 3 2 8" xfId="45318"/>
    <cellStyle name="40% - Accent6 2 5 3 2 9" xfId="45319"/>
    <cellStyle name="40% - Accent6 2 5 3 3" xfId="45320"/>
    <cellStyle name="40% - Accent6 2 5 3 3 2" xfId="45321"/>
    <cellStyle name="40% - Accent6 2 5 3 3 2 2" xfId="45322"/>
    <cellStyle name="40% - Accent6 2 5 3 3 3" xfId="45323"/>
    <cellStyle name="40% - Accent6 2 5 3 3 3 2" xfId="45324"/>
    <cellStyle name="40% - Accent6 2 5 3 3 4" xfId="45325"/>
    <cellStyle name="40% - Accent6 2 5 3 3 5" xfId="45326"/>
    <cellStyle name="40% - Accent6 2 5 3 3 6" xfId="45327"/>
    <cellStyle name="40% - Accent6 2 5 3 3 7" xfId="45328"/>
    <cellStyle name="40% - Accent6 2 5 3 4" xfId="45329"/>
    <cellStyle name="40% - Accent6 2 5 3 4 2" xfId="45330"/>
    <cellStyle name="40% - Accent6 2 5 3 4 2 2" xfId="45331"/>
    <cellStyle name="40% - Accent6 2 5 3 4 3" xfId="45332"/>
    <cellStyle name="40% - Accent6 2 5 3 4 3 2" xfId="45333"/>
    <cellStyle name="40% - Accent6 2 5 3 4 4" xfId="45334"/>
    <cellStyle name="40% - Accent6 2 5 3 4 5" xfId="45335"/>
    <cellStyle name="40% - Accent6 2 5 3 4 6" xfId="45336"/>
    <cellStyle name="40% - Accent6 2 5 3 4 7" xfId="45337"/>
    <cellStyle name="40% - Accent6 2 5 3 5" xfId="45338"/>
    <cellStyle name="40% - Accent6 2 5 3 5 2" xfId="45339"/>
    <cellStyle name="40% - Accent6 2 5 3 5 2 2" xfId="45340"/>
    <cellStyle name="40% - Accent6 2 5 3 5 3" xfId="45341"/>
    <cellStyle name="40% - Accent6 2 5 3 5 3 2" xfId="45342"/>
    <cellStyle name="40% - Accent6 2 5 3 5 4" xfId="45343"/>
    <cellStyle name="40% - Accent6 2 5 3 5 5" xfId="45344"/>
    <cellStyle name="40% - Accent6 2 5 3 5 6" xfId="45345"/>
    <cellStyle name="40% - Accent6 2 5 3 5 7" xfId="45346"/>
    <cellStyle name="40% - Accent6 2 5 3 6" xfId="45347"/>
    <cellStyle name="40% - Accent6 2 5 3 6 2" xfId="45348"/>
    <cellStyle name="40% - Accent6 2 5 3 7" xfId="45349"/>
    <cellStyle name="40% - Accent6 2 5 3 7 2" xfId="45350"/>
    <cellStyle name="40% - Accent6 2 5 3 8" xfId="45351"/>
    <cellStyle name="40% - Accent6 2 5 3 9" xfId="45352"/>
    <cellStyle name="40% - Accent6 2 5 4" xfId="45353"/>
    <cellStyle name="40% - Accent6 2 5 4 10" xfId="45354"/>
    <cellStyle name="40% - Accent6 2 5 4 2" xfId="45355"/>
    <cellStyle name="40% - Accent6 2 5 4 2 2" xfId="45356"/>
    <cellStyle name="40% - Accent6 2 5 4 2 2 2" xfId="45357"/>
    <cellStyle name="40% - Accent6 2 5 4 2 3" xfId="45358"/>
    <cellStyle name="40% - Accent6 2 5 4 2 3 2" xfId="45359"/>
    <cellStyle name="40% - Accent6 2 5 4 2 4" xfId="45360"/>
    <cellStyle name="40% - Accent6 2 5 4 2 5" xfId="45361"/>
    <cellStyle name="40% - Accent6 2 5 4 2 6" xfId="45362"/>
    <cellStyle name="40% - Accent6 2 5 4 2 7" xfId="45363"/>
    <cellStyle name="40% - Accent6 2 5 4 3" xfId="45364"/>
    <cellStyle name="40% - Accent6 2 5 4 3 2" xfId="45365"/>
    <cellStyle name="40% - Accent6 2 5 4 3 2 2" xfId="45366"/>
    <cellStyle name="40% - Accent6 2 5 4 3 3" xfId="45367"/>
    <cellStyle name="40% - Accent6 2 5 4 3 3 2" xfId="45368"/>
    <cellStyle name="40% - Accent6 2 5 4 3 4" xfId="45369"/>
    <cellStyle name="40% - Accent6 2 5 4 3 5" xfId="45370"/>
    <cellStyle name="40% - Accent6 2 5 4 3 6" xfId="45371"/>
    <cellStyle name="40% - Accent6 2 5 4 3 7" xfId="45372"/>
    <cellStyle name="40% - Accent6 2 5 4 4" xfId="45373"/>
    <cellStyle name="40% - Accent6 2 5 4 4 2" xfId="45374"/>
    <cellStyle name="40% - Accent6 2 5 4 4 2 2" xfId="45375"/>
    <cellStyle name="40% - Accent6 2 5 4 4 3" xfId="45376"/>
    <cellStyle name="40% - Accent6 2 5 4 4 3 2" xfId="45377"/>
    <cellStyle name="40% - Accent6 2 5 4 4 4" xfId="45378"/>
    <cellStyle name="40% - Accent6 2 5 4 4 5" xfId="45379"/>
    <cellStyle name="40% - Accent6 2 5 4 4 6" xfId="45380"/>
    <cellStyle name="40% - Accent6 2 5 4 4 7" xfId="45381"/>
    <cellStyle name="40% - Accent6 2 5 4 5" xfId="45382"/>
    <cellStyle name="40% - Accent6 2 5 4 5 2" xfId="45383"/>
    <cellStyle name="40% - Accent6 2 5 4 6" xfId="45384"/>
    <cellStyle name="40% - Accent6 2 5 4 6 2" xfId="45385"/>
    <cellStyle name="40% - Accent6 2 5 4 7" xfId="45386"/>
    <cellStyle name="40% - Accent6 2 5 4 8" xfId="45387"/>
    <cellStyle name="40% - Accent6 2 5 4 9" xfId="45388"/>
    <cellStyle name="40% - Accent6 2 5 5" xfId="45389"/>
    <cellStyle name="40% - Accent6 2 5 5 2" xfId="45390"/>
    <cellStyle name="40% - Accent6 2 5 5 2 2" xfId="45391"/>
    <cellStyle name="40% - Accent6 2 5 5 3" xfId="45392"/>
    <cellStyle name="40% - Accent6 2 5 5 3 2" xfId="45393"/>
    <cellStyle name="40% - Accent6 2 5 5 4" xfId="45394"/>
    <cellStyle name="40% - Accent6 2 5 5 5" xfId="45395"/>
    <cellStyle name="40% - Accent6 2 5 5 6" xfId="45396"/>
    <cellStyle name="40% - Accent6 2 5 5 7" xfId="45397"/>
    <cellStyle name="40% - Accent6 2 5 6" xfId="45398"/>
    <cellStyle name="40% - Accent6 2 5 6 2" xfId="45399"/>
    <cellStyle name="40% - Accent6 2 5 6 2 2" xfId="45400"/>
    <cellStyle name="40% - Accent6 2 5 6 3" xfId="45401"/>
    <cellStyle name="40% - Accent6 2 5 6 3 2" xfId="45402"/>
    <cellStyle name="40% - Accent6 2 5 6 4" xfId="45403"/>
    <cellStyle name="40% - Accent6 2 5 6 5" xfId="45404"/>
    <cellStyle name="40% - Accent6 2 5 6 6" xfId="45405"/>
    <cellStyle name="40% - Accent6 2 5 6 7" xfId="45406"/>
    <cellStyle name="40% - Accent6 2 5 7" xfId="45407"/>
    <cellStyle name="40% - Accent6 2 5 7 2" xfId="45408"/>
    <cellStyle name="40% - Accent6 2 5 7 2 2" xfId="45409"/>
    <cellStyle name="40% - Accent6 2 5 7 3" xfId="45410"/>
    <cellStyle name="40% - Accent6 2 5 7 3 2" xfId="45411"/>
    <cellStyle name="40% - Accent6 2 5 7 4" xfId="45412"/>
    <cellStyle name="40% - Accent6 2 5 7 5" xfId="45413"/>
    <cellStyle name="40% - Accent6 2 5 7 6" xfId="45414"/>
    <cellStyle name="40% - Accent6 2 5 7 7" xfId="45415"/>
    <cellStyle name="40% - Accent6 2 5 8" xfId="45416"/>
    <cellStyle name="40% - Accent6 2 5 8 2" xfId="45417"/>
    <cellStyle name="40% - Accent6 2 5 9" xfId="45418"/>
    <cellStyle name="40% - Accent6 2 5 9 2" xfId="45419"/>
    <cellStyle name="40% - Accent6 2 6" xfId="45420"/>
    <cellStyle name="40% - Accent6 2 6 10" xfId="45421"/>
    <cellStyle name="40% - Accent6 2 6 11" xfId="45422"/>
    <cellStyle name="40% - Accent6 2 6 12" xfId="45423"/>
    <cellStyle name="40% - Accent6 2 6 13" xfId="45424"/>
    <cellStyle name="40% - Accent6 2 6 2" xfId="45425"/>
    <cellStyle name="40% - Accent6 2 6 2 10" xfId="45426"/>
    <cellStyle name="40% - Accent6 2 6 2 11" xfId="45427"/>
    <cellStyle name="40% - Accent6 2 6 2 2" xfId="45428"/>
    <cellStyle name="40% - Accent6 2 6 2 2 10" xfId="45429"/>
    <cellStyle name="40% - Accent6 2 6 2 2 2" xfId="45430"/>
    <cellStyle name="40% - Accent6 2 6 2 2 2 2" xfId="45431"/>
    <cellStyle name="40% - Accent6 2 6 2 2 2 2 2" xfId="45432"/>
    <cellStyle name="40% - Accent6 2 6 2 2 2 3" xfId="45433"/>
    <cellStyle name="40% - Accent6 2 6 2 2 2 3 2" xfId="45434"/>
    <cellStyle name="40% - Accent6 2 6 2 2 2 4" xfId="45435"/>
    <cellStyle name="40% - Accent6 2 6 2 2 2 5" xfId="45436"/>
    <cellStyle name="40% - Accent6 2 6 2 2 2 6" xfId="45437"/>
    <cellStyle name="40% - Accent6 2 6 2 2 2 7" xfId="45438"/>
    <cellStyle name="40% - Accent6 2 6 2 2 3" xfId="45439"/>
    <cellStyle name="40% - Accent6 2 6 2 2 3 2" xfId="45440"/>
    <cellStyle name="40% - Accent6 2 6 2 2 3 2 2" xfId="45441"/>
    <cellStyle name="40% - Accent6 2 6 2 2 3 3" xfId="45442"/>
    <cellStyle name="40% - Accent6 2 6 2 2 3 3 2" xfId="45443"/>
    <cellStyle name="40% - Accent6 2 6 2 2 3 4" xfId="45444"/>
    <cellStyle name="40% - Accent6 2 6 2 2 3 5" xfId="45445"/>
    <cellStyle name="40% - Accent6 2 6 2 2 3 6" xfId="45446"/>
    <cellStyle name="40% - Accent6 2 6 2 2 3 7" xfId="45447"/>
    <cellStyle name="40% - Accent6 2 6 2 2 4" xfId="45448"/>
    <cellStyle name="40% - Accent6 2 6 2 2 4 2" xfId="45449"/>
    <cellStyle name="40% - Accent6 2 6 2 2 4 2 2" xfId="45450"/>
    <cellStyle name="40% - Accent6 2 6 2 2 4 3" xfId="45451"/>
    <cellStyle name="40% - Accent6 2 6 2 2 4 3 2" xfId="45452"/>
    <cellStyle name="40% - Accent6 2 6 2 2 4 4" xfId="45453"/>
    <cellStyle name="40% - Accent6 2 6 2 2 4 5" xfId="45454"/>
    <cellStyle name="40% - Accent6 2 6 2 2 4 6" xfId="45455"/>
    <cellStyle name="40% - Accent6 2 6 2 2 4 7" xfId="45456"/>
    <cellStyle name="40% - Accent6 2 6 2 2 5" xfId="45457"/>
    <cellStyle name="40% - Accent6 2 6 2 2 5 2" xfId="45458"/>
    <cellStyle name="40% - Accent6 2 6 2 2 6" xfId="45459"/>
    <cellStyle name="40% - Accent6 2 6 2 2 6 2" xfId="45460"/>
    <cellStyle name="40% - Accent6 2 6 2 2 7" xfId="45461"/>
    <cellStyle name="40% - Accent6 2 6 2 2 8" xfId="45462"/>
    <cellStyle name="40% - Accent6 2 6 2 2 9" xfId="45463"/>
    <cellStyle name="40% - Accent6 2 6 2 3" xfId="45464"/>
    <cellStyle name="40% - Accent6 2 6 2 3 2" xfId="45465"/>
    <cellStyle name="40% - Accent6 2 6 2 3 2 2" xfId="45466"/>
    <cellStyle name="40% - Accent6 2 6 2 3 3" xfId="45467"/>
    <cellStyle name="40% - Accent6 2 6 2 3 3 2" xfId="45468"/>
    <cellStyle name="40% - Accent6 2 6 2 3 4" xfId="45469"/>
    <cellStyle name="40% - Accent6 2 6 2 3 5" xfId="45470"/>
    <cellStyle name="40% - Accent6 2 6 2 3 6" xfId="45471"/>
    <cellStyle name="40% - Accent6 2 6 2 3 7" xfId="45472"/>
    <cellStyle name="40% - Accent6 2 6 2 4" xfId="45473"/>
    <cellStyle name="40% - Accent6 2 6 2 4 2" xfId="45474"/>
    <cellStyle name="40% - Accent6 2 6 2 4 2 2" xfId="45475"/>
    <cellStyle name="40% - Accent6 2 6 2 4 3" xfId="45476"/>
    <cellStyle name="40% - Accent6 2 6 2 4 3 2" xfId="45477"/>
    <cellStyle name="40% - Accent6 2 6 2 4 4" xfId="45478"/>
    <cellStyle name="40% - Accent6 2 6 2 4 5" xfId="45479"/>
    <cellStyle name="40% - Accent6 2 6 2 4 6" xfId="45480"/>
    <cellStyle name="40% - Accent6 2 6 2 4 7" xfId="45481"/>
    <cellStyle name="40% - Accent6 2 6 2 5" xfId="45482"/>
    <cellStyle name="40% - Accent6 2 6 2 5 2" xfId="45483"/>
    <cellStyle name="40% - Accent6 2 6 2 5 2 2" xfId="45484"/>
    <cellStyle name="40% - Accent6 2 6 2 5 3" xfId="45485"/>
    <cellStyle name="40% - Accent6 2 6 2 5 3 2" xfId="45486"/>
    <cellStyle name="40% - Accent6 2 6 2 5 4" xfId="45487"/>
    <cellStyle name="40% - Accent6 2 6 2 5 5" xfId="45488"/>
    <cellStyle name="40% - Accent6 2 6 2 5 6" xfId="45489"/>
    <cellStyle name="40% - Accent6 2 6 2 5 7" xfId="45490"/>
    <cellStyle name="40% - Accent6 2 6 2 6" xfId="45491"/>
    <cellStyle name="40% - Accent6 2 6 2 6 2" xfId="45492"/>
    <cellStyle name="40% - Accent6 2 6 2 7" xfId="45493"/>
    <cellStyle name="40% - Accent6 2 6 2 7 2" xfId="45494"/>
    <cellStyle name="40% - Accent6 2 6 2 8" xfId="45495"/>
    <cellStyle name="40% - Accent6 2 6 2 9" xfId="45496"/>
    <cellStyle name="40% - Accent6 2 6 3" xfId="45497"/>
    <cellStyle name="40% - Accent6 2 6 3 10" xfId="45498"/>
    <cellStyle name="40% - Accent6 2 6 3 11" xfId="45499"/>
    <cellStyle name="40% - Accent6 2 6 3 2" xfId="45500"/>
    <cellStyle name="40% - Accent6 2 6 3 2 10" xfId="45501"/>
    <cellStyle name="40% - Accent6 2 6 3 2 2" xfId="45502"/>
    <cellStyle name="40% - Accent6 2 6 3 2 2 2" xfId="45503"/>
    <cellStyle name="40% - Accent6 2 6 3 2 2 2 2" xfId="45504"/>
    <cellStyle name="40% - Accent6 2 6 3 2 2 3" xfId="45505"/>
    <cellStyle name="40% - Accent6 2 6 3 2 2 3 2" xfId="45506"/>
    <cellStyle name="40% - Accent6 2 6 3 2 2 4" xfId="45507"/>
    <cellStyle name="40% - Accent6 2 6 3 2 2 5" xfId="45508"/>
    <cellStyle name="40% - Accent6 2 6 3 2 2 6" xfId="45509"/>
    <cellStyle name="40% - Accent6 2 6 3 2 2 7" xfId="45510"/>
    <cellStyle name="40% - Accent6 2 6 3 2 3" xfId="45511"/>
    <cellStyle name="40% - Accent6 2 6 3 2 3 2" xfId="45512"/>
    <cellStyle name="40% - Accent6 2 6 3 2 3 2 2" xfId="45513"/>
    <cellStyle name="40% - Accent6 2 6 3 2 3 3" xfId="45514"/>
    <cellStyle name="40% - Accent6 2 6 3 2 3 3 2" xfId="45515"/>
    <cellStyle name="40% - Accent6 2 6 3 2 3 4" xfId="45516"/>
    <cellStyle name="40% - Accent6 2 6 3 2 3 5" xfId="45517"/>
    <cellStyle name="40% - Accent6 2 6 3 2 3 6" xfId="45518"/>
    <cellStyle name="40% - Accent6 2 6 3 2 3 7" xfId="45519"/>
    <cellStyle name="40% - Accent6 2 6 3 2 4" xfId="45520"/>
    <cellStyle name="40% - Accent6 2 6 3 2 4 2" xfId="45521"/>
    <cellStyle name="40% - Accent6 2 6 3 2 4 2 2" xfId="45522"/>
    <cellStyle name="40% - Accent6 2 6 3 2 4 3" xfId="45523"/>
    <cellStyle name="40% - Accent6 2 6 3 2 4 3 2" xfId="45524"/>
    <cellStyle name="40% - Accent6 2 6 3 2 4 4" xfId="45525"/>
    <cellStyle name="40% - Accent6 2 6 3 2 4 5" xfId="45526"/>
    <cellStyle name="40% - Accent6 2 6 3 2 4 6" xfId="45527"/>
    <cellStyle name="40% - Accent6 2 6 3 2 4 7" xfId="45528"/>
    <cellStyle name="40% - Accent6 2 6 3 2 5" xfId="45529"/>
    <cellStyle name="40% - Accent6 2 6 3 2 5 2" xfId="45530"/>
    <cellStyle name="40% - Accent6 2 6 3 2 6" xfId="45531"/>
    <cellStyle name="40% - Accent6 2 6 3 2 6 2" xfId="45532"/>
    <cellStyle name="40% - Accent6 2 6 3 2 7" xfId="45533"/>
    <cellStyle name="40% - Accent6 2 6 3 2 8" xfId="45534"/>
    <cellStyle name="40% - Accent6 2 6 3 2 9" xfId="45535"/>
    <cellStyle name="40% - Accent6 2 6 3 3" xfId="45536"/>
    <cellStyle name="40% - Accent6 2 6 3 3 2" xfId="45537"/>
    <cellStyle name="40% - Accent6 2 6 3 3 2 2" xfId="45538"/>
    <cellStyle name="40% - Accent6 2 6 3 3 3" xfId="45539"/>
    <cellStyle name="40% - Accent6 2 6 3 3 3 2" xfId="45540"/>
    <cellStyle name="40% - Accent6 2 6 3 3 4" xfId="45541"/>
    <cellStyle name="40% - Accent6 2 6 3 3 5" xfId="45542"/>
    <cellStyle name="40% - Accent6 2 6 3 3 6" xfId="45543"/>
    <cellStyle name="40% - Accent6 2 6 3 3 7" xfId="45544"/>
    <cellStyle name="40% - Accent6 2 6 3 4" xfId="45545"/>
    <cellStyle name="40% - Accent6 2 6 3 4 2" xfId="45546"/>
    <cellStyle name="40% - Accent6 2 6 3 4 2 2" xfId="45547"/>
    <cellStyle name="40% - Accent6 2 6 3 4 3" xfId="45548"/>
    <cellStyle name="40% - Accent6 2 6 3 4 3 2" xfId="45549"/>
    <cellStyle name="40% - Accent6 2 6 3 4 4" xfId="45550"/>
    <cellStyle name="40% - Accent6 2 6 3 4 5" xfId="45551"/>
    <cellStyle name="40% - Accent6 2 6 3 4 6" xfId="45552"/>
    <cellStyle name="40% - Accent6 2 6 3 4 7" xfId="45553"/>
    <cellStyle name="40% - Accent6 2 6 3 5" xfId="45554"/>
    <cellStyle name="40% - Accent6 2 6 3 5 2" xfId="45555"/>
    <cellStyle name="40% - Accent6 2 6 3 5 2 2" xfId="45556"/>
    <cellStyle name="40% - Accent6 2 6 3 5 3" xfId="45557"/>
    <cellStyle name="40% - Accent6 2 6 3 5 3 2" xfId="45558"/>
    <cellStyle name="40% - Accent6 2 6 3 5 4" xfId="45559"/>
    <cellStyle name="40% - Accent6 2 6 3 5 5" xfId="45560"/>
    <cellStyle name="40% - Accent6 2 6 3 5 6" xfId="45561"/>
    <cellStyle name="40% - Accent6 2 6 3 5 7" xfId="45562"/>
    <cellStyle name="40% - Accent6 2 6 3 6" xfId="45563"/>
    <cellStyle name="40% - Accent6 2 6 3 6 2" xfId="45564"/>
    <cellStyle name="40% - Accent6 2 6 3 7" xfId="45565"/>
    <cellStyle name="40% - Accent6 2 6 3 7 2" xfId="45566"/>
    <cellStyle name="40% - Accent6 2 6 3 8" xfId="45567"/>
    <cellStyle name="40% - Accent6 2 6 3 9" xfId="45568"/>
    <cellStyle name="40% - Accent6 2 6 4" xfId="45569"/>
    <cellStyle name="40% - Accent6 2 6 4 10" xfId="45570"/>
    <cellStyle name="40% - Accent6 2 6 4 2" xfId="45571"/>
    <cellStyle name="40% - Accent6 2 6 4 2 2" xfId="45572"/>
    <cellStyle name="40% - Accent6 2 6 4 2 2 2" xfId="45573"/>
    <cellStyle name="40% - Accent6 2 6 4 2 3" xfId="45574"/>
    <cellStyle name="40% - Accent6 2 6 4 2 3 2" xfId="45575"/>
    <cellStyle name="40% - Accent6 2 6 4 2 4" xfId="45576"/>
    <cellStyle name="40% - Accent6 2 6 4 2 5" xfId="45577"/>
    <cellStyle name="40% - Accent6 2 6 4 2 6" xfId="45578"/>
    <cellStyle name="40% - Accent6 2 6 4 2 7" xfId="45579"/>
    <cellStyle name="40% - Accent6 2 6 4 3" xfId="45580"/>
    <cellStyle name="40% - Accent6 2 6 4 3 2" xfId="45581"/>
    <cellStyle name="40% - Accent6 2 6 4 3 2 2" xfId="45582"/>
    <cellStyle name="40% - Accent6 2 6 4 3 3" xfId="45583"/>
    <cellStyle name="40% - Accent6 2 6 4 3 3 2" xfId="45584"/>
    <cellStyle name="40% - Accent6 2 6 4 3 4" xfId="45585"/>
    <cellStyle name="40% - Accent6 2 6 4 3 5" xfId="45586"/>
    <cellStyle name="40% - Accent6 2 6 4 3 6" xfId="45587"/>
    <cellStyle name="40% - Accent6 2 6 4 3 7" xfId="45588"/>
    <cellStyle name="40% - Accent6 2 6 4 4" xfId="45589"/>
    <cellStyle name="40% - Accent6 2 6 4 4 2" xfId="45590"/>
    <cellStyle name="40% - Accent6 2 6 4 4 2 2" xfId="45591"/>
    <cellStyle name="40% - Accent6 2 6 4 4 3" xfId="45592"/>
    <cellStyle name="40% - Accent6 2 6 4 4 3 2" xfId="45593"/>
    <cellStyle name="40% - Accent6 2 6 4 4 4" xfId="45594"/>
    <cellStyle name="40% - Accent6 2 6 4 4 5" xfId="45595"/>
    <cellStyle name="40% - Accent6 2 6 4 4 6" xfId="45596"/>
    <cellStyle name="40% - Accent6 2 6 4 4 7" xfId="45597"/>
    <cellStyle name="40% - Accent6 2 6 4 5" xfId="45598"/>
    <cellStyle name="40% - Accent6 2 6 4 5 2" xfId="45599"/>
    <cellStyle name="40% - Accent6 2 6 4 6" xfId="45600"/>
    <cellStyle name="40% - Accent6 2 6 4 6 2" xfId="45601"/>
    <cellStyle name="40% - Accent6 2 6 4 7" xfId="45602"/>
    <cellStyle name="40% - Accent6 2 6 4 8" xfId="45603"/>
    <cellStyle name="40% - Accent6 2 6 4 9" xfId="45604"/>
    <cellStyle name="40% - Accent6 2 6 5" xfId="45605"/>
    <cellStyle name="40% - Accent6 2 6 5 2" xfId="45606"/>
    <cellStyle name="40% - Accent6 2 6 5 2 2" xfId="45607"/>
    <cellStyle name="40% - Accent6 2 6 5 3" xfId="45608"/>
    <cellStyle name="40% - Accent6 2 6 5 3 2" xfId="45609"/>
    <cellStyle name="40% - Accent6 2 6 5 4" xfId="45610"/>
    <cellStyle name="40% - Accent6 2 6 5 5" xfId="45611"/>
    <cellStyle name="40% - Accent6 2 6 5 6" xfId="45612"/>
    <cellStyle name="40% - Accent6 2 6 5 7" xfId="45613"/>
    <cellStyle name="40% - Accent6 2 6 6" xfId="45614"/>
    <cellStyle name="40% - Accent6 2 6 6 2" xfId="45615"/>
    <cellStyle name="40% - Accent6 2 6 6 2 2" xfId="45616"/>
    <cellStyle name="40% - Accent6 2 6 6 3" xfId="45617"/>
    <cellStyle name="40% - Accent6 2 6 6 3 2" xfId="45618"/>
    <cellStyle name="40% - Accent6 2 6 6 4" xfId="45619"/>
    <cellStyle name="40% - Accent6 2 6 6 5" xfId="45620"/>
    <cellStyle name="40% - Accent6 2 6 6 6" xfId="45621"/>
    <cellStyle name="40% - Accent6 2 6 6 7" xfId="45622"/>
    <cellStyle name="40% - Accent6 2 6 7" xfId="45623"/>
    <cellStyle name="40% - Accent6 2 6 7 2" xfId="45624"/>
    <cellStyle name="40% - Accent6 2 6 7 2 2" xfId="45625"/>
    <cellStyle name="40% - Accent6 2 6 7 3" xfId="45626"/>
    <cellStyle name="40% - Accent6 2 6 7 3 2" xfId="45627"/>
    <cellStyle name="40% - Accent6 2 6 7 4" xfId="45628"/>
    <cellStyle name="40% - Accent6 2 6 7 5" xfId="45629"/>
    <cellStyle name="40% - Accent6 2 6 7 6" xfId="45630"/>
    <cellStyle name="40% - Accent6 2 6 7 7" xfId="45631"/>
    <cellStyle name="40% - Accent6 2 6 8" xfId="45632"/>
    <cellStyle name="40% - Accent6 2 6 8 2" xfId="45633"/>
    <cellStyle name="40% - Accent6 2 6 9" xfId="45634"/>
    <cellStyle name="40% - Accent6 2 6 9 2" xfId="45635"/>
    <cellStyle name="40% - Accent6 2 7" xfId="45636"/>
    <cellStyle name="40% - Accent6 2 7 10" xfId="45637"/>
    <cellStyle name="40% - Accent6 2 7 11" xfId="45638"/>
    <cellStyle name="40% - Accent6 2 7 2" xfId="45639"/>
    <cellStyle name="40% - Accent6 2 7 2 10" xfId="45640"/>
    <cellStyle name="40% - Accent6 2 7 2 2" xfId="45641"/>
    <cellStyle name="40% - Accent6 2 7 2 2 2" xfId="45642"/>
    <cellStyle name="40% - Accent6 2 7 2 2 2 2" xfId="45643"/>
    <cellStyle name="40% - Accent6 2 7 2 2 3" xfId="45644"/>
    <cellStyle name="40% - Accent6 2 7 2 2 3 2" xfId="45645"/>
    <cellStyle name="40% - Accent6 2 7 2 2 4" xfId="45646"/>
    <cellStyle name="40% - Accent6 2 7 2 2 5" xfId="45647"/>
    <cellStyle name="40% - Accent6 2 7 2 2 6" xfId="45648"/>
    <cellStyle name="40% - Accent6 2 7 2 2 7" xfId="45649"/>
    <cellStyle name="40% - Accent6 2 7 2 3" xfId="45650"/>
    <cellStyle name="40% - Accent6 2 7 2 3 2" xfId="45651"/>
    <cellStyle name="40% - Accent6 2 7 2 3 2 2" xfId="45652"/>
    <cellStyle name="40% - Accent6 2 7 2 3 3" xfId="45653"/>
    <cellStyle name="40% - Accent6 2 7 2 3 3 2" xfId="45654"/>
    <cellStyle name="40% - Accent6 2 7 2 3 4" xfId="45655"/>
    <cellStyle name="40% - Accent6 2 7 2 3 5" xfId="45656"/>
    <cellStyle name="40% - Accent6 2 7 2 3 6" xfId="45657"/>
    <cellStyle name="40% - Accent6 2 7 2 3 7" xfId="45658"/>
    <cellStyle name="40% - Accent6 2 7 2 4" xfId="45659"/>
    <cellStyle name="40% - Accent6 2 7 2 4 2" xfId="45660"/>
    <cellStyle name="40% - Accent6 2 7 2 4 2 2" xfId="45661"/>
    <cellStyle name="40% - Accent6 2 7 2 4 3" xfId="45662"/>
    <cellStyle name="40% - Accent6 2 7 2 4 3 2" xfId="45663"/>
    <cellStyle name="40% - Accent6 2 7 2 4 4" xfId="45664"/>
    <cellStyle name="40% - Accent6 2 7 2 4 5" xfId="45665"/>
    <cellStyle name="40% - Accent6 2 7 2 4 6" xfId="45666"/>
    <cellStyle name="40% - Accent6 2 7 2 4 7" xfId="45667"/>
    <cellStyle name="40% - Accent6 2 7 2 5" xfId="45668"/>
    <cellStyle name="40% - Accent6 2 7 2 5 2" xfId="45669"/>
    <cellStyle name="40% - Accent6 2 7 2 6" xfId="45670"/>
    <cellStyle name="40% - Accent6 2 7 2 6 2" xfId="45671"/>
    <cellStyle name="40% - Accent6 2 7 2 7" xfId="45672"/>
    <cellStyle name="40% - Accent6 2 7 2 8" xfId="45673"/>
    <cellStyle name="40% - Accent6 2 7 2 9" xfId="45674"/>
    <cellStyle name="40% - Accent6 2 7 3" xfId="45675"/>
    <cellStyle name="40% - Accent6 2 7 3 2" xfId="45676"/>
    <cellStyle name="40% - Accent6 2 7 3 2 2" xfId="45677"/>
    <cellStyle name="40% - Accent6 2 7 3 3" xfId="45678"/>
    <cellStyle name="40% - Accent6 2 7 3 3 2" xfId="45679"/>
    <cellStyle name="40% - Accent6 2 7 3 4" xfId="45680"/>
    <cellStyle name="40% - Accent6 2 7 3 5" xfId="45681"/>
    <cellStyle name="40% - Accent6 2 7 3 6" xfId="45682"/>
    <cellStyle name="40% - Accent6 2 7 3 7" xfId="45683"/>
    <cellStyle name="40% - Accent6 2 7 4" xfId="45684"/>
    <cellStyle name="40% - Accent6 2 7 4 2" xfId="45685"/>
    <cellStyle name="40% - Accent6 2 7 4 2 2" xfId="45686"/>
    <cellStyle name="40% - Accent6 2 7 4 3" xfId="45687"/>
    <cellStyle name="40% - Accent6 2 7 4 3 2" xfId="45688"/>
    <cellStyle name="40% - Accent6 2 7 4 4" xfId="45689"/>
    <cellStyle name="40% - Accent6 2 7 4 5" xfId="45690"/>
    <cellStyle name="40% - Accent6 2 7 4 6" xfId="45691"/>
    <cellStyle name="40% - Accent6 2 7 4 7" xfId="45692"/>
    <cellStyle name="40% - Accent6 2 7 5" xfId="45693"/>
    <cellStyle name="40% - Accent6 2 7 5 2" xfId="45694"/>
    <cellStyle name="40% - Accent6 2 7 5 2 2" xfId="45695"/>
    <cellStyle name="40% - Accent6 2 7 5 3" xfId="45696"/>
    <cellStyle name="40% - Accent6 2 7 5 3 2" xfId="45697"/>
    <cellStyle name="40% - Accent6 2 7 5 4" xfId="45698"/>
    <cellStyle name="40% - Accent6 2 7 5 5" xfId="45699"/>
    <cellStyle name="40% - Accent6 2 7 5 6" xfId="45700"/>
    <cellStyle name="40% - Accent6 2 7 5 7" xfId="45701"/>
    <cellStyle name="40% - Accent6 2 7 6" xfId="45702"/>
    <cellStyle name="40% - Accent6 2 7 6 2" xfId="45703"/>
    <cellStyle name="40% - Accent6 2 7 7" xfId="45704"/>
    <cellStyle name="40% - Accent6 2 7 7 2" xfId="45705"/>
    <cellStyle name="40% - Accent6 2 7 8" xfId="45706"/>
    <cellStyle name="40% - Accent6 2 7 9" xfId="45707"/>
    <cellStyle name="40% - Accent6 2 8" xfId="45708"/>
    <cellStyle name="40% - Accent6 2 8 10" xfId="45709"/>
    <cellStyle name="40% - Accent6 2 8 11" xfId="45710"/>
    <cellStyle name="40% - Accent6 2 8 2" xfId="45711"/>
    <cellStyle name="40% - Accent6 2 8 2 10" xfId="45712"/>
    <cellStyle name="40% - Accent6 2 8 2 2" xfId="45713"/>
    <cellStyle name="40% - Accent6 2 8 2 2 2" xfId="45714"/>
    <cellStyle name="40% - Accent6 2 8 2 2 2 2" xfId="45715"/>
    <cellStyle name="40% - Accent6 2 8 2 2 3" xfId="45716"/>
    <cellStyle name="40% - Accent6 2 8 2 2 3 2" xfId="45717"/>
    <cellStyle name="40% - Accent6 2 8 2 2 4" xfId="45718"/>
    <cellStyle name="40% - Accent6 2 8 2 2 5" xfId="45719"/>
    <cellStyle name="40% - Accent6 2 8 2 2 6" xfId="45720"/>
    <cellStyle name="40% - Accent6 2 8 2 2 7" xfId="45721"/>
    <cellStyle name="40% - Accent6 2 8 2 3" xfId="45722"/>
    <cellStyle name="40% - Accent6 2 8 2 3 2" xfId="45723"/>
    <cellStyle name="40% - Accent6 2 8 2 3 2 2" xfId="45724"/>
    <cellStyle name="40% - Accent6 2 8 2 3 3" xfId="45725"/>
    <cellStyle name="40% - Accent6 2 8 2 3 3 2" xfId="45726"/>
    <cellStyle name="40% - Accent6 2 8 2 3 4" xfId="45727"/>
    <cellStyle name="40% - Accent6 2 8 2 3 5" xfId="45728"/>
    <cellStyle name="40% - Accent6 2 8 2 3 6" xfId="45729"/>
    <cellStyle name="40% - Accent6 2 8 2 3 7" xfId="45730"/>
    <cellStyle name="40% - Accent6 2 8 2 4" xfId="45731"/>
    <cellStyle name="40% - Accent6 2 8 2 4 2" xfId="45732"/>
    <cellStyle name="40% - Accent6 2 8 2 4 2 2" xfId="45733"/>
    <cellStyle name="40% - Accent6 2 8 2 4 3" xfId="45734"/>
    <cellStyle name="40% - Accent6 2 8 2 4 3 2" xfId="45735"/>
    <cellStyle name="40% - Accent6 2 8 2 4 4" xfId="45736"/>
    <cellStyle name="40% - Accent6 2 8 2 4 5" xfId="45737"/>
    <cellStyle name="40% - Accent6 2 8 2 4 6" xfId="45738"/>
    <cellStyle name="40% - Accent6 2 8 2 4 7" xfId="45739"/>
    <cellStyle name="40% - Accent6 2 8 2 5" xfId="45740"/>
    <cellStyle name="40% - Accent6 2 8 2 5 2" xfId="45741"/>
    <cellStyle name="40% - Accent6 2 8 2 6" xfId="45742"/>
    <cellStyle name="40% - Accent6 2 8 2 6 2" xfId="45743"/>
    <cellStyle name="40% - Accent6 2 8 2 7" xfId="45744"/>
    <cellStyle name="40% - Accent6 2 8 2 8" xfId="45745"/>
    <cellStyle name="40% - Accent6 2 8 2 9" xfId="45746"/>
    <cellStyle name="40% - Accent6 2 8 3" xfId="45747"/>
    <cellStyle name="40% - Accent6 2 8 3 2" xfId="45748"/>
    <cellStyle name="40% - Accent6 2 8 3 2 2" xfId="45749"/>
    <cellStyle name="40% - Accent6 2 8 3 3" xfId="45750"/>
    <cellStyle name="40% - Accent6 2 8 3 3 2" xfId="45751"/>
    <cellStyle name="40% - Accent6 2 8 3 4" xfId="45752"/>
    <cellStyle name="40% - Accent6 2 8 3 5" xfId="45753"/>
    <cellStyle name="40% - Accent6 2 8 3 6" xfId="45754"/>
    <cellStyle name="40% - Accent6 2 8 3 7" xfId="45755"/>
    <cellStyle name="40% - Accent6 2 8 4" xfId="45756"/>
    <cellStyle name="40% - Accent6 2 8 4 2" xfId="45757"/>
    <cellStyle name="40% - Accent6 2 8 4 2 2" xfId="45758"/>
    <cellStyle name="40% - Accent6 2 8 4 3" xfId="45759"/>
    <cellStyle name="40% - Accent6 2 8 4 3 2" xfId="45760"/>
    <cellStyle name="40% - Accent6 2 8 4 4" xfId="45761"/>
    <cellStyle name="40% - Accent6 2 8 4 5" xfId="45762"/>
    <cellStyle name="40% - Accent6 2 8 4 6" xfId="45763"/>
    <cellStyle name="40% - Accent6 2 8 4 7" xfId="45764"/>
    <cellStyle name="40% - Accent6 2 8 5" xfId="45765"/>
    <cellStyle name="40% - Accent6 2 8 5 2" xfId="45766"/>
    <cellStyle name="40% - Accent6 2 8 5 2 2" xfId="45767"/>
    <cellStyle name="40% - Accent6 2 8 5 3" xfId="45768"/>
    <cellStyle name="40% - Accent6 2 8 5 3 2" xfId="45769"/>
    <cellStyle name="40% - Accent6 2 8 5 4" xfId="45770"/>
    <cellStyle name="40% - Accent6 2 8 5 5" xfId="45771"/>
    <cellStyle name="40% - Accent6 2 8 5 6" xfId="45772"/>
    <cellStyle name="40% - Accent6 2 8 5 7" xfId="45773"/>
    <cellStyle name="40% - Accent6 2 8 6" xfId="45774"/>
    <cellStyle name="40% - Accent6 2 8 6 2" xfId="45775"/>
    <cellStyle name="40% - Accent6 2 8 7" xfId="45776"/>
    <cellStyle name="40% - Accent6 2 8 7 2" xfId="45777"/>
    <cellStyle name="40% - Accent6 2 8 8" xfId="45778"/>
    <cellStyle name="40% - Accent6 2 8 9" xfId="45779"/>
    <cellStyle name="40% - Accent6 2 9" xfId="45780"/>
    <cellStyle name="40% - Accent6 2 9 10" xfId="45781"/>
    <cellStyle name="40% - Accent6 2 9 2" xfId="45782"/>
    <cellStyle name="40% - Accent6 2 9 2 2" xfId="45783"/>
    <cellStyle name="40% - Accent6 2 9 2 2 2" xfId="45784"/>
    <cellStyle name="40% - Accent6 2 9 2 3" xfId="45785"/>
    <cellStyle name="40% - Accent6 2 9 2 3 2" xfId="45786"/>
    <cellStyle name="40% - Accent6 2 9 2 4" xfId="45787"/>
    <cellStyle name="40% - Accent6 2 9 2 5" xfId="45788"/>
    <cellStyle name="40% - Accent6 2 9 2 6" xfId="45789"/>
    <cellStyle name="40% - Accent6 2 9 2 7" xfId="45790"/>
    <cellStyle name="40% - Accent6 2 9 3" xfId="45791"/>
    <cellStyle name="40% - Accent6 2 9 3 2" xfId="45792"/>
    <cellStyle name="40% - Accent6 2 9 3 2 2" xfId="45793"/>
    <cellStyle name="40% - Accent6 2 9 3 3" xfId="45794"/>
    <cellStyle name="40% - Accent6 2 9 3 3 2" xfId="45795"/>
    <cellStyle name="40% - Accent6 2 9 3 4" xfId="45796"/>
    <cellStyle name="40% - Accent6 2 9 3 5" xfId="45797"/>
    <cellStyle name="40% - Accent6 2 9 3 6" xfId="45798"/>
    <cellStyle name="40% - Accent6 2 9 3 7" xfId="45799"/>
    <cellStyle name="40% - Accent6 2 9 4" xfId="45800"/>
    <cellStyle name="40% - Accent6 2 9 4 2" xfId="45801"/>
    <cellStyle name="40% - Accent6 2 9 4 2 2" xfId="45802"/>
    <cellStyle name="40% - Accent6 2 9 4 3" xfId="45803"/>
    <cellStyle name="40% - Accent6 2 9 4 3 2" xfId="45804"/>
    <cellStyle name="40% - Accent6 2 9 4 4" xfId="45805"/>
    <cellStyle name="40% - Accent6 2 9 4 5" xfId="45806"/>
    <cellStyle name="40% - Accent6 2 9 4 6" xfId="45807"/>
    <cellStyle name="40% - Accent6 2 9 4 7" xfId="45808"/>
    <cellStyle name="40% - Accent6 2 9 5" xfId="45809"/>
    <cellStyle name="40% - Accent6 2 9 5 2" xfId="45810"/>
    <cellStyle name="40% - Accent6 2 9 6" xfId="45811"/>
    <cellStyle name="40% - Accent6 2 9 6 2" xfId="45812"/>
    <cellStyle name="40% - Accent6 2 9 7" xfId="45813"/>
    <cellStyle name="40% - Accent6 2 9 8" xfId="45814"/>
    <cellStyle name="40% - Accent6 2 9 9" xfId="45815"/>
    <cellStyle name="40% - Accent6 2_10-15-10-Stmt AU - Period I - Working 1 0" xfId="399"/>
    <cellStyle name="40% - Accent6 3" xfId="400"/>
    <cellStyle name="40% - Accent6 3 10" xfId="45816"/>
    <cellStyle name="40% - Accent6 3 10 2" xfId="45817"/>
    <cellStyle name="40% - Accent6 3 10 2 2" xfId="45818"/>
    <cellStyle name="40% - Accent6 3 10 3" xfId="45819"/>
    <cellStyle name="40% - Accent6 3 10 3 2" xfId="45820"/>
    <cellStyle name="40% - Accent6 3 10 4" xfId="45821"/>
    <cellStyle name="40% - Accent6 3 10 5" xfId="45822"/>
    <cellStyle name="40% - Accent6 3 10 6" xfId="45823"/>
    <cellStyle name="40% - Accent6 3 10 7" xfId="45824"/>
    <cellStyle name="40% - Accent6 3 11" xfId="45825"/>
    <cellStyle name="40% - Accent6 3 11 2" xfId="45826"/>
    <cellStyle name="40% - Accent6 3 11 2 2" xfId="45827"/>
    <cellStyle name="40% - Accent6 3 11 3" xfId="45828"/>
    <cellStyle name="40% - Accent6 3 11 3 2" xfId="45829"/>
    <cellStyle name="40% - Accent6 3 11 4" xfId="45830"/>
    <cellStyle name="40% - Accent6 3 11 5" xfId="45831"/>
    <cellStyle name="40% - Accent6 3 11 6" xfId="45832"/>
    <cellStyle name="40% - Accent6 3 11 7" xfId="45833"/>
    <cellStyle name="40% - Accent6 3 12" xfId="45834"/>
    <cellStyle name="40% - Accent6 3 12 2" xfId="45835"/>
    <cellStyle name="40% - Accent6 3 12 2 2" xfId="45836"/>
    <cellStyle name="40% - Accent6 3 12 3" xfId="45837"/>
    <cellStyle name="40% - Accent6 3 12 3 2" xfId="45838"/>
    <cellStyle name="40% - Accent6 3 12 4" xfId="45839"/>
    <cellStyle name="40% - Accent6 3 12 5" xfId="45840"/>
    <cellStyle name="40% - Accent6 3 12 6" xfId="45841"/>
    <cellStyle name="40% - Accent6 3 12 7" xfId="45842"/>
    <cellStyle name="40% - Accent6 3 13" xfId="45843"/>
    <cellStyle name="40% - Accent6 3 13 2" xfId="45844"/>
    <cellStyle name="40% - Accent6 3 14" xfId="45845"/>
    <cellStyle name="40% - Accent6 3 14 2" xfId="45846"/>
    <cellStyle name="40% - Accent6 3 15" xfId="45847"/>
    <cellStyle name="40% - Accent6 3 16" xfId="45848"/>
    <cellStyle name="40% - Accent6 3 17" xfId="45849"/>
    <cellStyle name="40% - Accent6 3 18" xfId="45850"/>
    <cellStyle name="40% - Accent6 3 2" xfId="401"/>
    <cellStyle name="40% - Accent6 3 2 10" xfId="45851"/>
    <cellStyle name="40% - Accent6 3 2 11" xfId="45852"/>
    <cellStyle name="40% - Accent6 3 2 12" xfId="45853"/>
    <cellStyle name="40% - Accent6 3 2 13" xfId="45854"/>
    <cellStyle name="40% - Accent6 3 2 2" xfId="45855"/>
    <cellStyle name="40% - Accent6 3 2 2 10" xfId="45856"/>
    <cellStyle name="40% - Accent6 3 2 2 11" xfId="45857"/>
    <cellStyle name="40% - Accent6 3 2 2 2" xfId="45858"/>
    <cellStyle name="40% - Accent6 3 2 2 2 10" xfId="45859"/>
    <cellStyle name="40% - Accent6 3 2 2 2 2" xfId="45860"/>
    <cellStyle name="40% - Accent6 3 2 2 2 2 2" xfId="45861"/>
    <cellStyle name="40% - Accent6 3 2 2 2 2 2 2" xfId="45862"/>
    <cellStyle name="40% - Accent6 3 2 2 2 2 3" xfId="45863"/>
    <cellStyle name="40% - Accent6 3 2 2 2 2 3 2" xfId="45864"/>
    <cellStyle name="40% - Accent6 3 2 2 2 2 4" xfId="45865"/>
    <cellStyle name="40% - Accent6 3 2 2 2 2 5" xfId="45866"/>
    <cellStyle name="40% - Accent6 3 2 2 2 2 6" xfId="45867"/>
    <cellStyle name="40% - Accent6 3 2 2 2 2 7" xfId="45868"/>
    <cellStyle name="40% - Accent6 3 2 2 2 3" xfId="45869"/>
    <cellStyle name="40% - Accent6 3 2 2 2 3 2" xfId="45870"/>
    <cellStyle name="40% - Accent6 3 2 2 2 3 2 2" xfId="45871"/>
    <cellStyle name="40% - Accent6 3 2 2 2 3 3" xfId="45872"/>
    <cellStyle name="40% - Accent6 3 2 2 2 3 3 2" xfId="45873"/>
    <cellStyle name="40% - Accent6 3 2 2 2 3 4" xfId="45874"/>
    <cellStyle name="40% - Accent6 3 2 2 2 3 5" xfId="45875"/>
    <cellStyle name="40% - Accent6 3 2 2 2 3 6" xfId="45876"/>
    <cellStyle name="40% - Accent6 3 2 2 2 3 7" xfId="45877"/>
    <cellStyle name="40% - Accent6 3 2 2 2 4" xfId="45878"/>
    <cellStyle name="40% - Accent6 3 2 2 2 4 2" xfId="45879"/>
    <cellStyle name="40% - Accent6 3 2 2 2 4 2 2" xfId="45880"/>
    <cellStyle name="40% - Accent6 3 2 2 2 4 3" xfId="45881"/>
    <cellStyle name="40% - Accent6 3 2 2 2 4 3 2" xfId="45882"/>
    <cellStyle name="40% - Accent6 3 2 2 2 4 4" xfId="45883"/>
    <cellStyle name="40% - Accent6 3 2 2 2 4 5" xfId="45884"/>
    <cellStyle name="40% - Accent6 3 2 2 2 4 6" xfId="45885"/>
    <cellStyle name="40% - Accent6 3 2 2 2 4 7" xfId="45886"/>
    <cellStyle name="40% - Accent6 3 2 2 2 5" xfId="45887"/>
    <cellStyle name="40% - Accent6 3 2 2 2 5 2" xfId="45888"/>
    <cellStyle name="40% - Accent6 3 2 2 2 6" xfId="45889"/>
    <cellStyle name="40% - Accent6 3 2 2 2 6 2" xfId="45890"/>
    <cellStyle name="40% - Accent6 3 2 2 2 7" xfId="45891"/>
    <cellStyle name="40% - Accent6 3 2 2 2 8" xfId="45892"/>
    <cellStyle name="40% - Accent6 3 2 2 2 9" xfId="45893"/>
    <cellStyle name="40% - Accent6 3 2 2 3" xfId="45894"/>
    <cellStyle name="40% - Accent6 3 2 2 3 2" xfId="45895"/>
    <cellStyle name="40% - Accent6 3 2 2 3 2 2" xfId="45896"/>
    <cellStyle name="40% - Accent6 3 2 2 3 3" xfId="45897"/>
    <cellStyle name="40% - Accent6 3 2 2 3 3 2" xfId="45898"/>
    <cellStyle name="40% - Accent6 3 2 2 3 4" xfId="45899"/>
    <cellStyle name="40% - Accent6 3 2 2 3 5" xfId="45900"/>
    <cellStyle name="40% - Accent6 3 2 2 3 6" xfId="45901"/>
    <cellStyle name="40% - Accent6 3 2 2 3 7" xfId="45902"/>
    <cellStyle name="40% - Accent6 3 2 2 4" xfId="45903"/>
    <cellStyle name="40% - Accent6 3 2 2 4 2" xfId="45904"/>
    <cellStyle name="40% - Accent6 3 2 2 4 2 2" xfId="45905"/>
    <cellStyle name="40% - Accent6 3 2 2 4 3" xfId="45906"/>
    <cellStyle name="40% - Accent6 3 2 2 4 3 2" xfId="45907"/>
    <cellStyle name="40% - Accent6 3 2 2 4 4" xfId="45908"/>
    <cellStyle name="40% - Accent6 3 2 2 4 5" xfId="45909"/>
    <cellStyle name="40% - Accent6 3 2 2 4 6" xfId="45910"/>
    <cellStyle name="40% - Accent6 3 2 2 4 7" xfId="45911"/>
    <cellStyle name="40% - Accent6 3 2 2 5" xfId="45912"/>
    <cellStyle name="40% - Accent6 3 2 2 5 2" xfId="45913"/>
    <cellStyle name="40% - Accent6 3 2 2 5 2 2" xfId="45914"/>
    <cellStyle name="40% - Accent6 3 2 2 5 3" xfId="45915"/>
    <cellStyle name="40% - Accent6 3 2 2 5 3 2" xfId="45916"/>
    <cellStyle name="40% - Accent6 3 2 2 5 4" xfId="45917"/>
    <cellStyle name="40% - Accent6 3 2 2 5 5" xfId="45918"/>
    <cellStyle name="40% - Accent6 3 2 2 5 6" xfId="45919"/>
    <cellStyle name="40% - Accent6 3 2 2 5 7" xfId="45920"/>
    <cellStyle name="40% - Accent6 3 2 2 6" xfId="45921"/>
    <cellStyle name="40% - Accent6 3 2 2 6 2" xfId="45922"/>
    <cellStyle name="40% - Accent6 3 2 2 7" xfId="45923"/>
    <cellStyle name="40% - Accent6 3 2 2 7 2" xfId="45924"/>
    <cellStyle name="40% - Accent6 3 2 2 8" xfId="45925"/>
    <cellStyle name="40% - Accent6 3 2 2 9" xfId="45926"/>
    <cellStyle name="40% - Accent6 3 2 3" xfId="45927"/>
    <cellStyle name="40% - Accent6 3 2 3 10" xfId="45928"/>
    <cellStyle name="40% - Accent6 3 2 3 11" xfId="45929"/>
    <cellStyle name="40% - Accent6 3 2 3 2" xfId="45930"/>
    <cellStyle name="40% - Accent6 3 2 3 2 10" xfId="45931"/>
    <cellStyle name="40% - Accent6 3 2 3 2 2" xfId="45932"/>
    <cellStyle name="40% - Accent6 3 2 3 2 2 2" xfId="45933"/>
    <cellStyle name="40% - Accent6 3 2 3 2 2 2 2" xfId="45934"/>
    <cellStyle name="40% - Accent6 3 2 3 2 2 3" xfId="45935"/>
    <cellStyle name="40% - Accent6 3 2 3 2 2 3 2" xfId="45936"/>
    <cellStyle name="40% - Accent6 3 2 3 2 2 4" xfId="45937"/>
    <cellStyle name="40% - Accent6 3 2 3 2 2 5" xfId="45938"/>
    <cellStyle name="40% - Accent6 3 2 3 2 2 6" xfId="45939"/>
    <cellStyle name="40% - Accent6 3 2 3 2 2 7" xfId="45940"/>
    <cellStyle name="40% - Accent6 3 2 3 2 3" xfId="45941"/>
    <cellStyle name="40% - Accent6 3 2 3 2 3 2" xfId="45942"/>
    <cellStyle name="40% - Accent6 3 2 3 2 3 2 2" xfId="45943"/>
    <cellStyle name="40% - Accent6 3 2 3 2 3 3" xfId="45944"/>
    <cellStyle name="40% - Accent6 3 2 3 2 3 3 2" xfId="45945"/>
    <cellStyle name="40% - Accent6 3 2 3 2 3 4" xfId="45946"/>
    <cellStyle name="40% - Accent6 3 2 3 2 3 5" xfId="45947"/>
    <cellStyle name="40% - Accent6 3 2 3 2 3 6" xfId="45948"/>
    <cellStyle name="40% - Accent6 3 2 3 2 3 7" xfId="45949"/>
    <cellStyle name="40% - Accent6 3 2 3 2 4" xfId="45950"/>
    <cellStyle name="40% - Accent6 3 2 3 2 4 2" xfId="45951"/>
    <cellStyle name="40% - Accent6 3 2 3 2 4 2 2" xfId="45952"/>
    <cellStyle name="40% - Accent6 3 2 3 2 4 3" xfId="45953"/>
    <cellStyle name="40% - Accent6 3 2 3 2 4 3 2" xfId="45954"/>
    <cellStyle name="40% - Accent6 3 2 3 2 4 4" xfId="45955"/>
    <cellStyle name="40% - Accent6 3 2 3 2 4 5" xfId="45956"/>
    <cellStyle name="40% - Accent6 3 2 3 2 4 6" xfId="45957"/>
    <cellStyle name="40% - Accent6 3 2 3 2 4 7" xfId="45958"/>
    <cellStyle name="40% - Accent6 3 2 3 2 5" xfId="45959"/>
    <cellStyle name="40% - Accent6 3 2 3 2 5 2" xfId="45960"/>
    <cellStyle name="40% - Accent6 3 2 3 2 6" xfId="45961"/>
    <cellStyle name="40% - Accent6 3 2 3 2 6 2" xfId="45962"/>
    <cellStyle name="40% - Accent6 3 2 3 2 7" xfId="45963"/>
    <cellStyle name="40% - Accent6 3 2 3 2 8" xfId="45964"/>
    <cellStyle name="40% - Accent6 3 2 3 2 9" xfId="45965"/>
    <cellStyle name="40% - Accent6 3 2 3 3" xfId="45966"/>
    <cellStyle name="40% - Accent6 3 2 3 3 2" xfId="45967"/>
    <cellStyle name="40% - Accent6 3 2 3 3 2 2" xfId="45968"/>
    <cellStyle name="40% - Accent6 3 2 3 3 3" xfId="45969"/>
    <cellStyle name="40% - Accent6 3 2 3 3 3 2" xfId="45970"/>
    <cellStyle name="40% - Accent6 3 2 3 3 4" xfId="45971"/>
    <cellStyle name="40% - Accent6 3 2 3 3 5" xfId="45972"/>
    <cellStyle name="40% - Accent6 3 2 3 3 6" xfId="45973"/>
    <cellStyle name="40% - Accent6 3 2 3 3 7" xfId="45974"/>
    <cellStyle name="40% - Accent6 3 2 3 4" xfId="45975"/>
    <cellStyle name="40% - Accent6 3 2 3 4 2" xfId="45976"/>
    <cellStyle name="40% - Accent6 3 2 3 4 2 2" xfId="45977"/>
    <cellStyle name="40% - Accent6 3 2 3 4 3" xfId="45978"/>
    <cellStyle name="40% - Accent6 3 2 3 4 3 2" xfId="45979"/>
    <cellStyle name="40% - Accent6 3 2 3 4 4" xfId="45980"/>
    <cellStyle name="40% - Accent6 3 2 3 4 5" xfId="45981"/>
    <cellStyle name="40% - Accent6 3 2 3 4 6" xfId="45982"/>
    <cellStyle name="40% - Accent6 3 2 3 4 7" xfId="45983"/>
    <cellStyle name="40% - Accent6 3 2 3 5" xfId="45984"/>
    <cellStyle name="40% - Accent6 3 2 3 5 2" xfId="45985"/>
    <cellStyle name="40% - Accent6 3 2 3 5 2 2" xfId="45986"/>
    <cellStyle name="40% - Accent6 3 2 3 5 3" xfId="45987"/>
    <cellStyle name="40% - Accent6 3 2 3 5 3 2" xfId="45988"/>
    <cellStyle name="40% - Accent6 3 2 3 5 4" xfId="45989"/>
    <cellStyle name="40% - Accent6 3 2 3 5 5" xfId="45990"/>
    <cellStyle name="40% - Accent6 3 2 3 5 6" xfId="45991"/>
    <cellStyle name="40% - Accent6 3 2 3 5 7" xfId="45992"/>
    <cellStyle name="40% - Accent6 3 2 3 6" xfId="45993"/>
    <cellStyle name="40% - Accent6 3 2 3 6 2" xfId="45994"/>
    <cellStyle name="40% - Accent6 3 2 3 7" xfId="45995"/>
    <cellStyle name="40% - Accent6 3 2 3 7 2" xfId="45996"/>
    <cellStyle name="40% - Accent6 3 2 3 8" xfId="45997"/>
    <cellStyle name="40% - Accent6 3 2 3 9" xfId="45998"/>
    <cellStyle name="40% - Accent6 3 2 4" xfId="45999"/>
    <cellStyle name="40% - Accent6 3 2 4 10" xfId="46000"/>
    <cellStyle name="40% - Accent6 3 2 4 2" xfId="46001"/>
    <cellStyle name="40% - Accent6 3 2 4 2 2" xfId="46002"/>
    <cellStyle name="40% - Accent6 3 2 4 2 2 2" xfId="46003"/>
    <cellStyle name="40% - Accent6 3 2 4 2 3" xfId="46004"/>
    <cellStyle name="40% - Accent6 3 2 4 2 3 2" xfId="46005"/>
    <cellStyle name="40% - Accent6 3 2 4 2 4" xfId="46006"/>
    <cellStyle name="40% - Accent6 3 2 4 2 5" xfId="46007"/>
    <cellStyle name="40% - Accent6 3 2 4 2 6" xfId="46008"/>
    <cellStyle name="40% - Accent6 3 2 4 2 7" xfId="46009"/>
    <cellStyle name="40% - Accent6 3 2 4 3" xfId="46010"/>
    <cellStyle name="40% - Accent6 3 2 4 3 2" xfId="46011"/>
    <cellStyle name="40% - Accent6 3 2 4 3 2 2" xfId="46012"/>
    <cellStyle name="40% - Accent6 3 2 4 3 3" xfId="46013"/>
    <cellStyle name="40% - Accent6 3 2 4 3 3 2" xfId="46014"/>
    <cellStyle name="40% - Accent6 3 2 4 3 4" xfId="46015"/>
    <cellStyle name="40% - Accent6 3 2 4 3 5" xfId="46016"/>
    <cellStyle name="40% - Accent6 3 2 4 3 6" xfId="46017"/>
    <cellStyle name="40% - Accent6 3 2 4 3 7" xfId="46018"/>
    <cellStyle name="40% - Accent6 3 2 4 4" xfId="46019"/>
    <cellStyle name="40% - Accent6 3 2 4 4 2" xfId="46020"/>
    <cellStyle name="40% - Accent6 3 2 4 4 2 2" xfId="46021"/>
    <cellStyle name="40% - Accent6 3 2 4 4 3" xfId="46022"/>
    <cellStyle name="40% - Accent6 3 2 4 4 3 2" xfId="46023"/>
    <cellStyle name="40% - Accent6 3 2 4 4 4" xfId="46024"/>
    <cellStyle name="40% - Accent6 3 2 4 4 5" xfId="46025"/>
    <cellStyle name="40% - Accent6 3 2 4 4 6" xfId="46026"/>
    <cellStyle name="40% - Accent6 3 2 4 4 7" xfId="46027"/>
    <cellStyle name="40% - Accent6 3 2 4 5" xfId="46028"/>
    <cellStyle name="40% - Accent6 3 2 4 5 2" xfId="46029"/>
    <cellStyle name="40% - Accent6 3 2 4 6" xfId="46030"/>
    <cellStyle name="40% - Accent6 3 2 4 6 2" xfId="46031"/>
    <cellStyle name="40% - Accent6 3 2 4 7" xfId="46032"/>
    <cellStyle name="40% - Accent6 3 2 4 8" xfId="46033"/>
    <cellStyle name="40% - Accent6 3 2 4 9" xfId="46034"/>
    <cellStyle name="40% - Accent6 3 2 5" xfId="46035"/>
    <cellStyle name="40% - Accent6 3 2 5 2" xfId="46036"/>
    <cellStyle name="40% - Accent6 3 2 5 2 2" xfId="46037"/>
    <cellStyle name="40% - Accent6 3 2 5 3" xfId="46038"/>
    <cellStyle name="40% - Accent6 3 2 5 3 2" xfId="46039"/>
    <cellStyle name="40% - Accent6 3 2 5 4" xfId="46040"/>
    <cellStyle name="40% - Accent6 3 2 5 5" xfId="46041"/>
    <cellStyle name="40% - Accent6 3 2 5 6" xfId="46042"/>
    <cellStyle name="40% - Accent6 3 2 5 7" xfId="46043"/>
    <cellStyle name="40% - Accent6 3 2 6" xfId="46044"/>
    <cellStyle name="40% - Accent6 3 2 6 2" xfId="46045"/>
    <cellStyle name="40% - Accent6 3 2 6 2 2" xfId="46046"/>
    <cellStyle name="40% - Accent6 3 2 6 3" xfId="46047"/>
    <cellStyle name="40% - Accent6 3 2 6 3 2" xfId="46048"/>
    <cellStyle name="40% - Accent6 3 2 6 4" xfId="46049"/>
    <cellStyle name="40% - Accent6 3 2 6 5" xfId="46050"/>
    <cellStyle name="40% - Accent6 3 2 6 6" xfId="46051"/>
    <cellStyle name="40% - Accent6 3 2 6 7" xfId="46052"/>
    <cellStyle name="40% - Accent6 3 2 7" xfId="46053"/>
    <cellStyle name="40% - Accent6 3 2 7 2" xfId="46054"/>
    <cellStyle name="40% - Accent6 3 2 7 2 2" xfId="46055"/>
    <cellStyle name="40% - Accent6 3 2 7 3" xfId="46056"/>
    <cellStyle name="40% - Accent6 3 2 7 3 2" xfId="46057"/>
    <cellStyle name="40% - Accent6 3 2 7 4" xfId="46058"/>
    <cellStyle name="40% - Accent6 3 2 7 5" xfId="46059"/>
    <cellStyle name="40% - Accent6 3 2 7 6" xfId="46060"/>
    <cellStyle name="40% - Accent6 3 2 7 7" xfId="46061"/>
    <cellStyle name="40% - Accent6 3 2 8" xfId="46062"/>
    <cellStyle name="40% - Accent6 3 2 8 2" xfId="46063"/>
    <cellStyle name="40% - Accent6 3 2 9" xfId="46064"/>
    <cellStyle name="40% - Accent6 3 2 9 2" xfId="46065"/>
    <cellStyle name="40% - Accent6 3 3" xfId="402"/>
    <cellStyle name="40% - Accent6 3 3 10" xfId="46066"/>
    <cellStyle name="40% - Accent6 3 3 11" xfId="46067"/>
    <cellStyle name="40% - Accent6 3 3 12" xfId="46068"/>
    <cellStyle name="40% - Accent6 3 3 13" xfId="46069"/>
    <cellStyle name="40% - Accent6 3 3 2" xfId="46070"/>
    <cellStyle name="40% - Accent6 3 3 2 10" xfId="46071"/>
    <cellStyle name="40% - Accent6 3 3 2 11" xfId="46072"/>
    <cellStyle name="40% - Accent6 3 3 2 2" xfId="46073"/>
    <cellStyle name="40% - Accent6 3 3 2 2 10" xfId="46074"/>
    <cellStyle name="40% - Accent6 3 3 2 2 2" xfId="46075"/>
    <cellStyle name="40% - Accent6 3 3 2 2 2 2" xfId="46076"/>
    <cellStyle name="40% - Accent6 3 3 2 2 2 2 2" xfId="46077"/>
    <cellStyle name="40% - Accent6 3 3 2 2 2 3" xfId="46078"/>
    <cellStyle name="40% - Accent6 3 3 2 2 2 3 2" xfId="46079"/>
    <cellStyle name="40% - Accent6 3 3 2 2 2 4" xfId="46080"/>
    <cellStyle name="40% - Accent6 3 3 2 2 2 5" xfId="46081"/>
    <cellStyle name="40% - Accent6 3 3 2 2 2 6" xfId="46082"/>
    <cellStyle name="40% - Accent6 3 3 2 2 2 7" xfId="46083"/>
    <cellStyle name="40% - Accent6 3 3 2 2 3" xfId="46084"/>
    <cellStyle name="40% - Accent6 3 3 2 2 3 2" xfId="46085"/>
    <cellStyle name="40% - Accent6 3 3 2 2 3 2 2" xfId="46086"/>
    <cellStyle name="40% - Accent6 3 3 2 2 3 3" xfId="46087"/>
    <cellStyle name="40% - Accent6 3 3 2 2 3 3 2" xfId="46088"/>
    <cellStyle name="40% - Accent6 3 3 2 2 3 4" xfId="46089"/>
    <cellStyle name="40% - Accent6 3 3 2 2 3 5" xfId="46090"/>
    <cellStyle name="40% - Accent6 3 3 2 2 3 6" xfId="46091"/>
    <cellStyle name="40% - Accent6 3 3 2 2 3 7" xfId="46092"/>
    <cellStyle name="40% - Accent6 3 3 2 2 4" xfId="46093"/>
    <cellStyle name="40% - Accent6 3 3 2 2 4 2" xfId="46094"/>
    <cellStyle name="40% - Accent6 3 3 2 2 4 2 2" xfId="46095"/>
    <cellStyle name="40% - Accent6 3 3 2 2 4 3" xfId="46096"/>
    <cellStyle name="40% - Accent6 3 3 2 2 4 3 2" xfId="46097"/>
    <cellStyle name="40% - Accent6 3 3 2 2 4 4" xfId="46098"/>
    <cellStyle name="40% - Accent6 3 3 2 2 4 5" xfId="46099"/>
    <cellStyle name="40% - Accent6 3 3 2 2 4 6" xfId="46100"/>
    <cellStyle name="40% - Accent6 3 3 2 2 4 7" xfId="46101"/>
    <cellStyle name="40% - Accent6 3 3 2 2 5" xfId="46102"/>
    <cellStyle name="40% - Accent6 3 3 2 2 5 2" xfId="46103"/>
    <cellStyle name="40% - Accent6 3 3 2 2 6" xfId="46104"/>
    <cellStyle name="40% - Accent6 3 3 2 2 6 2" xfId="46105"/>
    <cellStyle name="40% - Accent6 3 3 2 2 7" xfId="46106"/>
    <cellStyle name="40% - Accent6 3 3 2 2 8" xfId="46107"/>
    <cellStyle name="40% - Accent6 3 3 2 2 9" xfId="46108"/>
    <cellStyle name="40% - Accent6 3 3 2 3" xfId="46109"/>
    <cellStyle name="40% - Accent6 3 3 2 3 2" xfId="46110"/>
    <cellStyle name="40% - Accent6 3 3 2 3 2 2" xfId="46111"/>
    <cellStyle name="40% - Accent6 3 3 2 3 3" xfId="46112"/>
    <cellStyle name="40% - Accent6 3 3 2 3 3 2" xfId="46113"/>
    <cellStyle name="40% - Accent6 3 3 2 3 4" xfId="46114"/>
    <cellStyle name="40% - Accent6 3 3 2 3 5" xfId="46115"/>
    <cellStyle name="40% - Accent6 3 3 2 3 6" xfId="46116"/>
    <cellStyle name="40% - Accent6 3 3 2 3 7" xfId="46117"/>
    <cellStyle name="40% - Accent6 3 3 2 4" xfId="46118"/>
    <cellStyle name="40% - Accent6 3 3 2 4 2" xfId="46119"/>
    <cellStyle name="40% - Accent6 3 3 2 4 2 2" xfId="46120"/>
    <cellStyle name="40% - Accent6 3 3 2 4 3" xfId="46121"/>
    <cellStyle name="40% - Accent6 3 3 2 4 3 2" xfId="46122"/>
    <cellStyle name="40% - Accent6 3 3 2 4 4" xfId="46123"/>
    <cellStyle name="40% - Accent6 3 3 2 4 5" xfId="46124"/>
    <cellStyle name="40% - Accent6 3 3 2 4 6" xfId="46125"/>
    <cellStyle name="40% - Accent6 3 3 2 4 7" xfId="46126"/>
    <cellStyle name="40% - Accent6 3 3 2 5" xfId="46127"/>
    <cellStyle name="40% - Accent6 3 3 2 5 2" xfId="46128"/>
    <cellStyle name="40% - Accent6 3 3 2 5 2 2" xfId="46129"/>
    <cellStyle name="40% - Accent6 3 3 2 5 3" xfId="46130"/>
    <cellStyle name="40% - Accent6 3 3 2 5 3 2" xfId="46131"/>
    <cellStyle name="40% - Accent6 3 3 2 5 4" xfId="46132"/>
    <cellStyle name="40% - Accent6 3 3 2 5 5" xfId="46133"/>
    <cellStyle name="40% - Accent6 3 3 2 5 6" xfId="46134"/>
    <cellStyle name="40% - Accent6 3 3 2 5 7" xfId="46135"/>
    <cellStyle name="40% - Accent6 3 3 2 6" xfId="46136"/>
    <cellStyle name="40% - Accent6 3 3 2 6 2" xfId="46137"/>
    <cellStyle name="40% - Accent6 3 3 2 7" xfId="46138"/>
    <cellStyle name="40% - Accent6 3 3 2 7 2" xfId="46139"/>
    <cellStyle name="40% - Accent6 3 3 2 8" xfId="46140"/>
    <cellStyle name="40% - Accent6 3 3 2 9" xfId="46141"/>
    <cellStyle name="40% - Accent6 3 3 3" xfId="46142"/>
    <cellStyle name="40% - Accent6 3 3 3 10" xfId="46143"/>
    <cellStyle name="40% - Accent6 3 3 3 11" xfId="46144"/>
    <cellStyle name="40% - Accent6 3 3 3 2" xfId="46145"/>
    <cellStyle name="40% - Accent6 3 3 3 2 10" xfId="46146"/>
    <cellStyle name="40% - Accent6 3 3 3 2 2" xfId="46147"/>
    <cellStyle name="40% - Accent6 3 3 3 2 2 2" xfId="46148"/>
    <cellStyle name="40% - Accent6 3 3 3 2 2 2 2" xfId="46149"/>
    <cellStyle name="40% - Accent6 3 3 3 2 2 3" xfId="46150"/>
    <cellStyle name="40% - Accent6 3 3 3 2 2 3 2" xfId="46151"/>
    <cellStyle name="40% - Accent6 3 3 3 2 2 4" xfId="46152"/>
    <cellStyle name="40% - Accent6 3 3 3 2 2 5" xfId="46153"/>
    <cellStyle name="40% - Accent6 3 3 3 2 2 6" xfId="46154"/>
    <cellStyle name="40% - Accent6 3 3 3 2 2 7" xfId="46155"/>
    <cellStyle name="40% - Accent6 3 3 3 2 3" xfId="46156"/>
    <cellStyle name="40% - Accent6 3 3 3 2 3 2" xfId="46157"/>
    <cellStyle name="40% - Accent6 3 3 3 2 3 2 2" xfId="46158"/>
    <cellStyle name="40% - Accent6 3 3 3 2 3 3" xfId="46159"/>
    <cellStyle name="40% - Accent6 3 3 3 2 3 3 2" xfId="46160"/>
    <cellStyle name="40% - Accent6 3 3 3 2 3 4" xfId="46161"/>
    <cellStyle name="40% - Accent6 3 3 3 2 3 5" xfId="46162"/>
    <cellStyle name="40% - Accent6 3 3 3 2 3 6" xfId="46163"/>
    <cellStyle name="40% - Accent6 3 3 3 2 3 7" xfId="46164"/>
    <cellStyle name="40% - Accent6 3 3 3 2 4" xfId="46165"/>
    <cellStyle name="40% - Accent6 3 3 3 2 4 2" xfId="46166"/>
    <cellStyle name="40% - Accent6 3 3 3 2 4 2 2" xfId="46167"/>
    <cellStyle name="40% - Accent6 3 3 3 2 4 3" xfId="46168"/>
    <cellStyle name="40% - Accent6 3 3 3 2 4 3 2" xfId="46169"/>
    <cellStyle name="40% - Accent6 3 3 3 2 4 4" xfId="46170"/>
    <cellStyle name="40% - Accent6 3 3 3 2 4 5" xfId="46171"/>
    <cellStyle name="40% - Accent6 3 3 3 2 4 6" xfId="46172"/>
    <cellStyle name="40% - Accent6 3 3 3 2 4 7" xfId="46173"/>
    <cellStyle name="40% - Accent6 3 3 3 2 5" xfId="46174"/>
    <cellStyle name="40% - Accent6 3 3 3 2 5 2" xfId="46175"/>
    <cellStyle name="40% - Accent6 3 3 3 2 6" xfId="46176"/>
    <cellStyle name="40% - Accent6 3 3 3 2 6 2" xfId="46177"/>
    <cellStyle name="40% - Accent6 3 3 3 2 7" xfId="46178"/>
    <cellStyle name="40% - Accent6 3 3 3 2 8" xfId="46179"/>
    <cellStyle name="40% - Accent6 3 3 3 2 9" xfId="46180"/>
    <cellStyle name="40% - Accent6 3 3 3 3" xfId="46181"/>
    <cellStyle name="40% - Accent6 3 3 3 3 2" xfId="46182"/>
    <cellStyle name="40% - Accent6 3 3 3 3 2 2" xfId="46183"/>
    <cellStyle name="40% - Accent6 3 3 3 3 3" xfId="46184"/>
    <cellStyle name="40% - Accent6 3 3 3 3 3 2" xfId="46185"/>
    <cellStyle name="40% - Accent6 3 3 3 3 4" xfId="46186"/>
    <cellStyle name="40% - Accent6 3 3 3 3 5" xfId="46187"/>
    <cellStyle name="40% - Accent6 3 3 3 3 6" xfId="46188"/>
    <cellStyle name="40% - Accent6 3 3 3 3 7" xfId="46189"/>
    <cellStyle name="40% - Accent6 3 3 3 4" xfId="46190"/>
    <cellStyle name="40% - Accent6 3 3 3 4 2" xfId="46191"/>
    <cellStyle name="40% - Accent6 3 3 3 4 2 2" xfId="46192"/>
    <cellStyle name="40% - Accent6 3 3 3 4 3" xfId="46193"/>
    <cellStyle name="40% - Accent6 3 3 3 4 3 2" xfId="46194"/>
    <cellStyle name="40% - Accent6 3 3 3 4 4" xfId="46195"/>
    <cellStyle name="40% - Accent6 3 3 3 4 5" xfId="46196"/>
    <cellStyle name="40% - Accent6 3 3 3 4 6" xfId="46197"/>
    <cellStyle name="40% - Accent6 3 3 3 4 7" xfId="46198"/>
    <cellStyle name="40% - Accent6 3 3 3 5" xfId="46199"/>
    <cellStyle name="40% - Accent6 3 3 3 5 2" xfId="46200"/>
    <cellStyle name="40% - Accent6 3 3 3 5 2 2" xfId="46201"/>
    <cellStyle name="40% - Accent6 3 3 3 5 3" xfId="46202"/>
    <cellStyle name="40% - Accent6 3 3 3 5 3 2" xfId="46203"/>
    <cellStyle name="40% - Accent6 3 3 3 5 4" xfId="46204"/>
    <cellStyle name="40% - Accent6 3 3 3 5 5" xfId="46205"/>
    <cellStyle name="40% - Accent6 3 3 3 5 6" xfId="46206"/>
    <cellStyle name="40% - Accent6 3 3 3 5 7" xfId="46207"/>
    <cellStyle name="40% - Accent6 3 3 3 6" xfId="46208"/>
    <cellStyle name="40% - Accent6 3 3 3 6 2" xfId="46209"/>
    <cellStyle name="40% - Accent6 3 3 3 7" xfId="46210"/>
    <cellStyle name="40% - Accent6 3 3 3 7 2" xfId="46211"/>
    <cellStyle name="40% - Accent6 3 3 3 8" xfId="46212"/>
    <cellStyle name="40% - Accent6 3 3 3 9" xfId="46213"/>
    <cellStyle name="40% - Accent6 3 3 4" xfId="46214"/>
    <cellStyle name="40% - Accent6 3 3 4 10" xfId="46215"/>
    <cellStyle name="40% - Accent6 3 3 4 2" xfId="46216"/>
    <cellStyle name="40% - Accent6 3 3 4 2 2" xfId="46217"/>
    <cellStyle name="40% - Accent6 3 3 4 2 2 2" xfId="46218"/>
    <cellStyle name="40% - Accent6 3 3 4 2 3" xfId="46219"/>
    <cellStyle name="40% - Accent6 3 3 4 2 3 2" xfId="46220"/>
    <cellStyle name="40% - Accent6 3 3 4 2 4" xfId="46221"/>
    <cellStyle name="40% - Accent6 3 3 4 2 5" xfId="46222"/>
    <cellStyle name="40% - Accent6 3 3 4 2 6" xfId="46223"/>
    <cellStyle name="40% - Accent6 3 3 4 2 7" xfId="46224"/>
    <cellStyle name="40% - Accent6 3 3 4 3" xfId="46225"/>
    <cellStyle name="40% - Accent6 3 3 4 3 2" xfId="46226"/>
    <cellStyle name="40% - Accent6 3 3 4 3 2 2" xfId="46227"/>
    <cellStyle name="40% - Accent6 3 3 4 3 3" xfId="46228"/>
    <cellStyle name="40% - Accent6 3 3 4 3 3 2" xfId="46229"/>
    <cellStyle name="40% - Accent6 3 3 4 3 4" xfId="46230"/>
    <cellStyle name="40% - Accent6 3 3 4 3 5" xfId="46231"/>
    <cellStyle name="40% - Accent6 3 3 4 3 6" xfId="46232"/>
    <cellStyle name="40% - Accent6 3 3 4 3 7" xfId="46233"/>
    <cellStyle name="40% - Accent6 3 3 4 4" xfId="46234"/>
    <cellStyle name="40% - Accent6 3 3 4 4 2" xfId="46235"/>
    <cellStyle name="40% - Accent6 3 3 4 4 2 2" xfId="46236"/>
    <cellStyle name="40% - Accent6 3 3 4 4 3" xfId="46237"/>
    <cellStyle name="40% - Accent6 3 3 4 4 3 2" xfId="46238"/>
    <cellStyle name="40% - Accent6 3 3 4 4 4" xfId="46239"/>
    <cellStyle name="40% - Accent6 3 3 4 4 5" xfId="46240"/>
    <cellStyle name="40% - Accent6 3 3 4 4 6" xfId="46241"/>
    <cellStyle name="40% - Accent6 3 3 4 4 7" xfId="46242"/>
    <cellStyle name="40% - Accent6 3 3 4 5" xfId="46243"/>
    <cellStyle name="40% - Accent6 3 3 4 5 2" xfId="46244"/>
    <cellStyle name="40% - Accent6 3 3 4 6" xfId="46245"/>
    <cellStyle name="40% - Accent6 3 3 4 6 2" xfId="46246"/>
    <cellStyle name="40% - Accent6 3 3 4 7" xfId="46247"/>
    <cellStyle name="40% - Accent6 3 3 4 8" xfId="46248"/>
    <cellStyle name="40% - Accent6 3 3 4 9" xfId="46249"/>
    <cellStyle name="40% - Accent6 3 3 5" xfId="46250"/>
    <cellStyle name="40% - Accent6 3 3 5 2" xfId="46251"/>
    <cellStyle name="40% - Accent6 3 3 5 2 2" xfId="46252"/>
    <cellStyle name="40% - Accent6 3 3 5 3" xfId="46253"/>
    <cellStyle name="40% - Accent6 3 3 5 3 2" xfId="46254"/>
    <cellStyle name="40% - Accent6 3 3 5 4" xfId="46255"/>
    <cellStyle name="40% - Accent6 3 3 5 5" xfId="46256"/>
    <cellStyle name="40% - Accent6 3 3 5 6" xfId="46257"/>
    <cellStyle name="40% - Accent6 3 3 5 7" xfId="46258"/>
    <cellStyle name="40% - Accent6 3 3 6" xfId="46259"/>
    <cellStyle name="40% - Accent6 3 3 6 2" xfId="46260"/>
    <cellStyle name="40% - Accent6 3 3 6 2 2" xfId="46261"/>
    <cellStyle name="40% - Accent6 3 3 6 3" xfId="46262"/>
    <cellStyle name="40% - Accent6 3 3 6 3 2" xfId="46263"/>
    <cellStyle name="40% - Accent6 3 3 6 4" xfId="46264"/>
    <cellStyle name="40% - Accent6 3 3 6 5" xfId="46265"/>
    <cellStyle name="40% - Accent6 3 3 6 6" xfId="46266"/>
    <cellStyle name="40% - Accent6 3 3 6 7" xfId="46267"/>
    <cellStyle name="40% - Accent6 3 3 7" xfId="46268"/>
    <cellStyle name="40% - Accent6 3 3 7 2" xfId="46269"/>
    <cellStyle name="40% - Accent6 3 3 7 2 2" xfId="46270"/>
    <cellStyle name="40% - Accent6 3 3 7 3" xfId="46271"/>
    <cellStyle name="40% - Accent6 3 3 7 3 2" xfId="46272"/>
    <cellStyle name="40% - Accent6 3 3 7 4" xfId="46273"/>
    <cellStyle name="40% - Accent6 3 3 7 5" xfId="46274"/>
    <cellStyle name="40% - Accent6 3 3 7 6" xfId="46275"/>
    <cellStyle name="40% - Accent6 3 3 7 7" xfId="46276"/>
    <cellStyle name="40% - Accent6 3 3 8" xfId="46277"/>
    <cellStyle name="40% - Accent6 3 3 8 2" xfId="46278"/>
    <cellStyle name="40% - Accent6 3 3 9" xfId="46279"/>
    <cellStyle name="40% - Accent6 3 3 9 2" xfId="46280"/>
    <cellStyle name="40% - Accent6 3 4" xfId="46281"/>
    <cellStyle name="40% - Accent6 3 4 10" xfId="46282"/>
    <cellStyle name="40% - Accent6 3 4 11" xfId="46283"/>
    <cellStyle name="40% - Accent6 3 4 12" xfId="46284"/>
    <cellStyle name="40% - Accent6 3 4 13" xfId="46285"/>
    <cellStyle name="40% - Accent6 3 4 2" xfId="46286"/>
    <cellStyle name="40% - Accent6 3 4 2 10" xfId="46287"/>
    <cellStyle name="40% - Accent6 3 4 2 11" xfId="46288"/>
    <cellStyle name="40% - Accent6 3 4 2 2" xfId="46289"/>
    <cellStyle name="40% - Accent6 3 4 2 2 10" xfId="46290"/>
    <cellStyle name="40% - Accent6 3 4 2 2 2" xfId="46291"/>
    <cellStyle name="40% - Accent6 3 4 2 2 2 2" xfId="46292"/>
    <cellStyle name="40% - Accent6 3 4 2 2 2 2 2" xfId="46293"/>
    <cellStyle name="40% - Accent6 3 4 2 2 2 3" xfId="46294"/>
    <cellStyle name="40% - Accent6 3 4 2 2 2 3 2" xfId="46295"/>
    <cellStyle name="40% - Accent6 3 4 2 2 2 4" xfId="46296"/>
    <cellStyle name="40% - Accent6 3 4 2 2 2 5" xfId="46297"/>
    <cellStyle name="40% - Accent6 3 4 2 2 2 6" xfId="46298"/>
    <cellStyle name="40% - Accent6 3 4 2 2 2 7" xfId="46299"/>
    <cellStyle name="40% - Accent6 3 4 2 2 3" xfId="46300"/>
    <cellStyle name="40% - Accent6 3 4 2 2 3 2" xfId="46301"/>
    <cellStyle name="40% - Accent6 3 4 2 2 3 2 2" xfId="46302"/>
    <cellStyle name="40% - Accent6 3 4 2 2 3 3" xfId="46303"/>
    <cellStyle name="40% - Accent6 3 4 2 2 3 3 2" xfId="46304"/>
    <cellStyle name="40% - Accent6 3 4 2 2 3 4" xfId="46305"/>
    <cellStyle name="40% - Accent6 3 4 2 2 3 5" xfId="46306"/>
    <cellStyle name="40% - Accent6 3 4 2 2 3 6" xfId="46307"/>
    <cellStyle name="40% - Accent6 3 4 2 2 3 7" xfId="46308"/>
    <cellStyle name="40% - Accent6 3 4 2 2 4" xfId="46309"/>
    <cellStyle name="40% - Accent6 3 4 2 2 4 2" xfId="46310"/>
    <cellStyle name="40% - Accent6 3 4 2 2 4 2 2" xfId="46311"/>
    <cellStyle name="40% - Accent6 3 4 2 2 4 3" xfId="46312"/>
    <cellStyle name="40% - Accent6 3 4 2 2 4 3 2" xfId="46313"/>
    <cellStyle name="40% - Accent6 3 4 2 2 4 4" xfId="46314"/>
    <cellStyle name="40% - Accent6 3 4 2 2 4 5" xfId="46315"/>
    <cellStyle name="40% - Accent6 3 4 2 2 4 6" xfId="46316"/>
    <cellStyle name="40% - Accent6 3 4 2 2 4 7" xfId="46317"/>
    <cellStyle name="40% - Accent6 3 4 2 2 5" xfId="46318"/>
    <cellStyle name="40% - Accent6 3 4 2 2 5 2" xfId="46319"/>
    <cellStyle name="40% - Accent6 3 4 2 2 6" xfId="46320"/>
    <cellStyle name="40% - Accent6 3 4 2 2 6 2" xfId="46321"/>
    <cellStyle name="40% - Accent6 3 4 2 2 7" xfId="46322"/>
    <cellStyle name="40% - Accent6 3 4 2 2 8" xfId="46323"/>
    <cellStyle name="40% - Accent6 3 4 2 2 9" xfId="46324"/>
    <cellStyle name="40% - Accent6 3 4 2 3" xfId="46325"/>
    <cellStyle name="40% - Accent6 3 4 2 3 2" xfId="46326"/>
    <cellStyle name="40% - Accent6 3 4 2 3 2 2" xfId="46327"/>
    <cellStyle name="40% - Accent6 3 4 2 3 3" xfId="46328"/>
    <cellStyle name="40% - Accent6 3 4 2 3 3 2" xfId="46329"/>
    <cellStyle name="40% - Accent6 3 4 2 3 4" xfId="46330"/>
    <cellStyle name="40% - Accent6 3 4 2 3 5" xfId="46331"/>
    <cellStyle name="40% - Accent6 3 4 2 3 6" xfId="46332"/>
    <cellStyle name="40% - Accent6 3 4 2 3 7" xfId="46333"/>
    <cellStyle name="40% - Accent6 3 4 2 4" xfId="46334"/>
    <cellStyle name="40% - Accent6 3 4 2 4 2" xfId="46335"/>
    <cellStyle name="40% - Accent6 3 4 2 4 2 2" xfId="46336"/>
    <cellStyle name="40% - Accent6 3 4 2 4 3" xfId="46337"/>
    <cellStyle name="40% - Accent6 3 4 2 4 3 2" xfId="46338"/>
    <cellStyle name="40% - Accent6 3 4 2 4 4" xfId="46339"/>
    <cellStyle name="40% - Accent6 3 4 2 4 5" xfId="46340"/>
    <cellStyle name="40% - Accent6 3 4 2 4 6" xfId="46341"/>
    <cellStyle name="40% - Accent6 3 4 2 4 7" xfId="46342"/>
    <cellStyle name="40% - Accent6 3 4 2 5" xfId="46343"/>
    <cellStyle name="40% - Accent6 3 4 2 5 2" xfId="46344"/>
    <cellStyle name="40% - Accent6 3 4 2 5 2 2" xfId="46345"/>
    <cellStyle name="40% - Accent6 3 4 2 5 3" xfId="46346"/>
    <cellStyle name="40% - Accent6 3 4 2 5 3 2" xfId="46347"/>
    <cellStyle name="40% - Accent6 3 4 2 5 4" xfId="46348"/>
    <cellStyle name="40% - Accent6 3 4 2 5 5" xfId="46349"/>
    <cellStyle name="40% - Accent6 3 4 2 5 6" xfId="46350"/>
    <cellStyle name="40% - Accent6 3 4 2 5 7" xfId="46351"/>
    <cellStyle name="40% - Accent6 3 4 2 6" xfId="46352"/>
    <cellStyle name="40% - Accent6 3 4 2 6 2" xfId="46353"/>
    <cellStyle name="40% - Accent6 3 4 2 7" xfId="46354"/>
    <cellStyle name="40% - Accent6 3 4 2 7 2" xfId="46355"/>
    <cellStyle name="40% - Accent6 3 4 2 8" xfId="46356"/>
    <cellStyle name="40% - Accent6 3 4 2 9" xfId="46357"/>
    <cellStyle name="40% - Accent6 3 4 3" xfId="46358"/>
    <cellStyle name="40% - Accent6 3 4 3 10" xfId="46359"/>
    <cellStyle name="40% - Accent6 3 4 3 11" xfId="46360"/>
    <cellStyle name="40% - Accent6 3 4 3 2" xfId="46361"/>
    <cellStyle name="40% - Accent6 3 4 3 2 10" xfId="46362"/>
    <cellStyle name="40% - Accent6 3 4 3 2 2" xfId="46363"/>
    <cellStyle name="40% - Accent6 3 4 3 2 2 2" xfId="46364"/>
    <cellStyle name="40% - Accent6 3 4 3 2 2 2 2" xfId="46365"/>
    <cellStyle name="40% - Accent6 3 4 3 2 2 3" xfId="46366"/>
    <cellStyle name="40% - Accent6 3 4 3 2 2 3 2" xfId="46367"/>
    <cellStyle name="40% - Accent6 3 4 3 2 2 4" xfId="46368"/>
    <cellStyle name="40% - Accent6 3 4 3 2 2 5" xfId="46369"/>
    <cellStyle name="40% - Accent6 3 4 3 2 2 6" xfId="46370"/>
    <cellStyle name="40% - Accent6 3 4 3 2 2 7" xfId="46371"/>
    <cellStyle name="40% - Accent6 3 4 3 2 3" xfId="46372"/>
    <cellStyle name="40% - Accent6 3 4 3 2 3 2" xfId="46373"/>
    <cellStyle name="40% - Accent6 3 4 3 2 3 2 2" xfId="46374"/>
    <cellStyle name="40% - Accent6 3 4 3 2 3 3" xfId="46375"/>
    <cellStyle name="40% - Accent6 3 4 3 2 3 3 2" xfId="46376"/>
    <cellStyle name="40% - Accent6 3 4 3 2 3 4" xfId="46377"/>
    <cellStyle name="40% - Accent6 3 4 3 2 3 5" xfId="46378"/>
    <cellStyle name="40% - Accent6 3 4 3 2 3 6" xfId="46379"/>
    <cellStyle name="40% - Accent6 3 4 3 2 3 7" xfId="46380"/>
    <cellStyle name="40% - Accent6 3 4 3 2 4" xfId="46381"/>
    <cellStyle name="40% - Accent6 3 4 3 2 4 2" xfId="46382"/>
    <cellStyle name="40% - Accent6 3 4 3 2 4 2 2" xfId="46383"/>
    <cellStyle name="40% - Accent6 3 4 3 2 4 3" xfId="46384"/>
    <cellStyle name="40% - Accent6 3 4 3 2 4 3 2" xfId="46385"/>
    <cellStyle name="40% - Accent6 3 4 3 2 4 4" xfId="46386"/>
    <cellStyle name="40% - Accent6 3 4 3 2 4 5" xfId="46387"/>
    <cellStyle name="40% - Accent6 3 4 3 2 4 6" xfId="46388"/>
    <cellStyle name="40% - Accent6 3 4 3 2 4 7" xfId="46389"/>
    <cellStyle name="40% - Accent6 3 4 3 2 5" xfId="46390"/>
    <cellStyle name="40% - Accent6 3 4 3 2 5 2" xfId="46391"/>
    <cellStyle name="40% - Accent6 3 4 3 2 6" xfId="46392"/>
    <cellStyle name="40% - Accent6 3 4 3 2 6 2" xfId="46393"/>
    <cellStyle name="40% - Accent6 3 4 3 2 7" xfId="46394"/>
    <cellStyle name="40% - Accent6 3 4 3 2 8" xfId="46395"/>
    <cellStyle name="40% - Accent6 3 4 3 2 9" xfId="46396"/>
    <cellStyle name="40% - Accent6 3 4 3 3" xfId="46397"/>
    <cellStyle name="40% - Accent6 3 4 3 3 2" xfId="46398"/>
    <cellStyle name="40% - Accent6 3 4 3 3 2 2" xfId="46399"/>
    <cellStyle name="40% - Accent6 3 4 3 3 3" xfId="46400"/>
    <cellStyle name="40% - Accent6 3 4 3 3 3 2" xfId="46401"/>
    <cellStyle name="40% - Accent6 3 4 3 3 4" xfId="46402"/>
    <cellStyle name="40% - Accent6 3 4 3 3 5" xfId="46403"/>
    <cellStyle name="40% - Accent6 3 4 3 3 6" xfId="46404"/>
    <cellStyle name="40% - Accent6 3 4 3 3 7" xfId="46405"/>
    <cellStyle name="40% - Accent6 3 4 3 4" xfId="46406"/>
    <cellStyle name="40% - Accent6 3 4 3 4 2" xfId="46407"/>
    <cellStyle name="40% - Accent6 3 4 3 4 2 2" xfId="46408"/>
    <cellStyle name="40% - Accent6 3 4 3 4 3" xfId="46409"/>
    <cellStyle name="40% - Accent6 3 4 3 4 3 2" xfId="46410"/>
    <cellStyle name="40% - Accent6 3 4 3 4 4" xfId="46411"/>
    <cellStyle name="40% - Accent6 3 4 3 4 5" xfId="46412"/>
    <cellStyle name="40% - Accent6 3 4 3 4 6" xfId="46413"/>
    <cellStyle name="40% - Accent6 3 4 3 4 7" xfId="46414"/>
    <cellStyle name="40% - Accent6 3 4 3 5" xfId="46415"/>
    <cellStyle name="40% - Accent6 3 4 3 5 2" xfId="46416"/>
    <cellStyle name="40% - Accent6 3 4 3 5 2 2" xfId="46417"/>
    <cellStyle name="40% - Accent6 3 4 3 5 3" xfId="46418"/>
    <cellStyle name="40% - Accent6 3 4 3 5 3 2" xfId="46419"/>
    <cellStyle name="40% - Accent6 3 4 3 5 4" xfId="46420"/>
    <cellStyle name="40% - Accent6 3 4 3 5 5" xfId="46421"/>
    <cellStyle name="40% - Accent6 3 4 3 5 6" xfId="46422"/>
    <cellStyle name="40% - Accent6 3 4 3 5 7" xfId="46423"/>
    <cellStyle name="40% - Accent6 3 4 3 6" xfId="46424"/>
    <cellStyle name="40% - Accent6 3 4 3 6 2" xfId="46425"/>
    <cellStyle name="40% - Accent6 3 4 3 7" xfId="46426"/>
    <cellStyle name="40% - Accent6 3 4 3 7 2" xfId="46427"/>
    <cellStyle name="40% - Accent6 3 4 3 8" xfId="46428"/>
    <cellStyle name="40% - Accent6 3 4 3 9" xfId="46429"/>
    <cellStyle name="40% - Accent6 3 4 4" xfId="46430"/>
    <cellStyle name="40% - Accent6 3 4 4 10" xfId="46431"/>
    <cellStyle name="40% - Accent6 3 4 4 2" xfId="46432"/>
    <cellStyle name="40% - Accent6 3 4 4 2 2" xfId="46433"/>
    <cellStyle name="40% - Accent6 3 4 4 2 2 2" xfId="46434"/>
    <cellStyle name="40% - Accent6 3 4 4 2 3" xfId="46435"/>
    <cellStyle name="40% - Accent6 3 4 4 2 3 2" xfId="46436"/>
    <cellStyle name="40% - Accent6 3 4 4 2 4" xfId="46437"/>
    <cellStyle name="40% - Accent6 3 4 4 2 5" xfId="46438"/>
    <cellStyle name="40% - Accent6 3 4 4 2 6" xfId="46439"/>
    <cellStyle name="40% - Accent6 3 4 4 2 7" xfId="46440"/>
    <cellStyle name="40% - Accent6 3 4 4 3" xfId="46441"/>
    <cellStyle name="40% - Accent6 3 4 4 3 2" xfId="46442"/>
    <cellStyle name="40% - Accent6 3 4 4 3 2 2" xfId="46443"/>
    <cellStyle name="40% - Accent6 3 4 4 3 3" xfId="46444"/>
    <cellStyle name="40% - Accent6 3 4 4 3 3 2" xfId="46445"/>
    <cellStyle name="40% - Accent6 3 4 4 3 4" xfId="46446"/>
    <cellStyle name="40% - Accent6 3 4 4 3 5" xfId="46447"/>
    <cellStyle name="40% - Accent6 3 4 4 3 6" xfId="46448"/>
    <cellStyle name="40% - Accent6 3 4 4 3 7" xfId="46449"/>
    <cellStyle name="40% - Accent6 3 4 4 4" xfId="46450"/>
    <cellStyle name="40% - Accent6 3 4 4 4 2" xfId="46451"/>
    <cellStyle name="40% - Accent6 3 4 4 4 2 2" xfId="46452"/>
    <cellStyle name="40% - Accent6 3 4 4 4 3" xfId="46453"/>
    <cellStyle name="40% - Accent6 3 4 4 4 3 2" xfId="46454"/>
    <cellStyle name="40% - Accent6 3 4 4 4 4" xfId="46455"/>
    <cellStyle name="40% - Accent6 3 4 4 4 5" xfId="46456"/>
    <cellStyle name="40% - Accent6 3 4 4 4 6" xfId="46457"/>
    <cellStyle name="40% - Accent6 3 4 4 4 7" xfId="46458"/>
    <cellStyle name="40% - Accent6 3 4 4 5" xfId="46459"/>
    <cellStyle name="40% - Accent6 3 4 4 5 2" xfId="46460"/>
    <cellStyle name="40% - Accent6 3 4 4 6" xfId="46461"/>
    <cellStyle name="40% - Accent6 3 4 4 6 2" xfId="46462"/>
    <cellStyle name="40% - Accent6 3 4 4 7" xfId="46463"/>
    <cellStyle name="40% - Accent6 3 4 4 8" xfId="46464"/>
    <cellStyle name="40% - Accent6 3 4 4 9" xfId="46465"/>
    <cellStyle name="40% - Accent6 3 4 5" xfId="46466"/>
    <cellStyle name="40% - Accent6 3 4 5 2" xfId="46467"/>
    <cellStyle name="40% - Accent6 3 4 5 2 2" xfId="46468"/>
    <cellStyle name="40% - Accent6 3 4 5 3" xfId="46469"/>
    <cellStyle name="40% - Accent6 3 4 5 3 2" xfId="46470"/>
    <cellStyle name="40% - Accent6 3 4 5 4" xfId="46471"/>
    <cellStyle name="40% - Accent6 3 4 5 5" xfId="46472"/>
    <cellStyle name="40% - Accent6 3 4 5 6" xfId="46473"/>
    <cellStyle name="40% - Accent6 3 4 5 7" xfId="46474"/>
    <cellStyle name="40% - Accent6 3 4 6" xfId="46475"/>
    <cellStyle name="40% - Accent6 3 4 6 2" xfId="46476"/>
    <cellStyle name="40% - Accent6 3 4 6 2 2" xfId="46477"/>
    <cellStyle name="40% - Accent6 3 4 6 3" xfId="46478"/>
    <cellStyle name="40% - Accent6 3 4 6 3 2" xfId="46479"/>
    <cellStyle name="40% - Accent6 3 4 6 4" xfId="46480"/>
    <cellStyle name="40% - Accent6 3 4 6 5" xfId="46481"/>
    <cellStyle name="40% - Accent6 3 4 6 6" xfId="46482"/>
    <cellStyle name="40% - Accent6 3 4 6 7" xfId="46483"/>
    <cellStyle name="40% - Accent6 3 4 7" xfId="46484"/>
    <cellStyle name="40% - Accent6 3 4 7 2" xfId="46485"/>
    <cellStyle name="40% - Accent6 3 4 7 2 2" xfId="46486"/>
    <cellStyle name="40% - Accent6 3 4 7 3" xfId="46487"/>
    <cellStyle name="40% - Accent6 3 4 7 3 2" xfId="46488"/>
    <cellStyle name="40% - Accent6 3 4 7 4" xfId="46489"/>
    <cellStyle name="40% - Accent6 3 4 7 5" xfId="46490"/>
    <cellStyle name="40% - Accent6 3 4 7 6" xfId="46491"/>
    <cellStyle name="40% - Accent6 3 4 7 7" xfId="46492"/>
    <cellStyle name="40% - Accent6 3 4 8" xfId="46493"/>
    <cellStyle name="40% - Accent6 3 4 8 2" xfId="46494"/>
    <cellStyle name="40% - Accent6 3 4 9" xfId="46495"/>
    <cellStyle name="40% - Accent6 3 4 9 2" xfId="46496"/>
    <cellStyle name="40% - Accent6 3 5" xfId="46497"/>
    <cellStyle name="40% - Accent6 3 5 10" xfId="46498"/>
    <cellStyle name="40% - Accent6 3 5 11" xfId="46499"/>
    <cellStyle name="40% - Accent6 3 5 12" xfId="46500"/>
    <cellStyle name="40% - Accent6 3 5 13" xfId="46501"/>
    <cellStyle name="40% - Accent6 3 5 2" xfId="46502"/>
    <cellStyle name="40% - Accent6 3 5 2 10" xfId="46503"/>
    <cellStyle name="40% - Accent6 3 5 2 11" xfId="46504"/>
    <cellStyle name="40% - Accent6 3 5 2 2" xfId="46505"/>
    <cellStyle name="40% - Accent6 3 5 2 2 10" xfId="46506"/>
    <cellStyle name="40% - Accent6 3 5 2 2 2" xfId="46507"/>
    <cellStyle name="40% - Accent6 3 5 2 2 2 2" xfId="46508"/>
    <cellStyle name="40% - Accent6 3 5 2 2 2 2 2" xfId="46509"/>
    <cellStyle name="40% - Accent6 3 5 2 2 2 3" xfId="46510"/>
    <cellStyle name="40% - Accent6 3 5 2 2 2 3 2" xfId="46511"/>
    <cellStyle name="40% - Accent6 3 5 2 2 2 4" xfId="46512"/>
    <cellStyle name="40% - Accent6 3 5 2 2 2 5" xfId="46513"/>
    <cellStyle name="40% - Accent6 3 5 2 2 2 6" xfId="46514"/>
    <cellStyle name="40% - Accent6 3 5 2 2 2 7" xfId="46515"/>
    <cellStyle name="40% - Accent6 3 5 2 2 3" xfId="46516"/>
    <cellStyle name="40% - Accent6 3 5 2 2 3 2" xfId="46517"/>
    <cellStyle name="40% - Accent6 3 5 2 2 3 2 2" xfId="46518"/>
    <cellStyle name="40% - Accent6 3 5 2 2 3 3" xfId="46519"/>
    <cellStyle name="40% - Accent6 3 5 2 2 3 3 2" xfId="46520"/>
    <cellStyle name="40% - Accent6 3 5 2 2 3 4" xfId="46521"/>
    <cellStyle name="40% - Accent6 3 5 2 2 3 5" xfId="46522"/>
    <cellStyle name="40% - Accent6 3 5 2 2 3 6" xfId="46523"/>
    <cellStyle name="40% - Accent6 3 5 2 2 3 7" xfId="46524"/>
    <cellStyle name="40% - Accent6 3 5 2 2 4" xfId="46525"/>
    <cellStyle name="40% - Accent6 3 5 2 2 4 2" xfId="46526"/>
    <cellStyle name="40% - Accent6 3 5 2 2 4 2 2" xfId="46527"/>
    <cellStyle name="40% - Accent6 3 5 2 2 4 3" xfId="46528"/>
    <cellStyle name="40% - Accent6 3 5 2 2 4 3 2" xfId="46529"/>
    <cellStyle name="40% - Accent6 3 5 2 2 4 4" xfId="46530"/>
    <cellStyle name="40% - Accent6 3 5 2 2 4 5" xfId="46531"/>
    <cellStyle name="40% - Accent6 3 5 2 2 4 6" xfId="46532"/>
    <cellStyle name="40% - Accent6 3 5 2 2 4 7" xfId="46533"/>
    <cellStyle name="40% - Accent6 3 5 2 2 5" xfId="46534"/>
    <cellStyle name="40% - Accent6 3 5 2 2 5 2" xfId="46535"/>
    <cellStyle name="40% - Accent6 3 5 2 2 6" xfId="46536"/>
    <cellStyle name="40% - Accent6 3 5 2 2 6 2" xfId="46537"/>
    <cellStyle name="40% - Accent6 3 5 2 2 7" xfId="46538"/>
    <cellStyle name="40% - Accent6 3 5 2 2 8" xfId="46539"/>
    <cellStyle name="40% - Accent6 3 5 2 2 9" xfId="46540"/>
    <cellStyle name="40% - Accent6 3 5 2 3" xfId="46541"/>
    <cellStyle name="40% - Accent6 3 5 2 3 2" xfId="46542"/>
    <cellStyle name="40% - Accent6 3 5 2 3 2 2" xfId="46543"/>
    <cellStyle name="40% - Accent6 3 5 2 3 3" xfId="46544"/>
    <cellStyle name="40% - Accent6 3 5 2 3 3 2" xfId="46545"/>
    <cellStyle name="40% - Accent6 3 5 2 3 4" xfId="46546"/>
    <cellStyle name="40% - Accent6 3 5 2 3 5" xfId="46547"/>
    <cellStyle name="40% - Accent6 3 5 2 3 6" xfId="46548"/>
    <cellStyle name="40% - Accent6 3 5 2 3 7" xfId="46549"/>
    <cellStyle name="40% - Accent6 3 5 2 4" xfId="46550"/>
    <cellStyle name="40% - Accent6 3 5 2 4 2" xfId="46551"/>
    <cellStyle name="40% - Accent6 3 5 2 4 2 2" xfId="46552"/>
    <cellStyle name="40% - Accent6 3 5 2 4 3" xfId="46553"/>
    <cellStyle name="40% - Accent6 3 5 2 4 3 2" xfId="46554"/>
    <cellStyle name="40% - Accent6 3 5 2 4 4" xfId="46555"/>
    <cellStyle name="40% - Accent6 3 5 2 4 5" xfId="46556"/>
    <cellStyle name="40% - Accent6 3 5 2 4 6" xfId="46557"/>
    <cellStyle name="40% - Accent6 3 5 2 4 7" xfId="46558"/>
    <cellStyle name="40% - Accent6 3 5 2 5" xfId="46559"/>
    <cellStyle name="40% - Accent6 3 5 2 5 2" xfId="46560"/>
    <cellStyle name="40% - Accent6 3 5 2 5 2 2" xfId="46561"/>
    <cellStyle name="40% - Accent6 3 5 2 5 3" xfId="46562"/>
    <cellStyle name="40% - Accent6 3 5 2 5 3 2" xfId="46563"/>
    <cellStyle name="40% - Accent6 3 5 2 5 4" xfId="46564"/>
    <cellStyle name="40% - Accent6 3 5 2 5 5" xfId="46565"/>
    <cellStyle name="40% - Accent6 3 5 2 5 6" xfId="46566"/>
    <cellStyle name="40% - Accent6 3 5 2 5 7" xfId="46567"/>
    <cellStyle name="40% - Accent6 3 5 2 6" xfId="46568"/>
    <cellStyle name="40% - Accent6 3 5 2 6 2" xfId="46569"/>
    <cellStyle name="40% - Accent6 3 5 2 7" xfId="46570"/>
    <cellStyle name="40% - Accent6 3 5 2 7 2" xfId="46571"/>
    <cellStyle name="40% - Accent6 3 5 2 8" xfId="46572"/>
    <cellStyle name="40% - Accent6 3 5 2 9" xfId="46573"/>
    <cellStyle name="40% - Accent6 3 5 3" xfId="46574"/>
    <cellStyle name="40% - Accent6 3 5 3 10" xfId="46575"/>
    <cellStyle name="40% - Accent6 3 5 3 11" xfId="46576"/>
    <cellStyle name="40% - Accent6 3 5 3 2" xfId="46577"/>
    <cellStyle name="40% - Accent6 3 5 3 2 10" xfId="46578"/>
    <cellStyle name="40% - Accent6 3 5 3 2 2" xfId="46579"/>
    <cellStyle name="40% - Accent6 3 5 3 2 2 2" xfId="46580"/>
    <cellStyle name="40% - Accent6 3 5 3 2 2 2 2" xfId="46581"/>
    <cellStyle name="40% - Accent6 3 5 3 2 2 3" xfId="46582"/>
    <cellStyle name="40% - Accent6 3 5 3 2 2 3 2" xfId="46583"/>
    <cellStyle name="40% - Accent6 3 5 3 2 2 4" xfId="46584"/>
    <cellStyle name="40% - Accent6 3 5 3 2 2 5" xfId="46585"/>
    <cellStyle name="40% - Accent6 3 5 3 2 2 6" xfId="46586"/>
    <cellStyle name="40% - Accent6 3 5 3 2 2 7" xfId="46587"/>
    <cellStyle name="40% - Accent6 3 5 3 2 3" xfId="46588"/>
    <cellStyle name="40% - Accent6 3 5 3 2 3 2" xfId="46589"/>
    <cellStyle name="40% - Accent6 3 5 3 2 3 2 2" xfId="46590"/>
    <cellStyle name="40% - Accent6 3 5 3 2 3 3" xfId="46591"/>
    <cellStyle name="40% - Accent6 3 5 3 2 3 3 2" xfId="46592"/>
    <cellStyle name="40% - Accent6 3 5 3 2 3 4" xfId="46593"/>
    <cellStyle name="40% - Accent6 3 5 3 2 3 5" xfId="46594"/>
    <cellStyle name="40% - Accent6 3 5 3 2 3 6" xfId="46595"/>
    <cellStyle name="40% - Accent6 3 5 3 2 3 7" xfId="46596"/>
    <cellStyle name="40% - Accent6 3 5 3 2 4" xfId="46597"/>
    <cellStyle name="40% - Accent6 3 5 3 2 4 2" xfId="46598"/>
    <cellStyle name="40% - Accent6 3 5 3 2 4 2 2" xfId="46599"/>
    <cellStyle name="40% - Accent6 3 5 3 2 4 3" xfId="46600"/>
    <cellStyle name="40% - Accent6 3 5 3 2 4 3 2" xfId="46601"/>
    <cellStyle name="40% - Accent6 3 5 3 2 4 4" xfId="46602"/>
    <cellStyle name="40% - Accent6 3 5 3 2 4 5" xfId="46603"/>
    <cellStyle name="40% - Accent6 3 5 3 2 4 6" xfId="46604"/>
    <cellStyle name="40% - Accent6 3 5 3 2 4 7" xfId="46605"/>
    <cellStyle name="40% - Accent6 3 5 3 2 5" xfId="46606"/>
    <cellStyle name="40% - Accent6 3 5 3 2 5 2" xfId="46607"/>
    <cellStyle name="40% - Accent6 3 5 3 2 6" xfId="46608"/>
    <cellStyle name="40% - Accent6 3 5 3 2 6 2" xfId="46609"/>
    <cellStyle name="40% - Accent6 3 5 3 2 7" xfId="46610"/>
    <cellStyle name="40% - Accent6 3 5 3 2 8" xfId="46611"/>
    <cellStyle name="40% - Accent6 3 5 3 2 9" xfId="46612"/>
    <cellStyle name="40% - Accent6 3 5 3 3" xfId="46613"/>
    <cellStyle name="40% - Accent6 3 5 3 3 2" xfId="46614"/>
    <cellStyle name="40% - Accent6 3 5 3 3 2 2" xfId="46615"/>
    <cellStyle name="40% - Accent6 3 5 3 3 3" xfId="46616"/>
    <cellStyle name="40% - Accent6 3 5 3 3 3 2" xfId="46617"/>
    <cellStyle name="40% - Accent6 3 5 3 3 4" xfId="46618"/>
    <cellStyle name="40% - Accent6 3 5 3 3 5" xfId="46619"/>
    <cellStyle name="40% - Accent6 3 5 3 3 6" xfId="46620"/>
    <cellStyle name="40% - Accent6 3 5 3 3 7" xfId="46621"/>
    <cellStyle name="40% - Accent6 3 5 3 4" xfId="46622"/>
    <cellStyle name="40% - Accent6 3 5 3 4 2" xfId="46623"/>
    <cellStyle name="40% - Accent6 3 5 3 4 2 2" xfId="46624"/>
    <cellStyle name="40% - Accent6 3 5 3 4 3" xfId="46625"/>
    <cellStyle name="40% - Accent6 3 5 3 4 3 2" xfId="46626"/>
    <cellStyle name="40% - Accent6 3 5 3 4 4" xfId="46627"/>
    <cellStyle name="40% - Accent6 3 5 3 4 5" xfId="46628"/>
    <cellStyle name="40% - Accent6 3 5 3 4 6" xfId="46629"/>
    <cellStyle name="40% - Accent6 3 5 3 4 7" xfId="46630"/>
    <cellStyle name="40% - Accent6 3 5 3 5" xfId="46631"/>
    <cellStyle name="40% - Accent6 3 5 3 5 2" xfId="46632"/>
    <cellStyle name="40% - Accent6 3 5 3 5 2 2" xfId="46633"/>
    <cellStyle name="40% - Accent6 3 5 3 5 3" xfId="46634"/>
    <cellStyle name="40% - Accent6 3 5 3 5 3 2" xfId="46635"/>
    <cellStyle name="40% - Accent6 3 5 3 5 4" xfId="46636"/>
    <cellStyle name="40% - Accent6 3 5 3 5 5" xfId="46637"/>
    <cellStyle name="40% - Accent6 3 5 3 5 6" xfId="46638"/>
    <cellStyle name="40% - Accent6 3 5 3 5 7" xfId="46639"/>
    <cellStyle name="40% - Accent6 3 5 3 6" xfId="46640"/>
    <cellStyle name="40% - Accent6 3 5 3 6 2" xfId="46641"/>
    <cellStyle name="40% - Accent6 3 5 3 7" xfId="46642"/>
    <cellStyle name="40% - Accent6 3 5 3 7 2" xfId="46643"/>
    <cellStyle name="40% - Accent6 3 5 3 8" xfId="46644"/>
    <cellStyle name="40% - Accent6 3 5 3 9" xfId="46645"/>
    <cellStyle name="40% - Accent6 3 5 4" xfId="46646"/>
    <cellStyle name="40% - Accent6 3 5 4 10" xfId="46647"/>
    <cellStyle name="40% - Accent6 3 5 4 2" xfId="46648"/>
    <cellStyle name="40% - Accent6 3 5 4 2 2" xfId="46649"/>
    <cellStyle name="40% - Accent6 3 5 4 2 2 2" xfId="46650"/>
    <cellStyle name="40% - Accent6 3 5 4 2 3" xfId="46651"/>
    <cellStyle name="40% - Accent6 3 5 4 2 3 2" xfId="46652"/>
    <cellStyle name="40% - Accent6 3 5 4 2 4" xfId="46653"/>
    <cellStyle name="40% - Accent6 3 5 4 2 5" xfId="46654"/>
    <cellStyle name="40% - Accent6 3 5 4 2 6" xfId="46655"/>
    <cellStyle name="40% - Accent6 3 5 4 2 7" xfId="46656"/>
    <cellStyle name="40% - Accent6 3 5 4 3" xfId="46657"/>
    <cellStyle name="40% - Accent6 3 5 4 3 2" xfId="46658"/>
    <cellStyle name="40% - Accent6 3 5 4 3 2 2" xfId="46659"/>
    <cellStyle name="40% - Accent6 3 5 4 3 3" xfId="46660"/>
    <cellStyle name="40% - Accent6 3 5 4 3 3 2" xfId="46661"/>
    <cellStyle name="40% - Accent6 3 5 4 3 4" xfId="46662"/>
    <cellStyle name="40% - Accent6 3 5 4 3 5" xfId="46663"/>
    <cellStyle name="40% - Accent6 3 5 4 3 6" xfId="46664"/>
    <cellStyle name="40% - Accent6 3 5 4 3 7" xfId="46665"/>
    <cellStyle name="40% - Accent6 3 5 4 4" xfId="46666"/>
    <cellStyle name="40% - Accent6 3 5 4 4 2" xfId="46667"/>
    <cellStyle name="40% - Accent6 3 5 4 4 2 2" xfId="46668"/>
    <cellStyle name="40% - Accent6 3 5 4 4 3" xfId="46669"/>
    <cellStyle name="40% - Accent6 3 5 4 4 3 2" xfId="46670"/>
    <cellStyle name="40% - Accent6 3 5 4 4 4" xfId="46671"/>
    <cellStyle name="40% - Accent6 3 5 4 4 5" xfId="46672"/>
    <cellStyle name="40% - Accent6 3 5 4 4 6" xfId="46673"/>
    <cellStyle name="40% - Accent6 3 5 4 4 7" xfId="46674"/>
    <cellStyle name="40% - Accent6 3 5 4 5" xfId="46675"/>
    <cellStyle name="40% - Accent6 3 5 4 5 2" xfId="46676"/>
    <cellStyle name="40% - Accent6 3 5 4 6" xfId="46677"/>
    <cellStyle name="40% - Accent6 3 5 4 6 2" xfId="46678"/>
    <cellStyle name="40% - Accent6 3 5 4 7" xfId="46679"/>
    <cellStyle name="40% - Accent6 3 5 4 8" xfId="46680"/>
    <cellStyle name="40% - Accent6 3 5 4 9" xfId="46681"/>
    <cellStyle name="40% - Accent6 3 5 5" xfId="46682"/>
    <cellStyle name="40% - Accent6 3 5 5 2" xfId="46683"/>
    <cellStyle name="40% - Accent6 3 5 5 2 2" xfId="46684"/>
    <cellStyle name="40% - Accent6 3 5 5 3" xfId="46685"/>
    <cellStyle name="40% - Accent6 3 5 5 3 2" xfId="46686"/>
    <cellStyle name="40% - Accent6 3 5 5 4" xfId="46687"/>
    <cellStyle name="40% - Accent6 3 5 5 5" xfId="46688"/>
    <cellStyle name="40% - Accent6 3 5 5 6" xfId="46689"/>
    <cellStyle name="40% - Accent6 3 5 5 7" xfId="46690"/>
    <cellStyle name="40% - Accent6 3 5 6" xfId="46691"/>
    <cellStyle name="40% - Accent6 3 5 6 2" xfId="46692"/>
    <cellStyle name="40% - Accent6 3 5 6 2 2" xfId="46693"/>
    <cellStyle name="40% - Accent6 3 5 6 3" xfId="46694"/>
    <cellStyle name="40% - Accent6 3 5 6 3 2" xfId="46695"/>
    <cellStyle name="40% - Accent6 3 5 6 4" xfId="46696"/>
    <cellStyle name="40% - Accent6 3 5 6 5" xfId="46697"/>
    <cellStyle name="40% - Accent6 3 5 6 6" xfId="46698"/>
    <cellStyle name="40% - Accent6 3 5 6 7" xfId="46699"/>
    <cellStyle name="40% - Accent6 3 5 7" xfId="46700"/>
    <cellStyle name="40% - Accent6 3 5 7 2" xfId="46701"/>
    <cellStyle name="40% - Accent6 3 5 7 2 2" xfId="46702"/>
    <cellStyle name="40% - Accent6 3 5 7 3" xfId="46703"/>
    <cellStyle name="40% - Accent6 3 5 7 3 2" xfId="46704"/>
    <cellStyle name="40% - Accent6 3 5 7 4" xfId="46705"/>
    <cellStyle name="40% - Accent6 3 5 7 5" xfId="46706"/>
    <cellStyle name="40% - Accent6 3 5 7 6" xfId="46707"/>
    <cellStyle name="40% - Accent6 3 5 7 7" xfId="46708"/>
    <cellStyle name="40% - Accent6 3 5 8" xfId="46709"/>
    <cellStyle name="40% - Accent6 3 5 8 2" xfId="46710"/>
    <cellStyle name="40% - Accent6 3 5 9" xfId="46711"/>
    <cellStyle name="40% - Accent6 3 5 9 2" xfId="46712"/>
    <cellStyle name="40% - Accent6 3 6" xfId="46713"/>
    <cellStyle name="40% - Accent6 3 6 10" xfId="46714"/>
    <cellStyle name="40% - Accent6 3 6 11" xfId="46715"/>
    <cellStyle name="40% - Accent6 3 6 12" xfId="46716"/>
    <cellStyle name="40% - Accent6 3 6 13" xfId="46717"/>
    <cellStyle name="40% - Accent6 3 6 2" xfId="46718"/>
    <cellStyle name="40% - Accent6 3 6 2 10" xfId="46719"/>
    <cellStyle name="40% - Accent6 3 6 2 11" xfId="46720"/>
    <cellStyle name="40% - Accent6 3 6 2 2" xfId="46721"/>
    <cellStyle name="40% - Accent6 3 6 2 2 10" xfId="46722"/>
    <cellStyle name="40% - Accent6 3 6 2 2 2" xfId="46723"/>
    <cellStyle name="40% - Accent6 3 6 2 2 2 2" xfId="46724"/>
    <cellStyle name="40% - Accent6 3 6 2 2 2 2 2" xfId="46725"/>
    <cellStyle name="40% - Accent6 3 6 2 2 2 3" xfId="46726"/>
    <cellStyle name="40% - Accent6 3 6 2 2 2 3 2" xfId="46727"/>
    <cellStyle name="40% - Accent6 3 6 2 2 2 4" xfId="46728"/>
    <cellStyle name="40% - Accent6 3 6 2 2 2 5" xfId="46729"/>
    <cellStyle name="40% - Accent6 3 6 2 2 2 6" xfId="46730"/>
    <cellStyle name="40% - Accent6 3 6 2 2 2 7" xfId="46731"/>
    <cellStyle name="40% - Accent6 3 6 2 2 3" xfId="46732"/>
    <cellStyle name="40% - Accent6 3 6 2 2 3 2" xfId="46733"/>
    <cellStyle name="40% - Accent6 3 6 2 2 3 2 2" xfId="46734"/>
    <cellStyle name="40% - Accent6 3 6 2 2 3 3" xfId="46735"/>
    <cellStyle name="40% - Accent6 3 6 2 2 3 3 2" xfId="46736"/>
    <cellStyle name="40% - Accent6 3 6 2 2 3 4" xfId="46737"/>
    <cellStyle name="40% - Accent6 3 6 2 2 3 5" xfId="46738"/>
    <cellStyle name="40% - Accent6 3 6 2 2 3 6" xfId="46739"/>
    <cellStyle name="40% - Accent6 3 6 2 2 3 7" xfId="46740"/>
    <cellStyle name="40% - Accent6 3 6 2 2 4" xfId="46741"/>
    <cellStyle name="40% - Accent6 3 6 2 2 4 2" xfId="46742"/>
    <cellStyle name="40% - Accent6 3 6 2 2 4 2 2" xfId="46743"/>
    <cellStyle name="40% - Accent6 3 6 2 2 4 3" xfId="46744"/>
    <cellStyle name="40% - Accent6 3 6 2 2 4 3 2" xfId="46745"/>
    <cellStyle name="40% - Accent6 3 6 2 2 4 4" xfId="46746"/>
    <cellStyle name="40% - Accent6 3 6 2 2 4 5" xfId="46747"/>
    <cellStyle name="40% - Accent6 3 6 2 2 4 6" xfId="46748"/>
    <cellStyle name="40% - Accent6 3 6 2 2 4 7" xfId="46749"/>
    <cellStyle name="40% - Accent6 3 6 2 2 5" xfId="46750"/>
    <cellStyle name="40% - Accent6 3 6 2 2 5 2" xfId="46751"/>
    <cellStyle name="40% - Accent6 3 6 2 2 6" xfId="46752"/>
    <cellStyle name="40% - Accent6 3 6 2 2 6 2" xfId="46753"/>
    <cellStyle name="40% - Accent6 3 6 2 2 7" xfId="46754"/>
    <cellStyle name="40% - Accent6 3 6 2 2 8" xfId="46755"/>
    <cellStyle name="40% - Accent6 3 6 2 2 9" xfId="46756"/>
    <cellStyle name="40% - Accent6 3 6 2 3" xfId="46757"/>
    <cellStyle name="40% - Accent6 3 6 2 3 2" xfId="46758"/>
    <cellStyle name="40% - Accent6 3 6 2 3 2 2" xfId="46759"/>
    <cellStyle name="40% - Accent6 3 6 2 3 3" xfId="46760"/>
    <cellStyle name="40% - Accent6 3 6 2 3 3 2" xfId="46761"/>
    <cellStyle name="40% - Accent6 3 6 2 3 4" xfId="46762"/>
    <cellStyle name="40% - Accent6 3 6 2 3 5" xfId="46763"/>
    <cellStyle name="40% - Accent6 3 6 2 3 6" xfId="46764"/>
    <cellStyle name="40% - Accent6 3 6 2 3 7" xfId="46765"/>
    <cellStyle name="40% - Accent6 3 6 2 4" xfId="46766"/>
    <cellStyle name="40% - Accent6 3 6 2 4 2" xfId="46767"/>
    <cellStyle name="40% - Accent6 3 6 2 4 2 2" xfId="46768"/>
    <cellStyle name="40% - Accent6 3 6 2 4 3" xfId="46769"/>
    <cellStyle name="40% - Accent6 3 6 2 4 3 2" xfId="46770"/>
    <cellStyle name="40% - Accent6 3 6 2 4 4" xfId="46771"/>
    <cellStyle name="40% - Accent6 3 6 2 4 5" xfId="46772"/>
    <cellStyle name="40% - Accent6 3 6 2 4 6" xfId="46773"/>
    <cellStyle name="40% - Accent6 3 6 2 4 7" xfId="46774"/>
    <cellStyle name="40% - Accent6 3 6 2 5" xfId="46775"/>
    <cellStyle name="40% - Accent6 3 6 2 5 2" xfId="46776"/>
    <cellStyle name="40% - Accent6 3 6 2 5 2 2" xfId="46777"/>
    <cellStyle name="40% - Accent6 3 6 2 5 3" xfId="46778"/>
    <cellStyle name="40% - Accent6 3 6 2 5 3 2" xfId="46779"/>
    <cellStyle name="40% - Accent6 3 6 2 5 4" xfId="46780"/>
    <cellStyle name="40% - Accent6 3 6 2 5 5" xfId="46781"/>
    <cellStyle name="40% - Accent6 3 6 2 5 6" xfId="46782"/>
    <cellStyle name="40% - Accent6 3 6 2 5 7" xfId="46783"/>
    <cellStyle name="40% - Accent6 3 6 2 6" xfId="46784"/>
    <cellStyle name="40% - Accent6 3 6 2 6 2" xfId="46785"/>
    <cellStyle name="40% - Accent6 3 6 2 7" xfId="46786"/>
    <cellStyle name="40% - Accent6 3 6 2 7 2" xfId="46787"/>
    <cellStyle name="40% - Accent6 3 6 2 8" xfId="46788"/>
    <cellStyle name="40% - Accent6 3 6 2 9" xfId="46789"/>
    <cellStyle name="40% - Accent6 3 6 3" xfId="46790"/>
    <cellStyle name="40% - Accent6 3 6 3 10" xfId="46791"/>
    <cellStyle name="40% - Accent6 3 6 3 11" xfId="46792"/>
    <cellStyle name="40% - Accent6 3 6 3 2" xfId="46793"/>
    <cellStyle name="40% - Accent6 3 6 3 2 10" xfId="46794"/>
    <cellStyle name="40% - Accent6 3 6 3 2 2" xfId="46795"/>
    <cellStyle name="40% - Accent6 3 6 3 2 2 2" xfId="46796"/>
    <cellStyle name="40% - Accent6 3 6 3 2 2 2 2" xfId="46797"/>
    <cellStyle name="40% - Accent6 3 6 3 2 2 3" xfId="46798"/>
    <cellStyle name="40% - Accent6 3 6 3 2 2 3 2" xfId="46799"/>
    <cellStyle name="40% - Accent6 3 6 3 2 2 4" xfId="46800"/>
    <cellStyle name="40% - Accent6 3 6 3 2 2 5" xfId="46801"/>
    <cellStyle name="40% - Accent6 3 6 3 2 2 6" xfId="46802"/>
    <cellStyle name="40% - Accent6 3 6 3 2 2 7" xfId="46803"/>
    <cellStyle name="40% - Accent6 3 6 3 2 3" xfId="46804"/>
    <cellStyle name="40% - Accent6 3 6 3 2 3 2" xfId="46805"/>
    <cellStyle name="40% - Accent6 3 6 3 2 3 2 2" xfId="46806"/>
    <cellStyle name="40% - Accent6 3 6 3 2 3 3" xfId="46807"/>
    <cellStyle name="40% - Accent6 3 6 3 2 3 3 2" xfId="46808"/>
    <cellStyle name="40% - Accent6 3 6 3 2 3 4" xfId="46809"/>
    <cellStyle name="40% - Accent6 3 6 3 2 3 5" xfId="46810"/>
    <cellStyle name="40% - Accent6 3 6 3 2 3 6" xfId="46811"/>
    <cellStyle name="40% - Accent6 3 6 3 2 3 7" xfId="46812"/>
    <cellStyle name="40% - Accent6 3 6 3 2 4" xfId="46813"/>
    <cellStyle name="40% - Accent6 3 6 3 2 4 2" xfId="46814"/>
    <cellStyle name="40% - Accent6 3 6 3 2 4 2 2" xfId="46815"/>
    <cellStyle name="40% - Accent6 3 6 3 2 4 3" xfId="46816"/>
    <cellStyle name="40% - Accent6 3 6 3 2 4 3 2" xfId="46817"/>
    <cellStyle name="40% - Accent6 3 6 3 2 4 4" xfId="46818"/>
    <cellStyle name="40% - Accent6 3 6 3 2 4 5" xfId="46819"/>
    <cellStyle name="40% - Accent6 3 6 3 2 4 6" xfId="46820"/>
    <cellStyle name="40% - Accent6 3 6 3 2 4 7" xfId="46821"/>
    <cellStyle name="40% - Accent6 3 6 3 2 5" xfId="46822"/>
    <cellStyle name="40% - Accent6 3 6 3 2 5 2" xfId="46823"/>
    <cellStyle name="40% - Accent6 3 6 3 2 6" xfId="46824"/>
    <cellStyle name="40% - Accent6 3 6 3 2 6 2" xfId="46825"/>
    <cellStyle name="40% - Accent6 3 6 3 2 7" xfId="46826"/>
    <cellStyle name="40% - Accent6 3 6 3 2 8" xfId="46827"/>
    <cellStyle name="40% - Accent6 3 6 3 2 9" xfId="46828"/>
    <cellStyle name="40% - Accent6 3 6 3 3" xfId="46829"/>
    <cellStyle name="40% - Accent6 3 6 3 3 2" xfId="46830"/>
    <cellStyle name="40% - Accent6 3 6 3 3 2 2" xfId="46831"/>
    <cellStyle name="40% - Accent6 3 6 3 3 3" xfId="46832"/>
    <cellStyle name="40% - Accent6 3 6 3 3 3 2" xfId="46833"/>
    <cellStyle name="40% - Accent6 3 6 3 3 4" xfId="46834"/>
    <cellStyle name="40% - Accent6 3 6 3 3 5" xfId="46835"/>
    <cellStyle name="40% - Accent6 3 6 3 3 6" xfId="46836"/>
    <cellStyle name="40% - Accent6 3 6 3 3 7" xfId="46837"/>
    <cellStyle name="40% - Accent6 3 6 3 4" xfId="46838"/>
    <cellStyle name="40% - Accent6 3 6 3 4 2" xfId="46839"/>
    <cellStyle name="40% - Accent6 3 6 3 4 2 2" xfId="46840"/>
    <cellStyle name="40% - Accent6 3 6 3 4 3" xfId="46841"/>
    <cellStyle name="40% - Accent6 3 6 3 4 3 2" xfId="46842"/>
    <cellStyle name="40% - Accent6 3 6 3 4 4" xfId="46843"/>
    <cellStyle name="40% - Accent6 3 6 3 4 5" xfId="46844"/>
    <cellStyle name="40% - Accent6 3 6 3 4 6" xfId="46845"/>
    <cellStyle name="40% - Accent6 3 6 3 4 7" xfId="46846"/>
    <cellStyle name="40% - Accent6 3 6 3 5" xfId="46847"/>
    <cellStyle name="40% - Accent6 3 6 3 5 2" xfId="46848"/>
    <cellStyle name="40% - Accent6 3 6 3 5 2 2" xfId="46849"/>
    <cellStyle name="40% - Accent6 3 6 3 5 3" xfId="46850"/>
    <cellStyle name="40% - Accent6 3 6 3 5 3 2" xfId="46851"/>
    <cellStyle name="40% - Accent6 3 6 3 5 4" xfId="46852"/>
    <cellStyle name="40% - Accent6 3 6 3 5 5" xfId="46853"/>
    <cellStyle name="40% - Accent6 3 6 3 5 6" xfId="46854"/>
    <cellStyle name="40% - Accent6 3 6 3 5 7" xfId="46855"/>
    <cellStyle name="40% - Accent6 3 6 3 6" xfId="46856"/>
    <cellStyle name="40% - Accent6 3 6 3 6 2" xfId="46857"/>
    <cellStyle name="40% - Accent6 3 6 3 7" xfId="46858"/>
    <cellStyle name="40% - Accent6 3 6 3 7 2" xfId="46859"/>
    <cellStyle name="40% - Accent6 3 6 3 8" xfId="46860"/>
    <cellStyle name="40% - Accent6 3 6 3 9" xfId="46861"/>
    <cellStyle name="40% - Accent6 3 6 4" xfId="46862"/>
    <cellStyle name="40% - Accent6 3 6 4 10" xfId="46863"/>
    <cellStyle name="40% - Accent6 3 6 4 2" xfId="46864"/>
    <cellStyle name="40% - Accent6 3 6 4 2 2" xfId="46865"/>
    <cellStyle name="40% - Accent6 3 6 4 2 2 2" xfId="46866"/>
    <cellStyle name="40% - Accent6 3 6 4 2 3" xfId="46867"/>
    <cellStyle name="40% - Accent6 3 6 4 2 3 2" xfId="46868"/>
    <cellStyle name="40% - Accent6 3 6 4 2 4" xfId="46869"/>
    <cellStyle name="40% - Accent6 3 6 4 2 5" xfId="46870"/>
    <cellStyle name="40% - Accent6 3 6 4 2 6" xfId="46871"/>
    <cellStyle name="40% - Accent6 3 6 4 2 7" xfId="46872"/>
    <cellStyle name="40% - Accent6 3 6 4 3" xfId="46873"/>
    <cellStyle name="40% - Accent6 3 6 4 3 2" xfId="46874"/>
    <cellStyle name="40% - Accent6 3 6 4 3 2 2" xfId="46875"/>
    <cellStyle name="40% - Accent6 3 6 4 3 3" xfId="46876"/>
    <cellStyle name="40% - Accent6 3 6 4 3 3 2" xfId="46877"/>
    <cellStyle name="40% - Accent6 3 6 4 3 4" xfId="46878"/>
    <cellStyle name="40% - Accent6 3 6 4 3 5" xfId="46879"/>
    <cellStyle name="40% - Accent6 3 6 4 3 6" xfId="46880"/>
    <cellStyle name="40% - Accent6 3 6 4 3 7" xfId="46881"/>
    <cellStyle name="40% - Accent6 3 6 4 4" xfId="46882"/>
    <cellStyle name="40% - Accent6 3 6 4 4 2" xfId="46883"/>
    <cellStyle name="40% - Accent6 3 6 4 4 2 2" xfId="46884"/>
    <cellStyle name="40% - Accent6 3 6 4 4 3" xfId="46885"/>
    <cellStyle name="40% - Accent6 3 6 4 4 3 2" xfId="46886"/>
    <cellStyle name="40% - Accent6 3 6 4 4 4" xfId="46887"/>
    <cellStyle name="40% - Accent6 3 6 4 4 5" xfId="46888"/>
    <cellStyle name="40% - Accent6 3 6 4 4 6" xfId="46889"/>
    <cellStyle name="40% - Accent6 3 6 4 4 7" xfId="46890"/>
    <cellStyle name="40% - Accent6 3 6 4 5" xfId="46891"/>
    <cellStyle name="40% - Accent6 3 6 4 5 2" xfId="46892"/>
    <cellStyle name="40% - Accent6 3 6 4 6" xfId="46893"/>
    <cellStyle name="40% - Accent6 3 6 4 6 2" xfId="46894"/>
    <cellStyle name="40% - Accent6 3 6 4 7" xfId="46895"/>
    <cellStyle name="40% - Accent6 3 6 4 8" xfId="46896"/>
    <cellStyle name="40% - Accent6 3 6 4 9" xfId="46897"/>
    <cellStyle name="40% - Accent6 3 6 5" xfId="46898"/>
    <cellStyle name="40% - Accent6 3 6 5 2" xfId="46899"/>
    <cellStyle name="40% - Accent6 3 6 5 2 2" xfId="46900"/>
    <cellStyle name="40% - Accent6 3 6 5 3" xfId="46901"/>
    <cellStyle name="40% - Accent6 3 6 5 3 2" xfId="46902"/>
    <cellStyle name="40% - Accent6 3 6 5 4" xfId="46903"/>
    <cellStyle name="40% - Accent6 3 6 5 5" xfId="46904"/>
    <cellStyle name="40% - Accent6 3 6 5 6" xfId="46905"/>
    <cellStyle name="40% - Accent6 3 6 5 7" xfId="46906"/>
    <cellStyle name="40% - Accent6 3 6 6" xfId="46907"/>
    <cellStyle name="40% - Accent6 3 6 6 2" xfId="46908"/>
    <cellStyle name="40% - Accent6 3 6 6 2 2" xfId="46909"/>
    <cellStyle name="40% - Accent6 3 6 6 3" xfId="46910"/>
    <cellStyle name="40% - Accent6 3 6 6 3 2" xfId="46911"/>
    <cellStyle name="40% - Accent6 3 6 6 4" xfId="46912"/>
    <cellStyle name="40% - Accent6 3 6 6 5" xfId="46913"/>
    <cellStyle name="40% - Accent6 3 6 6 6" xfId="46914"/>
    <cellStyle name="40% - Accent6 3 6 6 7" xfId="46915"/>
    <cellStyle name="40% - Accent6 3 6 7" xfId="46916"/>
    <cellStyle name="40% - Accent6 3 6 7 2" xfId="46917"/>
    <cellStyle name="40% - Accent6 3 6 7 2 2" xfId="46918"/>
    <cellStyle name="40% - Accent6 3 6 7 3" xfId="46919"/>
    <cellStyle name="40% - Accent6 3 6 7 3 2" xfId="46920"/>
    <cellStyle name="40% - Accent6 3 6 7 4" xfId="46921"/>
    <cellStyle name="40% - Accent6 3 6 7 5" xfId="46922"/>
    <cellStyle name="40% - Accent6 3 6 7 6" xfId="46923"/>
    <cellStyle name="40% - Accent6 3 6 7 7" xfId="46924"/>
    <cellStyle name="40% - Accent6 3 6 8" xfId="46925"/>
    <cellStyle name="40% - Accent6 3 6 8 2" xfId="46926"/>
    <cellStyle name="40% - Accent6 3 6 9" xfId="46927"/>
    <cellStyle name="40% - Accent6 3 6 9 2" xfId="46928"/>
    <cellStyle name="40% - Accent6 3 7" xfId="46929"/>
    <cellStyle name="40% - Accent6 3 7 10" xfId="46930"/>
    <cellStyle name="40% - Accent6 3 7 11" xfId="46931"/>
    <cellStyle name="40% - Accent6 3 7 2" xfId="46932"/>
    <cellStyle name="40% - Accent6 3 7 2 10" xfId="46933"/>
    <cellStyle name="40% - Accent6 3 7 2 2" xfId="46934"/>
    <cellStyle name="40% - Accent6 3 7 2 2 2" xfId="46935"/>
    <cellStyle name="40% - Accent6 3 7 2 2 2 2" xfId="46936"/>
    <cellStyle name="40% - Accent6 3 7 2 2 3" xfId="46937"/>
    <cellStyle name="40% - Accent6 3 7 2 2 3 2" xfId="46938"/>
    <cellStyle name="40% - Accent6 3 7 2 2 4" xfId="46939"/>
    <cellStyle name="40% - Accent6 3 7 2 2 5" xfId="46940"/>
    <cellStyle name="40% - Accent6 3 7 2 2 6" xfId="46941"/>
    <cellStyle name="40% - Accent6 3 7 2 2 7" xfId="46942"/>
    <cellStyle name="40% - Accent6 3 7 2 3" xfId="46943"/>
    <cellStyle name="40% - Accent6 3 7 2 3 2" xfId="46944"/>
    <cellStyle name="40% - Accent6 3 7 2 3 2 2" xfId="46945"/>
    <cellStyle name="40% - Accent6 3 7 2 3 3" xfId="46946"/>
    <cellStyle name="40% - Accent6 3 7 2 3 3 2" xfId="46947"/>
    <cellStyle name="40% - Accent6 3 7 2 3 4" xfId="46948"/>
    <cellStyle name="40% - Accent6 3 7 2 3 5" xfId="46949"/>
    <cellStyle name="40% - Accent6 3 7 2 3 6" xfId="46950"/>
    <cellStyle name="40% - Accent6 3 7 2 3 7" xfId="46951"/>
    <cellStyle name="40% - Accent6 3 7 2 4" xfId="46952"/>
    <cellStyle name="40% - Accent6 3 7 2 4 2" xfId="46953"/>
    <cellStyle name="40% - Accent6 3 7 2 4 2 2" xfId="46954"/>
    <cellStyle name="40% - Accent6 3 7 2 4 3" xfId="46955"/>
    <cellStyle name="40% - Accent6 3 7 2 4 3 2" xfId="46956"/>
    <cellStyle name="40% - Accent6 3 7 2 4 4" xfId="46957"/>
    <cellStyle name="40% - Accent6 3 7 2 4 5" xfId="46958"/>
    <cellStyle name="40% - Accent6 3 7 2 4 6" xfId="46959"/>
    <cellStyle name="40% - Accent6 3 7 2 4 7" xfId="46960"/>
    <cellStyle name="40% - Accent6 3 7 2 5" xfId="46961"/>
    <cellStyle name="40% - Accent6 3 7 2 5 2" xfId="46962"/>
    <cellStyle name="40% - Accent6 3 7 2 6" xfId="46963"/>
    <cellStyle name="40% - Accent6 3 7 2 6 2" xfId="46964"/>
    <cellStyle name="40% - Accent6 3 7 2 7" xfId="46965"/>
    <cellStyle name="40% - Accent6 3 7 2 8" xfId="46966"/>
    <cellStyle name="40% - Accent6 3 7 2 9" xfId="46967"/>
    <cellStyle name="40% - Accent6 3 7 3" xfId="46968"/>
    <cellStyle name="40% - Accent6 3 7 3 2" xfId="46969"/>
    <cellStyle name="40% - Accent6 3 7 3 2 2" xfId="46970"/>
    <cellStyle name="40% - Accent6 3 7 3 3" xfId="46971"/>
    <cellStyle name="40% - Accent6 3 7 3 3 2" xfId="46972"/>
    <cellStyle name="40% - Accent6 3 7 3 4" xfId="46973"/>
    <cellStyle name="40% - Accent6 3 7 3 5" xfId="46974"/>
    <cellStyle name="40% - Accent6 3 7 3 6" xfId="46975"/>
    <cellStyle name="40% - Accent6 3 7 3 7" xfId="46976"/>
    <cellStyle name="40% - Accent6 3 7 4" xfId="46977"/>
    <cellStyle name="40% - Accent6 3 7 4 2" xfId="46978"/>
    <cellStyle name="40% - Accent6 3 7 4 2 2" xfId="46979"/>
    <cellStyle name="40% - Accent6 3 7 4 3" xfId="46980"/>
    <cellStyle name="40% - Accent6 3 7 4 3 2" xfId="46981"/>
    <cellStyle name="40% - Accent6 3 7 4 4" xfId="46982"/>
    <cellStyle name="40% - Accent6 3 7 4 5" xfId="46983"/>
    <cellStyle name="40% - Accent6 3 7 4 6" xfId="46984"/>
    <cellStyle name="40% - Accent6 3 7 4 7" xfId="46985"/>
    <cellStyle name="40% - Accent6 3 7 5" xfId="46986"/>
    <cellStyle name="40% - Accent6 3 7 5 2" xfId="46987"/>
    <cellStyle name="40% - Accent6 3 7 5 2 2" xfId="46988"/>
    <cellStyle name="40% - Accent6 3 7 5 3" xfId="46989"/>
    <cellStyle name="40% - Accent6 3 7 5 3 2" xfId="46990"/>
    <cellStyle name="40% - Accent6 3 7 5 4" xfId="46991"/>
    <cellStyle name="40% - Accent6 3 7 5 5" xfId="46992"/>
    <cellStyle name="40% - Accent6 3 7 5 6" xfId="46993"/>
    <cellStyle name="40% - Accent6 3 7 5 7" xfId="46994"/>
    <cellStyle name="40% - Accent6 3 7 6" xfId="46995"/>
    <cellStyle name="40% - Accent6 3 7 6 2" xfId="46996"/>
    <cellStyle name="40% - Accent6 3 7 7" xfId="46997"/>
    <cellStyle name="40% - Accent6 3 7 7 2" xfId="46998"/>
    <cellStyle name="40% - Accent6 3 7 8" xfId="46999"/>
    <cellStyle name="40% - Accent6 3 7 9" xfId="47000"/>
    <cellStyle name="40% - Accent6 3 8" xfId="47001"/>
    <cellStyle name="40% - Accent6 3 8 10" xfId="47002"/>
    <cellStyle name="40% - Accent6 3 8 11" xfId="47003"/>
    <cellStyle name="40% - Accent6 3 8 2" xfId="47004"/>
    <cellStyle name="40% - Accent6 3 8 2 10" xfId="47005"/>
    <cellStyle name="40% - Accent6 3 8 2 2" xfId="47006"/>
    <cellStyle name="40% - Accent6 3 8 2 2 2" xfId="47007"/>
    <cellStyle name="40% - Accent6 3 8 2 2 2 2" xfId="47008"/>
    <cellStyle name="40% - Accent6 3 8 2 2 3" xfId="47009"/>
    <cellStyle name="40% - Accent6 3 8 2 2 3 2" xfId="47010"/>
    <cellStyle name="40% - Accent6 3 8 2 2 4" xfId="47011"/>
    <cellStyle name="40% - Accent6 3 8 2 2 5" xfId="47012"/>
    <cellStyle name="40% - Accent6 3 8 2 2 6" xfId="47013"/>
    <cellStyle name="40% - Accent6 3 8 2 2 7" xfId="47014"/>
    <cellStyle name="40% - Accent6 3 8 2 3" xfId="47015"/>
    <cellStyle name="40% - Accent6 3 8 2 3 2" xfId="47016"/>
    <cellStyle name="40% - Accent6 3 8 2 3 2 2" xfId="47017"/>
    <cellStyle name="40% - Accent6 3 8 2 3 3" xfId="47018"/>
    <cellStyle name="40% - Accent6 3 8 2 3 3 2" xfId="47019"/>
    <cellStyle name="40% - Accent6 3 8 2 3 4" xfId="47020"/>
    <cellStyle name="40% - Accent6 3 8 2 3 5" xfId="47021"/>
    <cellStyle name="40% - Accent6 3 8 2 3 6" xfId="47022"/>
    <cellStyle name="40% - Accent6 3 8 2 3 7" xfId="47023"/>
    <cellStyle name="40% - Accent6 3 8 2 4" xfId="47024"/>
    <cellStyle name="40% - Accent6 3 8 2 4 2" xfId="47025"/>
    <cellStyle name="40% - Accent6 3 8 2 4 2 2" xfId="47026"/>
    <cellStyle name="40% - Accent6 3 8 2 4 3" xfId="47027"/>
    <cellStyle name="40% - Accent6 3 8 2 4 3 2" xfId="47028"/>
    <cellStyle name="40% - Accent6 3 8 2 4 4" xfId="47029"/>
    <cellStyle name="40% - Accent6 3 8 2 4 5" xfId="47030"/>
    <cellStyle name="40% - Accent6 3 8 2 4 6" xfId="47031"/>
    <cellStyle name="40% - Accent6 3 8 2 4 7" xfId="47032"/>
    <cellStyle name="40% - Accent6 3 8 2 5" xfId="47033"/>
    <cellStyle name="40% - Accent6 3 8 2 5 2" xfId="47034"/>
    <cellStyle name="40% - Accent6 3 8 2 6" xfId="47035"/>
    <cellStyle name="40% - Accent6 3 8 2 6 2" xfId="47036"/>
    <cellStyle name="40% - Accent6 3 8 2 7" xfId="47037"/>
    <cellStyle name="40% - Accent6 3 8 2 8" xfId="47038"/>
    <cellStyle name="40% - Accent6 3 8 2 9" xfId="47039"/>
    <cellStyle name="40% - Accent6 3 8 3" xfId="47040"/>
    <cellStyle name="40% - Accent6 3 8 3 2" xfId="47041"/>
    <cellStyle name="40% - Accent6 3 8 3 2 2" xfId="47042"/>
    <cellStyle name="40% - Accent6 3 8 3 3" xfId="47043"/>
    <cellStyle name="40% - Accent6 3 8 3 3 2" xfId="47044"/>
    <cellStyle name="40% - Accent6 3 8 3 4" xfId="47045"/>
    <cellStyle name="40% - Accent6 3 8 3 5" xfId="47046"/>
    <cellStyle name="40% - Accent6 3 8 3 6" xfId="47047"/>
    <cellStyle name="40% - Accent6 3 8 3 7" xfId="47048"/>
    <cellStyle name="40% - Accent6 3 8 4" xfId="47049"/>
    <cellStyle name="40% - Accent6 3 8 4 2" xfId="47050"/>
    <cellStyle name="40% - Accent6 3 8 4 2 2" xfId="47051"/>
    <cellStyle name="40% - Accent6 3 8 4 3" xfId="47052"/>
    <cellStyle name="40% - Accent6 3 8 4 3 2" xfId="47053"/>
    <cellStyle name="40% - Accent6 3 8 4 4" xfId="47054"/>
    <cellStyle name="40% - Accent6 3 8 4 5" xfId="47055"/>
    <cellStyle name="40% - Accent6 3 8 4 6" xfId="47056"/>
    <cellStyle name="40% - Accent6 3 8 4 7" xfId="47057"/>
    <cellStyle name="40% - Accent6 3 8 5" xfId="47058"/>
    <cellStyle name="40% - Accent6 3 8 5 2" xfId="47059"/>
    <cellStyle name="40% - Accent6 3 8 5 2 2" xfId="47060"/>
    <cellStyle name="40% - Accent6 3 8 5 3" xfId="47061"/>
    <cellStyle name="40% - Accent6 3 8 5 3 2" xfId="47062"/>
    <cellStyle name="40% - Accent6 3 8 5 4" xfId="47063"/>
    <cellStyle name="40% - Accent6 3 8 5 5" xfId="47064"/>
    <cellStyle name="40% - Accent6 3 8 5 6" xfId="47065"/>
    <cellStyle name="40% - Accent6 3 8 5 7" xfId="47066"/>
    <cellStyle name="40% - Accent6 3 8 6" xfId="47067"/>
    <cellStyle name="40% - Accent6 3 8 6 2" xfId="47068"/>
    <cellStyle name="40% - Accent6 3 8 7" xfId="47069"/>
    <cellStyle name="40% - Accent6 3 8 7 2" xfId="47070"/>
    <cellStyle name="40% - Accent6 3 8 8" xfId="47071"/>
    <cellStyle name="40% - Accent6 3 8 9" xfId="47072"/>
    <cellStyle name="40% - Accent6 3 9" xfId="47073"/>
    <cellStyle name="40% - Accent6 3 9 10" xfId="47074"/>
    <cellStyle name="40% - Accent6 3 9 2" xfId="47075"/>
    <cellStyle name="40% - Accent6 3 9 2 2" xfId="47076"/>
    <cellStyle name="40% - Accent6 3 9 2 2 2" xfId="47077"/>
    <cellStyle name="40% - Accent6 3 9 2 3" xfId="47078"/>
    <cellStyle name="40% - Accent6 3 9 2 3 2" xfId="47079"/>
    <cellStyle name="40% - Accent6 3 9 2 4" xfId="47080"/>
    <cellStyle name="40% - Accent6 3 9 2 5" xfId="47081"/>
    <cellStyle name="40% - Accent6 3 9 2 6" xfId="47082"/>
    <cellStyle name="40% - Accent6 3 9 2 7" xfId="47083"/>
    <cellStyle name="40% - Accent6 3 9 3" xfId="47084"/>
    <cellStyle name="40% - Accent6 3 9 3 2" xfId="47085"/>
    <cellStyle name="40% - Accent6 3 9 3 2 2" xfId="47086"/>
    <cellStyle name="40% - Accent6 3 9 3 3" xfId="47087"/>
    <cellStyle name="40% - Accent6 3 9 3 3 2" xfId="47088"/>
    <cellStyle name="40% - Accent6 3 9 3 4" xfId="47089"/>
    <cellStyle name="40% - Accent6 3 9 3 5" xfId="47090"/>
    <cellStyle name="40% - Accent6 3 9 3 6" xfId="47091"/>
    <cellStyle name="40% - Accent6 3 9 3 7" xfId="47092"/>
    <cellStyle name="40% - Accent6 3 9 4" xfId="47093"/>
    <cellStyle name="40% - Accent6 3 9 4 2" xfId="47094"/>
    <cellStyle name="40% - Accent6 3 9 4 2 2" xfId="47095"/>
    <cellStyle name="40% - Accent6 3 9 4 3" xfId="47096"/>
    <cellStyle name="40% - Accent6 3 9 4 3 2" xfId="47097"/>
    <cellStyle name="40% - Accent6 3 9 4 4" xfId="47098"/>
    <cellStyle name="40% - Accent6 3 9 4 5" xfId="47099"/>
    <cellStyle name="40% - Accent6 3 9 4 6" xfId="47100"/>
    <cellStyle name="40% - Accent6 3 9 4 7" xfId="47101"/>
    <cellStyle name="40% - Accent6 3 9 5" xfId="47102"/>
    <cellStyle name="40% - Accent6 3 9 5 2" xfId="47103"/>
    <cellStyle name="40% - Accent6 3 9 6" xfId="47104"/>
    <cellStyle name="40% - Accent6 3 9 6 2" xfId="47105"/>
    <cellStyle name="40% - Accent6 3 9 7" xfId="47106"/>
    <cellStyle name="40% - Accent6 3 9 8" xfId="47107"/>
    <cellStyle name="40% - Accent6 3 9 9" xfId="47108"/>
    <cellStyle name="40% - Accent6 3_10-15-10-Stmt AU - Period I - Working 1 0" xfId="403"/>
    <cellStyle name="40% - Accent6 4" xfId="404"/>
    <cellStyle name="40% - Accent6 4 2" xfId="405"/>
    <cellStyle name="40% - Accent6 4 3" xfId="406"/>
    <cellStyle name="40% - Accent6 4_10-15-10-Stmt AU - Period I - Working 1 0" xfId="407"/>
    <cellStyle name="40% - Accent6 5" xfId="408"/>
    <cellStyle name="40% - Accent6 5 2" xfId="409"/>
    <cellStyle name="40% - Accent6 5 3" xfId="410"/>
    <cellStyle name="40% - Accent6 5_10-15-10-Stmt AU - Period I - Working 1 0" xfId="411"/>
    <cellStyle name="40% - Accent6 6" xfId="412"/>
    <cellStyle name="40% - Accent6 6 2" xfId="413"/>
    <cellStyle name="40% - Accent6 6 3" xfId="414"/>
    <cellStyle name="40% - Accent6 6_10-15-10-Stmt AU - Period I - Working 1 0" xfId="415"/>
    <cellStyle name="40% - Accent6 7" xfId="416"/>
    <cellStyle name="40% - Accent6 7 2" xfId="417"/>
    <cellStyle name="40% - Accent6 7 3" xfId="418"/>
    <cellStyle name="40% - Accent6 7_10-15-10-Stmt AU - Period I - Working 1 0" xfId="419"/>
    <cellStyle name="40% - Accent6 8" xfId="420"/>
    <cellStyle name="40% - Accent6 9" xfId="421"/>
    <cellStyle name="60% - Accent1 2" xfId="422"/>
    <cellStyle name="60% - Accent1 2 2" xfId="47109"/>
    <cellStyle name="60% - Accent1 2 2 2" xfId="47110"/>
    <cellStyle name="60% - Accent1 2 3" xfId="47111"/>
    <cellStyle name="60% - Accent1 3" xfId="47112"/>
    <cellStyle name="60% - Accent1 4" xfId="47113"/>
    <cellStyle name="60% - Accent1 4 2" xfId="47114"/>
    <cellStyle name="60% - Accent1 5" xfId="47115"/>
    <cellStyle name="60% - Accent2 2" xfId="423"/>
    <cellStyle name="60% - Accent2 3" xfId="47116"/>
    <cellStyle name="60% - Accent2 4" xfId="47117"/>
    <cellStyle name="60% - Accent3 2" xfId="424"/>
    <cellStyle name="60% - Accent3 2 2" xfId="47118"/>
    <cellStyle name="60% - Accent3 2 2 2" xfId="47119"/>
    <cellStyle name="60% - Accent3 2 3" xfId="47120"/>
    <cellStyle name="60% - Accent3 3" xfId="47121"/>
    <cellStyle name="60% - Accent3 4" xfId="47122"/>
    <cellStyle name="60% - Accent3 4 2" xfId="47123"/>
    <cellStyle name="60% - Accent3 5" xfId="47124"/>
    <cellStyle name="60% - Accent4 2" xfId="425"/>
    <cellStyle name="60% - Accent4 2 2" xfId="47125"/>
    <cellStyle name="60% - Accent4 2 2 2" xfId="47126"/>
    <cellStyle name="60% - Accent4 2 3" xfId="47127"/>
    <cellStyle name="60% - Accent4 3" xfId="47128"/>
    <cellStyle name="60% - Accent4 4" xfId="47129"/>
    <cellStyle name="60% - Accent4 4 2" xfId="47130"/>
    <cellStyle name="60% - Accent4 5" xfId="47131"/>
    <cellStyle name="60% - Accent5 2" xfId="426"/>
    <cellStyle name="60% - Accent5 3" xfId="47132"/>
    <cellStyle name="60% - Accent5 4" xfId="47133"/>
    <cellStyle name="60% - Accent6 2" xfId="427"/>
    <cellStyle name="60% - Accent6 2 2" xfId="47134"/>
    <cellStyle name="60% - Accent6 2 2 2" xfId="47135"/>
    <cellStyle name="60% - Accent6 2 3" xfId="47136"/>
    <cellStyle name="60% - Accent6 3" xfId="47137"/>
    <cellStyle name="60% - Accent6 4" xfId="47138"/>
    <cellStyle name="60% - Accent6 4 2" xfId="47139"/>
    <cellStyle name="60% - Accent6 5" xfId="47140"/>
    <cellStyle name="Accent1 2" xfId="428"/>
    <cellStyle name="Accent1 2 2" xfId="47141"/>
    <cellStyle name="Accent1 2 2 2" xfId="47142"/>
    <cellStyle name="Accent1 2 3" xfId="47143"/>
    <cellStyle name="Accent1 3" xfId="47144"/>
    <cellStyle name="Accent1 4" xfId="47145"/>
    <cellStyle name="Accent1 4 2" xfId="47146"/>
    <cellStyle name="Accent1 5" xfId="47147"/>
    <cellStyle name="Accent2 2" xfId="429"/>
    <cellStyle name="Accent2 3" xfId="47148"/>
    <cellStyle name="Accent2 4" xfId="47149"/>
    <cellStyle name="Accent3 2" xfId="430"/>
    <cellStyle name="Accent3 3" xfId="47150"/>
    <cellStyle name="Accent3 4" xfId="47151"/>
    <cellStyle name="Accent4 2" xfId="431"/>
    <cellStyle name="Accent4 2 2" xfId="47152"/>
    <cellStyle name="Accent4 2 2 2" xfId="47153"/>
    <cellStyle name="Accent4 2 3" xfId="47154"/>
    <cellStyle name="Accent4 3" xfId="47155"/>
    <cellStyle name="Accent4 4" xfId="47156"/>
    <cellStyle name="Accent4 4 2" xfId="47157"/>
    <cellStyle name="Accent4 5" xfId="47158"/>
    <cellStyle name="Accent5 2" xfId="432"/>
    <cellStyle name="Accent5 3" xfId="47159"/>
    <cellStyle name="Accent6 2" xfId="433"/>
    <cellStyle name="Accent6 3" xfId="47160"/>
    <cellStyle name="Accent6 4" xfId="47161"/>
    <cellStyle name="Bad 2" xfId="434"/>
    <cellStyle name="Bad 3" xfId="47162"/>
    <cellStyle name="Bad 4" xfId="47163"/>
    <cellStyle name="Calculation 2" xfId="435"/>
    <cellStyle name="Calculation 2 10" xfId="3141"/>
    <cellStyle name="Calculation 2 10 2" xfId="8420"/>
    <cellStyle name="Calculation 2 10 2 2" xfId="52851"/>
    <cellStyle name="Calculation 2 10 2 3" xfId="52852"/>
    <cellStyle name="Calculation 2 10 2 4" xfId="52853"/>
    <cellStyle name="Calculation 2 10 2 5" xfId="52854"/>
    <cellStyle name="Calculation 2 10 2 6" xfId="52855"/>
    <cellStyle name="Calculation 2 10 3" xfId="11553"/>
    <cellStyle name="Calculation 2 10 4" xfId="52856"/>
    <cellStyle name="Calculation 2 10 5" xfId="52857"/>
    <cellStyle name="Calculation 2 10 6" xfId="52858"/>
    <cellStyle name="Calculation 2 10 7" xfId="52859"/>
    <cellStyle name="Calculation 2 10 8" xfId="52860"/>
    <cellStyle name="Calculation 2 11" xfId="3142"/>
    <cellStyle name="Calculation 2 11 2" xfId="8421"/>
    <cellStyle name="Calculation 2 11 2 2" xfId="52861"/>
    <cellStyle name="Calculation 2 11 2 3" xfId="52862"/>
    <cellStyle name="Calculation 2 11 2 4" xfId="52863"/>
    <cellStyle name="Calculation 2 11 2 5" xfId="52864"/>
    <cellStyle name="Calculation 2 11 2 6" xfId="52865"/>
    <cellStyle name="Calculation 2 11 3" xfId="11554"/>
    <cellStyle name="Calculation 2 11 4" xfId="52866"/>
    <cellStyle name="Calculation 2 11 5" xfId="52867"/>
    <cellStyle name="Calculation 2 11 6" xfId="52868"/>
    <cellStyle name="Calculation 2 11 7" xfId="52869"/>
    <cellStyle name="Calculation 2 11 8" xfId="52870"/>
    <cellStyle name="Calculation 2 12" xfId="3143"/>
    <cellStyle name="Calculation 2 12 2" xfId="8422"/>
    <cellStyle name="Calculation 2 12 2 2" xfId="52871"/>
    <cellStyle name="Calculation 2 12 2 3" xfId="52872"/>
    <cellStyle name="Calculation 2 12 2 4" xfId="52873"/>
    <cellStyle name="Calculation 2 12 2 5" xfId="52874"/>
    <cellStyle name="Calculation 2 12 2 6" xfId="52875"/>
    <cellStyle name="Calculation 2 12 3" xfId="11555"/>
    <cellStyle name="Calculation 2 12 4" xfId="52876"/>
    <cellStyle name="Calculation 2 12 5" xfId="52877"/>
    <cellStyle name="Calculation 2 12 6" xfId="52878"/>
    <cellStyle name="Calculation 2 12 7" xfId="52879"/>
    <cellStyle name="Calculation 2 12 8" xfId="52880"/>
    <cellStyle name="Calculation 2 13" xfId="3144"/>
    <cellStyle name="Calculation 2 13 2" xfId="8423"/>
    <cellStyle name="Calculation 2 13 2 2" xfId="52881"/>
    <cellStyle name="Calculation 2 13 2 3" xfId="52882"/>
    <cellStyle name="Calculation 2 13 2 4" xfId="52883"/>
    <cellStyle name="Calculation 2 13 2 5" xfId="52884"/>
    <cellStyle name="Calculation 2 13 2 6" xfId="52885"/>
    <cellStyle name="Calculation 2 13 3" xfId="11556"/>
    <cellStyle name="Calculation 2 13 4" xfId="52886"/>
    <cellStyle name="Calculation 2 13 5" xfId="52887"/>
    <cellStyle name="Calculation 2 13 6" xfId="52888"/>
    <cellStyle name="Calculation 2 13 7" xfId="52889"/>
    <cellStyle name="Calculation 2 13 8" xfId="52890"/>
    <cellStyle name="Calculation 2 14" xfId="3145"/>
    <cellStyle name="Calculation 2 14 2" xfId="8424"/>
    <cellStyle name="Calculation 2 14 2 2" xfId="52891"/>
    <cellStyle name="Calculation 2 14 2 3" xfId="52892"/>
    <cellStyle name="Calculation 2 14 2 4" xfId="52893"/>
    <cellStyle name="Calculation 2 14 2 5" xfId="52894"/>
    <cellStyle name="Calculation 2 14 2 6" xfId="52895"/>
    <cellStyle name="Calculation 2 14 3" xfId="11557"/>
    <cellStyle name="Calculation 2 14 4" xfId="52896"/>
    <cellStyle name="Calculation 2 14 5" xfId="52897"/>
    <cellStyle name="Calculation 2 14 6" xfId="52898"/>
    <cellStyle name="Calculation 2 14 7" xfId="52899"/>
    <cellStyle name="Calculation 2 14 8" xfId="52900"/>
    <cellStyle name="Calculation 2 15" xfId="1930"/>
    <cellStyle name="Calculation 2 15 2" xfId="7209"/>
    <cellStyle name="Calculation 2 15 2 2" xfId="52901"/>
    <cellStyle name="Calculation 2 15 2 3" xfId="52902"/>
    <cellStyle name="Calculation 2 15 2 4" xfId="52903"/>
    <cellStyle name="Calculation 2 15 2 5" xfId="52904"/>
    <cellStyle name="Calculation 2 15 3" xfId="11204"/>
    <cellStyle name="Calculation 2 15 4" xfId="52905"/>
    <cellStyle name="Calculation 2 15 5" xfId="52906"/>
    <cellStyle name="Calculation 2 15 6" xfId="52907"/>
    <cellStyle name="Calculation 2 16" xfId="5867"/>
    <cellStyle name="Calculation 2 16 2" xfId="52908"/>
    <cellStyle name="Calculation 2 16 3" xfId="52909"/>
    <cellStyle name="Calculation 2 16 4" xfId="52910"/>
    <cellStyle name="Calculation 2 16 5" xfId="52911"/>
    <cellStyle name="Calculation 2 17" xfId="52912"/>
    <cellStyle name="Calculation 2 18" xfId="52913"/>
    <cellStyle name="Calculation 2 2" xfId="938"/>
    <cellStyle name="Calculation 2 2 10" xfId="2177"/>
    <cellStyle name="Calculation 2 2 10 2" xfId="7456"/>
    <cellStyle name="Calculation 2 2 10 2 2" xfId="52914"/>
    <cellStyle name="Calculation 2 2 10 2 3" xfId="52915"/>
    <cellStyle name="Calculation 2 2 10 2 4" xfId="52916"/>
    <cellStyle name="Calculation 2 2 10 2 5" xfId="52917"/>
    <cellStyle name="Calculation 2 2 10 3" xfId="11205"/>
    <cellStyle name="Calculation 2 2 10 4" xfId="52918"/>
    <cellStyle name="Calculation 2 2 10 5" xfId="52919"/>
    <cellStyle name="Calculation 2 2 10 6" xfId="52920"/>
    <cellStyle name="Calculation 2 2 11" xfId="6219"/>
    <cellStyle name="Calculation 2 2 11 2" xfId="52921"/>
    <cellStyle name="Calculation 2 2 11 3" xfId="52922"/>
    <cellStyle name="Calculation 2 2 11 4" xfId="52923"/>
    <cellStyle name="Calculation 2 2 11 5" xfId="52924"/>
    <cellStyle name="Calculation 2 2 12" xfId="52925"/>
    <cellStyle name="Calculation 2 2 13" xfId="52926"/>
    <cellStyle name="Calculation 2 2 2" xfId="1557"/>
    <cellStyle name="Calculation 2 2 2 2" xfId="2791"/>
    <cellStyle name="Calculation 2 2 2 2 2" xfId="8070"/>
    <cellStyle name="Calculation 2 2 2 2 2 2" xfId="52927"/>
    <cellStyle name="Calculation 2 2 2 2 2 3" xfId="52928"/>
    <cellStyle name="Calculation 2 2 2 2 2 4" xfId="52929"/>
    <cellStyle name="Calculation 2 2 2 2 2 5" xfId="52930"/>
    <cellStyle name="Calculation 2 2 2 2 3" xfId="11559"/>
    <cellStyle name="Calculation 2 2 2 2 4" xfId="52931"/>
    <cellStyle name="Calculation 2 2 2 2 5" xfId="52932"/>
    <cellStyle name="Calculation 2 2 2 2 6" xfId="52933"/>
    <cellStyle name="Calculation 2 2 2 2 7" xfId="52934"/>
    <cellStyle name="Calculation 2 2 2 3" xfId="6836"/>
    <cellStyle name="Calculation 2 2 2 3 2" xfId="52935"/>
    <cellStyle name="Calculation 2 2 2 3 3" xfId="52936"/>
    <cellStyle name="Calculation 2 2 2 3 4" xfId="52937"/>
    <cellStyle name="Calculation 2 2 2 3 5" xfId="52938"/>
    <cellStyle name="Calculation 2 2 2 3 6" xfId="52939"/>
    <cellStyle name="Calculation 2 2 2 4" xfId="11558"/>
    <cellStyle name="Calculation 2 2 2 5" xfId="52940"/>
    <cellStyle name="Calculation 2 2 3" xfId="3146"/>
    <cellStyle name="Calculation 2 2 3 2" xfId="8425"/>
    <cellStyle name="Calculation 2 2 3 2 2" xfId="52941"/>
    <cellStyle name="Calculation 2 2 3 2 3" xfId="52942"/>
    <cellStyle name="Calculation 2 2 3 2 4" xfId="52943"/>
    <cellStyle name="Calculation 2 2 3 2 5" xfId="52944"/>
    <cellStyle name="Calculation 2 2 3 2 6" xfId="52945"/>
    <cellStyle name="Calculation 2 2 3 3" xfId="11560"/>
    <cellStyle name="Calculation 2 2 3 4" xfId="52946"/>
    <cellStyle name="Calculation 2 2 3 5" xfId="52947"/>
    <cellStyle name="Calculation 2 2 3 6" xfId="52948"/>
    <cellStyle name="Calculation 2 2 3 7" xfId="52949"/>
    <cellStyle name="Calculation 2 2 3 8" xfId="52950"/>
    <cellStyle name="Calculation 2 2 4" xfId="3147"/>
    <cellStyle name="Calculation 2 2 4 2" xfId="8426"/>
    <cellStyle name="Calculation 2 2 4 2 2" xfId="52951"/>
    <cellStyle name="Calculation 2 2 4 2 3" xfId="52952"/>
    <cellStyle name="Calculation 2 2 4 2 4" xfId="52953"/>
    <cellStyle name="Calculation 2 2 4 2 5" xfId="52954"/>
    <cellStyle name="Calculation 2 2 4 2 6" xfId="52955"/>
    <cellStyle name="Calculation 2 2 4 3" xfId="11561"/>
    <cellStyle name="Calculation 2 2 4 4" xfId="52956"/>
    <cellStyle name="Calculation 2 2 4 5" xfId="52957"/>
    <cellStyle name="Calculation 2 2 4 6" xfId="52958"/>
    <cellStyle name="Calculation 2 2 4 7" xfId="52959"/>
    <cellStyle name="Calculation 2 2 4 8" xfId="52960"/>
    <cellStyle name="Calculation 2 2 5" xfId="3148"/>
    <cellStyle name="Calculation 2 2 5 2" xfId="8427"/>
    <cellStyle name="Calculation 2 2 5 2 2" xfId="52961"/>
    <cellStyle name="Calculation 2 2 5 2 3" xfId="52962"/>
    <cellStyle name="Calculation 2 2 5 2 4" xfId="52963"/>
    <cellStyle name="Calculation 2 2 5 2 5" xfId="52964"/>
    <cellStyle name="Calculation 2 2 5 2 6" xfId="52965"/>
    <cellStyle name="Calculation 2 2 5 3" xfId="11562"/>
    <cellStyle name="Calculation 2 2 5 4" xfId="52966"/>
    <cellStyle name="Calculation 2 2 5 5" xfId="52967"/>
    <cellStyle name="Calculation 2 2 5 6" xfId="52968"/>
    <cellStyle name="Calculation 2 2 5 7" xfId="52969"/>
    <cellStyle name="Calculation 2 2 5 8" xfId="52970"/>
    <cellStyle name="Calculation 2 2 6" xfId="3149"/>
    <cellStyle name="Calculation 2 2 6 2" xfId="8428"/>
    <cellStyle name="Calculation 2 2 6 2 2" xfId="52971"/>
    <cellStyle name="Calculation 2 2 6 2 3" xfId="52972"/>
    <cellStyle name="Calculation 2 2 6 2 4" xfId="52973"/>
    <cellStyle name="Calculation 2 2 6 2 5" xfId="52974"/>
    <cellStyle name="Calculation 2 2 6 2 6" xfId="52975"/>
    <cellStyle name="Calculation 2 2 6 3" xfId="11563"/>
    <cellStyle name="Calculation 2 2 6 4" xfId="52976"/>
    <cellStyle name="Calculation 2 2 6 5" xfId="52977"/>
    <cellStyle name="Calculation 2 2 6 6" xfId="52978"/>
    <cellStyle name="Calculation 2 2 6 7" xfId="52979"/>
    <cellStyle name="Calculation 2 2 6 8" xfId="52980"/>
    <cellStyle name="Calculation 2 2 7" xfId="3150"/>
    <cellStyle name="Calculation 2 2 7 2" xfId="8429"/>
    <cellStyle name="Calculation 2 2 7 2 2" xfId="52981"/>
    <cellStyle name="Calculation 2 2 7 2 3" xfId="52982"/>
    <cellStyle name="Calculation 2 2 7 2 4" xfId="52983"/>
    <cellStyle name="Calculation 2 2 7 2 5" xfId="52984"/>
    <cellStyle name="Calculation 2 2 7 2 6" xfId="52985"/>
    <cellStyle name="Calculation 2 2 7 3" xfId="11564"/>
    <cellStyle name="Calculation 2 2 7 4" xfId="52986"/>
    <cellStyle name="Calculation 2 2 7 5" xfId="52987"/>
    <cellStyle name="Calculation 2 2 7 6" xfId="52988"/>
    <cellStyle name="Calculation 2 2 7 7" xfId="52989"/>
    <cellStyle name="Calculation 2 2 7 8" xfId="52990"/>
    <cellStyle name="Calculation 2 2 8" xfId="3151"/>
    <cellStyle name="Calculation 2 2 8 2" xfId="8430"/>
    <cellStyle name="Calculation 2 2 8 2 2" xfId="52991"/>
    <cellStyle name="Calculation 2 2 8 2 3" xfId="52992"/>
    <cellStyle name="Calculation 2 2 8 2 4" xfId="52993"/>
    <cellStyle name="Calculation 2 2 8 2 5" xfId="52994"/>
    <cellStyle name="Calculation 2 2 8 2 6" xfId="52995"/>
    <cellStyle name="Calculation 2 2 8 3" xfId="11565"/>
    <cellStyle name="Calculation 2 2 8 4" xfId="52996"/>
    <cellStyle name="Calculation 2 2 8 5" xfId="52997"/>
    <cellStyle name="Calculation 2 2 8 6" xfId="52998"/>
    <cellStyle name="Calculation 2 2 8 7" xfId="52999"/>
    <cellStyle name="Calculation 2 2 8 8" xfId="53000"/>
    <cellStyle name="Calculation 2 2 9" xfId="3152"/>
    <cellStyle name="Calculation 2 2 9 2" xfId="8431"/>
    <cellStyle name="Calculation 2 2 9 2 2" xfId="53001"/>
    <cellStyle name="Calculation 2 2 9 2 3" xfId="53002"/>
    <cellStyle name="Calculation 2 2 9 2 4" xfId="53003"/>
    <cellStyle name="Calculation 2 2 9 2 5" xfId="53004"/>
    <cellStyle name="Calculation 2 2 9 2 6" xfId="53005"/>
    <cellStyle name="Calculation 2 2 9 3" xfId="11566"/>
    <cellStyle name="Calculation 2 2 9 4" xfId="53006"/>
    <cellStyle name="Calculation 2 2 9 5" xfId="53007"/>
    <cellStyle name="Calculation 2 2 9 6" xfId="53008"/>
    <cellStyle name="Calculation 2 2 9 7" xfId="53009"/>
    <cellStyle name="Calculation 2 2 9 8" xfId="53010"/>
    <cellStyle name="Calculation 2 3" xfId="939"/>
    <cellStyle name="Calculation 2 3 10" xfId="2178"/>
    <cellStyle name="Calculation 2 3 10 2" xfId="7457"/>
    <cellStyle name="Calculation 2 3 10 2 2" xfId="53011"/>
    <cellStyle name="Calculation 2 3 10 2 3" xfId="53012"/>
    <cellStyle name="Calculation 2 3 10 2 4" xfId="53013"/>
    <cellStyle name="Calculation 2 3 10 2 5" xfId="53014"/>
    <cellStyle name="Calculation 2 3 10 3" xfId="11206"/>
    <cellStyle name="Calculation 2 3 10 4" xfId="53015"/>
    <cellStyle name="Calculation 2 3 10 5" xfId="53016"/>
    <cellStyle name="Calculation 2 3 10 6" xfId="53017"/>
    <cellStyle name="Calculation 2 3 11" xfId="6220"/>
    <cellStyle name="Calculation 2 3 11 2" xfId="53018"/>
    <cellStyle name="Calculation 2 3 11 3" xfId="53019"/>
    <cellStyle name="Calculation 2 3 11 4" xfId="53020"/>
    <cellStyle name="Calculation 2 3 11 5" xfId="53021"/>
    <cellStyle name="Calculation 2 3 12" xfId="53022"/>
    <cellStyle name="Calculation 2 3 13" xfId="53023"/>
    <cellStyle name="Calculation 2 3 2" xfId="1558"/>
    <cellStyle name="Calculation 2 3 2 2" xfId="2792"/>
    <cellStyle name="Calculation 2 3 2 2 2" xfId="8071"/>
    <cellStyle name="Calculation 2 3 2 2 2 2" xfId="53024"/>
    <cellStyle name="Calculation 2 3 2 2 2 3" xfId="53025"/>
    <cellStyle name="Calculation 2 3 2 2 2 4" xfId="53026"/>
    <cellStyle name="Calculation 2 3 2 2 2 5" xfId="53027"/>
    <cellStyle name="Calculation 2 3 2 2 3" xfId="11568"/>
    <cellStyle name="Calculation 2 3 2 2 4" xfId="53028"/>
    <cellStyle name="Calculation 2 3 2 2 5" xfId="53029"/>
    <cellStyle name="Calculation 2 3 2 2 6" xfId="53030"/>
    <cellStyle name="Calculation 2 3 2 2 7" xfId="53031"/>
    <cellStyle name="Calculation 2 3 2 3" xfId="6837"/>
    <cellStyle name="Calculation 2 3 2 3 2" xfId="53032"/>
    <cellStyle name="Calculation 2 3 2 3 3" xfId="53033"/>
    <cellStyle name="Calculation 2 3 2 3 4" xfId="53034"/>
    <cellStyle name="Calculation 2 3 2 3 5" xfId="53035"/>
    <cellStyle name="Calculation 2 3 2 3 6" xfId="53036"/>
    <cellStyle name="Calculation 2 3 2 4" xfId="11567"/>
    <cellStyle name="Calculation 2 3 2 5" xfId="53037"/>
    <cellStyle name="Calculation 2 3 3" xfId="3153"/>
    <cellStyle name="Calculation 2 3 3 2" xfId="8432"/>
    <cellStyle name="Calculation 2 3 3 2 2" xfId="53038"/>
    <cellStyle name="Calculation 2 3 3 2 3" xfId="53039"/>
    <cellStyle name="Calculation 2 3 3 2 4" xfId="53040"/>
    <cellStyle name="Calculation 2 3 3 2 5" xfId="53041"/>
    <cellStyle name="Calculation 2 3 3 2 6" xfId="53042"/>
    <cellStyle name="Calculation 2 3 3 3" xfId="11569"/>
    <cellStyle name="Calculation 2 3 3 4" xfId="53043"/>
    <cellStyle name="Calculation 2 3 3 5" xfId="53044"/>
    <cellStyle name="Calculation 2 3 3 6" xfId="53045"/>
    <cellStyle name="Calculation 2 3 3 7" xfId="53046"/>
    <cellStyle name="Calculation 2 3 3 8" xfId="53047"/>
    <cellStyle name="Calculation 2 3 4" xfId="3154"/>
    <cellStyle name="Calculation 2 3 4 2" xfId="8433"/>
    <cellStyle name="Calculation 2 3 4 2 2" xfId="53048"/>
    <cellStyle name="Calculation 2 3 4 2 3" xfId="53049"/>
    <cellStyle name="Calculation 2 3 4 2 4" xfId="53050"/>
    <cellStyle name="Calculation 2 3 4 2 5" xfId="53051"/>
    <cellStyle name="Calculation 2 3 4 2 6" xfId="53052"/>
    <cellStyle name="Calculation 2 3 4 3" xfId="11570"/>
    <cellStyle name="Calculation 2 3 4 4" xfId="53053"/>
    <cellStyle name="Calculation 2 3 4 5" xfId="53054"/>
    <cellStyle name="Calculation 2 3 4 6" xfId="53055"/>
    <cellStyle name="Calculation 2 3 4 7" xfId="53056"/>
    <cellStyle name="Calculation 2 3 4 8" xfId="53057"/>
    <cellStyle name="Calculation 2 3 5" xfId="3155"/>
    <cellStyle name="Calculation 2 3 5 2" xfId="8434"/>
    <cellStyle name="Calculation 2 3 5 2 2" xfId="53058"/>
    <cellStyle name="Calculation 2 3 5 2 3" xfId="53059"/>
    <cellStyle name="Calculation 2 3 5 2 4" xfId="53060"/>
    <cellStyle name="Calculation 2 3 5 2 5" xfId="53061"/>
    <cellStyle name="Calculation 2 3 5 2 6" xfId="53062"/>
    <cellStyle name="Calculation 2 3 5 3" xfId="11571"/>
    <cellStyle name="Calculation 2 3 5 4" xfId="53063"/>
    <cellStyle name="Calculation 2 3 5 5" xfId="53064"/>
    <cellStyle name="Calculation 2 3 5 6" xfId="53065"/>
    <cellStyle name="Calculation 2 3 5 7" xfId="53066"/>
    <cellStyle name="Calculation 2 3 5 8" xfId="53067"/>
    <cellStyle name="Calculation 2 3 6" xfId="3156"/>
    <cellStyle name="Calculation 2 3 6 2" xfId="8435"/>
    <cellStyle name="Calculation 2 3 6 2 2" xfId="53068"/>
    <cellStyle name="Calculation 2 3 6 2 3" xfId="53069"/>
    <cellStyle name="Calculation 2 3 6 2 4" xfId="53070"/>
    <cellStyle name="Calculation 2 3 6 2 5" xfId="53071"/>
    <cellStyle name="Calculation 2 3 6 2 6" xfId="53072"/>
    <cellStyle name="Calculation 2 3 6 3" xfId="11572"/>
    <cellStyle name="Calculation 2 3 6 4" xfId="53073"/>
    <cellStyle name="Calculation 2 3 6 5" xfId="53074"/>
    <cellStyle name="Calculation 2 3 6 6" xfId="53075"/>
    <cellStyle name="Calculation 2 3 6 7" xfId="53076"/>
    <cellStyle name="Calculation 2 3 6 8" xfId="53077"/>
    <cellStyle name="Calculation 2 3 7" xfId="3157"/>
    <cellStyle name="Calculation 2 3 7 2" xfId="8436"/>
    <cellStyle name="Calculation 2 3 7 2 2" xfId="53078"/>
    <cellStyle name="Calculation 2 3 7 2 3" xfId="53079"/>
    <cellStyle name="Calculation 2 3 7 2 4" xfId="53080"/>
    <cellStyle name="Calculation 2 3 7 2 5" xfId="53081"/>
    <cellStyle name="Calculation 2 3 7 2 6" xfId="53082"/>
    <cellStyle name="Calculation 2 3 7 3" xfId="11573"/>
    <cellStyle name="Calculation 2 3 7 4" xfId="53083"/>
    <cellStyle name="Calculation 2 3 7 5" xfId="53084"/>
    <cellStyle name="Calculation 2 3 7 6" xfId="53085"/>
    <cellStyle name="Calculation 2 3 7 7" xfId="53086"/>
    <cellStyle name="Calculation 2 3 7 8" xfId="53087"/>
    <cellStyle name="Calculation 2 3 8" xfId="3158"/>
    <cellStyle name="Calculation 2 3 8 2" xfId="8437"/>
    <cellStyle name="Calculation 2 3 8 2 2" xfId="53088"/>
    <cellStyle name="Calculation 2 3 8 2 3" xfId="53089"/>
    <cellStyle name="Calculation 2 3 8 2 4" xfId="53090"/>
    <cellStyle name="Calculation 2 3 8 2 5" xfId="53091"/>
    <cellStyle name="Calculation 2 3 8 2 6" xfId="53092"/>
    <cellStyle name="Calculation 2 3 8 3" xfId="11574"/>
    <cellStyle name="Calculation 2 3 8 4" xfId="53093"/>
    <cellStyle name="Calculation 2 3 8 5" xfId="53094"/>
    <cellStyle name="Calculation 2 3 8 6" xfId="53095"/>
    <cellStyle name="Calculation 2 3 8 7" xfId="53096"/>
    <cellStyle name="Calculation 2 3 8 8" xfId="53097"/>
    <cellStyle name="Calculation 2 3 9" xfId="3159"/>
    <cellStyle name="Calculation 2 3 9 2" xfId="8438"/>
    <cellStyle name="Calculation 2 3 9 2 2" xfId="53098"/>
    <cellStyle name="Calculation 2 3 9 2 3" xfId="53099"/>
    <cellStyle name="Calculation 2 3 9 2 4" xfId="53100"/>
    <cellStyle name="Calculation 2 3 9 2 5" xfId="53101"/>
    <cellStyle name="Calculation 2 3 9 2 6" xfId="53102"/>
    <cellStyle name="Calculation 2 3 9 3" xfId="11575"/>
    <cellStyle name="Calculation 2 3 9 4" xfId="53103"/>
    <cellStyle name="Calculation 2 3 9 5" xfId="53104"/>
    <cellStyle name="Calculation 2 3 9 6" xfId="53105"/>
    <cellStyle name="Calculation 2 3 9 7" xfId="53106"/>
    <cellStyle name="Calculation 2 3 9 8" xfId="53107"/>
    <cellStyle name="Calculation 2 4" xfId="940"/>
    <cellStyle name="Calculation 2 4 10" xfId="2179"/>
    <cellStyle name="Calculation 2 4 10 2" xfId="7458"/>
    <cellStyle name="Calculation 2 4 10 2 2" xfId="53108"/>
    <cellStyle name="Calculation 2 4 10 2 3" xfId="53109"/>
    <cellStyle name="Calculation 2 4 10 2 4" xfId="53110"/>
    <cellStyle name="Calculation 2 4 10 2 5" xfId="53111"/>
    <cellStyle name="Calculation 2 4 10 3" xfId="11207"/>
    <cellStyle name="Calculation 2 4 10 4" xfId="53112"/>
    <cellStyle name="Calculation 2 4 10 5" xfId="53113"/>
    <cellStyle name="Calculation 2 4 10 6" xfId="53114"/>
    <cellStyle name="Calculation 2 4 11" xfId="6221"/>
    <cellStyle name="Calculation 2 4 11 2" xfId="53115"/>
    <cellStyle name="Calculation 2 4 11 3" xfId="53116"/>
    <cellStyle name="Calculation 2 4 11 4" xfId="53117"/>
    <cellStyle name="Calculation 2 4 11 5" xfId="53118"/>
    <cellStyle name="Calculation 2 4 12" xfId="53119"/>
    <cellStyle name="Calculation 2 4 13" xfId="53120"/>
    <cellStyle name="Calculation 2 4 2" xfId="1559"/>
    <cellStyle name="Calculation 2 4 2 2" xfId="2793"/>
    <cellStyle name="Calculation 2 4 2 2 2" xfId="8072"/>
    <cellStyle name="Calculation 2 4 2 2 2 2" xfId="53121"/>
    <cellStyle name="Calculation 2 4 2 2 2 3" xfId="53122"/>
    <cellStyle name="Calculation 2 4 2 2 2 4" xfId="53123"/>
    <cellStyle name="Calculation 2 4 2 2 2 5" xfId="53124"/>
    <cellStyle name="Calculation 2 4 2 2 3" xfId="11577"/>
    <cellStyle name="Calculation 2 4 2 2 4" xfId="53125"/>
    <cellStyle name="Calculation 2 4 2 2 5" xfId="53126"/>
    <cellStyle name="Calculation 2 4 2 2 6" xfId="53127"/>
    <cellStyle name="Calculation 2 4 2 2 7" xfId="53128"/>
    <cellStyle name="Calculation 2 4 2 3" xfId="6838"/>
    <cellStyle name="Calculation 2 4 2 3 2" xfId="53129"/>
    <cellStyle name="Calculation 2 4 2 3 3" xfId="53130"/>
    <cellStyle name="Calculation 2 4 2 3 4" xfId="53131"/>
    <cellStyle name="Calculation 2 4 2 3 5" xfId="53132"/>
    <cellStyle name="Calculation 2 4 2 3 6" xfId="53133"/>
    <cellStyle name="Calculation 2 4 2 4" xfId="11576"/>
    <cellStyle name="Calculation 2 4 2 5" xfId="53134"/>
    <cellStyle name="Calculation 2 4 3" xfId="3160"/>
    <cellStyle name="Calculation 2 4 3 2" xfId="8439"/>
    <cellStyle name="Calculation 2 4 3 2 2" xfId="53135"/>
    <cellStyle name="Calculation 2 4 3 2 3" xfId="53136"/>
    <cellStyle name="Calculation 2 4 3 2 4" xfId="53137"/>
    <cellStyle name="Calculation 2 4 3 2 5" xfId="53138"/>
    <cellStyle name="Calculation 2 4 3 2 6" xfId="53139"/>
    <cellStyle name="Calculation 2 4 3 3" xfId="11578"/>
    <cellStyle name="Calculation 2 4 3 4" xfId="53140"/>
    <cellStyle name="Calculation 2 4 3 5" xfId="53141"/>
    <cellStyle name="Calculation 2 4 3 6" xfId="53142"/>
    <cellStyle name="Calculation 2 4 3 7" xfId="53143"/>
    <cellStyle name="Calculation 2 4 3 8" xfId="53144"/>
    <cellStyle name="Calculation 2 4 4" xfId="3161"/>
    <cellStyle name="Calculation 2 4 4 2" xfId="8440"/>
    <cellStyle name="Calculation 2 4 4 2 2" xfId="53145"/>
    <cellStyle name="Calculation 2 4 4 2 3" xfId="53146"/>
    <cellStyle name="Calculation 2 4 4 2 4" xfId="53147"/>
    <cellStyle name="Calculation 2 4 4 2 5" xfId="53148"/>
    <cellStyle name="Calculation 2 4 4 2 6" xfId="53149"/>
    <cellStyle name="Calculation 2 4 4 3" xfId="11579"/>
    <cellStyle name="Calculation 2 4 4 4" xfId="53150"/>
    <cellStyle name="Calculation 2 4 4 5" xfId="53151"/>
    <cellStyle name="Calculation 2 4 4 6" xfId="53152"/>
    <cellStyle name="Calculation 2 4 4 7" xfId="53153"/>
    <cellStyle name="Calculation 2 4 4 8" xfId="53154"/>
    <cellStyle name="Calculation 2 4 5" xfId="3162"/>
    <cellStyle name="Calculation 2 4 5 2" xfId="8441"/>
    <cellStyle name="Calculation 2 4 5 2 2" xfId="53155"/>
    <cellStyle name="Calculation 2 4 5 2 3" xfId="53156"/>
    <cellStyle name="Calculation 2 4 5 2 4" xfId="53157"/>
    <cellStyle name="Calculation 2 4 5 2 5" xfId="53158"/>
    <cellStyle name="Calculation 2 4 5 2 6" xfId="53159"/>
    <cellStyle name="Calculation 2 4 5 3" xfId="11580"/>
    <cellStyle name="Calculation 2 4 5 4" xfId="53160"/>
    <cellStyle name="Calculation 2 4 5 5" xfId="53161"/>
    <cellStyle name="Calculation 2 4 5 6" xfId="53162"/>
    <cellStyle name="Calculation 2 4 5 7" xfId="53163"/>
    <cellStyle name="Calculation 2 4 5 8" xfId="53164"/>
    <cellStyle name="Calculation 2 4 6" xfId="3163"/>
    <cellStyle name="Calculation 2 4 6 2" xfId="8442"/>
    <cellStyle name="Calculation 2 4 6 2 2" xfId="53165"/>
    <cellStyle name="Calculation 2 4 6 2 3" xfId="53166"/>
    <cellStyle name="Calculation 2 4 6 2 4" xfId="53167"/>
    <cellStyle name="Calculation 2 4 6 2 5" xfId="53168"/>
    <cellStyle name="Calculation 2 4 6 2 6" xfId="53169"/>
    <cellStyle name="Calculation 2 4 6 3" xfId="11581"/>
    <cellStyle name="Calculation 2 4 6 4" xfId="53170"/>
    <cellStyle name="Calculation 2 4 6 5" xfId="53171"/>
    <cellStyle name="Calculation 2 4 6 6" xfId="53172"/>
    <cellStyle name="Calculation 2 4 6 7" xfId="53173"/>
    <cellStyle name="Calculation 2 4 6 8" xfId="53174"/>
    <cellStyle name="Calculation 2 4 7" xfId="3164"/>
    <cellStyle name="Calculation 2 4 7 2" xfId="8443"/>
    <cellStyle name="Calculation 2 4 7 2 2" xfId="53175"/>
    <cellStyle name="Calculation 2 4 7 2 3" xfId="53176"/>
    <cellStyle name="Calculation 2 4 7 2 4" xfId="53177"/>
    <cellStyle name="Calculation 2 4 7 2 5" xfId="53178"/>
    <cellStyle name="Calculation 2 4 7 2 6" xfId="53179"/>
    <cellStyle name="Calculation 2 4 7 3" xfId="11582"/>
    <cellStyle name="Calculation 2 4 7 4" xfId="53180"/>
    <cellStyle name="Calculation 2 4 7 5" xfId="53181"/>
    <cellStyle name="Calculation 2 4 7 6" xfId="53182"/>
    <cellStyle name="Calculation 2 4 7 7" xfId="53183"/>
    <cellStyle name="Calculation 2 4 7 8" xfId="53184"/>
    <cellStyle name="Calculation 2 4 8" xfId="3165"/>
    <cellStyle name="Calculation 2 4 8 2" xfId="8444"/>
    <cellStyle name="Calculation 2 4 8 2 2" xfId="53185"/>
    <cellStyle name="Calculation 2 4 8 2 3" xfId="53186"/>
    <cellStyle name="Calculation 2 4 8 2 4" xfId="53187"/>
    <cellStyle name="Calculation 2 4 8 2 5" xfId="53188"/>
    <cellStyle name="Calculation 2 4 8 2 6" xfId="53189"/>
    <cellStyle name="Calculation 2 4 8 3" xfId="11583"/>
    <cellStyle name="Calculation 2 4 8 4" xfId="53190"/>
    <cellStyle name="Calculation 2 4 8 5" xfId="53191"/>
    <cellStyle name="Calculation 2 4 8 6" xfId="53192"/>
    <cellStyle name="Calculation 2 4 8 7" xfId="53193"/>
    <cellStyle name="Calculation 2 4 8 8" xfId="53194"/>
    <cellStyle name="Calculation 2 4 9" xfId="3166"/>
    <cellStyle name="Calculation 2 4 9 2" xfId="8445"/>
    <cellStyle name="Calculation 2 4 9 2 2" xfId="53195"/>
    <cellStyle name="Calculation 2 4 9 2 3" xfId="53196"/>
    <cellStyle name="Calculation 2 4 9 2 4" xfId="53197"/>
    <cellStyle name="Calculation 2 4 9 2 5" xfId="53198"/>
    <cellStyle name="Calculation 2 4 9 2 6" xfId="53199"/>
    <cellStyle name="Calculation 2 4 9 3" xfId="11584"/>
    <cellStyle name="Calculation 2 4 9 4" xfId="53200"/>
    <cellStyle name="Calculation 2 4 9 5" xfId="53201"/>
    <cellStyle name="Calculation 2 4 9 6" xfId="53202"/>
    <cellStyle name="Calculation 2 4 9 7" xfId="53203"/>
    <cellStyle name="Calculation 2 4 9 8" xfId="53204"/>
    <cellStyle name="Calculation 2 5" xfId="941"/>
    <cellStyle name="Calculation 2 5 10" xfId="2180"/>
    <cellStyle name="Calculation 2 5 10 2" xfId="7459"/>
    <cellStyle name="Calculation 2 5 10 2 2" xfId="53205"/>
    <cellStyle name="Calculation 2 5 10 2 3" xfId="53206"/>
    <cellStyle name="Calculation 2 5 10 2 4" xfId="53207"/>
    <cellStyle name="Calculation 2 5 10 2 5" xfId="53208"/>
    <cellStyle name="Calculation 2 5 10 3" xfId="11208"/>
    <cellStyle name="Calculation 2 5 10 4" xfId="53209"/>
    <cellStyle name="Calculation 2 5 10 5" xfId="53210"/>
    <cellStyle name="Calculation 2 5 10 6" xfId="53211"/>
    <cellStyle name="Calculation 2 5 11" xfId="6222"/>
    <cellStyle name="Calculation 2 5 11 2" xfId="53212"/>
    <cellStyle name="Calculation 2 5 11 3" xfId="53213"/>
    <cellStyle name="Calculation 2 5 11 4" xfId="53214"/>
    <cellStyle name="Calculation 2 5 11 5" xfId="53215"/>
    <cellStyle name="Calculation 2 5 12" xfId="53216"/>
    <cellStyle name="Calculation 2 5 13" xfId="53217"/>
    <cellStyle name="Calculation 2 5 2" xfId="1560"/>
    <cellStyle name="Calculation 2 5 2 2" xfId="2794"/>
    <cellStyle name="Calculation 2 5 2 2 2" xfId="8073"/>
    <cellStyle name="Calculation 2 5 2 2 2 2" xfId="53218"/>
    <cellStyle name="Calculation 2 5 2 2 2 3" xfId="53219"/>
    <cellStyle name="Calculation 2 5 2 2 2 4" xfId="53220"/>
    <cellStyle name="Calculation 2 5 2 2 2 5" xfId="53221"/>
    <cellStyle name="Calculation 2 5 2 2 3" xfId="11586"/>
    <cellStyle name="Calculation 2 5 2 2 4" xfId="53222"/>
    <cellStyle name="Calculation 2 5 2 2 5" xfId="53223"/>
    <cellStyle name="Calculation 2 5 2 2 6" xfId="53224"/>
    <cellStyle name="Calculation 2 5 2 2 7" xfId="53225"/>
    <cellStyle name="Calculation 2 5 2 3" xfId="6839"/>
    <cellStyle name="Calculation 2 5 2 3 2" xfId="53226"/>
    <cellStyle name="Calculation 2 5 2 3 3" xfId="53227"/>
    <cellStyle name="Calculation 2 5 2 3 4" xfId="53228"/>
    <cellStyle name="Calculation 2 5 2 3 5" xfId="53229"/>
    <cellStyle name="Calculation 2 5 2 3 6" xfId="53230"/>
    <cellStyle name="Calculation 2 5 2 4" xfId="11585"/>
    <cellStyle name="Calculation 2 5 2 5" xfId="53231"/>
    <cellStyle name="Calculation 2 5 3" xfId="3167"/>
    <cellStyle name="Calculation 2 5 3 2" xfId="8446"/>
    <cellStyle name="Calculation 2 5 3 2 2" xfId="53232"/>
    <cellStyle name="Calculation 2 5 3 2 3" xfId="53233"/>
    <cellStyle name="Calculation 2 5 3 2 4" xfId="53234"/>
    <cellStyle name="Calculation 2 5 3 2 5" xfId="53235"/>
    <cellStyle name="Calculation 2 5 3 2 6" xfId="53236"/>
    <cellStyle name="Calculation 2 5 3 3" xfId="11587"/>
    <cellStyle name="Calculation 2 5 3 4" xfId="53237"/>
    <cellStyle name="Calculation 2 5 3 5" xfId="53238"/>
    <cellStyle name="Calculation 2 5 3 6" xfId="53239"/>
    <cellStyle name="Calculation 2 5 3 7" xfId="53240"/>
    <cellStyle name="Calculation 2 5 3 8" xfId="53241"/>
    <cellStyle name="Calculation 2 5 4" xfId="3168"/>
    <cellStyle name="Calculation 2 5 4 2" xfId="8447"/>
    <cellStyle name="Calculation 2 5 4 2 2" xfId="53242"/>
    <cellStyle name="Calculation 2 5 4 2 3" xfId="53243"/>
    <cellStyle name="Calculation 2 5 4 2 4" xfId="53244"/>
    <cellStyle name="Calculation 2 5 4 2 5" xfId="53245"/>
    <cellStyle name="Calculation 2 5 4 2 6" xfId="53246"/>
    <cellStyle name="Calculation 2 5 4 3" xfId="11588"/>
    <cellStyle name="Calculation 2 5 4 4" xfId="53247"/>
    <cellStyle name="Calculation 2 5 4 5" xfId="53248"/>
    <cellStyle name="Calculation 2 5 4 6" xfId="53249"/>
    <cellStyle name="Calculation 2 5 4 7" xfId="53250"/>
    <cellStyle name="Calculation 2 5 4 8" xfId="53251"/>
    <cellStyle name="Calculation 2 5 5" xfId="3169"/>
    <cellStyle name="Calculation 2 5 5 2" xfId="8448"/>
    <cellStyle name="Calculation 2 5 5 2 2" xfId="53252"/>
    <cellStyle name="Calculation 2 5 5 2 3" xfId="53253"/>
    <cellStyle name="Calculation 2 5 5 2 4" xfId="53254"/>
    <cellStyle name="Calculation 2 5 5 2 5" xfId="53255"/>
    <cellStyle name="Calculation 2 5 5 2 6" xfId="53256"/>
    <cellStyle name="Calculation 2 5 5 3" xfId="11589"/>
    <cellStyle name="Calculation 2 5 5 4" xfId="53257"/>
    <cellStyle name="Calculation 2 5 5 5" xfId="53258"/>
    <cellStyle name="Calculation 2 5 5 6" xfId="53259"/>
    <cellStyle name="Calculation 2 5 5 7" xfId="53260"/>
    <cellStyle name="Calculation 2 5 5 8" xfId="53261"/>
    <cellStyle name="Calculation 2 5 6" xfId="3170"/>
    <cellStyle name="Calculation 2 5 6 2" xfId="8449"/>
    <cellStyle name="Calculation 2 5 6 2 2" xfId="53262"/>
    <cellStyle name="Calculation 2 5 6 2 3" xfId="53263"/>
    <cellStyle name="Calculation 2 5 6 2 4" xfId="53264"/>
    <cellStyle name="Calculation 2 5 6 2 5" xfId="53265"/>
    <cellStyle name="Calculation 2 5 6 2 6" xfId="53266"/>
    <cellStyle name="Calculation 2 5 6 3" xfId="11590"/>
    <cellStyle name="Calculation 2 5 6 4" xfId="53267"/>
    <cellStyle name="Calculation 2 5 6 5" xfId="53268"/>
    <cellStyle name="Calculation 2 5 6 6" xfId="53269"/>
    <cellStyle name="Calculation 2 5 6 7" xfId="53270"/>
    <cellStyle name="Calculation 2 5 6 8" xfId="53271"/>
    <cellStyle name="Calculation 2 5 7" xfId="3171"/>
    <cellStyle name="Calculation 2 5 7 2" xfId="8450"/>
    <cellStyle name="Calculation 2 5 7 2 2" xfId="53272"/>
    <cellStyle name="Calculation 2 5 7 2 3" xfId="53273"/>
    <cellStyle name="Calculation 2 5 7 2 4" xfId="53274"/>
    <cellStyle name="Calculation 2 5 7 2 5" xfId="53275"/>
    <cellStyle name="Calculation 2 5 7 2 6" xfId="53276"/>
    <cellStyle name="Calculation 2 5 7 3" xfId="11591"/>
    <cellStyle name="Calculation 2 5 7 4" xfId="53277"/>
    <cellStyle name="Calculation 2 5 7 5" xfId="53278"/>
    <cellStyle name="Calculation 2 5 7 6" xfId="53279"/>
    <cellStyle name="Calculation 2 5 7 7" xfId="53280"/>
    <cellStyle name="Calculation 2 5 7 8" xfId="53281"/>
    <cellStyle name="Calculation 2 5 8" xfId="3172"/>
    <cellStyle name="Calculation 2 5 8 2" xfId="8451"/>
    <cellStyle name="Calculation 2 5 8 2 2" xfId="53282"/>
    <cellStyle name="Calculation 2 5 8 2 3" xfId="53283"/>
    <cellStyle name="Calculation 2 5 8 2 4" xfId="53284"/>
    <cellStyle name="Calculation 2 5 8 2 5" xfId="53285"/>
    <cellStyle name="Calculation 2 5 8 2 6" xfId="53286"/>
    <cellStyle name="Calculation 2 5 8 3" xfId="11592"/>
    <cellStyle name="Calculation 2 5 8 4" xfId="53287"/>
    <cellStyle name="Calculation 2 5 8 5" xfId="53288"/>
    <cellStyle name="Calculation 2 5 8 6" xfId="53289"/>
    <cellStyle name="Calculation 2 5 8 7" xfId="53290"/>
    <cellStyle name="Calculation 2 5 8 8" xfId="53291"/>
    <cellStyle name="Calculation 2 5 9" xfId="3173"/>
    <cellStyle name="Calculation 2 5 9 2" xfId="8452"/>
    <cellStyle name="Calculation 2 5 9 2 2" xfId="53292"/>
    <cellStyle name="Calculation 2 5 9 2 3" xfId="53293"/>
    <cellStyle name="Calculation 2 5 9 2 4" xfId="53294"/>
    <cellStyle name="Calculation 2 5 9 2 5" xfId="53295"/>
    <cellStyle name="Calculation 2 5 9 2 6" xfId="53296"/>
    <cellStyle name="Calculation 2 5 9 3" xfId="11593"/>
    <cellStyle name="Calculation 2 5 9 4" xfId="53297"/>
    <cellStyle name="Calculation 2 5 9 5" xfId="53298"/>
    <cellStyle name="Calculation 2 5 9 6" xfId="53299"/>
    <cellStyle name="Calculation 2 5 9 7" xfId="53300"/>
    <cellStyle name="Calculation 2 5 9 8" xfId="53301"/>
    <cellStyle name="Calculation 2 6" xfId="942"/>
    <cellStyle name="Calculation 2 6 10" xfId="2181"/>
    <cellStyle name="Calculation 2 6 10 2" xfId="7460"/>
    <cellStyle name="Calculation 2 6 10 2 2" xfId="53302"/>
    <cellStyle name="Calculation 2 6 10 2 3" xfId="53303"/>
    <cellStyle name="Calculation 2 6 10 2 4" xfId="53304"/>
    <cellStyle name="Calculation 2 6 10 2 5" xfId="53305"/>
    <cellStyle name="Calculation 2 6 10 3" xfId="11209"/>
    <cellStyle name="Calculation 2 6 10 4" xfId="53306"/>
    <cellStyle name="Calculation 2 6 10 5" xfId="53307"/>
    <cellStyle name="Calculation 2 6 10 6" xfId="53308"/>
    <cellStyle name="Calculation 2 6 11" xfId="6223"/>
    <cellStyle name="Calculation 2 6 11 2" xfId="53309"/>
    <cellStyle name="Calculation 2 6 11 3" xfId="53310"/>
    <cellStyle name="Calculation 2 6 11 4" xfId="53311"/>
    <cellStyle name="Calculation 2 6 11 5" xfId="53312"/>
    <cellStyle name="Calculation 2 6 12" xfId="53313"/>
    <cellStyle name="Calculation 2 6 13" xfId="53314"/>
    <cellStyle name="Calculation 2 6 2" xfId="1561"/>
    <cellStyle name="Calculation 2 6 2 2" xfId="2795"/>
    <cellStyle name="Calculation 2 6 2 2 2" xfId="8074"/>
    <cellStyle name="Calculation 2 6 2 2 2 2" xfId="53315"/>
    <cellStyle name="Calculation 2 6 2 2 2 3" xfId="53316"/>
    <cellStyle name="Calculation 2 6 2 2 2 4" xfId="53317"/>
    <cellStyle name="Calculation 2 6 2 2 2 5" xfId="53318"/>
    <cellStyle name="Calculation 2 6 2 2 3" xfId="11595"/>
    <cellStyle name="Calculation 2 6 2 2 4" xfId="53319"/>
    <cellStyle name="Calculation 2 6 2 2 5" xfId="53320"/>
    <cellStyle name="Calculation 2 6 2 2 6" xfId="53321"/>
    <cellStyle name="Calculation 2 6 2 2 7" xfId="53322"/>
    <cellStyle name="Calculation 2 6 2 3" xfId="6840"/>
    <cellStyle name="Calculation 2 6 2 3 2" xfId="53323"/>
    <cellStyle name="Calculation 2 6 2 3 3" xfId="53324"/>
    <cellStyle name="Calculation 2 6 2 3 4" xfId="53325"/>
    <cellStyle name="Calculation 2 6 2 3 5" xfId="53326"/>
    <cellStyle name="Calculation 2 6 2 3 6" xfId="53327"/>
    <cellStyle name="Calculation 2 6 2 4" xfId="11594"/>
    <cellStyle name="Calculation 2 6 2 5" xfId="53328"/>
    <cellStyle name="Calculation 2 6 3" xfId="3174"/>
    <cellStyle name="Calculation 2 6 3 2" xfId="8453"/>
    <cellStyle name="Calculation 2 6 3 2 2" xfId="53329"/>
    <cellStyle name="Calculation 2 6 3 2 3" xfId="53330"/>
    <cellStyle name="Calculation 2 6 3 2 4" xfId="53331"/>
    <cellStyle name="Calculation 2 6 3 2 5" xfId="53332"/>
    <cellStyle name="Calculation 2 6 3 2 6" xfId="53333"/>
    <cellStyle name="Calculation 2 6 3 3" xfId="11596"/>
    <cellStyle name="Calculation 2 6 3 4" xfId="53334"/>
    <cellStyle name="Calculation 2 6 3 5" xfId="53335"/>
    <cellStyle name="Calculation 2 6 3 6" xfId="53336"/>
    <cellStyle name="Calculation 2 6 3 7" xfId="53337"/>
    <cellStyle name="Calculation 2 6 3 8" xfId="53338"/>
    <cellStyle name="Calculation 2 6 4" xfId="3175"/>
    <cellStyle name="Calculation 2 6 4 2" xfId="8454"/>
    <cellStyle name="Calculation 2 6 4 2 2" xfId="53339"/>
    <cellStyle name="Calculation 2 6 4 2 3" xfId="53340"/>
    <cellStyle name="Calculation 2 6 4 2 4" xfId="53341"/>
    <cellStyle name="Calculation 2 6 4 2 5" xfId="53342"/>
    <cellStyle name="Calculation 2 6 4 2 6" xfId="53343"/>
    <cellStyle name="Calculation 2 6 4 3" xfId="11597"/>
    <cellStyle name="Calculation 2 6 4 4" xfId="53344"/>
    <cellStyle name="Calculation 2 6 4 5" xfId="53345"/>
    <cellStyle name="Calculation 2 6 4 6" xfId="53346"/>
    <cellStyle name="Calculation 2 6 4 7" xfId="53347"/>
    <cellStyle name="Calculation 2 6 4 8" xfId="53348"/>
    <cellStyle name="Calculation 2 6 5" xfId="3176"/>
    <cellStyle name="Calculation 2 6 5 2" xfId="8455"/>
    <cellStyle name="Calculation 2 6 5 2 2" xfId="53349"/>
    <cellStyle name="Calculation 2 6 5 2 3" xfId="53350"/>
    <cellStyle name="Calculation 2 6 5 2 4" xfId="53351"/>
    <cellStyle name="Calculation 2 6 5 2 5" xfId="53352"/>
    <cellStyle name="Calculation 2 6 5 2 6" xfId="53353"/>
    <cellStyle name="Calculation 2 6 5 3" xfId="11598"/>
    <cellStyle name="Calculation 2 6 5 4" xfId="53354"/>
    <cellStyle name="Calculation 2 6 5 5" xfId="53355"/>
    <cellStyle name="Calculation 2 6 5 6" xfId="53356"/>
    <cellStyle name="Calculation 2 6 5 7" xfId="53357"/>
    <cellStyle name="Calculation 2 6 5 8" xfId="53358"/>
    <cellStyle name="Calculation 2 6 6" xfId="3177"/>
    <cellStyle name="Calculation 2 6 6 2" xfId="8456"/>
    <cellStyle name="Calculation 2 6 6 2 2" xfId="53359"/>
    <cellStyle name="Calculation 2 6 6 2 3" xfId="53360"/>
    <cellStyle name="Calculation 2 6 6 2 4" xfId="53361"/>
    <cellStyle name="Calculation 2 6 6 2 5" xfId="53362"/>
    <cellStyle name="Calculation 2 6 6 2 6" xfId="53363"/>
    <cellStyle name="Calculation 2 6 6 3" xfId="11599"/>
    <cellStyle name="Calculation 2 6 6 4" xfId="53364"/>
    <cellStyle name="Calculation 2 6 6 5" xfId="53365"/>
    <cellStyle name="Calculation 2 6 6 6" xfId="53366"/>
    <cellStyle name="Calculation 2 6 6 7" xfId="53367"/>
    <cellStyle name="Calculation 2 6 6 8" xfId="53368"/>
    <cellStyle name="Calculation 2 6 7" xfId="3178"/>
    <cellStyle name="Calculation 2 6 7 2" xfId="8457"/>
    <cellStyle name="Calculation 2 6 7 2 2" xfId="53369"/>
    <cellStyle name="Calculation 2 6 7 2 3" xfId="53370"/>
    <cellStyle name="Calculation 2 6 7 2 4" xfId="53371"/>
    <cellStyle name="Calculation 2 6 7 2 5" xfId="53372"/>
    <cellStyle name="Calculation 2 6 7 2 6" xfId="53373"/>
    <cellStyle name="Calculation 2 6 7 3" xfId="11600"/>
    <cellStyle name="Calculation 2 6 7 4" xfId="53374"/>
    <cellStyle name="Calculation 2 6 7 5" xfId="53375"/>
    <cellStyle name="Calculation 2 6 7 6" xfId="53376"/>
    <cellStyle name="Calculation 2 6 7 7" xfId="53377"/>
    <cellStyle name="Calculation 2 6 7 8" xfId="53378"/>
    <cellStyle name="Calculation 2 6 8" xfId="3179"/>
    <cellStyle name="Calculation 2 6 8 2" xfId="8458"/>
    <cellStyle name="Calculation 2 6 8 2 2" xfId="53379"/>
    <cellStyle name="Calculation 2 6 8 2 3" xfId="53380"/>
    <cellStyle name="Calculation 2 6 8 2 4" xfId="53381"/>
    <cellStyle name="Calculation 2 6 8 2 5" xfId="53382"/>
    <cellStyle name="Calculation 2 6 8 2 6" xfId="53383"/>
    <cellStyle name="Calculation 2 6 8 3" xfId="11601"/>
    <cellStyle name="Calculation 2 6 8 4" xfId="53384"/>
    <cellStyle name="Calculation 2 6 8 5" xfId="53385"/>
    <cellStyle name="Calculation 2 6 8 6" xfId="53386"/>
    <cellStyle name="Calculation 2 6 8 7" xfId="53387"/>
    <cellStyle name="Calculation 2 6 8 8" xfId="53388"/>
    <cellStyle name="Calculation 2 6 9" xfId="3180"/>
    <cellStyle name="Calculation 2 6 9 2" xfId="8459"/>
    <cellStyle name="Calculation 2 6 9 2 2" xfId="53389"/>
    <cellStyle name="Calculation 2 6 9 2 3" xfId="53390"/>
    <cellStyle name="Calculation 2 6 9 2 4" xfId="53391"/>
    <cellStyle name="Calculation 2 6 9 2 5" xfId="53392"/>
    <cellStyle name="Calculation 2 6 9 2 6" xfId="53393"/>
    <cellStyle name="Calculation 2 6 9 3" xfId="11602"/>
    <cellStyle name="Calculation 2 6 9 4" xfId="53394"/>
    <cellStyle name="Calculation 2 6 9 5" xfId="53395"/>
    <cellStyle name="Calculation 2 6 9 6" xfId="53396"/>
    <cellStyle name="Calculation 2 6 9 7" xfId="53397"/>
    <cellStyle name="Calculation 2 6 9 8" xfId="53398"/>
    <cellStyle name="Calculation 2 7" xfId="1243"/>
    <cellStyle name="Calculation 2 7 2" xfId="2477"/>
    <cellStyle name="Calculation 2 7 2 2" xfId="7756"/>
    <cellStyle name="Calculation 2 7 2 2 2" xfId="53399"/>
    <cellStyle name="Calculation 2 7 2 2 3" xfId="53400"/>
    <cellStyle name="Calculation 2 7 2 2 4" xfId="53401"/>
    <cellStyle name="Calculation 2 7 2 2 5" xfId="53402"/>
    <cellStyle name="Calculation 2 7 2 3" xfId="11604"/>
    <cellStyle name="Calculation 2 7 2 4" xfId="53403"/>
    <cellStyle name="Calculation 2 7 2 5" xfId="53404"/>
    <cellStyle name="Calculation 2 7 2 6" xfId="53405"/>
    <cellStyle name="Calculation 2 7 2 7" xfId="53406"/>
    <cellStyle name="Calculation 2 7 3" xfId="6522"/>
    <cellStyle name="Calculation 2 7 3 2" xfId="53407"/>
    <cellStyle name="Calculation 2 7 3 3" xfId="53408"/>
    <cellStyle name="Calculation 2 7 3 4" xfId="53409"/>
    <cellStyle name="Calculation 2 7 3 5" xfId="53410"/>
    <cellStyle name="Calculation 2 7 3 6" xfId="53411"/>
    <cellStyle name="Calculation 2 7 4" xfId="11603"/>
    <cellStyle name="Calculation 2 7 5" xfId="53412"/>
    <cellStyle name="Calculation 2 8" xfId="3181"/>
    <cellStyle name="Calculation 2 8 2" xfId="8460"/>
    <cellStyle name="Calculation 2 8 2 2" xfId="53413"/>
    <cellStyle name="Calculation 2 8 2 3" xfId="53414"/>
    <cellStyle name="Calculation 2 8 2 4" xfId="53415"/>
    <cellStyle name="Calculation 2 8 2 5" xfId="53416"/>
    <cellStyle name="Calculation 2 8 2 6" xfId="53417"/>
    <cellStyle name="Calculation 2 8 3" xfId="11605"/>
    <cellStyle name="Calculation 2 8 4" xfId="53418"/>
    <cellStyle name="Calculation 2 8 5" xfId="53419"/>
    <cellStyle name="Calculation 2 8 6" xfId="53420"/>
    <cellStyle name="Calculation 2 8 7" xfId="53421"/>
    <cellStyle name="Calculation 2 8 8" xfId="53422"/>
    <cellStyle name="Calculation 2 9" xfId="3182"/>
    <cellStyle name="Calculation 2 9 2" xfId="8461"/>
    <cellStyle name="Calculation 2 9 2 2" xfId="53423"/>
    <cellStyle name="Calculation 2 9 2 3" xfId="53424"/>
    <cellStyle name="Calculation 2 9 2 4" xfId="53425"/>
    <cellStyle name="Calculation 2 9 2 5" xfId="53426"/>
    <cellStyle name="Calculation 2 9 2 6" xfId="53427"/>
    <cellStyle name="Calculation 2 9 3" xfId="11606"/>
    <cellStyle name="Calculation 2 9 4" xfId="53428"/>
    <cellStyle name="Calculation 2 9 5" xfId="53429"/>
    <cellStyle name="Calculation 2 9 6" xfId="53430"/>
    <cellStyle name="Calculation 2 9 7" xfId="53431"/>
    <cellStyle name="Calculation 2 9 8" xfId="53432"/>
    <cellStyle name="Calculation 3" xfId="47164"/>
    <cellStyle name="Calculation 4" xfId="47165"/>
    <cellStyle name="Calculation 4 2" xfId="47166"/>
    <cellStyle name="Calculation 5" xfId="47167"/>
    <cellStyle name="Cancel" xfId="47168"/>
    <cellStyle name="Check Cell 2" xfId="436"/>
    <cellStyle name="Check Cell 3" xfId="47169"/>
    <cellStyle name="Column total in dollars" xfId="47170"/>
    <cellStyle name="Column total in dollars 2" xfId="47171"/>
    <cellStyle name="Column total in dollars 2 10" xfId="47172"/>
    <cellStyle name="Column total in dollars 2 11" xfId="47173"/>
    <cellStyle name="Column total in dollars 2 12" xfId="47174"/>
    <cellStyle name="Column total in dollars 2 13" xfId="47175"/>
    <cellStyle name="Column total in dollars 2 14" xfId="47176"/>
    <cellStyle name="Column total in dollars 2 15" xfId="47177"/>
    <cellStyle name="Column total in dollars 2 16" xfId="47178"/>
    <cellStyle name="Column total in dollars 2 17" xfId="47179"/>
    <cellStyle name="Column total in dollars 2 18" xfId="47180"/>
    <cellStyle name="Column total in dollars 2 2" xfId="47181"/>
    <cellStyle name="Column total in dollars 2 3" xfId="47182"/>
    <cellStyle name="Column total in dollars 2 4" xfId="47183"/>
    <cellStyle name="Column total in dollars 2 5" xfId="47184"/>
    <cellStyle name="Column total in dollars 2 6" xfId="47185"/>
    <cellStyle name="Column total in dollars 2 7" xfId="47186"/>
    <cellStyle name="Column total in dollars 2 8" xfId="47187"/>
    <cellStyle name="Column total in dollars 2 9" xfId="47188"/>
    <cellStyle name="Column total in dollars 3" xfId="47189"/>
    <cellStyle name="Column.Head" xfId="23"/>
    <cellStyle name="Comma" xfId="1" builtinId="3"/>
    <cellStyle name="Comma  - Style1" xfId="5921"/>
    <cellStyle name="Comma  - Style2" xfId="5833"/>
    <cellStyle name="Comma  - Style3" xfId="5920"/>
    <cellStyle name="Comma  - Style4" xfId="11181"/>
    <cellStyle name="Comma  - Style5" xfId="11111"/>
    <cellStyle name="Comma  - Style6" xfId="5865"/>
    <cellStyle name="Comma  - Style7" xfId="11160"/>
    <cellStyle name="Comma  - Style8" xfId="5919"/>
    <cellStyle name="Comma (0)" xfId="47190"/>
    <cellStyle name="Comma [0] 2" xfId="437"/>
    <cellStyle name="Comma [0] 3" xfId="5832"/>
    <cellStyle name="Comma 10" xfId="438"/>
    <cellStyle name="Comma 10 2" xfId="439"/>
    <cellStyle name="Comma 11" xfId="440"/>
    <cellStyle name="Comma 11 2" xfId="441"/>
    <cellStyle name="Comma 12" xfId="442"/>
    <cellStyle name="Comma 12 2" xfId="443"/>
    <cellStyle name="Comma 12 3" xfId="5922"/>
    <cellStyle name="Comma 13" xfId="444"/>
    <cellStyle name="Comma 13 2" xfId="445"/>
    <cellStyle name="Comma 14" xfId="446"/>
    <cellStyle name="Comma 14 2" xfId="794"/>
    <cellStyle name="Comma 14 2 2" xfId="905"/>
    <cellStyle name="Comma 14 2 2 2" xfId="1524"/>
    <cellStyle name="Comma 14 2 2 2 2" xfId="2758"/>
    <cellStyle name="Comma 14 2 2 2 2 2" xfId="8037"/>
    <cellStyle name="Comma 14 2 2 2 2 3" xfId="11610"/>
    <cellStyle name="Comma 14 2 2 2 3" xfId="6803"/>
    <cellStyle name="Comma 14 2 2 2 4" xfId="11609"/>
    <cellStyle name="Comma 14 2 2 3" xfId="3183"/>
    <cellStyle name="Comma 14 2 2 3 2" xfId="8462"/>
    <cellStyle name="Comma 14 2 2 3 2 2" xfId="53433"/>
    <cellStyle name="Comma 14 2 2 3 3" xfId="11611"/>
    <cellStyle name="Comma 14 2 2 4" xfId="2145"/>
    <cellStyle name="Comma 14 2 2 4 2" xfId="7424"/>
    <cellStyle name="Comma 14 2 2 4 3" xfId="11612"/>
    <cellStyle name="Comma 14 2 2 5" xfId="6186"/>
    <cellStyle name="Comma 14 2 2 6" xfId="11608"/>
    <cellStyle name="Comma 14 2 3" xfId="1421"/>
    <cellStyle name="Comma 14 2 3 2" xfId="2655"/>
    <cellStyle name="Comma 14 2 3 2 2" xfId="7934"/>
    <cellStyle name="Comma 14 2 3 2 3" xfId="11614"/>
    <cellStyle name="Comma 14 2 3 3" xfId="6700"/>
    <cellStyle name="Comma 14 2 3 4" xfId="11613"/>
    <cellStyle name="Comma 14 2 4" xfId="3184"/>
    <cellStyle name="Comma 14 2 4 2" xfId="8463"/>
    <cellStyle name="Comma 14 2 4 2 2" xfId="53434"/>
    <cellStyle name="Comma 14 2 4 3" xfId="11615"/>
    <cellStyle name="Comma 14 2 5" xfId="2047"/>
    <cellStyle name="Comma 14 2 5 2" xfId="7326"/>
    <cellStyle name="Comma 14 2 5 3" xfId="11616"/>
    <cellStyle name="Comma 14 2 6" xfId="6083"/>
    <cellStyle name="Comma 14 2 7" xfId="11607"/>
    <cellStyle name="Comma 14 3" xfId="937"/>
    <cellStyle name="Comma 14 3 2" xfId="1556"/>
    <cellStyle name="Comma 14 3 2 2" xfId="2790"/>
    <cellStyle name="Comma 14 3 2 2 2" xfId="8069"/>
    <cellStyle name="Comma 14 3 2 2 3" xfId="11619"/>
    <cellStyle name="Comma 14 3 2 3" xfId="6835"/>
    <cellStyle name="Comma 14 3 2 4" xfId="11618"/>
    <cellStyle name="Comma 14 3 3" xfId="3185"/>
    <cellStyle name="Comma 14 3 3 2" xfId="8464"/>
    <cellStyle name="Comma 14 3 3 2 2" xfId="53435"/>
    <cellStyle name="Comma 14 3 3 3" xfId="11620"/>
    <cellStyle name="Comma 14 3 4" xfId="2176"/>
    <cellStyle name="Comma 14 3 4 2" xfId="7455"/>
    <cellStyle name="Comma 14 3 4 3" xfId="11621"/>
    <cellStyle name="Comma 14 3 5" xfId="6218"/>
    <cellStyle name="Comma 14 3 6" xfId="11617"/>
    <cellStyle name="Comma 14 4" xfId="856"/>
    <cellStyle name="Comma 14 4 2" xfId="1475"/>
    <cellStyle name="Comma 14 4 2 2" xfId="2709"/>
    <cellStyle name="Comma 14 4 2 2 2" xfId="7988"/>
    <cellStyle name="Comma 14 4 2 2 3" xfId="11624"/>
    <cellStyle name="Comma 14 4 2 3" xfId="6754"/>
    <cellStyle name="Comma 14 4 2 4" xfId="11623"/>
    <cellStyle name="Comma 14 4 3" xfId="3186"/>
    <cellStyle name="Comma 14 4 3 2" xfId="8465"/>
    <cellStyle name="Comma 14 4 3 2 2" xfId="53436"/>
    <cellStyle name="Comma 14 4 3 3" xfId="11625"/>
    <cellStyle name="Comma 14 4 4" xfId="2096"/>
    <cellStyle name="Comma 14 4 4 2" xfId="7375"/>
    <cellStyle name="Comma 14 4 4 3" xfId="11626"/>
    <cellStyle name="Comma 14 4 5" xfId="6137"/>
    <cellStyle name="Comma 14 4 6" xfId="11622"/>
    <cellStyle name="Comma 14 5" xfId="1244"/>
    <cellStyle name="Comma 14 5 2" xfId="2478"/>
    <cellStyle name="Comma 14 5 2 2" xfId="7757"/>
    <cellStyle name="Comma 14 5 2 3" xfId="11628"/>
    <cellStyle name="Comma 14 5 3" xfId="6523"/>
    <cellStyle name="Comma 14 5 4" xfId="11627"/>
    <cellStyle name="Comma 14 6" xfId="3187"/>
    <cellStyle name="Comma 14 6 2" xfId="8466"/>
    <cellStyle name="Comma 14 6 2 2" xfId="53437"/>
    <cellStyle name="Comma 14 6 3" xfId="11629"/>
    <cellStyle name="Comma 14 7" xfId="1931"/>
    <cellStyle name="Comma 14 7 2" xfId="7210"/>
    <cellStyle name="Comma 14 7 3" xfId="11630"/>
    <cellStyle name="Comma 14 8" xfId="5868"/>
    <cellStyle name="Comma 14 9" xfId="11551"/>
    <cellStyle name="Comma 15" xfId="699"/>
    <cellStyle name="Comma 15 2" xfId="822"/>
    <cellStyle name="Comma 15 2 2" xfId="928"/>
    <cellStyle name="Comma 15 2 2 2" xfId="1547"/>
    <cellStyle name="Comma 15 2 2 2 2" xfId="2781"/>
    <cellStyle name="Comma 15 2 2 2 2 2" xfId="8060"/>
    <cellStyle name="Comma 15 2 2 2 2 3" xfId="11635"/>
    <cellStyle name="Comma 15 2 2 2 3" xfId="6826"/>
    <cellStyle name="Comma 15 2 2 2 4" xfId="11634"/>
    <cellStyle name="Comma 15 2 2 3" xfId="3188"/>
    <cellStyle name="Comma 15 2 2 3 2" xfId="8467"/>
    <cellStyle name="Comma 15 2 2 3 2 2" xfId="53438"/>
    <cellStyle name="Comma 15 2 2 3 3" xfId="11636"/>
    <cellStyle name="Comma 15 2 2 4" xfId="2168"/>
    <cellStyle name="Comma 15 2 2 4 2" xfId="7447"/>
    <cellStyle name="Comma 15 2 2 4 3" xfId="11637"/>
    <cellStyle name="Comma 15 2 2 5" xfId="6209"/>
    <cellStyle name="Comma 15 2 2 6" xfId="11633"/>
    <cellStyle name="Comma 15 2 3" xfId="1449"/>
    <cellStyle name="Comma 15 2 3 2" xfId="2683"/>
    <cellStyle name="Comma 15 2 3 2 2" xfId="7962"/>
    <cellStyle name="Comma 15 2 3 2 3" xfId="11639"/>
    <cellStyle name="Comma 15 2 3 3" xfId="6728"/>
    <cellStyle name="Comma 15 2 3 4" xfId="11638"/>
    <cellStyle name="Comma 15 2 4" xfId="3189"/>
    <cellStyle name="Comma 15 2 4 2" xfId="8468"/>
    <cellStyle name="Comma 15 2 4 2 2" xfId="53439"/>
    <cellStyle name="Comma 15 2 4 3" xfId="11640"/>
    <cellStyle name="Comma 15 2 5" xfId="2070"/>
    <cellStyle name="Comma 15 2 5 2" xfId="7349"/>
    <cellStyle name="Comma 15 2 5 3" xfId="11641"/>
    <cellStyle name="Comma 15 2 6" xfId="6111"/>
    <cellStyle name="Comma 15 2 7" xfId="11632"/>
    <cellStyle name="Comma 15 3" xfId="879"/>
    <cellStyle name="Comma 15 3 2" xfId="1498"/>
    <cellStyle name="Comma 15 3 2 2" xfId="2732"/>
    <cellStyle name="Comma 15 3 2 2 2" xfId="8011"/>
    <cellStyle name="Comma 15 3 2 2 3" xfId="11644"/>
    <cellStyle name="Comma 15 3 2 3" xfId="6777"/>
    <cellStyle name="Comma 15 3 2 4" xfId="11643"/>
    <cellStyle name="Comma 15 3 3" xfId="3190"/>
    <cellStyle name="Comma 15 3 3 2" xfId="8469"/>
    <cellStyle name="Comma 15 3 3 2 2" xfId="53440"/>
    <cellStyle name="Comma 15 3 3 3" xfId="11645"/>
    <cellStyle name="Comma 15 3 4" xfId="2119"/>
    <cellStyle name="Comma 15 3 4 2" xfId="7398"/>
    <cellStyle name="Comma 15 3 4 3" xfId="11646"/>
    <cellStyle name="Comma 15 3 5" xfId="6160"/>
    <cellStyle name="Comma 15 3 6" xfId="11642"/>
    <cellStyle name="Comma 15 4" xfId="1334"/>
    <cellStyle name="Comma 15 4 2" xfId="2568"/>
    <cellStyle name="Comma 15 4 2 2" xfId="7847"/>
    <cellStyle name="Comma 15 4 2 3" xfId="11648"/>
    <cellStyle name="Comma 15 4 3" xfId="6613"/>
    <cellStyle name="Comma 15 4 4" xfId="11647"/>
    <cellStyle name="Comma 15 5" xfId="3191"/>
    <cellStyle name="Comma 15 5 2" xfId="8470"/>
    <cellStyle name="Comma 15 5 2 2" xfId="53441"/>
    <cellStyle name="Comma 15 5 3" xfId="11649"/>
    <cellStyle name="Comma 15 6" xfId="2021"/>
    <cellStyle name="Comma 15 6 2" xfId="7300"/>
    <cellStyle name="Comma 15 6 3" xfId="11650"/>
    <cellStyle name="Comma 15 7" xfId="5996"/>
    <cellStyle name="Comma 15 8" xfId="11631"/>
    <cellStyle name="Comma 15 9" xfId="52845"/>
    <cellStyle name="Comma 16" xfId="702"/>
    <cellStyle name="Comma 16 2" xfId="825"/>
    <cellStyle name="Comma 16 2 2" xfId="931"/>
    <cellStyle name="Comma 16 2 2 2" xfId="1550"/>
    <cellStyle name="Comma 16 2 2 2 2" xfId="2784"/>
    <cellStyle name="Comma 16 2 2 2 2 2" xfId="8063"/>
    <cellStyle name="Comma 16 2 2 2 2 3" xfId="11655"/>
    <cellStyle name="Comma 16 2 2 2 3" xfId="6829"/>
    <cellStyle name="Comma 16 2 2 2 4" xfId="11654"/>
    <cellStyle name="Comma 16 2 2 3" xfId="3192"/>
    <cellStyle name="Comma 16 2 2 3 2" xfId="8471"/>
    <cellStyle name="Comma 16 2 2 3 2 2" xfId="53442"/>
    <cellStyle name="Comma 16 2 2 3 3" xfId="11656"/>
    <cellStyle name="Comma 16 2 2 4" xfId="2171"/>
    <cellStyle name="Comma 16 2 2 4 2" xfId="7450"/>
    <cellStyle name="Comma 16 2 2 4 3" xfId="11657"/>
    <cellStyle name="Comma 16 2 2 5" xfId="6212"/>
    <cellStyle name="Comma 16 2 2 6" xfId="11653"/>
    <cellStyle name="Comma 16 2 3" xfId="1452"/>
    <cellStyle name="Comma 16 2 3 2" xfId="2686"/>
    <cellStyle name="Comma 16 2 3 2 2" xfId="7965"/>
    <cellStyle name="Comma 16 2 3 2 3" xfId="11659"/>
    <cellStyle name="Comma 16 2 3 3" xfId="6731"/>
    <cellStyle name="Comma 16 2 3 4" xfId="11658"/>
    <cellStyle name="Comma 16 2 4" xfId="3193"/>
    <cellStyle name="Comma 16 2 4 2" xfId="8472"/>
    <cellStyle name="Comma 16 2 4 2 2" xfId="53443"/>
    <cellStyle name="Comma 16 2 4 3" xfId="11660"/>
    <cellStyle name="Comma 16 2 5" xfId="2073"/>
    <cellStyle name="Comma 16 2 5 2" xfId="7352"/>
    <cellStyle name="Comma 16 2 5 3" xfId="11661"/>
    <cellStyle name="Comma 16 2 6" xfId="6114"/>
    <cellStyle name="Comma 16 2 7" xfId="11652"/>
    <cellStyle name="Comma 16 3" xfId="882"/>
    <cellStyle name="Comma 16 3 2" xfId="1501"/>
    <cellStyle name="Comma 16 3 2 2" xfId="2735"/>
    <cellStyle name="Comma 16 3 2 2 2" xfId="8014"/>
    <cellStyle name="Comma 16 3 2 2 3" xfId="11664"/>
    <cellStyle name="Comma 16 3 2 3" xfId="6780"/>
    <cellStyle name="Comma 16 3 2 4" xfId="11663"/>
    <cellStyle name="Comma 16 3 3" xfId="3194"/>
    <cellStyle name="Comma 16 3 3 2" xfId="8473"/>
    <cellStyle name="Comma 16 3 3 2 2" xfId="53444"/>
    <cellStyle name="Comma 16 3 3 3" xfId="11665"/>
    <cellStyle name="Comma 16 3 4" xfId="2122"/>
    <cellStyle name="Comma 16 3 4 2" xfId="7401"/>
    <cellStyle name="Comma 16 3 4 3" xfId="11666"/>
    <cellStyle name="Comma 16 3 5" xfId="6163"/>
    <cellStyle name="Comma 16 3 6" xfId="11662"/>
    <cellStyle name="Comma 16 4" xfId="1337"/>
    <cellStyle name="Comma 16 4 2" xfId="2571"/>
    <cellStyle name="Comma 16 4 2 2" xfId="7850"/>
    <cellStyle name="Comma 16 4 2 3" xfId="11668"/>
    <cellStyle name="Comma 16 4 3" xfId="6616"/>
    <cellStyle name="Comma 16 4 4" xfId="11667"/>
    <cellStyle name="Comma 16 5" xfId="3195"/>
    <cellStyle name="Comma 16 5 2" xfId="8474"/>
    <cellStyle name="Comma 16 5 2 2" xfId="53445"/>
    <cellStyle name="Comma 16 5 3" xfId="11669"/>
    <cellStyle name="Comma 16 6" xfId="2024"/>
    <cellStyle name="Comma 16 6 2" xfId="7303"/>
    <cellStyle name="Comma 16 6 3" xfId="11670"/>
    <cellStyle name="Comma 16 7" xfId="5999"/>
    <cellStyle name="Comma 16 8" xfId="11651"/>
    <cellStyle name="Comma 16 9" xfId="52846"/>
    <cellStyle name="Comma 17" xfId="705"/>
    <cellStyle name="Comma 17 2" xfId="828"/>
    <cellStyle name="Comma 18" xfId="704"/>
    <cellStyle name="Comma 18 2" xfId="827"/>
    <cellStyle name="Comma 19" xfId="710"/>
    <cellStyle name="Comma 19 2" xfId="833"/>
    <cellStyle name="Comma 2" xfId="2"/>
    <cellStyle name="Comma 2 2" xfId="48"/>
    <cellStyle name="Comma 2 2 2" xfId="447"/>
    <cellStyle name="Comma 2 2 2 10" xfId="47191"/>
    <cellStyle name="Comma 2 2 2 11" xfId="47192"/>
    <cellStyle name="Comma 2 2 2 12" xfId="47193"/>
    <cellStyle name="Comma 2 2 2 13" xfId="47194"/>
    <cellStyle name="Comma 2 2 2 2" xfId="5854"/>
    <cellStyle name="Comma 2 2 2 3" xfId="47195"/>
    <cellStyle name="Comma 2 2 2 4" xfId="47196"/>
    <cellStyle name="Comma 2 2 2 5" xfId="47197"/>
    <cellStyle name="Comma 2 2 2 6" xfId="47198"/>
    <cellStyle name="Comma 2 2 2 7" xfId="47199"/>
    <cellStyle name="Comma 2 2 2 8" xfId="47200"/>
    <cellStyle name="Comma 2 2 2 9" xfId="47201"/>
    <cellStyle name="Comma 2 2 3" xfId="448"/>
    <cellStyle name="Comma 2 2 3 10" xfId="47202"/>
    <cellStyle name="Comma 2 2 3 11" xfId="47203"/>
    <cellStyle name="Comma 2 2 3 12" xfId="47204"/>
    <cellStyle name="Comma 2 2 3 13" xfId="47205"/>
    <cellStyle name="Comma 2 2 3 2" xfId="47206"/>
    <cellStyle name="Comma 2 2 3 3" xfId="47207"/>
    <cellStyle name="Comma 2 2 3 4" xfId="47208"/>
    <cellStyle name="Comma 2 2 3 5" xfId="47209"/>
    <cellStyle name="Comma 2 2 3 6" xfId="47210"/>
    <cellStyle name="Comma 2 2 3 7" xfId="47211"/>
    <cellStyle name="Comma 2 2 3 8" xfId="47212"/>
    <cellStyle name="Comma 2 2 3 9" xfId="47213"/>
    <cellStyle name="Comma 2 2 4" xfId="47214"/>
    <cellStyle name="Comma 2 2 4 10" xfId="47215"/>
    <cellStyle name="Comma 2 2 4 11" xfId="47216"/>
    <cellStyle name="Comma 2 2 4 12" xfId="47217"/>
    <cellStyle name="Comma 2 2 4 13" xfId="47218"/>
    <cellStyle name="Comma 2 2 4 2" xfId="47219"/>
    <cellStyle name="Comma 2 2 4 3" xfId="47220"/>
    <cellStyle name="Comma 2 2 4 4" xfId="47221"/>
    <cellStyle name="Comma 2 2 4 5" xfId="47222"/>
    <cellStyle name="Comma 2 2 4 6" xfId="47223"/>
    <cellStyle name="Comma 2 2 4 7" xfId="47224"/>
    <cellStyle name="Comma 2 2 4 8" xfId="47225"/>
    <cellStyle name="Comma 2 2 4 9" xfId="47226"/>
    <cellStyle name="Comma 2 2 5" xfId="47227"/>
    <cellStyle name="Comma 2 2 5 2" xfId="47228"/>
    <cellStyle name="Comma 2 3" xfId="55"/>
    <cellStyle name="Comma 2 3 2" xfId="732"/>
    <cellStyle name="Comma 2 3 2 10" xfId="47229"/>
    <cellStyle name="Comma 2 3 2 11" xfId="47230"/>
    <cellStyle name="Comma 2 3 2 12" xfId="47231"/>
    <cellStyle name="Comma 2 3 2 13" xfId="47232"/>
    <cellStyle name="Comma 2 3 2 2" xfId="903"/>
    <cellStyle name="Comma 2 3 2 2 2" xfId="1522"/>
    <cellStyle name="Comma 2 3 2 2 2 2" xfId="2756"/>
    <cellStyle name="Comma 2 3 2 2 2 2 2" xfId="8035"/>
    <cellStyle name="Comma 2 3 2 2 2 2 3" xfId="11675"/>
    <cellStyle name="Comma 2 3 2 2 2 3" xfId="6801"/>
    <cellStyle name="Comma 2 3 2 2 2 4" xfId="11674"/>
    <cellStyle name="Comma 2 3 2 2 3" xfId="3196"/>
    <cellStyle name="Comma 2 3 2 2 3 2" xfId="8475"/>
    <cellStyle name="Comma 2 3 2 2 3 2 2" xfId="53446"/>
    <cellStyle name="Comma 2 3 2 2 3 3" xfId="11676"/>
    <cellStyle name="Comma 2 3 2 2 4" xfId="2143"/>
    <cellStyle name="Comma 2 3 2 2 4 2" xfId="7422"/>
    <cellStyle name="Comma 2 3 2 2 4 3" xfId="11677"/>
    <cellStyle name="Comma 2 3 2 2 5" xfId="6184"/>
    <cellStyle name="Comma 2 3 2 2 6" xfId="11673"/>
    <cellStyle name="Comma 2 3 2 3" xfId="1359"/>
    <cellStyle name="Comma 2 3 2 3 2" xfId="2593"/>
    <cellStyle name="Comma 2 3 2 3 2 2" xfId="7872"/>
    <cellStyle name="Comma 2 3 2 3 2 3" xfId="11679"/>
    <cellStyle name="Comma 2 3 2 3 3" xfId="6638"/>
    <cellStyle name="Comma 2 3 2 3 4" xfId="11678"/>
    <cellStyle name="Comma 2 3 2 4" xfId="3197"/>
    <cellStyle name="Comma 2 3 2 4 2" xfId="8476"/>
    <cellStyle name="Comma 2 3 2 4 2 2" xfId="53447"/>
    <cellStyle name="Comma 2 3 2 4 3" xfId="11680"/>
    <cellStyle name="Comma 2 3 2 5" xfId="2045"/>
    <cellStyle name="Comma 2 3 2 5 2" xfId="7324"/>
    <cellStyle name="Comma 2 3 2 5 3" xfId="11681"/>
    <cellStyle name="Comma 2 3 2 6" xfId="6021"/>
    <cellStyle name="Comma 2 3 2 7" xfId="11672"/>
    <cellStyle name="Comma 2 3 2 8" xfId="47233"/>
    <cellStyle name="Comma 2 3 2 9" xfId="47234"/>
    <cellStyle name="Comma 2 3 3" xfId="854"/>
    <cellStyle name="Comma 2 3 3 10" xfId="47235"/>
    <cellStyle name="Comma 2 3 3 11" xfId="47236"/>
    <cellStyle name="Comma 2 3 3 12" xfId="47237"/>
    <cellStyle name="Comma 2 3 3 13" xfId="47238"/>
    <cellStyle name="Comma 2 3 3 2" xfId="1473"/>
    <cellStyle name="Comma 2 3 3 2 2" xfId="2707"/>
    <cellStyle name="Comma 2 3 3 2 2 2" xfId="7986"/>
    <cellStyle name="Comma 2 3 3 2 2 3" xfId="11684"/>
    <cellStyle name="Comma 2 3 3 2 3" xfId="6752"/>
    <cellStyle name="Comma 2 3 3 2 4" xfId="11683"/>
    <cellStyle name="Comma 2 3 3 3" xfId="3198"/>
    <cellStyle name="Comma 2 3 3 3 2" xfId="8477"/>
    <cellStyle name="Comma 2 3 3 3 2 2" xfId="53448"/>
    <cellStyle name="Comma 2 3 3 3 3" xfId="11685"/>
    <cellStyle name="Comma 2 3 3 4" xfId="2094"/>
    <cellStyle name="Comma 2 3 3 4 2" xfId="7373"/>
    <cellStyle name="Comma 2 3 3 4 3" xfId="11686"/>
    <cellStyle name="Comma 2 3 3 5" xfId="6135"/>
    <cellStyle name="Comma 2 3 3 6" xfId="11682"/>
    <cellStyle name="Comma 2 3 3 7" xfId="47239"/>
    <cellStyle name="Comma 2 3 3 8" xfId="47240"/>
    <cellStyle name="Comma 2 3 3 9" xfId="47241"/>
    <cellStyle name="Comma 2 3 4" xfId="1241"/>
    <cellStyle name="Comma 2 3 4 10" xfId="47242"/>
    <cellStyle name="Comma 2 3 4 11" xfId="47243"/>
    <cellStyle name="Comma 2 3 4 12" xfId="47244"/>
    <cellStyle name="Comma 2 3 4 13" xfId="47245"/>
    <cellStyle name="Comma 2 3 4 2" xfId="2475"/>
    <cellStyle name="Comma 2 3 4 2 2" xfId="7754"/>
    <cellStyle name="Comma 2 3 4 2 3" xfId="11688"/>
    <cellStyle name="Comma 2 3 4 3" xfId="6520"/>
    <cellStyle name="Comma 2 3 4 4" xfId="11687"/>
    <cellStyle name="Comma 2 3 4 5" xfId="47246"/>
    <cellStyle name="Comma 2 3 4 6" xfId="47247"/>
    <cellStyle name="Comma 2 3 4 7" xfId="47248"/>
    <cellStyle name="Comma 2 3 4 8" xfId="47249"/>
    <cellStyle name="Comma 2 3 4 9" xfId="47250"/>
    <cellStyle name="Comma 2 3 5" xfId="3199"/>
    <cellStyle name="Comma 2 3 5 2" xfId="8478"/>
    <cellStyle name="Comma 2 3 5 2 2" xfId="53449"/>
    <cellStyle name="Comma 2 3 5 3" xfId="11689"/>
    <cellStyle name="Comma 2 3 6" xfId="1928"/>
    <cellStyle name="Comma 2 3 6 2" xfId="7207"/>
    <cellStyle name="Comma 2 3 6 3" xfId="11690"/>
    <cellStyle name="Comma 2 3 7" xfId="5860"/>
    <cellStyle name="Comma 2 3 8" xfId="11671"/>
    <cellStyle name="Comma 2 4" xfId="56"/>
    <cellStyle name="Comma 2 4 2" xfId="733"/>
    <cellStyle name="Comma 2 4 2 10" xfId="47251"/>
    <cellStyle name="Comma 2 4 2 11" xfId="47252"/>
    <cellStyle name="Comma 2 4 2 12" xfId="47253"/>
    <cellStyle name="Comma 2 4 2 13" xfId="47254"/>
    <cellStyle name="Comma 2 4 2 2" xfId="904"/>
    <cellStyle name="Comma 2 4 2 2 2" xfId="1523"/>
    <cellStyle name="Comma 2 4 2 2 2 2" xfId="2757"/>
    <cellStyle name="Comma 2 4 2 2 2 2 2" xfId="8036"/>
    <cellStyle name="Comma 2 4 2 2 2 2 3" xfId="11695"/>
    <cellStyle name="Comma 2 4 2 2 2 3" xfId="6802"/>
    <cellStyle name="Comma 2 4 2 2 2 4" xfId="11694"/>
    <cellStyle name="Comma 2 4 2 2 3" xfId="3200"/>
    <cellStyle name="Comma 2 4 2 2 3 2" xfId="8479"/>
    <cellStyle name="Comma 2 4 2 2 3 2 2" xfId="53450"/>
    <cellStyle name="Comma 2 4 2 2 3 3" xfId="11696"/>
    <cellStyle name="Comma 2 4 2 2 4" xfId="2144"/>
    <cellStyle name="Comma 2 4 2 2 4 2" xfId="7423"/>
    <cellStyle name="Comma 2 4 2 2 4 3" xfId="11697"/>
    <cellStyle name="Comma 2 4 2 2 5" xfId="6185"/>
    <cellStyle name="Comma 2 4 2 2 6" xfId="11693"/>
    <cellStyle name="Comma 2 4 2 3" xfId="1360"/>
    <cellStyle name="Comma 2 4 2 3 2" xfId="2594"/>
    <cellStyle name="Comma 2 4 2 3 2 2" xfId="7873"/>
    <cellStyle name="Comma 2 4 2 3 2 3" xfId="11699"/>
    <cellStyle name="Comma 2 4 2 3 3" xfId="6639"/>
    <cellStyle name="Comma 2 4 2 3 4" xfId="11698"/>
    <cellStyle name="Comma 2 4 2 4" xfId="3201"/>
    <cellStyle name="Comma 2 4 2 4 2" xfId="8480"/>
    <cellStyle name="Comma 2 4 2 4 2 2" xfId="53451"/>
    <cellStyle name="Comma 2 4 2 4 3" xfId="11700"/>
    <cellStyle name="Comma 2 4 2 5" xfId="2046"/>
    <cellStyle name="Comma 2 4 2 5 2" xfId="7325"/>
    <cellStyle name="Comma 2 4 2 5 3" xfId="11701"/>
    <cellStyle name="Comma 2 4 2 6" xfId="6022"/>
    <cellStyle name="Comma 2 4 2 7" xfId="11692"/>
    <cellStyle name="Comma 2 4 2 8" xfId="47255"/>
    <cellStyle name="Comma 2 4 2 9" xfId="47256"/>
    <cellStyle name="Comma 2 4 3" xfId="855"/>
    <cellStyle name="Comma 2 4 3 10" xfId="47257"/>
    <cellStyle name="Comma 2 4 3 11" xfId="47258"/>
    <cellStyle name="Comma 2 4 3 12" xfId="47259"/>
    <cellStyle name="Comma 2 4 3 13" xfId="47260"/>
    <cellStyle name="Comma 2 4 3 2" xfId="1474"/>
    <cellStyle name="Comma 2 4 3 2 2" xfId="2708"/>
    <cellStyle name="Comma 2 4 3 2 2 2" xfId="7987"/>
    <cellStyle name="Comma 2 4 3 2 2 3" xfId="11704"/>
    <cellStyle name="Comma 2 4 3 2 3" xfId="6753"/>
    <cellStyle name="Comma 2 4 3 2 4" xfId="11703"/>
    <cellStyle name="Comma 2 4 3 3" xfId="3202"/>
    <cellStyle name="Comma 2 4 3 3 2" xfId="8481"/>
    <cellStyle name="Comma 2 4 3 3 2 2" xfId="53452"/>
    <cellStyle name="Comma 2 4 3 3 3" xfId="11705"/>
    <cellStyle name="Comma 2 4 3 4" xfId="2095"/>
    <cellStyle name="Comma 2 4 3 4 2" xfId="7374"/>
    <cellStyle name="Comma 2 4 3 4 3" xfId="11706"/>
    <cellStyle name="Comma 2 4 3 5" xfId="6136"/>
    <cellStyle name="Comma 2 4 3 6" xfId="11702"/>
    <cellStyle name="Comma 2 4 3 7" xfId="47261"/>
    <cellStyle name="Comma 2 4 3 8" xfId="47262"/>
    <cellStyle name="Comma 2 4 3 9" xfId="47263"/>
    <cellStyle name="Comma 2 4 4" xfId="1242"/>
    <cellStyle name="Comma 2 4 4 10" xfId="47264"/>
    <cellStyle name="Comma 2 4 4 11" xfId="47265"/>
    <cellStyle name="Comma 2 4 4 12" xfId="47266"/>
    <cellStyle name="Comma 2 4 4 13" xfId="47267"/>
    <cellStyle name="Comma 2 4 4 2" xfId="2476"/>
    <cellStyle name="Comma 2 4 4 2 2" xfId="7755"/>
    <cellStyle name="Comma 2 4 4 2 3" xfId="11708"/>
    <cellStyle name="Comma 2 4 4 3" xfId="6521"/>
    <cellStyle name="Comma 2 4 4 4" xfId="11707"/>
    <cellStyle name="Comma 2 4 4 5" xfId="47268"/>
    <cellStyle name="Comma 2 4 4 6" xfId="47269"/>
    <cellStyle name="Comma 2 4 4 7" xfId="47270"/>
    <cellStyle name="Comma 2 4 4 8" xfId="47271"/>
    <cellStyle name="Comma 2 4 4 9" xfId="47272"/>
    <cellStyle name="Comma 2 4 5" xfId="3203"/>
    <cellStyle name="Comma 2 4 5 2" xfId="8482"/>
    <cellStyle name="Comma 2 4 5 2 2" xfId="53453"/>
    <cellStyle name="Comma 2 4 5 3" xfId="11709"/>
    <cellStyle name="Comma 2 4 6" xfId="1929"/>
    <cellStyle name="Comma 2 4 6 2" xfId="7208"/>
    <cellStyle name="Comma 2 4 6 3" xfId="11710"/>
    <cellStyle name="Comma 2 4 7" xfId="5861"/>
    <cellStyle name="Comma 2 4 8" xfId="11143"/>
    <cellStyle name="Comma 2 4 9" xfId="11691"/>
    <cellStyle name="Comma 2 5" xfId="703"/>
    <cellStyle name="Comma 2 5 2" xfId="826"/>
    <cellStyle name="Comma 2 5 2 2" xfId="932"/>
    <cellStyle name="Comma 2 5 2 2 2" xfId="1551"/>
    <cellStyle name="Comma 2 5 2 2 2 2" xfId="2785"/>
    <cellStyle name="Comma 2 5 2 2 2 2 2" xfId="8064"/>
    <cellStyle name="Comma 2 5 2 2 2 2 3" xfId="11715"/>
    <cellStyle name="Comma 2 5 2 2 2 3" xfId="6830"/>
    <cellStyle name="Comma 2 5 2 2 2 4" xfId="11714"/>
    <cellStyle name="Comma 2 5 2 2 3" xfId="3204"/>
    <cellStyle name="Comma 2 5 2 2 3 2" xfId="8483"/>
    <cellStyle name="Comma 2 5 2 2 3 2 2" xfId="53454"/>
    <cellStyle name="Comma 2 5 2 2 3 3" xfId="11716"/>
    <cellStyle name="Comma 2 5 2 2 4" xfId="2172"/>
    <cellStyle name="Comma 2 5 2 2 4 2" xfId="7451"/>
    <cellStyle name="Comma 2 5 2 2 4 3" xfId="11717"/>
    <cellStyle name="Comma 2 5 2 2 5" xfId="6213"/>
    <cellStyle name="Comma 2 5 2 2 6" xfId="11713"/>
    <cellStyle name="Comma 2 5 2 3" xfId="1453"/>
    <cellStyle name="Comma 2 5 2 3 2" xfId="2687"/>
    <cellStyle name="Comma 2 5 2 3 2 2" xfId="7966"/>
    <cellStyle name="Comma 2 5 2 3 2 3" xfId="11719"/>
    <cellStyle name="Comma 2 5 2 3 3" xfId="6732"/>
    <cellStyle name="Comma 2 5 2 3 4" xfId="11718"/>
    <cellStyle name="Comma 2 5 2 4" xfId="3205"/>
    <cellStyle name="Comma 2 5 2 4 2" xfId="8484"/>
    <cellStyle name="Comma 2 5 2 4 2 2" xfId="53455"/>
    <cellStyle name="Comma 2 5 2 4 3" xfId="11720"/>
    <cellStyle name="Comma 2 5 2 5" xfId="2074"/>
    <cellStyle name="Comma 2 5 2 5 2" xfId="7353"/>
    <cellStyle name="Comma 2 5 2 5 3" xfId="11721"/>
    <cellStyle name="Comma 2 5 2 6" xfId="6115"/>
    <cellStyle name="Comma 2 5 2 7" xfId="11712"/>
    <cellStyle name="Comma 2 5 3" xfId="883"/>
    <cellStyle name="Comma 2 5 3 2" xfId="1502"/>
    <cellStyle name="Comma 2 5 3 2 2" xfId="2736"/>
    <cellStyle name="Comma 2 5 3 2 2 2" xfId="8015"/>
    <cellStyle name="Comma 2 5 3 2 2 3" xfId="11724"/>
    <cellStyle name="Comma 2 5 3 2 3" xfId="6781"/>
    <cellStyle name="Comma 2 5 3 2 4" xfId="11723"/>
    <cellStyle name="Comma 2 5 3 3" xfId="3206"/>
    <cellStyle name="Comma 2 5 3 3 2" xfId="8485"/>
    <cellStyle name="Comma 2 5 3 3 2 2" xfId="53456"/>
    <cellStyle name="Comma 2 5 3 3 3" xfId="11725"/>
    <cellStyle name="Comma 2 5 3 4" xfId="2123"/>
    <cellStyle name="Comma 2 5 3 4 2" xfId="7402"/>
    <cellStyle name="Comma 2 5 3 4 3" xfId="11726"/>
    <cellStyle name="Comma 2 5 3 5" xfId="6164"/>
    <cellStyle name="Comma 2 5 3 6" xfId="11722"/>
    <cellStyle name="Comma 2 5 4" xfId="1338"/>
    <cellStyle name="Comma 2 5 4 2" xfId="2572"/>
    <cellStyle name="Comma 2 5 4 2 2" xfId="7851"/>
    <cellStyle name="Comma 2 5 4 2 3" xfId="11728"/>
    <cellStyle name="Comma 2 5 4 3" xfId="6617"/>
    <cellStyle name="Comma 2 5 4 4" xfId="11727"/>
    <cellStyle name="Comma 2 5 5" xfId="3207"/>
    <cellStyle name="Comma 2 5 5 2" xfId="8486"/>
    <cellStyle name="Comma 2 5 5 2 2" xfId="53457"/>
    <cellStyle name="Comma 2 5 5 3" xfId="11729"/>
    <cellStyle name="Comma 2 5 6" xfId="2025"/>
    <cellStyle name="Comma 2 5 6 2" xfId="7304"/>
    <cellStyle name="Comma 2 5 6 3" xfId="11730"/>
    <cellStyle name="Comma 2 5 7" xfId="6000"/>
    <cellStyle name="Comma 2 5 8" xfId="11711"/>
    <cellStyle name="Comma 2 5 9" xfId="53458"/>
    <cellStyle name="Comma 2 6" xfId="706"/>
    <cellStyle name="Comma 2 6 2" xfId="829"/>
    <cellStyle name="Comma 2 6 2 2" xfId="933"/>
    <cellStyle name="Comma 2 6 2 2 2" xfId="1552"/>
    <cellStyle name="Comma 2 6 2 2 2 2" xfId="2786"/>
    <cellStyle name="Comma 2 6 2 2 2 2 2" xfId="8065"/>
    <cellStyle name="Comma 2 6 2 2 2 2 3" xfId="11735"/>
    <cellStyle name="Comma 2 6 2 2 2 3" xfId="6831"/>
    <cellStyle name="Comma 2 6 2 2 2 4" xfId="11734"/>
    <cellStyle name="Comma 2 6 2 2 3" xfId="3208"/>
    <cellStyle name="Comma 2 6 2 2 3 2" xfId="8487"/>
    <cellStyle name="Comma 2 6 2 2 3 2 2" xfId="53459"/>
    <cellStyle name="Comma 2 6 2 2 3 3" xfId="11736"/>
    <cellStyle name="Comma 2 6 2 2 4" xfId="2173"/>
    <cellStyle name="Comma 2 6 2 2 4 2" xfId="7452"/>
    <cellStyle name="Comma 2 6 2 2 4 3" xfId="11737"/>
    <cellStyle name="Comma 2 6 2 2 5" xfId="6214"/>
    <cellStyle name="Comma 2 6 2 2 6" xfId="11733"/>
    <cellStyle name="Comma 2 6 2 3" xfId="1454"/>
    <cellStyle name="Comma 2 6 2 3 2" xfId="2688"/>
    <cellStyle name="Comma 2 6 2 3 2 2" xfId="7967"/>
    <cellStyle name="Comma 2 6 2 3 2 3" xfId="11739"/>
    <cellStyle name="Comma 2 6 2 3 3" xfId="6733"/>
    <cellStyle name="Comma 2 6 2 3 4" xfId="11738"/>
    <cellStyle name="Comma 2 6 2 4" xfId="3209"/>
    <cellStyle name="Comma 2 6 2 4 2" xfId="8488"/>
    <cellStyle name="Comma 2 6 2 4 2 2" xfId="53460"/>
    <cellStyle name="Comma 2 6 2 4 3" xfId="11740"/>
    <cellStyle name="Comma 2 6 2 5" xfId="2075"/>
    <cellStyle name="Comma 2 6 2 5 2" xfId="7354"/>
    <cellStyle name="Comma 2 6 2 5 3" xfId="11741"/>
    <cellStyle name="Comma 2 6 2 6" xfId="6116"/>
    <cellStyle name="Comma 2 6 2 7" xfId="11732"/>
    <cellStyle name="Comma 2 6 3" xfId="884"/>
    <cellStyle name="Comma 2 6 3 2" xfId="1503"/>
    <cellStyle name="Comma 2 6 3 2 2" xfId="2737"/>
    <cellStyle name="Comma 2 6 3 2 2 2" xfId="8016"/>
    <cellStyle name="Comma 2 6 3 2 2 3" xfId="11744"/>
    <cellStyle name="Comma 2 6 3 2 3" xfId="6782"/>
    <cellStyle name="Comma 2 6 3 2 4" xfId="11743"/>
    <cellStyle name="Comma 2 6 3 3" xfId="3210"/>
    <cellStyle name="Comma 2 6 3 3 2" xfId="8489"/>
    <cellStyle name="Comma 2 6 3 3 2 2" xfId="53461"/>
    <cellStyle name="Comma 2 6 3 3 3" xfId="11745"/>
    <cellStyle name="Comma 2 6 3 4" xfId="2124"/>
    <cellStyle name="Comma 2 6 3 4 2" xfId="7403"/>
    <cellStyle name="Comma 2 6 3 4 3" xfId="11746"/>
    <cellStyle name="Comma 2 6 3 5" xfId="6165"/>
    <cellStyle name="Comma 2 6 3 6" xfId="11742"/>
    <cellStyle name="Comma 2 6 4" xfId="1339"/>
    <cellStyle name="Comma 2 6 4 2" xfId="2573"/>
    <cellStyle name="Comma 2 6 4 2 2" xfId="7852"/>
    <cellStyle name="Comma 2 6 4 2 3" xfId="11748"/>
    <cellStyle name="Comma 2 6 4 3" xfId="6618"/>
    <cellStyle name="Comma 2 6 4 4" xfId="11747"/>
    <cellStyle name="Comma 2 6 5" xfId="3211"/>
    <cellStyle name="Comma 2 6 5 2" xfId="8490"/>
    <cellStyle name="Comma 2 6 5 2 2" xfId="53462"/>
    <cellStyle name="Comma 2 6 5 3" xfId="11749"/>
    <cellStyle name="Comma 2 6 6" xfId="2026"/>
    <cellStyle name="Comma 2 6 6 2" xfId="7305"/>
    <cellStyle name="Comma 2 6 6 3" xfId="11750"/>
    <cellStyle name="Comma 2 6 7" xfId="6001"/>
    <cellStyle name="Comma 2 6 8" xfId="11731"/>
    <cellStyle name="Comma 2 7" xfId="5822"/>
    <cellStyle name="Comma 2 7 2" xfId="16083"/>
    <cellStyle name="Comma 2 7 3" xfId="62576"/>
    <cellStyle name="Comma 20" xfId="711"/>
    <cellStyle name="Comma 20 2" xfId="834"/>
    <cellStyle name="Comma 21" xfId="712"/>
    <cellStyle name="Comma 21 2" xfId="835"/>
    <cellStyle name="Comma 22" xfId="5827"/>
    <cellStyle name="Comma 22 2" xfId="16080"/>
    <cellStyle name="Comma 23" xfId="11180"/>
    <cellStyle name="Comma 23 2" xfId="53463"/>
    <cellStyle name="Comma 24" xfId="11179"/>
    <cellStyle name="Comma 24 2" xfId="53464"/>
    <cellStyle name="Comma 25" xfId="11157"/>
    <cellStyle name="Comma 25 2" xfId="53465"/>
    <cellStyle name="Comma 26" xfId="47273"/>
    <cellStyle name="Comma 27" xfId="47274"/>
    <cellStyle name="Comma 28" xfId="47275"/>
    <cellStyle name="Comma 29" xfId="47276"/>
    <cellStyle name="Comma 3" xfId="3"/>
    <cellStyle name="Comma 3 2" xfId="449"/>
    <cellStyle name="Comma 3 3" xfId="450"/>
    <cellStyle name="Comma 3 4" xfId="713"/>
    <cellStyle name="Comma 30" xfId="47277"/>
    <cellStyle name="Comma 31" xfId="47278"/>
    <cellStyle name="Comma 32" xfId="47279"/>
    <cellStyle name="Comma 33" xfId="47280"/>
    <cellStyle name="Comma 34" xfId="47281"/>
    <cellStyle name="Comma 35" xfId="47282"/>
    <cellStyle name="Comma 36" xfId="47283"/>
    <cellStyle name="Comma 37" xfId="47284"/>
    <cellStyle name="Comma 38" xfId="47285"/>
    <cellStyle name="Comma 39" xfId="47286"/>
    <cellStyle name="Comma 4" xfId="4"/>
    <cellStyle name="Comma 4 2" xfId="451"/>
    <cellStyle name="Comma 4 2 2" xfId="452"/>
    <cellStyle name="Comma 4 3" xfId="453"/>
    <cellStyle name="Comma 40" xfId="47287"/>
    <cellStyle name="Comma 41" xfId="47288"/>
    <cellStyle name="Comma 42" xfId="47289"/>
    <cellStyle name="Comma 43" xfId="47290"/>
    <cellStyle name="Comma 44" xfId="47291"/>
    <cellStyle name="Comma 45" xfId="47292"/>
    <cellStyle name="Comma 46" xfId="47293"/>
    <cellStyle name="Comma 47" xfId="47294"/>
    <cellStyle name="Comma 48" xfId="47295"/>
    <cellStyle name="Comma 49" xfId="47296"/>
    <cellStyle name="Comma 5" xfId="30"/>
    <cellStyle name="Comma 5 10" xfId="5838"/>
    <cellStyle name="Comma 5 11" xfId="11751"/>
    <cellStyle name="Comma 5 2" xfId="454"/>
    <cellStyle name="Comma 5 2 2" xfId="455"/>
    <cellStyle name="Comma 5 3" xfId="456"/>
    <cellStyle name="Comma 5 4" xfId="457"/>
    <cellStyle name="Comma 5 4 2" xfId="795"/>
    <cellStyle name="Comma 5 4 2 2" xfId="906"/>
    <cellStyle name="Comma 5 4 2 2 2" xfId="1525"/>
    <cellStyle name="Comma 5 4 2 2 2 2" xfId="2759"/>
    <cellStyle name="Comma 5 4 2 2 2 2 2" xfId="8038"/>
    <cellStyle name="Comma 5 4 2 2 2 2 3" xfId="11756"/>
    <cellStyle name="Comma 5 4 2 2 2 3" xfId="6804"/>
    <cellStyle name="Comma 5 4 2 2 2 4" xfId="11755"/>
    <cellStyle name="Comma 5 4 2 2 3" xfId="3212"/>
    <cellStyle name="Comma 5 4 2 2 3 2" xfId="8491"/>
    <cellStyle name="Comma 5 4 2 2 3 2 2" xfId="53466"/>
    <cellStyle name="Comma 5 4 2 2 3 3" xfId="11757"/>
    <cellStyle name="Comma 5 4 2 2 4" xfId="2146"/>
    <cellStyle name="Comma 5 4 2 2 4 2" xfId="7425"/>
    <cellStyle name="Comma 5 4 2 2 4 3" xfId="11758"/>
    <cellStyle name="Comma 5 4 2 2 5" xfId="6187"/>
    <cellStyle name="Comma 5 4 2 2 6" xfId="11754"/>
    <cellStyle name="Comma 5 4 2 3" xfId="1422"/>
    <cellStyle name="Comma 5 4 2 3 2" xfId="2656"/>
    <cellStyle name="Comma 5 4 2 3 2 2" xfId="7935"/>
    <cellStyle name="Comma 5 4 2 3 2 3" xfId="11760"/>
    <cellStyle name="Comma 5 4 2 3 3" xfId="6701"/>
    <cellStyle name="Comma 5 4 2 3 4" xfId="11759"/>
    <cellStyle name="Comma 5 4 2 4" xfId="3213"/>
    <cellStyle name="Comma 5 4 2 4 2" xfId="8492"/>
    <cellStyle name="Comma 5 4 2 4 2 2" xfId="53467"/>
    <cellStyle name="Comma 5 4 2 4 3" xfId="11761"/>
    <cellStyle name="Comma 5 4 2 5" xfId="2048"/>
    <cellStyle name="Comma 5 4 2 5 2" xfId="7327"/>
    <cellStyle name="Comma 5 4 2 5 3" xfId="11762"/>
    <cellStyle name="Comma 5 4 2 6" xfId="6084"/>
    <cellStyle name="Comma 5 4 2 7" xfId="11753"/>
    <cellStyle name="Comma 5 4 3" xfId="857"/>
    <cellStyle name="Comma 5 4 3 2" xfId="1476"/>
    <cellStyle name="Comma 5 4 3 2 2" xfId="2710"/>
    <cellStyle name="Comma 5 4 3 2 2 2" xfId="7989"/>
    <cellStyle name="Comma 5 4 3 2 2 3" xfId="11765"/>
    <cellStyle name="Comma 5 4 3 2 3" xfId="6755"/>
    <cellStyle name="Comma 5 4 3 2 4" xfId="11764"/>
    <cellStyle name="Comma 5 4 3 3" xfId="3214"/>
    <cellStyle name="Comma 5 4 3 3 2" xfId="8493"/>
    <cellStyle name="Comma 5 4 3 3 2 2" xfId="53468"/>
    <cellStyle name="Comma 5 4 3 3 3" xfId="11766"/>
    <cellStyle name="Comma 5 4 3 4" xfId="2097"/>
    <cellStyle name="Comma 5 4 3 4 2" xfId="7376"/>
    <cellStyle name="Comma 5 4 3 4 3" xfId="11767"/>
    <cellStyle name="Comma 5 4 3 5" xfId="6138"/>
    <cellStyle name="Comma 5 4 3 6" xfId="11763"/>
    <cellStyle name="Comma 5 4 4" xfId="1245"/>
    <cellStyle name="Comma 5 4 4 2" xfId="2479"/>
    <cellStyle name="Comma 5 4 4 2 2" xfId="7758"/>
    <cellStyle name="Comma 5 4 4 2 3" xfId="11769"/>
    <cellStyle name="Comma 5 4 4 3" xfId="6524"/>
    <cellStyle name="Comma 5 4 4 4" xfId="11768"/>
    <cellStyle name="Comma 5 4 5" xfId="3215"/>
    <cellStyle name="Comma 5 4 5 2" xfId="8494"/>
    <cellStyle name="Comma 5 4 5 2 2" xfId="53469"/>
    <cellStyle name="Comma 5 4 5 3" xfId="11770"/>
    <cellStyle name="Comma 5 4 6" xfId="1932"/>
    <cellStyle name="Comma 5 4 6 2" xfId="7211"/>
    <cellStyle name="Comma 5 4 6 3" xfId="11771"/>
    <cellStyle name="Comma 5 4 7" xfId="5871"/>
    <cellStyle name="Comma 5 4 8" xfId="11752"/>
    <cellStyle name="Comma 5 5" xfId="716"/>
    <cellStyle name="Comma 5 5 2" xfId="888"/>
    <cellStyle name="Comma 5 5 2 2" xfId="1507"/>
    <cellStyle name="Comma 5 5 2 2 2" xfId="2741"/>
    <cellStyle name="Comma 5 5 2 2 2 2" xfId="8020"/>
    <cellStyle name="Comma 5 5 2 2 2 3" xfId="11775"/>
    <cellStyle name="Comma 5 5 2 2 3" xfId="6786"/>
    <cellStyle name="Comma 5 5 2 2 4" xfId="11774"/>
    <cellStyle name="Comma 5 5 2 3" xfId="3216"/>
    <cellStyle name="Comma 5 5 2 3 2" xfId="8495"/>
    <cellStyle name="Comma 5 5 2 3 2 2" xfId="53470"/>
    <cellStyle name="Comma 5 5 2 3 3" xfId="11776"/>
    <cellStyle name="Comma 5 5 2 4" xfId="2128"/>
    <cellStyle name="Comma 5 5 2 4 2" xfId="7407"/>
    <cellStyle name="Comma 5 5 2 4 3" xfId="11777"/>
    <cellStyle name="Comma 5 5 2 5" xfId="6169"/>
    <cellStyle name="Comma 5 5 2 6" xfId="11773"/>
    <cellStyle name="Comma 5 5 3" xfId="1343"/>
    <cellStyle name="Comma 5 5 3 2" xfId="2577"/>
    <cellStyle name="Comma 5 5 3 2 2" xfId="7856"/>
    <cellStyle name="Comma 5 5 3 2 3" xfId="11779"/>
    <cellStyle name="Comma 5 5 3 3" xfId="6622"/>
    <cellStyle name="Comma 5 5 3 4" xfId="11778"/>
    <cellStyle name="Comma 5 5 4" xfId="3217"/>
    <cellStyle name="Comma 5 5 4 2" xfId="8496"/>
    <cellStyle name="Comma 5 5 4 2 2" xfId="53471"/>
    <cellStyle name="Comma 5 5 4 3" xfId="11780"/>
    <cellStyle name="Comma 5 5 5" xfId="2030"/>
    <cellStyle name="Comma 5 5 5 2" xfId="7309"/>
    <cellStyle name="Comma 5 5 5 3" xfId="11781"/>
    <cellStyle name="Comma 5 5 6" xfId="6005"/>
    <cellStyle name="Comma 5 5 7" xfId="11772"/>
    <cellStyle name="Comma 5 6" xfId="839"/>
    <cellStyle name="Comma 5 6 2" xfId="1458"/>
    <cellStyle name="Comma 5 6 2 2" xfId="2692"/>
    <cellStyle name="Comma 5 6 2 2 2" xfId="7971"/>
    <cellStyle name="Comma 5 6 2 2 3" xfId="11784"/>
    <cellStyle name="Comma 5 6 2 3" xfId="6737"/>
    <cellStyle name="Comma 5 6 2 4" xfId="11783"/>
    <cellStyle name="Comma 5 6 3" xfId="3218"/>
    <cellStyle name="Comma 5 6 3 2" xfId="8497"/>
    <cellStyle name="Comma 5 6 3 2 2" xfId="53472"/>
    <cellStyle name="Comma 5 6 3 3" xfId="11785"/>
    <cellStyle name="Comma 5 6 4" xfId="2079"/>
    <cellStyle name="Comma 5 6 4 2" xfId="7358"/>
    <cellStyle name="Comma 5 6 4 3" xfId="11786"/>
    <cellStyle name="Comma 5 6 5" xfId="6120"/>
    <cellStyle name="Comma 5 6 6" xfId="11782"/>
    <cellStyle name="Comma 5 7" xfId="1222"/>
    <cellStyle name="Comma 5 7 2" xfId="2456"/>
    <cellStyle name="Comma 5 7 2 2" xfId="7735"/>
    <cellStyle name="Comma 5 7 2 3" xfId="11788"/>
    <cellStyle name="Comma 5 7 3" xfId="6501"/>
    <cellStyle name="Comma 5 7 4" xfId="11787"/>
    <cellStyle name="Comma 5 8" xfId="3219"/>
    <cellStyle name="Comma 5 8 2" xfId="8498"/>
    <cellStyle name="Comma 5 8 2 2" xfId="53473"/>
    <cellStyle name="Comma 5 8 3" xfId="11789"/>
    <cellStyle name="Comma 5 9" xfId="1909"/>
    <cellStyle name="Comma 5 9 2" xfId="7188"/>
    <cellStyle name="Comma 5 9 3" xfId="11790"/>
    <cellStyle name="Comma 50" xfId="47297"/>
    <cellStyle name="Comma 51" xfId="47298"/>
    <cellStyle name="Comma 52" xfId="47299"/>
    <cellStyle name="Comma 53" xfId="47300"/>
    <cellStyle name="Comma 54" xfId="47301"/>
    <cellStyle name="Comma 6" xfId="39"/>
    <cellStyle name="Comma 6 10" xfId="5847"/>
    <cellStyle name="Comma 6 11" xfId="11791"/>
    <cellStyle name="Comma 6 2" xfId="52"/>
    <cellStyle name="Comma 6 2 10" xfId="5857"/>
    <cellStyle name="Comma 6 2 11" xfId="11792"/>
    <cellStyle name="Comma 6 2 11 2" xfId="52848"/>
    <cellStyle name="Comma 6 2 2" xfId="458"/>
    <cellStyle name="Comma 6 2 3" xfId="459"/>
    <cellStyle name="Comma 6 2 3 2" xfId="796"/>
    <cellStyle name="Comma 6 2 3 2 2" xfId="907"/>
    <cellStyle name="Comma 6 2 3 2 2 2" xfId="1526"/>
    <cellStyle name="Comma 6 2 3 2 2 2 2" xfId="2760"/>
    <cellStyle name="Comma 6 2 3 2 2 2 2 2" xfId="8039"/>
    <cellStyle name="Comma 6 2 3 2 2 2 2 3" xfId="11797"/>
    <cellStyle name="Comma 6 2 3 2 2 2 3" xfId="6805"/>
    <cellStyle name="Comma 6 2 3 2 2 2 4" xfId="11796"/>
    <cellStyle name="Comma 6 2 3 2 2 3" xfId="3220"/>
    <cellStyle name="Comma 6 2 3 2 2 3 2" xfId="8499"/>
    <cellStyle name="Comma 6 2 3 2 2 3 2 2" xfId="53474"/>
    <cellStyle name="Comma 6 2 3 2 2 3 3" xfId="11798"/>
    <cellStyle name="Comma 6 2 3 2 2 4" xfId="2147"/>
    <cellStyle name="Comma 6 2 3 2 2 4 2" xfId="7426"/>
    <cellStyle name="Comma 6 2 3 2 2 4 3" xfId="11799"/>
    <cellStyle name="Comma 6 2 3 2 2 5" xfId="6188"/>
    <cellStyle name="Comma 6 2 3 2 2 6" xfId="11795"/>
    <cellStyle name="Comma 6 2 3 2 3" xfId="1423"/>
    <cellStyle name="Comma 6 2 3 2 3 2" xfId="2657"/>
    <cellStyle name="Comma 6 2 3 2 3 2 2" xfId="7936"/>
    <cellStyle name="Comma 6 2 3 2 3 2 3" xfId="11801"/>
    <cellStyle name="Comma 6 2 3 2 3 3" xfId="6702"/>
    <cellStyle name="Comma 6 2 3 2 3 4" xfId="11800"/>
    <cellStyle name="Comma 6 2 3 2 4" xfId="3221"/>
    <cellStyle name="Comma 6 2 3 2 4 2" xfId="8500"/>
    <cellStyle name="Comma 6 2 3 2 4 2 2" xfId="53475"/>
    <cellStyle name="Comma 6 2 3 2 4 3" xfId="11802"/>
    <cellStyle name="Comma 6 2 3 2 5" xfId="2049"/>
    <cellStyle name="Comma 6 2 3 2 5 2" xfId="7328"/>
    <cellStyle name="Comma 6 2 3 2 5 3" xfId="11803"/>
    <cellStyle name="Comma 6 2 3 2 6" xfId="6085"/>
    <cellStyle name="Comma 6 2 3 2 7" xfId="11794"/>
    <cellStyle name="Comma 6 2 3 3" xfId="858"/>
    <cellStyle name="Comma 6 2 3 3 2" xfId="1477"/>
    <cellStyle name="Comma 6 2 3 3 2 2" xfId="2711"/>
    <cellStyle name="Comma 6 2 3 3 2 2 2" xfId="7990"/>
    <cellStyle name="Comma 6 2 3 3 2 2 3" xfId="11806"/>
    <cellStyle name="Comma 6 2 3 3 2 3" xfId="6756"/>
    <cellStyle name="Comma 6 2 3 3 2 4" xfId="11805"/>
    <cellStyle name="Comma 6 2 3 3 3" xfId="3222"/>
    <cellStyle name="Comma 6 2 3 3 3 2" xfId="8501"/>
    <cellStyle name="Comma 6 2 3 3 3 2 2" xfId="53476"/>
    <cellStyle name="Comma 6 2 3 3 3 3" xfId="11807"/>
    <cellStyle name="Comma 6 2 3 3 4" xfId="2098"/>
    <cellStyle name="Comma 6 2 3 3 4 2" xfId="7377"/>
    <cellStyle name="Comma 6 2 3 3 4 3" xfId="11808"/>
    <cellStyle name="Comma 6 2 3 3 5" xfId="6139"/>
    <cellStyle name="Comma 6 2 3 3 6" xfId="11804"/>
    <cellStyle name="Comma 6 2 3 4" xfId="1246"/>
    <cellStyle name="Comma 6 2 3 4 2" xfId="2480"/>
    <cellStyle name="Comma 6 2 3 4 2 2" xfId="7759"/>
    <cellStyle name="Comma 6 2 3 4 2 3" xfId="11810"/>
    <cellStyle name="Comma 6 2 3 4 3" xfId="6525"/>
    <cellStyle name="Comma 6 2 3 4 4" xfId="11809"/>
    <cellStyle name="Comma 6 2 3 5" xfId="3223"/>
    <cellStyle name="Comma 6 2 3 5 2" xfId="8502"/>
    <cellStyle name="Comma 6 2 3 5 2 2" xfId="53477"/>
    <cellStyle name="Comma 6 2 3 5 3" xfId="11811"/>
    <cellStyle name="Comma 6 2 3 6" xfId="1933"/>
    <cellStyle name="Comma 6 2 3 6 2" xfId="7212"/>
    <cellStyle name="Comma 6 2 3 6 3" xfId="11812"/>
    <cellStyle name="Comma 6 2 3 7" xfId="5872"/>
    <cellStyle name="Comma 6 2 3 8" xfId="11793"/>
    <cellStyle name="Comma 6 2 4" xfId="729"/>
    <cellStyle name="Comma 6 2 4 2" xfId="900"/>
    <cellStyle name="Comma 6 2 4 2 2" xfId="1519"/>
    <cellStyle name="Comma 6 2 4 2 2 2" xfId="2753"/>
    <cellStyle name="Comma 6 2 4 2 2 2 2" xfId="8032"/>
    <cellStyle name="Comma 6 2 4 2 2 2 3" xfId="11816"/>
    <cellStyle name="Comma 6 2 4 2 2 3" xfId="6798"/>
    <cellStyle name="Comma 6 2 4 2 2 4" xfId="11815"/>
    <cellStyle name="Comma 6 2 4 2 3" xfId="3224"/>
    <cellStyle name="Comma 6 2 4 2 3 2" xfId="8503"/>
    <cellStyle name="Comma 6 2 4 2 3 2 2" xfId="53478"/>
    <cellStyle name="Comma 6 2 4 2 3 3" xfId="11817"/>
    <cellStyle name="Comma 6 2 4 2 4" xfId="2140"/>
    <cellStyle name="Comma 6 2 4 2 4 2" xfId="7419"/>
    <cellStyle name="Comma 6 2 4 2 4 3" xfId="11818"/>
    <cellStyle name="Comma 6 2 4 2 5" xfId="6181"/>
    <cellStyle name="Comma 6 2 4 2 6" xfId="11814"/>
    <cellStyle name="Comma 6 2 4 3" xfId="1356"/>
    <cellStyle name="Comma 6 2 4 3 2" xfId="2590"/>
    <cellStyle name="Comma 6 2 4 3 2 2" xfId="7869"/>
    <cellStyle name="Comma 6 2 4 3 2 3" xfId="11820"/>
    <cellStyle name="Comma 6 2 4 3 3" xfId="6635"/>
    <cellStyle name="Comma 6 2 4 3 4" xfId="11819"/>
    <cellStyle name="Comma 6 2 4 4" xfId="3225"/>
    <cellStyle name="Comma 6 2 4 4 2" xfId="8504"/>
    <cellStyle name="Comma 6 2 4 4 2 2" xfId="53479"/>
    <cellStyle name="Comma 6 2 4 4 3" xfId="11821"/>
    <cellStyle name="Comma 6 2 4 5" xfId="2042"/>
    <cellStyle name="Comma 6 2 4 5 2" xfId="7321"/>
    <cellStyle name="Comma 6 2 4 5 3" xfId="11822"/>
    <cellStyle name="Comma 6 2 4 6" xfId="6018"/>
    <cellStyle name="Comma 6 2 4 7" xfId="11813"/>
    <cellStyle name="Comma 6 2 5" xfId="1219"/>
    <cellStyle name="Comma 6 2 5 2" xfId="1836"/>
    <cellStyle name="Comma 6 2 5 2 2" xfId="3070"/>
    <cellStyle name="Comma 6 2 5 2 2 2" xfId="8349"/>
    <cellStyle name="Comma 6 2 5 2 2 3" xfId="11825"/>
    <cellStyle name="Comma 6 2 5 2 3" xfId="7115"/>
    <cellStyle name="Comma 6 2 5 2 4" xfId="11824"/>
    <cellStyle name="Comma 6 2 5 3" xfId="3226"/>
    <cellStyle name="Comma 6 2 5 3 2" xfId="8505"/>
    <cellStyle name="Comma 6 2 5 3 2 2" xfId="53480"/>
    <cellStyle name="Comma 6 2 5 3 3" xfId="11826"/>
    <cellStyle name="Comma 6 2 5 4" xfId="2453"/>
    <cellStyle name="Comma 6 2 5 4 2" xfId="7732"/>
    <cellStyle name="Comma 6 2 5 4 3" xfId="11827"/>
    <cellStyle name="Comma 6 2 5 5" xfId="6498"/>
    <cellStyle name="Comma 6 2 5 6" xfId="11823"/>
    <cellStyle name="Comma 6 2 6" xfId="851"/>
    <cellStyle name="Comma 6 2 6 2" xfId="1470"/>
    <cellStyle name="Comma 6 2 6 2 2" xfId="2704"/>
    <cellStyle name="Comma 6 2 6 2 2 2" xfId="7983"/>
    <cellStyle name="Comma 6 2 6 2 2 3" xfId="11830"/>
    <cellStyle name="Comma 6 2 6 2 3" xfId="6749"/>
    <cellStyle name="Comma 6 2 6 2 4" xfId="11829"/>
    <cellStyle name="Comma 6 2 6 3" xfId="3227"/>
    <cellStyle name="Comma 6 2 6 3 2" xfId="8506"/>
    <cellStyle name="Comma 6 2 6 3 2 2" xfId="53481"/>
    <cellStyle name="Comma 6 2 6 3 3" xfId="11831"/>
    <cellStyle name="Comma 6 2 6 4" xfId="2091"/>
    <cellStyle name="Comma 6 2 6 4 2" xfId="7370"/>
    <cellStyle name="Comma 6 2 6 4 3" xfId="11832"/>
    <cellStyle name="Comma 6 2 6 5" xfId="6132"/>
    <cellStyle name="Comma 6 2 6 6" xfId="11828"/>
    <cellStyle name="Comma 6 2 7" xfId="1238"/>
    <cellStyle name="Comma 6 2 7 2" xfId="2472"/>
    <cellStyle name="Comma 6 2 7 2 2" xfId="7751"/>
    <cellStyle name="Comma 6 2 7 2 3" xfId="11834"/>
    <cellStyle name="Comma 6 2 7 3" xfId="6517"/>
    <cellStyle name="Comma 6 2 7 4" xfId="11833"/>
    <cellStyle name="Comma 6 2 8" xfId="3228"/>
    <cellStyle name="Comma 6 2 8 2" xfId="8507"/>
    <cellStyle name="Comma 6 2 8 2 2" xfId="53482"/>
    <cellStyle name="Comma 6 2 8 3" xfId="11835"/>
    <cellStyle name="Comma 6 2 9" xfId="1925"/>
    <cellStyle name="Comma 6 2 9 2" xfId="7204"/>
    <cellStyle name="Comma 6 2 9 3" xfId="11836"/>
    <cellStyle name="Comma 6 3" xfId="460"/>
    <cellStyle name="Comma 6 4" xfId="461"/>
    <cellStyle name="Comma 6 4 2" xfId="797"/>
    <cellStyle name="Comma 6 4 2 2" xfId="908"/>
    <cellStyle name="Comma 6 4 2 2 2" xfId="1527"/>
    <cellStyle name="Comma 6 4 2 2 2 2" xfId="2761"/>
    <cellStyle name="Comma 6 4 2 2 2 2 2" xfId="8040"/>
    <cellStyle name="Comma 6 4 2 2 2 2 3" xfId="11841"/>
    <cellStyle name="Comma 6 4 2 2 2 3" xfId="6806"/>
    <cellStyle name="Comma 6 4 2 2 2 4" xfId="11840"/>
    <cellStyle name="Comma 6 4 2 2 3" xfId="3229"/>
    <cellStyle name="Comma 6 4 2 2 3 2" xfId="8508"/>
    <cellStyle name="Comma 6 4 2 2 3 2 2" xfId="53483"/>
    <cellStyle name="Comma 6 4 2 2 3 3" xfId="11842"/>
    <cellStyle name="Comma 6 4 2 2 4" xfId="2148"/>
    <cellStyle name="Comma 6 4 2 2 4 2" xfId="7427"/>
    <cellStyle name="Comma 6 4 2 2 4 3" xfId="11843"/>
    <cellStyle name="Comma 6 4 2 2 5" xfId="6189"/>
    <cellStyle name="Comma 6 4 2 2 6" xfId="11839"/>
    <cellStyle name="Comma 6 4 2 3" xfId="1424"/>
    <cellStyle name="Comma 6 4 2 3 2" xfId="2658"/>
    <cellStyle name="Comma 6 4 2 3 2 2" xfId="7937"/>
    <cellStyle name="Comma 6 4 2 3 2 3" xfId="11845"/>
    <cellStyle name="Comma 6 4 2 3 3" xfId="6703"/>
    <cellStyle name="Comma 6 4 2 3 4" xfId="11844"/>
    <cellStyle name="Comma 6 4 2 4" xfId="3230"/>
    <cellStyle name="Comma 6 4 2 4 2" xfId="8509"/>
    <cellStyle name="Comma 6 4 2 4 2 2" xfId="53484"/>
    <cellStyle name="Comma 6 4 2 4 3" xfId="11846"/>
    <cellStyle name="Comma 6 4 2 5" xfId="2050"/>
    <cellStyle name="Comma 6 4 2 5 2" xfId="7329"/>
    <cellStyle name="Comma 6 4 2 5 3" xfId="11847"/>
    <cellStyle name="Comma 6 4 2 6" xfId="6086"/>
    <cellStyle name="Comma 6 4 2 7" xfId="11838"/>
    <cellStyle name="Comma 6 4 3" xfId="859"/>
    <cellStyle name="Comma 6 4 3 2" xfId="1478"/>
    <cellStyle name="Comma 6 4 3 2 2" xfId="2712"/>
    <cellStyle name="Comma 6 4 3 2 2 2" xfId="7991"/>
    <cellStyle name="Comma 6 4 3 2 2 3" xfId="11850"/>
    <cellStyle name="Comma 6 4 3 2 3" xfId="6757"/>
    <cellStyle name="Comma 6 4 3 2 4" xfId="11849"/>
    <cellStyle name="Comma 6 4 3 3" xfId="3231"/>
    <cellStyle name="Comma 6 4 3 3 2" xfId="8510"/>
    <cellStyle name="Comma 6 4 3 3 2 2" xfId="53485"/>
    <cellStyle name="Comma 6 4 3 3 3" xfId="11851"/>
    <cellStyle name="Comma 6 4 3 4" xfId="2099"/>
    <cellStyle name="Comma 6 4 3 4 2" xfId="7378"/>
    <cellStyle name="Comma 6 4 3 4 3" xfId="11852"/>
    <cellStyle name="Comma 6 4 3 5" xfId="6140"/>
    <cellStyle name="Comma 6 4 3 6" xfId="11848"/>
    <cellStyle name="Comma 6 4 4" xfId="1247"/>
    <cellStyle name="Comma 6 4 4 2" xfId="2481"/>
    <cellStyle name="Comma 6 4 4 2 2" xfId="7760"/>
    <cellStyle name="Comma 6 4 4 2 3" xfId="11854"/>
    <cellStyle name="Comma 6 4 4 3" xfId="6526"/>
    <cellStyle name="Comma 6 4 4 4" xfId="11853"/>
    <cellStyle name="Comma 6 4 5" xfId="3232"/>
    <cellStyle name="Comma 6 4 5 2" xfId="8511"/>
    <cellStyle name="Comma 6 4 5 2 2" xfId="53486"/>
    <cellStyle name="Comma 6 4 5 3" xfId="11855"/>
    <cellStyle name="Comma 6 4 6" xfId="1934"/>
    <cellStyle name="Comma 6 4 6 2" xfId="7213"/>
    <cellStyle name="Comma 6 4 6 3" xfId="11856"/>
    <cellStyle name="Comma 6 4 7" xfId="5873"/>
    <cellStyle name="Comma 6 4 8" xfId="11837"/>
    <cellStyle name="Comma 6 5" xfId="721"/>
    <cellStyle name="Comma 6 5 2" xfId="892"/>
    <cellStyle name="Comma 6 5 2 2" xfId="1511"/>
    <cellStyle name="Comma 6 5 2 2 2" xfId="2745"/>
    <cellStyle name="Comma 6 5 2 2 2 2" xfId="8024"/>
    <cellStyle name="Comma 6 5 2 2 2 3" xfId="11860"/>
    <cellStyle name="Comma 6 5 2 2 3" xfId="6790"/>
    <cellStyle name="Comma 6 5 2 2 4" xfId="11859"/>
    <cellStyle name="Comma 6 5 2 3" xfId="3233"/>
    <cellStyle name="Comma 6 5 2 3 2" xfId="8512"/>
    <cellStyle name="Comma 6 5 2 3 2 2" xfId="53487"/>
    <cellStyle name="Comma 6 5 2 3 3" xfId="11861"/>
    <cellStyle name="Comma 6 5 2 4" xfId="2132"/>
    <cellStyle name="Comma 6 5 2 4 2" xfId="7411"/>
    <cellStyle name="Comma 6 5 2 4 3" xfId="11862"/>
    <cellStyle name="Comma 6 5 2 5" xfId="6173"/>
    <cellStyle name="Comma 6 5 2 6" xfId="11858"/>
    <cellStyle name="Comma 6 5 3" xfId="1348"/>
    <cellStyle name="Comma 6 5 3 2" xfId="2582"/>
    <cellStyle name="Comma 6 5 3 2 2" xfId="7861"/>
    <cellStyle name="Comma 6 5 3 2 3" xfId="11864"/>
    <cellStyle name="Comma 6 5 3 3" xfId="6627"/>
    <cellStyle name="Comma 6 5 3 4" xfId="11863"/>
    <cellStyle name="Comma 6 5 4" xfId="3234"/>
    <cellStyle name="Comma 6 5 4 2" xfId="8513"/>
    <cellStyle name="Comma 6 5 4 2 2" xfId="53488"/>
    <cellStyle name="Comma 6 5 4 3" xfId="11865"/>
    <cellStyle name="Comma 6 5 5" xfId="2034"/>
    <cellStyle name="Comma 6 5 5 2" xfId="7313"/>
    <cellStyle name="Comma 6 5 5 3" xfId="11866"/>
    <cellStyle name="Comma 6 5 6" xfId="6010"/>
    <cellStyle name="Comma 6 5 7" xfId="11857"/>
    <cellStyle name="Comma 6 6" xfId="843"/>
    <cellStyle name="Comma 6 6 2" xfId="1462"/>
    <cellStyle name="Comma 6 6 2 2" xfId="2696"/>
    <cellStyle name="Comma 6 6 2 2 2" xfId="7975"/>
    <cellStyle name="Comma 6 6 2 2 3" xfId="11869"/>
    <cellStyle name="Comma 6 6 2 3" xfId="6741"/>
    <cellStyle name="Comma 6 6 2 4" xfId="11868"/>
    <cellStyle name="Comma 6 6 3" xfId="3235"/>
    <cellStyle name="Comma 6 6 3 2" xfId="8514"/>
    <cellStyle name="Comma 6 6 3 2 2" xfId="53489"/>
    <cellStyle name="Comma 6 6 3 3" xfId="11870"/>
    <cellStyle name="Comma 6 6 4" xfId="2083"/>
    <cellStyle name="Comma 6 6 4 2" xfId="7362"/>
    <cellStyle name="Comma 6 6 4 3" xfId="11871"/>
    <cellStyle name="Comma 6 6 5" xfId="6124"/>
    <cellStyle name="Comma 6 6 6" xfId="11867"/>
    <cellStyle name="Comma 6 7" xfId="1230"/>
    <cellStyle name="Comma 6 7 2" xfId="2464"/>
    <cellStyle name="Comma 6 7 2 2" xfId="7743"/>
    <cellStyle name="Comma 6 7 2 3" xfId="11873"/>
    <cellStyle name="Comma 6 7 3" xfId="6509"/>
    <cellStyle name="Comma 6 7 4" xfId="11872"/>
    <cellStyle name="Comma 6 8" xfId="3236"/>
    <cellStyle name="Comma 6 8 2" xfId="8515"/>
    <cellStyle name="Comma 6 8 2 2" xfId="53490"/>
    <cellStyle name="Comma 6 8 3" xfId="11874"/>
    <cellStyle name="Comma 6 9" xfId="1917"/>
    <cellStyle name="Comma 6 9 2" xfId="7196"/>
    <cellStyle name="Comma 6 9 3" xfId="11875"/>
    <cellStyle name="Comma 7" xfId="41"/>
    <cellStyle name="Comma 7 2" xfId="462"/>
    <cellStyle name="Comma 7 3" xfId="463"/>
    <cellStyle name="Comma 8" xfId="46"/>
    <cellStyle name="Comma 8 10" xfId="11876"/>
    <cellStyle name="Comma 8 2" xfId="464"/>
    <cellStyle name="Comma 8 3" xfId="465"/>
    <cellStyle name="Comma 8 3 2" xfId="798"/>
    <cellStyle name="Comma 8 3 2 2" xfId="909"/>
    <cellStyle name="Comma 8 3 2 2 2" xfId="1528"/>
    <cellStyle name="Comma 8 3 2 2 2 2" xfId="2762"/>
    <cellStyle name="Comma 8 3 2 2 2 2 2" xfId="8041"/>
    <cellStyle name="Comma 8 3 2 2 2 2 3" xfId="11881"/>
    <cellStyle name="Comma 8 3 2 2 2 3" xfId="6807"/>
    <cellStyle name="Comma 8 3 2 2 2 4" xfId="11880"/>
    <cellStyle name="Comma 8 3 2 2 3" xfId="3237"/>
    <cellStyle name="Comma 8 3 2 2 3 2" xfId="8516"/>
    <cellStyle name="Comma 8 3 2 2 3 2 2" xfId="53491"/>
    <cellStyle name="Comma 8 3 2 2 3 3" xfId="11882"/>
    <cellStyle name="Comma 8 3 2 2 4" xfId="2149"/>
    <cellStyle name="Comma 8 3 2 2 4 2" xfId="7428"/>
    <cellStyle name="Comma 8 3 2 2 4 3" xfId="11883"/>
    <cellStyle name="Comma 8 3 2 2 5" xfId="6190"/>
    <cellStyle name="Comma 8 3 2 2 6" xfId="11879"/>
    <cellStyle name="Comma 8 3 2 3" xfId="1425"/>
    <cellStyle name="Comma 8 3 2 3 2" xfId="2659"/>
    <cellStyle name="Comma 8 3 2 3 2 2" xfId="7938"/>
    <cellStyle name="Comma 8 3 2 3 2 3" xfId="11885"/>
    <cellStyle name="Comma 8 3 2 3 3" xfId="6704"/>
    <cellStyle name="Comma 8 3 2 3 4" xfId="11884"/>
    <cellStyle name="Comma 8 3 2 4" xfId="3238"/>
    <cellStyle name="Comma 8 3 2 4 2" xfId="8517"/>
    <cellStyle name="Comma 8 3 2 4 2 2" xfId="53492"/>
    <cellStyle name="Comma 8 3 2 4 3" xfId="11886"/>
    <cellStyle name="Comma 8 3 2 5" xfId="2051"/>
    <cellStyle name="Comma 8 3 2 5 2" xfId="7330"/>
    <cellStyle name="Comma 8 3 2 5 3" xfId="11887"/>
    <cellStyle name="Comma 8 3 2 6" xfId="6087"/>
    <cellStyle name="Comma 8 3 2 7" xfId="11878"/>
    <cellStyle name="Comma 8 3 3" xfId="860"/>
    <cellStyle name="Comma 8 3 3 2" xfId="1479"/>
    <cellStyle name="Comma 8 3 3 2 2" xfId="2713"/>
    <cellStyle name="Comma 8 3 3 2 2 2" xfId="7992"/>
    <cellStyle name="Comma 8 3 3 2 2 3" xfId="11890"/>
    <cellStyle name="Comma 8 3 3 2 3" xfId="6758"/>
    <cellStyle name="Comma 8 3 3 2 4" xfId="11889"/>
    <cellStyle name="Comma 8 3 3 3" xfId="3239"/>
    <cellStyle name="Comma 8 3 3 3 2" xfId="8518"/>
    <cellStyle name="Comma 8 3 3 3 2 2" xfId="53493"/>
    <cellStyle name="Comma 8 3 3 3 3" xfId="11891"/>
    <cellStyle name="Comma 8 3 3 4" xfId="2100"/>
    <cellStyle name="Comma 8 3 3 4 2" xfId="7379"/>
    <cellStyle name="Comma 8 3 3 4 3" xfId="11892"/>
    <cellStyle name="Comma 8 3 3 5" xfId="6141"/>
    <cellStyle name="Comma 8 3 3 6" xfId="11888"/>
    <cellStyle name="Comma 8 3 4" xfId="1248"/>
    <cellStyle name="Comma 8 3 4 2" xfId="2482"/>
    <cellStyle name="Comma 8 3 4 2 2" xfId="7761"/>
    <cellStyle name="Comma 8 3 4 2 3" xfId="11894"/>
    <cellStyle name="Comma 8 3 4 3" xfId="6527"/>
    <cellStyle name="Comma 8 3 4 4" xfId="11893"/>
    <cellStyle name="Comma 8 3 5" xfId="3240"/>
    <cellStyle name="Comma 8 3 5 2" xfId="8519"/>
    <cellStyle name="Comma 8 3 5 2 2" xfId="53494"/>
    <cellStyle name="Comma 8 3 5 3" xfId="11895"/>
    <cellStyle name="Comma 8 3 6" xfId="1935"/>
    <cellStyle name="Comma 8 3 6 2" xfId="7214"/>
    <cellStyle name="Comma 8 3 6 3" xfId="11896"/>
    <cellStyle name="Comma 8 3 7" xfId="5874"/>
    <cellStyle name="Comma 8 3 8" xfId="11877"/>
    <cellStyle name="Comma 8 4" xfId="726"/>
    <cellStyle name="Comma 8 4 2" xfId="897"/>
    <cellStyle name="Comma 8 4 2 2" xfId="1516"/>
    <cellStyle name="Comma 8 4 2 2 2" xfId="2750"/>
    <cellStyle name="Comma 8 4 2 2 2 2" xfId="8029"/>
    <cellStyle name="Comma 8 4 2 2 2 3" xfId="11900"/>
    <cellStyle name="Comma 8 4 2 2 3" xfId="6795"/>
    <cellStyle name="Comma 8 4 2 2 4" xfId="11899"/>
    <cellStyle name="Comma 8 4 2 3" xfId="3241"/>
    <cellStyle name="Comma 8 4 2 3 2" xfId="8520"/>
    <cellStyle name="Comma 8 4 2 3 2 2" xfId="53495"/>
    <cellStyle name="Comma 8 4 2 3 3" xfId="11901"/>
    <cellStyle name="Comma 8 4 2 4" xfId="2137"/>
    <cellStyle name="Comma 8 4 2 4 2" xfId="7416"/>
    <cellStyle name="Comma 8 4 2 4 3" xfId="11902"/>
    <cellStyle name="Comma 8 4 2 5" xfId="6178"/>
    <cellStyle name="Comma 8 4 2 6" xfId="11898"/>
    <cellStyle name="Comma 8 4 3" xfId="1353"/>
    <cellStyle name="Comma 8 4 3 2" xfId="2587"/>
    <cellStyle name="Comma 8 4 3 2 2" xfId="7866"/>
    <cellStyle name="Comma 8 4 3 2 3" xfId="11904"/>
    <cellStyle name="Comma 8 4 3 3" xfId="6632"/>
    <cellStyle name="Comma 8 4 3 4" xfId="11903"/>
    <cellStyle name="Comma 8 4 4" xfId="3242"/>
    <cellStyle name="Comma 8 4 4 2" xfId="8521"/>
    <cellStyle name="Comma 8 4 4 2 2" xfId="53496"/>
    <cellStyle name="Comma 8 4 4 3" xfId="11905"/>
    <cellStyle name="Comma 8 4 5" xfId="2039"/>
    <cellStyle name="Comma 8 4 5 2" xfId="7318"/>
    <cellStyle name="Comma 8 4 5 3" xfId="11906"/>
    <cellStyle name="Comma 8 4 6" xfId="6015"/>
    <cellStyle name="Comma 8 4 7" xfId="11897"/>
    <cellStyle name="Comma 8 5" xfId="848"/>
    <cellStyle name="Comma 8 5 2" xfId="1467"/>
    <cellStyle name="Comma 8 5 2 2" xfId="2701"/>
    <cellStyle name="Comma 8 5 2 2 2" xfId="7980"/>
    <cellStyle name="Comma 8 5 2 2 3" xfId="11909"/>
    <cellStyle name="Comma 8 5 2 3" xfId="6746"/>
    <cellStyle name="Comma 8 5 2 4" xfId="11908"/>
    <cellStyle name="Comma 8 5 3" xfId="3243"/>
    <cellStyle name="Comma 8 5 3 2" xfId="8522"/>
    <cellStyle name="Comma 8 5 3 2 2" xfId="53497"/>
    <cellStyle name="Comma 8 5 3 3" xfId="11910"/>
    <cellStyle name="Comma 8 5 4" xfId="2088"/>
    <cellStyle name="Comma 8 5 4 2" xfId="7367"/>
    <cellStyle name="Comma 8 5 4 3" xfId="11911"/>
    <cellStyle name="Comma 8 5 5" xfId="6129"/>
    <cellStyle name="Comma 8 5 6" xfId="11907"/>
    <cellStyle name="Comma 8 6" xfId="1235"/>
    <cellStyle name="Comma 8 6 2" xfId="2469"/>
    <cellStyle name="Comma 8 6 2 2" xfId="7748"/>
    <cellStyle name="Comma 8 6 2 3" xfId="11913"/>
    <cellStyle name="Comma 8 6 3" xfId="6514"/>
    <cellStyle name="Comma 8 6 4" xfId="11912"/>
    <cellStyle name="Comma 8 7" xfId="3244"/>
    <cellStyle name="Comma 8 7 2" xfId="8523"/>
    <cellStyle name="Comma 8 7 2 2" xfId="53498"/>
    <cellStyle name="Comma 8 7 3" xfId="11914"/>
    <cellStyle name="Comma 8 8" xfId="1922"/>
    <cellStyle name="Comma 8 8 2" xfId="7201"/>
    <cellStyle name="Comma 8 8 3" xfId="11915"/>
    <cellStyle name="Comma 8 9" xfId="5853"/>
    <cellStyle name="Comma 9" xfId="466"/>
    <cellStyle name="Comma 9 2" xfId="467"/>
    <cellStyle name="Comma 9 2 2" xfId="468"/>
    <cellStyle name="Comma 9 2 2 2" xfId="799"/>
    <cellStyle name="Comma 9 2 2 2 2" xfId="910"/>
    <cellStyle name="Comma 9 2 2 2 2 2" xfId="1529"/>
    <cellStyle name="Comma 9 2 2 2 2 2 2" xfId="2763"/>
    <cellStyle name="Comma 9 2 2 2 2 2 2 2" xfId="8042"/>
    <cellStyle name="Comma 9 2 2 2 2 2 2 3" xfId="11920"/>
    <cellStyle name="Comma 9 2 2 2 2 2 3" xfId="6808"/>
    <cellStyle name="Comma 9 2 2 2 2 2 4" xfId="11919"/>
    <cellStyle name="Comma 9 2 2 2 2 3" xfId="3245"/>
    <cellStyle name="Comma 9 2 2 2 2 3 2" xfId="8524"/>
    <cellStyle name="Comma 9 2 2 2 2 3 2 2" xfId="53499"/>
    <cellStyle name="Comma 9 2 2 2 2 3 3" xfId="11921"/>
    <cellStyle name="Comma 9 2 2 2 2 4" xfId="2150"/>
    <cellStyle name="Comma 9 2 2 2 2 4 2" xfId="7429"/>
    <cellStyle name="Comma 9 2 2 2 2 4 3" xfId="11922"/>
    <cellStyle name="Comma 9 2 2 2 2 5" xfId="6191"/>
    <cellStyle name="Comma 9 2 2 2 2 6" xfId="11918"/>
    <cellStyle name="Comma 9 2 2 2 3" xfId="1426"/>
    <cellStyle name="Comma 9 2 2 2 3 2" xfId="2660"/>
    <cellStyle name="Comma 9 2 2 2 3 2 2" xfId="7939"/>
    <cellStyle name="Comma 9 2 2 2 3 2 3" xfId="11924"/>
    <cellStyle name="Comma 9 2 2 2 3 3" xfId="6705"/>
    <cellStyle name="Comma 9 2 2 2 3 4" xfId="11923"/>
    <cellStyle name="Comma 9 2 2 2 4" xfId="3246"/>
    <cellStyle name="Comma 9 2 2 2 4 2" xfId="8525"/>
    <cellStyle name="Comma 9 2 2 2 4 2 2" xfId="53500"/>
    <cellStyle name="Comma 9 2 2 2 4 3" xfId="11925"/>
    <cellStyle name="Comma 9 2 2 2 5" xfId="2052"/>
    <cellStyle name="Comma 9 2 2 2 5 2" xfId="7331"/>
    <cellStyle name="Comma 9 2 2 2 5 3" xfId="11926"/>
    <cellStyle name="Comma 9 2 2 2 6" xfId="6088"/>
    <cellStyle name="Comma 9 2 2 2 7" xfId="11917"/>
    <cellStyle name="Comma 9 2 2 3" xfId="861"/>
    <cellStyle name="Comma 9 2 2 3 2" xfId="1480"/>
    <cellStyle name="Comma 9 2 2 3 2 2" xfId="2714"/>
    <cellStyle name="Comma 9 2 2 3 2 2 2" xfId="7993"/>
    <cellStyle name="Comma 9 2 2 3 2 2 3" xfId="11929"/>
    <cellStyle name="Comma 9 2 2 3 2 3" xfId="6759"/>
    <cellStyle name="Comma 9 2 2 3 2 4" xfId="11928"/>
    <cellStyle name="Comma 9 2 2 3 3" xfId="3247"/>
    <cellStyle name="Comma 9 2 2 3 3 2" xfId="8526"/>
    <cellStyle name="Comma 9 2 2 3 3 2 2" xfId="53501"/>
    <cellStyle name="Comma 9 2 2 3 3 3" xfId="11930"/>
    <cellStyle name="Comma 9 2 2 3 4" xfId="2101"/>
    <cellStyle name="Comma 9 2 2 3 4 2" xfId="7380"/>
    <cellStyle name="Comma 9 2 2 3 4 3" xfId="11931"/>
    <cellStyle name="Comma 9 2 2 3 5" xfId="6142"/>
    <cellStyle name="Comma 9 2 2 3 6" xfId="11927"/>
    <cellStyle name="Comma 9 2 2 4" xfId="1249"/>
    <cellStyle name="Comma 9 2 2 4 2" xfId="2483"/>
    <cellStyle name="Comma 9 2 2 4 2 2" xfId="7762"/>
    <cellStyle name="Comma 9 2 2 4 2 3" xfId="11933"/>
    <cellStyle name="Comma 9 2 2 4 3" xfId="6528"/>
    <cellStyle name="Comma 9 2 2 4 4" xfId="11932"/>
    <cellStyle name="Comma 9 2 2 5" xfId="3248"/>
    <cellStyle name="Comma 9 2 2 5 2" xfId="8527"/>
    <cellStyle name="Comma 9 2 2 5 2 2" xfId="53502"/>
    <cellStyle name="Comma 9 2 2 5 3" xfId="11934"/>
    <cellStyle name="Comma 9 2 2 6" xfId="1936"/>
    <cellStyle name="Comma 9 2 2 6 2" xfId="7215"/>
    <cellStyle name="Comma 9 2 2 6 3" xfId="11935"/>
    <cellStyle name="Comma 9 2 2 7" xfId="5875"/>
    <cellStyle name="Comma 9 2 2 8" xfId="11916"/>
    <cellStyle name="Comma 9 3" xfId="469"/>
    <cellStyle name="Comma 9 3 2" xfId="800"/>
    <cellStyle name="Comma 9 3 2 2" xfId="911"/>
    <cellStyle name="Comma 9 3 2 2 2" xfId="1530"/>
    <cellStyle name="Comma 9 3 2 2 2 2" xfId="2764"/>
    <cellStyle name="Comma 9 3 2 2 2 2 2" xfId="8043"/>
    <cellStyle name="Comma 9 3 2 2 2 2 3" xfId="11940"/>
    <cellStyle name="Comma 9 3 2 2 2 3" xfId="6809"/>
    <cellStyle name="Comma 9 3 2 2 2 4" xfId="11939"/>
    <cellStyle name="Comma 9 3 2 2 3" xfId="3249"/>
    <cellStyle name="Comma 9 3 2 2 3 2" xfId="8528"/>
    <cellStyle name="Comma 9 3 2 2 3 2 2" xfId="53503"/>
    <cellStyle name="Comma 9 3 2 2 3 3" xfId="11941"/>
    <cellStyle name="Comma 9 3 2 2 4" xfId="2151"/>
    <cellStyle name="Comma 9 3 2 2 4 2" xfId="7430"/>
    <cellStyle name="Comma 9 3 2 2 4 3" xfId="11942"/>
    <cellStyle name="Comma 9 3 2 2 5" xfId="6192"/>
    <cellStyle name="Comma 9 3 2 2 6" xfId="11938"/>
    <cellStyle name="Comma 9 3 2 3" xfId="1427"/>
    <cellStyle name="Comma 9 3 2 3 2" xfId="2661"/>
    <cellStyle name="Comma 9 3 2 3 2 2" xfId="7940"/>
    <cellStyle name="Comma 9 3 2 3 2 3" xfId="11944"/>
    <cellStyle name="Comma 9 3 2 3 3" xfId="6706"/>
    <cellStyle name="Comma 9 3 2 3 4" xfId="11943"/>
    <cellStyle name="Comma 9 3 2 4" xfId="3250"/>
    <cellStyle name="Comma 9 3 2 4 2" xfId="8529"/>
    <cellStyle name="Comma 9 3 2 4 2 2" xfId="53504"/>
    <cellStyle name="Comma 9 3 2 4 3" xfId="11945"/>
    <cellStyle name="Comma 9 3 2 5" xfId="2053"/>
    <cellStyle name="Comma 9 3 2 5 2" xfId="7332"/>
    <cellStyle name="Comma 9 3 2 5 3" xfId="11946"/>
    <cellStyle name="Comma 9 3 2 6" xfId="6089"/>
    <cellStyle name="Comma 9 3 2 7" xfId="11937"/>
    <cellStyle name="Comma 9 3 3" xfId="862"/>
    <cellStyle name="Comma 9 3 3 2" xfId="1481"/>
    <cellStyle name="Comma 9 3 3 2 2" xfId="2715"/>
    <cellStyle name="Comma 9 3 3 2 2 2" xfId="7994"/>
    <cellStyle name="Comma 9 3 3 2 2 3" xfId="11949"/>
    <cellStyle name="Comma 9 3 3 2 3" xfId="6760"/>
    <cellStyle name="Comma 9 3 3 2 4" xfId="11948"/>
    <cellStyle name="Comma 9 3 3 3" xfId="3251"/>
    <cellStyle name="Comma 9 3 3 3 2" xfId="8530"/>
    <cellStyle name="Comma 9 3 3 3 2 2" xfId="53505"/>
    <cellStyle name="Comma 9 3 3 3 3" xfId="11950"/>
    <cellStyle name="Comma 9 3 3 4" xfId="2102"/>
    <cellStyle name="Comma 9 3 3 4 2" xfId="7381"/>
    <cellStyle name="Comma 9 3 3 4 3" xfId="11951"/>
    <cellStyle name="Comma 9 3 3 5" xfId="6143"/>
    <cellStyle name="Comma 9 3 3 6" xfId="11947"/>
    <cellStyle name="Comma 9 3 4" xfId="1250"/>
    <cellStyle name="Comma 9 3 4 2" xfId="2484"/>
    <cellStyle name="Comma 9 3 4 2 2" xfId="7763"/>
    <cellStyle name="Comma 9 3 4 2 3" xfId="11953"/>
    <cellStyle name="Comma 9 3 4 3" xfId="6529"/>
    <cellStyle name="Comma 9 3 4 4" xfId="11952"/>
    <cellStyle name="Comma 9 3 5" xfId="3252"/>
    <cellStyle name="Comma 9 3 5 2" xfId="8531"/>
    <cellStyle name="Comma 9 3 5 2 2" xfId="53506"/>
    <cellStyle name="Comma 9 3 5 3" xfId="11954"/>
    <cellStyle name="Comma 9 3 6" xfId="1937"/>
    <cellStyle name="Comma 9 3 6 2" xfId="7216"/>
    <cellStyle name="Comma 9 3 6 3" xfId="11955"/>
    <cellStyle name="Comma 9 3 7" xfId="5876"/>
    <cellStyle name="Comma 9 3 8" xfId="11936"/>
    <cellStyle name="Comma0" xfId="470"/>
    <cellStyle name="Comma0 - Style1" xfId="47302"/>
    <cellStyle name="Comma0 - Style2" xfId="47303"/>
    <cellStyle name="Comma0 - Style3" xfId="47304"/>
    <cellStyle name="Comma0 - Style4" xfId="47305"/>
    <cellStyle name="Comma0 10" xfId="47306"/>
    <cellStyle name="Comma0 11" xfId="47307"/>
    <cellStyle name="Comma0 12" xfId="47308"/>
    <cellStyle name="Comma0 13" xfId="47309"/>
    <cellStyle name="Comma0 14" xfId="47310"/>
    <cellStyle name="Comma0 15" xfId="47311"/>
    <cellStyle name="Comma0 16" xfId="47312"/>
    <cellStyle name="Comma0 17" xfId="47313"/>
    <cellStyle name="Comma0 18" xfId="47314"/>
    <cellStyle name="Comma0 19" xfId="47315"/>
    <cellStyle name="Comma0 2" xfId="47316"/>
    <cellStyle name="Comma0 2 10" xfId="47317"/>
    <cellStyle name="Comma0 2 11" xfId="47318"/>
    <cellStyle name="Comma0 2 12" xfId="47319"/>
    <cellStyle name="Comma0 2 13" xfId="47320"/>
    <cellStyle name="Comma0 2 14" xfId="47321"/>
    <cellStyle name="Comma0 2 15" xfId="47322"/>
    <cellStyle name="Comma0 2 16" xfId="47323"/>
    <cellStyle name="Comma0 2 17" xfId="47324"/>
    <cellStyle name="Comma0 2 18" xfId="47325"/>
    <cellStyle name="Comma0 2 19" xfId="47326"/>
    <cellStyle name="Comma0 2 2" xfId="47327"/>
    <cellStyle name="Comma0 2 2 2" xfId="47328"/>
    <cellStyle name="Comma0 2 2 3" xfId="47329"/>
    <cellStyle name="Comma0 2 2 4" xfId="47330"/>
    <cellStyle name="Comma0 2 2 4 10" xfId="47331"/>
    <cellStyle name="Comma0 2 2 4 11" xfId="47332"/>
    <cellStyle name="Comma0 2 2 4 12" xfId="47333"/>
    <cellStyle name="Comma0 2 2 4 13" xfId="47334"/>
    <cellStyle name="Comma0 2 2 4 2" xfId="47335"/>
    <cellStyle name="Comma0 2 2 4 3" xfId="47336"/>
    <cellStyle name="Comma0 2 2 4 4" xfId="47337"/>
    <cellStyle name="Comma0 2 2 4 5" xfId="47338"/>
    <cellStyle name="Comma0 2 2 4 6" xfId="47339"/>
    <cellStyle name="Comma0 2 2 4 7" xfId="47340"/>
    <cellStyle name="Comma0 2 2 4 8" xfId="47341"/>
    <cellStyle name="Comma0 2 2 4 9" xfId="47342"/>
    <cellStyle name="Comma0 2 2 5" xfId="47343"/>
    <cellStyle name="Comma0 2 2 5 10" xfId="47344"/>
    <cellStyle name="Comma0 2 2 5 11" xfId="47345"/>
    <cellStyle name="Comma0 2 2 5 12" xfId="47346"/>
    <cellStyle name="Comma0 2 2 5 13" xfId="47347"/>
    <cellStyle name="Comma0 2 2 5 2" xfId="47348"/>
    <cellStyle name="Comma0 2 2 5 3" xfId="47349"/>
    <cellStyle name="Comma0 2 2 5 4" xfId="47350"/>
    <cellStyle name="Comma0 2 2 5 5" xfId="47351"/>
    <cellStyle name="Comma0 2 2 5 6" xfId="47352"/>
    <cellStyle name="Comma0 2 2 5 7" xfId="47353"/>
    <cellStyle name="Comma0 2 2 5 8" xfId="47354"/>
    <cellStyle name="Comma0 2 2 5 9" xfId="47355"/>
    <cellStyle name="Comma0 2 2 6" xfId="47356"/>
    <cellStyle name="Comma0 2 2 6 10" xfId="47357"/>
    <cellStyle name="Comma0 2 2 6 11" xfId="47358"/>
    <cellStyle name="Comma0 2 2 6 12" xfId="47359"/>
    <cellStyle name="Comma0 2 2 6 13" xfId="47360"/>
    <cellStyle name="Comma0 2 2 6 2" xfId="47361"/>
    <cellStyle name="Comma0 2 2 6 3" xfId="47362"/>
    <cellStyle name="Comma0 2 2 6 4" xfId="47363"/>
    <cellStyle name="Comma0 2 2 6 5" xfId="47364"/>
    <cellStyle name="Comma0 2 2 6 6" xfId="47365"/>
    <cellStyle name="Comma0 2 2 6 7" xfId="47366"/>
    <cellStyle name="Comma0 2 2 6 8" xfId="47367"/>
    <cellStyle name="Comma0 2 2 6 9" xfId="47368"/>
    <cellStyle name="Comma0 2 20" xfId="47369"/>
    <cellStyle name="Comma0 2 21" xfId="47370"/>
    <cellStyle name="Comma0 2 3" xfId="47371"/>
    <cellStyle name="Comma0 2 3 2" xfId="47372"/>
    <cellStyle name="Comma0 2 3 2 10" xfId="47373"/>
    <cellStyle name="Comma0 2 3 2 11" xfId="47374"/>
    <cellStyle name="Comma0 2 3 2 12" xfId="47375"/>
    <cellStyle name="Comma0 2 3 2 13" xfId="47376"/>
    <cellStyle name="Comma0 2 3 2 2" xfId="47377"/>
    <cellStyle name="Comma0 2 3 2 3" xfId="47378"/>
    <cellStyle name="Comma0 2 3 2 4" xfId="47379"/>
    <cellStyle name="Comma0 2 3 2 5" xfId="47380"/>
    <cellStyle name="Comma0 2 3 2 6" xfId="47381"/>
    <cellStyle name="Comma0 2 3 2 7" xfId="47382"/>
    <cellStyle name="Comma0 2 3 2 8" xfId="47383"/>
    <cellStyle name="Comma0 2 3 2 9" xfId="47384"/>
    <cellStyle name="Comma0 2 3 3" xfId="47385"/>
    <cellStyle name="Comma0 2 3 3 10" xfId="47386"/>
    <cellStyle name="Comma0 2 3 3 11" xfId="47387"/>
    <cellStyle name="Comma0 2 3 3 12" xfId="47388"/>
    <cellStyle name="Comma0 2 3 3 13" xfId="47389"/>
    <cellStyle name="Comma0 2 3 3 2" xfId="47390"/>
    <cellStyle name="Comma0 2 3 3 3" xfId="47391"/>
    <cellStyle name="Comma0 2 3 3 4" xfId="47392"/>
    <cellStyle name="Comma0 2 3 3 5" xfId="47393"/>
    <cellStyle name="Comma0 2 3 3 6" xfId="47394"/>
    <cellStyle name="Comma0 2 3 3 7" xfId="47395"/>
    <cellStyle name="Comma0 2 3 3 8" xfId="47396"/>
    <cellStyle name="Comma0 2 3 3 9" xfId="47397"/>
    <cellStyle name="Comma0 2 3 4" xfId="47398"/>
    <cellStyle name="Comma0 2 3 4 10" xfId="47399"/>
    <cellStyle name="Comma0 2 3 4 11" xfId="47400"/>
    <cellStyle name="Comma0 2 3 4 12" xfId="47401"/>
    <cellStyle name="Comma0 2 3 4 13" xfId="47402"/>
    <cellStyle name="Comma0 2 3 4 2" xfId="47403"/>
    <cellStyle name="Comma0 2 3 4 3" xfId="47404"/>
    <cellStyle name="Comma0 2 3 4 4" xfId="47405"/>
    <cellStyle name="Comma0 2 3 4 5" xfId="47406"/>
    <cellStyle name="Comma0 2 3 4 6" xfId="47407"/>
    <cellStyle name="Comma0 2 3 4 7" xfId="47408"/>
    <cellStyle name="Comma0 2 3 4 8" xfId="47409"/>
    <cellStyle name="Comma0 2 3 4 9" xfId="47410"/>
    <cellStyle name="Comma0 2 4" xfId="47411"/>
    <cellStyle name="Comma0 2 4 2" xfId="47412"/>
    <cellStyle name="Comma0 2 4 2 10" xfId="47413"/>
    <cellStyle name="Comma0 2 4 2 11" xfId="47414"/>
    <cellStyle name="Comma0 2 4 2 12" xfId="47415"/>
    <cellStyle name="Comma0 2 4 2 13" xfId="47416"/>
    <cellStyle name="Comma0 2 4 2 2" xfId="47417"/>
    <cellStyle name="Comma0 2 4 2 3" xfId="47418"/>
    <cellStyle name="Comma0 2 4 2 4" xfId="47419"/>
    <cellStyle name="Comma0 2 4 2 5" xfId="47420"/>
    <cellStyle name="Comma0 2 4 2 6" xfId="47421"/>
    <cellStyle name="Comma0 2 4 2 7" xfId="47422"/>
    <cellStyle name="Comma0 2 4 2 8" xfId="47423"/>
    <cellStyle name="Comma0 2 4 2 9" xfId="47424"/>
    <cellStyle name="Comma0 2 4 3" xfId="47425"/>
    <cellStyle name="Comma0 2 4 3 10" xfId="47426"/>
    <cellStyle name="Comma0 2 4 3 11" xfId="47427"/>
    <cellStyle name="Comma0 2 4 3 12" xfId="47428"/>
    <cellStyle name="Comma0 2 4 3 13" xfId="47429"/>
    <cellStyle name="Comma0 2 4 3 2" xfId="47430"/>
    <cellStyle name="Comma0 2 4 3 3" xfId="47431"/>
    <cellStyle name="Comma0 2 4 3 4" xfId="47432"/>
    <cellStyle name="Comma0 2 4 3 5" xfId="47433"/>
    <cellStyle name="Comma0 2 4 3 6" xfId="47434"/>
    <cellStyle name="Comma0 2 4 3 7" xfId="47435"/>
    <cellStyle name="Comma0 2 4 3 8" xfId="47436"/>
    <cellStyle name="Comma0 2 4 3 9" xfId="47437"/>
    <cellStyle name="Comma0 2 4 4" xfId="47438"/>
    <cellStyle name="Comma0 2 4 4 10" xfId="47439"/>
    <cellStyle name="Comma0 2 4 4 11" xfId="47440"/>
    <cellStyle name="Comma0 2 4 4 12" xfId="47441"/>
    <cellStyle name="Comma0 2 4 4 13" xfId="47442"/>
    <cellStyle name="Comma0 2 4 4 2" xfId="47443"/>
    <cellStyle name="Comma0 2 4 4 3" xfId="47444"/>
    <cellStyle name="Comma0 2 4 4 4" xfId="47445"/>
    <cellStyle name="Comma0 2 4 4 5" xfId="47446"/>
    <cellStyle name="Comma0 2 4 4 6" xfId="47447"/>
    <cellStyle name="Comma0 2 4 4 7" xfId="47448"/>
    <cellStyle name="Comma0 2 4 4 8" xfId="47449"/>
    <cellStyle name="Comma0 2 4 4 9" xfId="47450"/>
    <cellStyle name="Comma0 2 5" xfId="47451"/>
    <cellStyle name="Comma0 2 6" xfId="47452"/>
    <cellStyle name="Comma0 2 7" xfId="47453"/>
    <cellStyle name="Comma0 2 8" xfId="47454"/>
    <cellStyle name="Comma0 2 9" xfId="47455"/>
    <cellStyle name="Comma0 20" xfId="47456"/>
    <cellStyle name="Comma0 21" xfId="47457"/>
    <cellStyle name="Comma0 22" xfId="47458"/>
    <cellStyle name="Comma0 23" xfId="47459"/>
    <cellStyle name="Comma0 24" xfId="47460"/>
    <cellStyle name="Comma0 25" xfId="47461"/>
    <cellStyle name="Comma0 26" xfId="47462"/>
    <cellStyle name="Comma0 27" xfId="47463"/>
    <cellStyle name="Comma0 28" xfId="47464"/>
    <cellStyle name="Comma0 29" xfId="47465"/>
    <cellStyle name="Comma0 3" xfId="47466"/>
    <cellStyle name="Comma0 3 2" xfId="47467"/>
    <cellStyle name="Comma0 3 3" xfId="47468"/>
    <cellStyle name="Comma0 3 4" xfId="47469"/>
    <cellStyle name="Comma0 3 5" xfId="47470"/>
    <cellStyle name="Comma0 3 6" xfId="47471"/>
    <cellStyle name="Comma0 3 6 10" xfId="47472"/>
    <cellStyle name="Comma0 3 6 11" xfId="47473"/>
    <cellStyle name="Comma0 3 6 12" xfId="47474"/>
    <cellStyle name="Comma0 3 6 13" xfId="47475"/>
    <cellStyle name="Comma0 3 6 2" xfId="47476"/>
    <cellStyle name="Comma0 3 6 3" xfId="47477"/>
    <cellStyle name="Comma0 3 6 4" xfId="47478"/>
    <cellStyle name="Comma0 3 6 5" xfId="47479"/>
    <cellStyle name="Comma0 3 6 6" xfId="47480"/>
    <cellStyle name="Comma0 3 6 7" xfId="47481"/>
    <cellStyle name="Comma0 3 6 8" xfId="47482"/>
    <cellStyle name="Comma0 3 6 9" xfId="47483"/>
    <cellStyle name="Comma0 3 7" xfId="47484"/>
    <cellStyle name="Comma0 3 7 10" xfId="47485"/>
    <cellStyle name="Comma0 3 7 11" xfId="47486"/>
    <cellStyle name="Comma0 3 7 12" xfId="47487"/>
    <cellStyle name="Comma0 3 7 13" xfId="47488"/>
    <cellStyle name="Comma0 3 7 2" xfId="47489"/>
    <cellStyle name="Comma0 3 7 3" xfId="47490"/>
    <cellStyle name="Comma0 3 7 4" xfId="47491"/>
    <cellStyle name="Comma0 3 7 5" xfId="47492"/>
    <cellStyle name="Comma0 3 7 6" xfId="47493"/>
    <cellStyle name="Comma0 3 7 7" xfId="47494"/>
    <cellStyle name="Comma0 3 7 8" xfId="47495"/>
    <cellStyle name="Comma0 3 7 9" xfId="47496"/>
    <cellStyle name="Comma0 3 8" xfId="47497"/>
    <cellStyle name="Comma0 3 8 10" xfId="47498"/>
    <cellStyle name="Comma0 3 8 11" xfId="47499"/>
    <cellStyle name="Comma0 3 8 12" xfId="47500"/>
    <cellStyle name="Comma0 3 8 13" xfId="47501"/>
    <cellStyle name="Comma0 3 8 2" xfId="47502"/>
    <cellStyle name="Comma0 3 8 3" xfId="47503"/>
    <cellStyle name="Comma0 3 8 4" xfId="47504"/>
    <cellStyle name="Comma0 3 8 5" xfId="47505"/>
    <cellStyle name="Comma0 3 8 6" xfId="47506"/>
    <cellStyle name="Comma0 3 8 7" xfId="47507"/>
    <cellStyle name="Comma0 3 8 8" xfId="47508"/>
    <cellStyle name="Comma0 3 8 9" xfId="47509"/>
    <cellStyle name="Comma0 30" xfId="47510"/>
    <cellStyle name="Comma0 31" xfId="47511"/>
    <cellStyle name="Comma0 32" xfId="47512"/>
    <cellStyle name="Comma0 33" xfId="47513"/>
    <cellStyle name="Comma0 34" xfId="47514"/>
    <cellStyle name="Comma0 35" xfId="47515"/>
    <cellStyle name="Comma0 36" xfId="47516"/>
    <cellStyle name="Comma0 37" xfId="47517"/>
    <cellStyle name="Comma0 38" xfId="47518"/>
    <cellStyle name="Comma0 39" xfId="47519"/>
    <cellStyle name="Comma0 4" xfId="47520"/>
    <cellStyle name="Comma0 40" xfId="47521"/>
    <cellStyle name="Comma0 40 2" xfId="47522"/>
    <cellStyle name="Comma0 40 2 10" xfId="47523"/>
    <cellStyle name="Comma0 40 2 11" xfId="47524"/>
    <cellStyle name="Comma0 40 2 12" xfId="47525"/>
    <cellStyle name="Comma0 40 2 13" xfId="47526"/>
    <cellStyle name="Comma0 40 2 2" xfId="47527"/>
    <cellStyle name="Comma0 40 2 3" xfId="47528"/>
    <cellStyle name="Comma0 40 2 4" xfId="47529"/>
    <cellStyle name="Comma0 40 2 5" xfId="47530"/>
    <cellStyle name="Comma0 40 2 6" xfId="47531"/>
    <cellStyle name="Comma0 40 2 7" xfId="47532"/>
    <cellStyle name="Comma0 40 2 8" xfId="47533"/>
    <cellStyle name="Comma0 40 2 9" xfId="47534"/>
    <cellStyle name="Comma0 40 3" xfId="47535"/>
    <cellStyle name="Comma0 40 3 10" xfId="47536"/>
    <cellStyle name="Comma0 40 3 11" xfId="47537"/>
    <cellStyle name="Comma0 40 3 12" xfId="47538"/>
    <cellStyle name="Comma0 40 3 13" xfId="47539"/>
    <cellStyle name="Comma0 40 3 2" xfId="47540"/>
    <cellStyle name="Comma0 40 3 3" xfId="47541"/>
    <cellStyle name="Comma0 40 3 4" xfId="47542"/>
    <cellStyle name="Comma0 40 3 5" xfId="47543"/>
    <cellStyle name="Comma0 40 3 6" xfId="47544"/>
    <cellStyle name="Comma0 40 3 7" xfId="47545"/>
    <cellStyle name="Comma0 40 3 8" xfId="47546"/>
    <cellStyle name="Comma0 40 3 9" xfId="47547"/>
    <cellStyle name="Comma0 40 4" xfId="47548"/>
    <cellStyle name="Comma0 40 4 10" xfId="47549"/>
    <cellStyle name="Comma0 40 4 11" xfId="47550"/>
    <cellStyle name="Comma0 40 4 12" xfId="47551"/>
    <cellStyle name="Comma0 40 4 13" xfId="47552"/>
    <cellStyle name="Comma0 40 4 2" xfId="47553"/>
    <cellStyle name="Comma0 40 4 3" xfId="47554"/>
    <cellStyle name="Comma0 40 4 4" xfId="47555"/>
    <cellStyle name="Comma0 40 4 5" xfId="47556"/>
    <cellStyle name="Comma0 40 4 6" xfId="47557"/>
    <cellStyle name="Comma0 40 4 7" xfId="47558"/>
    <cellStyle name="Comma0 40 4 8" xfId="47559"/>
    <cellStyle name="Comma0 40 4 9" xfId="47560"/>
    <cellStyle name="Comma0 41" xfId="47561"/>
    <cellStyle name="Comma0 41 2" xfId="47562"/>
    <cellStyle name="Comma0 41 2 10" xfId="47563"/>
    <cellStyle name="Comma0 41 2 11" xfId="47564"/>
    <cellStyle name="Comma0 41 2 12" xfId="47565"/>
    <cellStyle name="Comma0 41 2 13" xfId="47566"/>
    <cellStyle name="Comma0 41 2 2" xfId="47567"/>
    <cellStyle name="Comma0 41 2 3" xfId="47568"/>
    <cellStyle name="Comma0 41 2 4" xfId="47569"/>
    <cellStyle name="Comma0 41 2 5" xfId="47570"/>
    <cellStyle name="Comma0 41 2 6" xfId="47571"/>
    <cellStyle name="Comma0 41 2 7" xfId="47572"/>
    <cellStyle name="Comma0 41 2 8" xfId="47573"/>
    <cellStyle name="Comma0 41 2 9" xfId="47574"/>
    <cellStyle name="Comma0 41 3" xfId="47575"/>
    <cellStyle name="Comma0 41 3 10" xfId="47576"/>
    <cellStyle name="Comma0 41 3 11" xfId="47577"/>
    <cellStyle name="Comma0 41 3 12" xfId="47578"/>
    <cellStyle name="Comma0 41 3 13" xfId="47579"/>
    <cellStyle name="Comma0 41 3 2" xfId="47580"/>
    <cellStyle name="Comma0 41 3 3" xfId="47581"/>
    <cellStyle name="Comma0 41 3 4" xfId="47582"/>
    <cellStyle name="Comma0 41 3 5" xfId="47583"/>
    <cellStyle name="Comma0 41 3 6" xfId="47584"/>
    <cellStyle name="Comma0 41 3 7" xfId="47585"/>
    <cellStyle name="Comma0 41 3 8" xfId="47586"/>
    <cellStyle name="Comma0 41 3 9" xfId="47587"/>
    <cellStyle name="Comma0 41 4" xfId="47588"/>
    <cellStyle name="Comma0 41 4 10" xfId="47589"/>
    <cellStyle name="Comma0 41 4 11" xfId="47590"/>
    <cellStyle name="Comma0 41 4 12" xfId="47591"/>
    <cellStyle name="Comma0 41 4 13" xfId="47592"/>
    <cellStyle name="Comma0 41 4 2" xfId="47593"/>
    <cellStyle name="Comma0 41 4 3" xfId="47594"/>
    <cellStyle name="Comma0 41 4 4" xfId="47595"/>
    <cellStyle name="Comma0 41 4 5" xfId="47596"/>
    <cellStyle name="Comma0 41 4 6" xfId="47597"/>
    <cellStyle name="Comma0 41 4 7" xfId="47598"/>
    <cellStyle name="Comma0 41 4 8" xfId="47599"/>
    <cellStyle name="Comma0 41 4 9" xfId="47600"/>
    <cellStyle name="Comma0 42" xfId="47601"/>
    <cellStyle name="Comma0 42 2" xfId="47602"/>
    <cellStyle name="Comma0 42 3" xfId="47603"/>
    <cellStyle name="Comma0 42 4" xfId="47604"/>
    <cellStyle name="Comma0 42 5" xfId="47605"/>
    <cellStyle name="Comma0 42 6" xfId="47606"/>
    <cellStyle name="Comma0 42 7" xfId="47607"/>
    <cellStyle name="Comma0 43" xfId="47608"/>
    <cellStyle name="Comma0 43 2" xfId="47609"/>
    <cellStyle name="Comma0 43 3" xfId="47610"/>
    <cellStyle name="Comma0 43 4" xfId="47611"/>
    <cellStyle name="Comma0 43 5" xfId="47612"/>
    <cellStyle name="Comma0 43 6" xfId="47613"/>
    <cellStyle name="Comma0 43 7" xfId="47614"/>
    <cellStyle name="Comma0 44" xfId="47615"/>
    <cellStyle name="Comma0 44 2" xfId="47616"/>
    <cellStyle name="Comma0 44 3" xfId="47617"/>
    <cellStyle name="Comma0 44 4" xfId="47618"/>
    <cellStyle name="Comma0 44 5" xfId="47619"/>
    <cellStyle name="Comma0 44 6" xfId="47620"/>
    <cellStyle name="Comma0 44 7" xfId="47621"/>
    <cellStyle name="Comma0 45" xfId="47622"/>
    <cellStyle name="Comma0 5" xfId="47623"/>
    <cellStyle name="Comma0 6" xfId="47624"/>
    <cellStyle name="Comma0 7" xfId="47625"/>
    <cellStyle name="Comma0 8" xfId="47626"/>
    <cellStyle name="Comma0 9" xfId="47627"/>
    <cellStyle name="Comma0_BCC Download" xfId="47628"/>
    <cellStyle name="Comma1 - Style1" xfId="47629"/>
    <cellStyle name="cost_per_kw" xfId="24"/>
    <cellStyle name="Curren - Style2" xfId="47630"/>
    <cellStyle name="Curren - Style3" xfId="47631"/>
    <cellStyle name="Currency" xfId="5" builtinId="4"/>
    <cellStyle name="Currency 2" xfId="6"/>
    <cellStyle name="Currency 2 2" xfId="471"/>
    <cellStyle name="Currency 2 2 2" xfId="472"/>
    <cellStyle name="Currency 2 2 3" xfId="943"/>
    <cellStyle name="Currency 2 3" xfId="944"/>
    <cellStyle name="Currency 3" xfId="7"/>
    <cellStyle name="Currency 3 2" xfId="473"/>
    <cellStyle name="Currency 4" xfId="31"/>
    <cellStyle name="Currency 4 2" xfId="717"/>
    <cellStyle name="Currency 4 2 2" xfId="889"/>
    <cellStyle name="Currency 4 2 2 2" xfId="1508"/>
    <cellStyle name="Currency 4 2 2 2 2" xfId="2742"/>
    <cellStyle name="Currency 4 2 2 2 2 2" xfId="8021"/>
    <cellStyle name="Currency 4 2 2 2 2 3" xfId="11960"/>
    <cellStyle name="Currency 4 2 2 2 3" xfId="6787"/>
    <cellStyle name="Currency 4 2 2 2 4" xfId="11959"/>
    <cellStyle name="Currency 4 2 2 3" xfId="3253"/>
    <cellStyle name="Currency 4 2 2 3 2" xfId="8532"/>
    <cellStyle name="Currency 4 2 2 3 2 2" xfId="53507"/>
    <cellStyle name="Currency 4 2 2 3 3" xfId="11961"/>
    <cellStyle name="Currency 4 2 2 4" xfId="2129"/>
    <cellStyle name="Currency 4 2 2 4 2" xfId="7408"/>
    <cellStyle name="Currency 4 2 2 4 3" xfId="11962"/>
    <cellStyle name="Currency 4 2 2 5" xfId="6170"/>
    <cellStyle name="Currency 4 2 2 6" xfId="11958"/>
    <cellStyle name="Currency 4 2 3" xfId="1344"/>
    <cellStyle name="Currency 4 2 3 2" xfId="2578"/>
    <cellStyle name="Currency 4 2 3 2 2" xfId="7857"/>
    <cellStyle name="Currency 4 2 3 2 3" xfId="11964"/>
    <cellStyle name="Currency 4 2 3 3" xfId="6623"/>
    <cellStyle name="Currency 4 2 3 4" xfId="11963"/>
    <cellStyle name="Currency 4 2 4" xfId="3254"/>
    <cellStyle name="Currency 4 2 4 2" xfId="8533"/>
    <cellStyle name="Currency 4 2 4 2 2" xfId="53508"/>
    <cellStyle name="Currency 4 2 4 3" xfId="11965"/>
    <cellStyle name="Currency 4 2 5" xfId="2031"/>
    <cellStyle name="Currency 4 2 5 2" xfId="7310"/>
    <cellStyle name="Currency 4 2 5 3" xfId="11966"/>
    <cellStyle name="Currency 4 2 6" xfId="6006"/>
    <cellStyle name="Currency 4 2 7" xfId="11957"/>
    <cellStyle name="Currency 4 3" xfId="840"/>
    <cellStyle name="Currency 4 3 2" xfId="1459"/>
    <cellStyle name="Currency 4 3 2 2" xfId="2693"/>
    <cellStyle name="Currency 4 3 2 2 2" xfId="7972"/>
    <cellStyle name="Currency 4 3 2 2 3" xfId="11969"/>
    <cellStyle name="Currency 4 3 2 3" xfId="6738"/>
    <cellStyle name="Currency 4 3 2 4" xfId="11968"/>
    <cellStyle name="Currency 4 3 3" xfId="3255"/>
    <cellStyle name="Currency 4 3 3 2" xfId="8534"/>
    <cellStyle name="Currency 4 3 3 2 2" xfId="53509"/>
    <cellStyle name="Currency 4 3 3 3" xfId="11970"/>
    <cellStyle name="Currency 4 3 4" xfId="2080"/>
    <cellStyle name="Currency 4 3 4 2" xfId="7359"/>
    <cellStyle name="Currency 4 3 4 3" xfId="11971"/>
    <cellStyle name="Currency 4 3 5" xfId="6121"/>
    <cellStyle name="Currency 4 3 6" xfId="11967"/>
    <cellStyle name="Currency 4 4" xfId="1223"/>
    <cellStyle name="Currency 4 4 2" xfId="2457"/>
    <cellStyle name="Currency 4 4 2 2" xfId="7736"/>
    <cellStyle name="Currency 4 4 2 3" xfId="11973"/>
    <cellStyle name="Currency 4 4 3" xfId="6502"/>
    <cellStyle name="Currency 4 4 4" xfId="11972"/>
    <cellStyle name="Currency 4 5" xfId="3256"/>
    <cellStyle name="Currency 4 5 2" xfId="8535"/>
    <cellStyle name="Currency 4 5 2 2" xfId="53510"/>
    <cellStyle name="Currency 4 5 3" xfId="11974"/>
    <cellStyle name="Currency 4 6" xfId="1910"/>
    <cellStyle name="Currency 4 6 2" xfId="7189"/>
    <cellStyle name="Currency 4 6 3" xfId="11975"/>
    <cellStyle name="Currency 4 7" xfId="5839"/>
    <cellStyle name="Currency 4 8" xfId="11956"/>
    <cellStyle name="Currency 5" xfId="474"/>
    <cellStyle name="Currency 5 2" xfId="475"/>
    <cellStyle name="Currency 5 2 2" xfId="802"/>
    <cellStyle name="Currency 5 2 2 2" xfId="913"/>
    <cellStyle name="Currency 5 2 2 2 2" xfId="1532"/>
    <cellStyle name="Currency 5 2 2 2 2 2" xfId="2766"/>
    <cellStyle name="Currency 5 2 2 2 2 2 2" xfId="8045"/>
    <cellStyle name="Currency 5 2 2 2 2 2 3" xfId="11981"/>
    <cellStyle name="Currency 5 2 2 2 2 3" xfId="6811"/>
    <cellStyle name="Currency 5 2 2 2 2 4" xfId="11980"/>
    <cellStyle name="Currency 5 2 2 2 3" xfId="3257"/>
    <cellStyle name="Currency 5 2 2 2 3 2" xfId="8536"/>
    <cellStyle name="Currency 5 2 2 2 3 2 2" xfId="53511"/>
    <cellStyle name="Currency 5 2 2 2 3 3" xfId="11982"/>
    <cellStyle name="Currency 5 2 2 2 4" xfId="2153"/>
    <cellStyle name="Currency 5 2 2 2 4 2" xfId="7432"/>
    <cellStyle name="Currency 5 2 2 2 4 3" xfId="11983"/>
    <cellStyle name="Currency 5 2 2 2 5" xfId="6194"/>
    <cellStyle name="Currency 5 2 2 2 6" xfId="11979"/>
    <cellStyle name="Currency 5 2 2 3" xfId="1429"/>
    <cellStyle name="Currency 5 2 2 3 2" xfId="2663"/>
    <cellStyle name="Currency 5 2 2 3 2 2" xfId="7942"/>
    <cellStyle name="Currency 5 2 2 3 2 3" xfId="11985"/>
    <cellStyle name="Currency 5 2 2 3 3" xfId="6708"/>
    <cellStyle name="Currency 5 2 2 3 4" xfId="11984"/>
    <cellStyle name="Currency 5 2 2 4" xfId="3258"/>
    <cellStyle name="Currency 5 2 2 4 2" xfId="8537"/>
    <cellStyle name="Currency 5 2 2 4 2 2" xfId="53512"/>
    <cellStyle name="Currency 5 2 2 4 3" xfId="11986"/>
    <cellStyle name="Currency 5 2 2 5" xfId="2055"/>
    <cellStyle name="Currency 5 2 2 5 2" xfId="7334"/>
    <cellStyle name="Currency 5 2 2 5 3" xfId="11987"/>
    <cellStyle name="Currency 5 2 2 6" xfId="6091"/>
    <cellStyle name="Currency 5 2 2 7" xfId="11978"/>
    <cellStyle name="Currency 5 2 3" xfId="864"/>
    <cellStyle name="Currency 5 2 3 2" xfId="1483"/>
    <cellStyle name="Currency 5 2 3 2 2" xfId="2717"/>
    <cellStyle name="Currency 5 2 3 2 2 2" xfId="7996"/>
    <cellStyle name="Currency 5 2 3 2 2 3" xfId="11990"/>
    <cellStyle name="Currency 5 2 3 2 3" xfId="6762"/>
    <cellStyle name="Currency 5 2 3 2 4" xfId="11989"/>
    <cellStyle name="Currency 5 2 3 3" xfId="3259"/>
    <cellStyle name="Currency 5 2 3 3 2" xfId="8538"/>
    <cellStyle name="Currency 5 2 3 3 2 2" xfId="53513"/>
    <cellStyle name="Currency 5 2 3 3 3" xfId="11991"/>
    <cellStyle name="Currency 5 2 3 4" xfId="2104"/>
    <cellStyle name="Currency 5 2 3 4 2" xfId="7383"/>
    <cellStyle name="Currency 5 2 3 4 3" xfId="11992"/>
    <cellStyle name="Currency 5 2 3 5" xfId="6145"/>
    <cellStyle name="Currency 5 2 3 6" xfId="11988"/>
    <cellStyle name="Currency 5 2 4" xfId="1252"/>
    <cellStyle name="Currency 5 2 4 2" xfId="2486"/>
    <cellStyle name="Currency 5 2 4 2 2" xfId="7765"/>
    <cellStyle name="Currency 5 2 4 2 3" xfId="11994"/>
    <cellStyle name="Currency 5 2 4 3" xfId="6531"/>
    <cellStyle name="Currency 5 2 4 4" xfId="11993"/>
    <cellStyle name="Currency 5 2 5" xfId="3260"/>
    <cellStyle name="Currency 5 2 5 2" xfId="8539"/>
    <cellStyle name="Currency 5 2 5 2 2" xfId="53514"/>
    <cellStyle name="Currency 5 2 5 3" xfId="11995"/>
    <cellStyle name="Currency 5 2 6" xfId="1939"/>
    <cellStyle name="Currency 5 2 6 2" xfId="7218"/>
    <cellStyle name="Currency 5 2 6 3" xfId="11996"/>
    <cellStyle name="Currency 5 2 7" xfId="5878"/>
    <cellStyle name="Currency 5 2 8" xfId="11977"/>
    <cellStyle name="Currency 5 3" xfId="801"/>
    <cellStyle name="Currency 5 3 2" xfId="912"/>
    <cellStyle name="Currency 5 3 2 2" xfId="1531"/>
    <cellStyle name="Currency 5 3 2 2 2" xfId="2765"/>
    <cellStyle name="Currency 5 3 2 2 2 2" xfId="8044"/>
    <cellStyle name="Currency 5 3 2 2 2 3" xfId="12000"/>
    <cellStyle name="Currency 5 3 2 2 3" xfId="6810"/>
    <cellStyle name="Currency 5 3 2 2 4" xfId="11999"/>
    <cellStyle name="Currency 5 3 2 3" xfId="3261"/>
    <cellStyle name="Currency 5 3 2 3 2" xfId="8540"/>
    <cellStyle name="Currency 5 3 2 3 2 2" xfId="53515"/>
    <cellStyle name="Currency 5 3 2 3 3" xfId="12001"/>
    <cellStyle name="Currency 5 3 2 4" xfId="2152"/>
    <cellStyle name="Currency 5 3 2 4 2" xfId="7431"/>
    <cellStyle name="Currency 5 3 2 4 3" xfId="12002"/>
    <cellStyle name="Currency 5 3 2 5" xfId="6193"/>
    <cellStyle name="Currency 5 3 2 6" xfId="11998"/>
    <cellStyle name="Currency 5 3 3" xfId="1428"/>
    <cellStyle name="Currency 5 3 3 2" xfId="2662"/>
    <cellStyle name="Currency 5 3 3 2 2" xfId="7941"/>
    <cellStyle name="Currency 5 3 3 2 3" xfId="12004"/>
    <cellStyle name="Currency 5 3 3 3" xfId="6707"/>
    <cellStyle name="Currency 5 3 3 4" xfId="12003"/>
    <cellStyle name="Currency 5 3 4" xfId="3262"/>
    <cellStyle name="Currency 5 3 4 2" xfId="8541"/>
    <cellStyle name="Currency 5 3 4 2 2" xfId="53516"/>
    <cellStyle name="Currency 5 3 4 3" xfId="12005"/>
    <cellStyle name="Currency 5 3 5" xfId="2054"/>
    <cellStyle name="Currency 5 3 5 2" xfId="7333"/>
    <cellStyle name="Currency 5 3 5 3" xfId="12006"/>
    <cellStyle name="Currency 5 3 6" xfId="6090"/>
    <cellStyle name="Currency 5 3 7" xfId="11997"/>
    <cellStyle name="Currency 5 4" xfId="863"/>
    <cellStyle name="Currency 5 4 2" xfId="1482"/>
    <cellStyle name="Currency 5 4 2 2" xfId="2716"/>
    <cellStyle name="Currency 5 4 2 2 2" xfId="7995"/>
    <cellStyle name="Currency 5 4 2 2 3" xfId="12009"/>
    <cellStyle name="Currency 5 4 2 3" xfId="6761"/>
    <cellStyle name="Currency 5 4 2 4" xfId="12008"/>
    <cellStyle name="Currency 5 4 3" xfId="3263"/>
    <cellStyle name="Currency 5 4 3 2" xfId="8542"/>
    <cellStyle name="Currency 5 4 3 2 2" xfId="53517"/>
    <cellStyle name="Currency 5 4 3 3" xfId="12010"/>
    <cellStyle name="Currency 5 4 4" xfId="2103"/>
    <cellStyle name="Currency 5 4 4 2" xfId="7382"/>
    <cellStyle name="Currency 5 4 4 3" xfId="12011"/>
    <cellStyle name="Currency 5 4 5" xfId="6144"/>
    <cellStyle name="Currency 5 4 6" xfId="12007"/>
    <cellStyle name="Currency 5 5" xfId="1251"/>
    <cellStyle name="Currency 5 5 2" xfId="2485"/>
    <cellStyle name="Currency 5 5 2 2" xfId="7764"/>
    <cellStyle name="Currency 5 5 2 3" xfId="12013"/>
    <cellStyle name="Currency 5 5 3" xfId="6530"/>
    <cellStyle name="Currency 5 5 4" xfId="12012"/>
    <cellStyle name="Currency 5 6" xfId="3264"/>
    <cellStyle name="Currency 5 6 2" xfId="8543"/>
    <cellStyle name="Currency 5 6 2 2" xfId="53518"/>
    <cellStyle name="Currency 5 6 3" xfId="12014"/>
    <cellStyle name="Currency 5 7" xfId="1938"/>
    <cellStyle name="Currency 5 7 2" xfId="7217"/>
    <cellStyle name="Currency 5 7 3" xfId="12015"/>
    <cellStyle name="Currency 5 8" xfId="5877"/>
    <cellStyle name="Currency 5 9" xfId="11976"/>
    <cellStyle name="Currency 6" xfId="707"/>
    <cellStyle name="Currency 6 2" xfId="830"/>
    <cellStyle name="Currency 7" xfId="5829"/>
    <cellStyle name="Currency 7 2" xfId="16082"/>
    <cellStyle name="Currency No Comma" xfId="5835"/>
    <cellStyle name="Currency(0)" xfId="47632"/>
    <cellStyle name="Currency0" xfId="476"/>
    <cellStyle name="Currency0 10" xfId="47633"/>
    <cellStyle name="Currency0 11" xfId="47634"/>
    <cellStyle name="Currency0 12" xfId="47635"/>
    <cellStyle name="Currency0 13" xfId="47636"/>
    <cellStyle name="Currency0 14" xfId="47637"/>
    <cellStyle name="Currency0 15" xfId="47638"/>
    <cellStyle name="Currency0 16" xfId="47639"/>
    <cellStyle name="Currency0 17" xfId="47640"/>
    <cellStyle name="Currency0 18" xfId="47641"/>
    <cellStyle name="Currency0 19" xfId="47642"/>
    <cellStyle name="Currency0 2" xfId="47643"/>
    <cellStyle name="Currency0 2 10" xfId="47644"/>
    <cellStyle name="Currency0 2 11" xfId="47645"/>
    <cellStyle name="Currency0 2 12" xfId="47646"/>
    <cellStyle name="Currency0 2 13" xfId="47647"/>
    <cellStyle name="Currency0 2 14" xfId="47648"/>
    <cellStyle name="Currency0 2 15" xfId="47649"/>
    <cellStyle name="Currency0 2 16" xfId="47650"/>
    <cellStyle name="Currency0 2 17" xfId="47651"/>
    <cellStyle name="Currency0 2 18" xfId="47652"/>
    <cellStyle name="Currency0 2 19" xfId="47653"/>
    <cellStyle name="Currency0 2 2" xfId="47654"/>
    <cellStyle name="Currency0 2 2 2" xfId="47655"/>
    <cellStyle name="Currency0 2 2 3" xfId="47656"/>
    <cellStyle name="Currency0 2 2 4" xfId="47657"/>
    <cellStyle name="Currency0 2 2 4 10" xfId="47658"/>
    <cellStyle name="Currency0 2 2 4 11" xfId="47659"/>
    <cellStyle name="Currency0 2 2 4 12" xfId="47660"/>
    <cellStyle name="Currency0 2 2 4 13" xfId="47661"/>
    <cellStyle name="Currency0 2 2 4 2" xfId="47662"/>
    <cellStyle name="Currency0 2 2 4 3" xfId="47663"/>
    <cellStyle name="Currency0 2 2 4 4" xfId="47664"/>
    <cellStyle name="Currency0 2 2 4 5" xfId="47665"/>
    <cellStyle name="Currency0 2 2 4 6" xfId="47666"/>
    <cellStyle name="Currency0 2 2 4 7" xfId="47667"/>
    <cellStyle name="Currency0 2 2 4 8" xfId="47668"/>
    <cellStyle name="Currency0 2 2 4 9" xfId="47669"/>
    <cellStyle name="Currency0 2 2 5" xfId="47670"/>
    <cellStyle name="Currency0 2 2 5 10" xfId="47671"/>
    <cellStyle name="Currency0 2 2 5 11" xfId="47672"/>
    <cellStyle name="Currency0 2 2 5 12" xfId="47673"/>
    <cellStyle name="Currency0 2 2 5 13" xfId="47674"/>
    <cellStyle name="Currency0 2 2 5 2" xfId="47675"/>
    <cellStyle name="Currency0 2 2 5 3" xfId="47676"/>
    <cellStyle name="Currency0 2 2 5 4" xfId="47677"/>
    <cellStyle name="Currency0 2 2 5 5" xfId="47678"/>
    <cellStyle name="Currency0 2 2 5 6" xfId="47679"/>
    <cellStyle name="Currency0 2 2 5 7" xfId="47680"/>
    <cellStyle name="Currency0 2 2 5 8" xfId="47681"/>
    <cellStyle name="Currency0 2 2 5 9" xfId="47682"/>
    <cellStyle name="Currency0 2 2 6" xfId="47683"/>
    <cellStyle name="Currency0 2 2 6 10" xfId="47684"/>
    <cellStyle name="Currency0 2 2 6 11" xfId="47685"/>
    <cellStyle name="Currency0 2 2 6 12" xfId="47686"/>
    <cellStyle name="Currency0 2 2 6 13" xfId="47687"/>
    <cellStyle name="Currency0 2 2 6 2" xfId="47688"/>
    <cellStyle name="Currency0 2 2 6 3" xfId="47689"/>
    <cellStyle name="Currency0 2 2 6 4" xfId="47690"/>
    <cellStyle name="Currency0 2 2 6 5" xfId="47691"/>
    <cellStyle name="Currency0 2 2 6 6" xfId="47692"/>
    <cellStyle name="Currency0 2 2 6 7" xfId="47693"/>
    <cellStyle name="Currency0 2 2 6 8" xfId="47694"/>
    <cellStyle name="Currency0 2 2 6 9" xfId="47695"/>
    <cellStyle name="Currency0 2 20" xfId="47696"/>
    <cellStyle name="Currency0 2 21" xfId="47697"/>
    <cellStyle name="Currency0 2 3" xfId="47698"/>
    <cellStyle name="Currency0 2 3 2" xfId="47699"/>
    <cellStyle name="Currency0 2 3 2 10" xfId="47700"/>
    <cellStyle name="Currency0 2 3 2 11" xfId="47701"/>
    <cellStyle name="Currency0 2 3 2 12" xfId="47702"/>
    <cellStyle name="Currency0 2 3 2 13" xfId="47703"/>
    <cellStyle name="Currency0 2 3 2 2" xfId="47704"/>
    <cellStyle name="Currency0 2 3 2 3" xfId="47705"/>
    <cellStyle name="Currency0 2 3 2 4" xfId="47706"/>
    <cellStyle name="Currency0 2 3 2 5" xfId="47707"/>
    <cellStyle name="Currency0 2 3 2 6" xfId="47708"/>
    <cellStyle name="Currency0 2 3 2 7" xfId="47709"/>
    <cellStyle name="Currency0 2 3 2 8" xfId="47710"/>
    <cellStyle name="Currency0 2 3 2 9" xfId="47711"/>
    <cellStyle name="Currency0 2 3 3" xfId="47712"/>
    <cellStyle name="Currency0 2 3 3 10" xfId="47713"/>
    <cellStyle name="Currency0 2 3 3 11" xfId="47714"/>
    <cellStyle name="Currency0 2 3 3 12" xfId="47715"/>
    <cellStyle name="Currency0 2 3 3 13" xfId="47716"/>
    <cellStyle name="Currency0 2 3 3 2" xfId="47717"/>
    <cellStyle name="Currency0 2 3 3 3" xfId="47718"/>
    <cellStyle name="Currency0 2 3 3 4" xfId="47719"/>
    <cellStyle name="Currency0 2 3 3 5" xfId="47720"/>
    <cellStyle name="Currency0 2 3 3 6" xfId="47721"/>
    <cellStyle name="Currency0 2 3 3 7" xfId="47722"/>
    <cellStyle name="Currency0 2 3 3 8" xfId="47723"/>
    <cellStyle name="Currency0 2 3 3 9" xfId="47724"/>
    <cellStyle name="Currency0 2 3 4" xfId="47725"/>
    <cellStyle name="Currency0 2 3 4 10" xfId="47726"/>
    <cellStyle name="Currency0 2 3 4 11" xfId="47727"/>
    <cellStyle name="Currency0 2 3 4 12" xfId="47728"/>
    <cellStyle name="Currency0 2 3 4 13" xfId="47729"/>
    <cellStyle name="Currency0 2 3 4 2" xfId="47730"/>
    <cellStyle name="Currency0 2 3 4 3" xfId="47731"/>
    <cellStyle name="Currency0 2 3 4 4" xfId="47732"/>
    <cellStyle name="Currency0 2 3 4 5" xfId="47733"/>
    <cellStyle name="Currency0 2 3 4 6" xfId="47734"/>
    <cellStyle name="Currency0 2 3 4 7" xfId="47735"/>
    <cellStyle name="Currency0 2 3 4 8" xfId="47736"/>
    <cellStyle name="Currency0 2 3 4 9" xfId="47737"/>
    <cellStyle name="Currency0 2 4" xfId="47738"/>
    <cellStyle name="Currency0 2 4 2" xfId="47739"/>
    <cellStyle name="Currency0 2 4 2 10" xfId="47740"/>
    <cellStyle name="Currency0 2 4 2 11" xfId="47741"/>
    <cellStyle name="Currency0 2 4 2 12" xfId="47742"/>
    <cellStyle name="Currency0 2 4 2 13" xfId="47743"/>
    <cellStyle name="Currency0 2 4 2 2" xfId="47744"/>
    <cellStyle name="Currency0 2 4 2 3" xfId="47745"/>
    <cellStyle name="Currency0 2 4 2 4" xfId="47746"/>
    <cellStyle name="Currency0 2 4 2 5" xfId="47747"/>
    <cellStyle name="Currency0 2 4 2 6" xfId="47748"/>
    <cellStyle name="Currency0 2 4 2 7" xfId="47749"/>
    <cellStyle name="Currency0 2 4 2 8" xfId="47750"/>
    <cellStyle name="Currency0 2 4 2 9" xfId="47751"/>
    <cellStyle name="Currency0 2 4 3" xfId="47752"/>
    <cellStyle name="Currency0 2 4 3 10" xfId="47753"/>
    <cellStyle name="Currency0 2 4 3 11" xfId="47754"/>
    <cellStyle name="Currency0 2 4 3 12" xfId="47755"/>
    <cellStyle name="Currency0 2 4 3 13" xfId="47756"/>
    <cellStyle name="Currency0 2 4 3 2" xfId="47757"/>
    <cellStyle name="Currency0 2 4 3 3" xfId="47758"/>
    <cellStyle name="Currency0 2 4 3 4" xfId="47759"/>
    <cellStyle name="Currency0 2 4 3 5" xfId="47760"/>
    <cellStyle name="Currency0 2 4 3 6" xfId="47761"/>
    <cellStyle name="Currency0 2 4 3 7" xfId="47762"/>
    <cellStyle name="Currency0 2 4 3 8" xfId="47763"/>
    <cellStyle name="Currency0 2 4 3 9" xfId="47764"/>
    <cellStyle name="Currency0 2 4 4" xfId="47765"/>
    <cellStyle name="Currency0 2 4 4 10" xfId="47766"/>
    <cellStyle name="Currency0 2 4 4 11" xfId="47767"/>
    <cellStyle name="Currency0 2 4 4 12" xfId="47768"/>
    <cellStyle name="Currency0 2 4 4 13" xfId="47769"/>
    <cellStyle name="Currency0 2 4 4 2" xfId="47770"/>
    <cellStyle name="Currency0 2 4 4 3" xfId="47771"/>
    <cellStyle name="Currency0 2 4 4 4" xfId="47772"/>
    <cellStyle name="Currency0 2 4 4 5" xfId="47773"/>
    <cellStyle name="Currency0 2 4 4 6" xfId="47774"/>
    <cellStyle name="Currency0 2 4 4 7" xfId="47775"/>
    <cellStyle name="Currency0 2 4 4 8" xfId="47776"/>
    <cellStyle name="Currency0 2 4 4 9" xfId="47777"/>
    <cellStyle name="Currency0 2 5" xfId="47778"/>
    <cellStyle name="Currency0 2 6" xfId="47779"/>
    <cellStyle name="Currency0 2 7" xfId="47780"/>
    <cellStyle name="Currency0 2 8" xfId="47781"/>
    <cellStyle name="Currency0 2 9" xfId="47782"/>
    <cellStyle name="Currency0 20" xfId="47783"/>
    <cellStyle name="Currency0 21" xfId="47784"/>
    <cellStyle name="Currency0 22" xfId="47785"/>
    <cellStyle name="Currency0 23" xfId="47786"/>
    <cellStyle name="Currency0 24" xfId="47787"/>
    <cellStyle name="Currency0 25" xfId="47788"/>
    <cellStyle name="Currency0 26" xfId="47789"/>
    <cellStyle name="Currency0 27" xfId="47790"/>
    <cellStyle name="Currency0 28" xfId="47791"/>
    <cellStyle name="Currency0 29" xfId="47792"/>
    <cellStyle name="Currency0 3" xfId="47793"/>
    <cellStyle name="Currency0 3 2" xfId="47794"/>
    <cellStyle name="Currency0 3 3" xfId="47795"/>
    <cellStyle name="Currency0 3 4" xfId="47796"/>
    <cellStyle name="Currency0 3 5" xfId="47797"/>
    <cellStyle name="Currency0 3 6" xfId="47798"/>
    <cellStyle name="Currency0 3 6 10" xfId="47799"/>
    <cellStyle name="Currency0 3 6 11" xfId="47800"/>
    <cellStyle name="Currency0 3 6 12" xfId="47801"/>
    <cellStyle name="Currency0 3 6 13" xfId="47802"/>
    <cellStyle name="Currency0 3 6 2" xfId="47803"/>
    <cellStyle name="Currency0 3 6 3" xfId="47804"/>
    <cellStyle name="Currency0 3 6 4" xfId="47805"/>
    <cellStyle name="Currency0 3 6 5" xfId="47806"/>
    <cellStyle name="Currency0 3 6 6" xfId="47807"/>
    <cellStyle name="Currency0 3 6 7" xfId="47808"/>
    <cellStyle name="Currency0 3 6 8" xfId="47809"/>
    <cellStyle name="Currency0 3 6 9" xfId="47810"/>
    <cellStyle name="Currency0 3 7" xfId="47811"/>
    <cellStyle name="Currency0 3 7 10" xfId="47812"/>
    <cellStyle name="Currency0 3 7 11" xfId="47813"/>
    <cellStyle name="Currency0 3 7 12" xfId="47814"/>
    <cellStyle name="Currency0 3 7 13" xfId="47815"/>
    <cellStyle name="Currency0 3 7 2" xfId="47816"/>
    <cellStyle name="Currency0 3 7 3" xfId="47817"/>
    <cellStyle name="Currency0 3 7 4" xfId="47818"/>
    <cellStyle name="Currency0 3 7 5" xfId="47819"/>
    <cellStyle name="Currency0 3 7 6" xfId="47820"/>
    <cellStyle name="Currency0 3 7 7" xfId="47821"/>
    <cellStyle name="Currency0 3 7 8" xfId="47822"/>
    <cellStyle name="Currency0 3 7 9" xfId="47823"/>
    <cellStyle name="Currency0 3 8" xfId="47824"/>
    <cellStyle name="Currency0 3 8 10" xfId="47825"/>
    <cellStyle name="Currency0 3 8 11" xfId="47826"/>
    <cellStyle name="Currency0 3 8 12" xfId="47827"/>
    <cellStyle name="Currency0 3 8 13" xfId="47828"/>
    <cellStyle name="Currency0 3 8 2" xfId="47829"/>
    <cellStyle name="Currency0 3 8 3" xfId="47830"/>
    <cellStyle name="Currency0 3 8 4" xfId="47831"/>
    <cellStyle name="Currency0 3 8 5" xfId="47832"/>
    <cellStyle name="Currency0 3 8 6" xfId="47833"/>
    <cellStyle name="Currency0 3 8 7" xfId="47834"/>
    <cellStyle name="Currency0 3 8 8" xfId="47835"/>
    <cellStyle name="Currency0 3 8 9" xfId="47836"/>
    <cellStyle name="Currency0 30" xfId="47837"/>
    <cellStyle name="Currency0 31" xfId="47838"/>
    <cellStyle name="Currency0 32" xfId="47839"/>
    <cellStyle name="Currency0 33" xfId="47840"/>
    <cellStyle name="Currency0 34" xfId="47841"/>
    <cellStyle name="Currency0 35" xfId="47842"/>
    <cellStyle name="Currency0 36" xfId="47843"/>
    <cellStyle name="Currency0 37" xfId="47844"/>
    <cellStyle name="Currency0 38" xfId="47845"/>
    <cellStyle name="Currency0 39" xfId="47846"/>
    <cellStyle name="Currency0 4" xfId="47847"/>
    <cellStyle name="Currency0 40" xfId="47848"/>
    <cellStyle name="Currency0 40 2" xfId="47849"/>
    <cellStyle name="Currency0 40 2 10" xfId="47850"/>
    <cellStyle name="Currency0 40 2 11" xfId="47851"/>
    <cellStyle name="Currency0 40 2 12" xfId="47852"/>
    <cellStyle name="Currency0 40 2 13" xfId="47853"/>
    <cellStyle name="Currency0 40 2 2" xfId="47854"/>
    <cellStyle name="Currency0 40 2 3" xfId="47855"/>
    <cellStyle name="Currency0 40 2 4" xfId="47856"/>
    <cellStyle name="Currency0 40 2 5" xfId="47857"/>
    <cellStyle name="Currency0 40 2 6" xfId="47858"/>
    <cellStyle name="Currency0 40 2 7" xfId="47859"/>
    <cellStyle name="Currency0 40 2 8" xfId="47860"/>
    <cellStyle name="Currency0 40 2 9" xfId="47861"/>
    <cellStyle name="Currency0 40 3" xfId="47862"/>
    <cellStyle name="Currency0 40 3 10" xfId="47863"/>
    <cellStyle name="Currency0 40 3 11" xfId="47864"/>
    <cellStyle name="Currency0 40 3 12" xfId="47865"/>
    <cellStyle name="Currency0 40 3 13" xfId="47866"/>
    <cellStyle name="Currency0 40 3 2" xfId="47867"/>
    <cellStyle name="Currency0 40 3 3" xfId="47868"/>
    <cellStyle name="Currency0 40 3 4" xfId="47869"/>
    <cellStyle name="Currency0 40 3 5" xfId="47870"/>
    <cellStyle name="Currency0 40 3 6" xfId="47871"/>
    <cellStyle name="Currency0 40 3 7" xfId="47872"/>
    <cellStyle name="Currency0 40 3 8" xfId="47873"/>
    <cellStyle name="Currency0 40 3 9" xfId="47874"/>
    <cellStyle name="Currency0 40 4" xfId="47875"/>
    <cellStyle name="Currency0 40 4 10" xfId="47876"/>
    <cellStyle name="Currency0 40 4 11" xfId="47877"/>
    <cellStyle name="Currency0 40 4 12" xfId="47878"/>
    <cellStyle name="Currency0 40 4 13" xfId="47879"/>
    <cellStyle name="Currency0 40 4 2" xfId="47880"/>
    <cellStyle name="Currency0 40 4 3" xfId="47881"/>
    <cellStyle name="Currency0 40 4 4" xfId="47882"/>
    <cellStyle name="Currency0 40 4 5" xfId="47883"/>
    <cellStyle name="Currency0 40 4 6" xfId="47884"/>
    <cellStyle name="Currency0 40 4 7" xfId="47885"/>
    <cellStyle name="Currency0 40 4 8" xfId="47886"/>
    <cellStyle name="Currency0 40 4 9" xfId="47887"/>
    <cellStyle name="Currency0 41" xfId="47888"/>
    <cellStyle name="Currency0 41 2" xfId="47889"/>
    <cellStyle name="Currency0 41 2 10" xfId="47890"/>
    <cellStyle name="Currency0 41 2 11" xfId="47891"/>
    <cellStyle name="Currency0 41 2 12" xfId="47892"/>
    <cellStyle name="Currency0 41 2 13" xfId="47893"/>
    <cellStyle name="Currency0 41 2 2" xfId="47894"/>
    <cellStyle name="Currency0 41 2 3" xfId="47895"/>
    <cellStyle name="Currency0 41 2 4" xfId="47896"/>
    <cellStyle name="Currency0 41 2 5" xfId="47897"/>
    <cellStyle name="Currency0 41 2 6" xfId="47898"/>
    <cellStyle name="Currency0 41 2 7" xfId="47899"/>
    <cellStyle name="Currency0 41 2 8" xfId="47900"/>
    <cellStyle name="Currency0 41 2 9" xfId="47901"/>
    <cellStyle name="Currency0 41 3" xfId="47902"/>
    <cellStyle name="Currency0 41 3 10" xfId="47903"/>
    <cellStyle name="Currency0 41 3 11" xfId="47904"/>
    <cellStyle name="Currency0 41 3 12" xfId="47905"/>
    <cellStyle name="Currency0 41 3 13" xfId="47906"/>
    <cellStyle name="Currency0 41 3 2" xfId="47907"/>
    <cellStyle name="Currency0 41 3 3" xfId="47908"/>
    <cellStyle name="Currency0 41 3 4" xfId="47909"/>
    <cellStyle name="Currency0 41 3 5" xfId="47910"/>
    <cellStyle name="Currency0 41 3 6" xfId="47911"/>
    <cellStyle name="Currency0 41 3 7" xfId="47912"/>
    <cellStyle name="Currency0 41 3 8" xfId="47913"/>
    <cellStyle name="Currency0 41 3 9" xfId="47914"/>
    <cellStyle name="Currency0 41 4" xfId="47915"/>
    <cellStyle name="Currency0 41 4 10" xfId="47916"/>
    <cellStyle name="Currency0 41 4 11" xfId="47917"/>
    <cellStyle name="Currency0 41 4 12" xfId="47918"/>
    <cellStyle name="Currency0 41 4 13" xfId="47919"/>
    <cellStyle name="Currency0 41 4 2" xfId="47920"/>
    <cellStyle name="Currency0 41 4 3" xfId="47921"/>
    <cellStyle name="Currency0 41 4 4" xfId="47922"/>
    <cellStyle name="Currency0 41 4 5" xfId="47923"/>
    <cellStyle name="Currency0 41 4 6" xfId="47924"/>
    <cellStyle name="Currency0 41 4 7" xfId="47925"/>
    <cellStyle name="Currency0 41 4 8" xfId="47926"/>
    <cellStyle name="Currency0 41 4 9" xfId="47927"/>
    <cellStyle name="Currency0 42" xfId="47928"/>
    <cellStyle name="Currency0 42 2" xfId="47929"/>
    <cellStyle name="Currency0 42 3" xfId="47930"/>
    <cellStyle name="Currency0 42 4" xfId="47931"/>
    <cellStyle name="Currency0 42 5" xfId="47932"/>
    <cellStyle name="Currency0 42 6" xfId="47933"/>
    <cellStyle name="Currency0 42 7" xfId="47934"/>
    <cellStyle name="Currency0 43" xfId="47935"/>
    <cellStyle name="Currency0 43 2" xfId="47936"/>
    <cellStyle name="Currency0 43 3" xfId="47937"/>
    <cellStyle name="Currency0 43 4" xfId="47938"/>
    <cellStyle name="Currency0 43 5" xfId="47939"/>
    <cellStyle name="Currency0 43 6" xfId="47940"/>
    <cellStyle name="Currency0 43 7" xfId="47941"/>
    <cellStyle name="Currency0 44" xfId="47942"/>
    <cellStyle name="Currency0 44 2" xfId="47943"/>
    <cellStyle name="Currency0 44 3" xfId="47944"/>
    <cellStyle name="Currency0 44 4" xfId="47945"/>
    <cellStyle name="Currency0 44 5" xfId="47946"/>
    <cellStyle name="Currency0 44 6" xfId="47947"/>
    <cellStyle name="Currency0 44 7" xfId="47948"/>
    <cellStyle name="Currency0 45" xfId="47949"/>
    <cellStyle name="Currency0 5" xfId="47950"/>
    <cellStyle name="Currency0 6" xfId="47951"/>
    <cellStyle name="Currency0 7" xfId="47952"/>
    <cellStyle name="Currency0 8" xfId="47953"/>
    <cellStyle name="Currency0 9" xfId="47954"/>
    <cellStyle name="Custom - Style8" xfId="47955"/>
    <cellStyle name="Data   - Style2" xfId="47956"/>
    <cellStyle name="Date" xfId="477"/>
    <cellStyle name="Date - Style1" xfId="47957"/>
    <cellStyle name="Date - Style3" xfId="47958"/>
    <cellStyle name="Date 10" xfId="47959"/>
    <cellStyle name="Date 11" xfId="47960"/>
    <cellStyle name="Date 12" xfId="47961"/>
    <cellStyle name="Date 13" xfId="47962"/>
    <cellStyle name="Date 14" xfId="47963"/>
    <cellStyle name="Date 15" xfId="47964"/>
    <cellStyle name="Date 16" xfId="47965"/>
    <cellStyle name="Date 17" xfId="47966"/>
    <cellStyle name="Date 18" xfId="47967"/>
    <cellStyle name="Date 19" xfId="47968"/>
    <cellStyle name="Date 2" xfId="47969"/>
    <cellStyle name="Date 2 10" xfId="47970"/>
    <cellStyle name="Date 2 11" xfId="47971"/>
    <cellStyle name="Date 2 12" xfId="47972"/>
    <cellStyle name="Date 2 13" xfId="47973"/>
    <cellStyle name="Date 2 14" xfId="47974"/>
    <cellStyle name="Date 2 15" xfId="47975"/>
    <cellStyle name="Date 2 16" xfId="47976"/>
    <cellStyle name="Date 2 17" xfId="47977"/>
    <cellStyle name="Date 2 18" xfId="47978"/>
    <cellStyle name="Date 2 19" xfId="47979"/>
    <cellStyle name="Date 2 2" xfId="47980"/>
    <cellStyle name="Date 2 2 2" xfId="47981"/>
    <cellStyle name="Date 2 2 3" xfId="47982"/>
    <cellStyle name="Date 2 2 4" xfId="47983"/>
    <cellStyle name="Date 2 2 4 10" xfId="47984"/>
    <cellStyle name="Date 2 2 4 11" xfId="47985"/>
    <cellStyle name="Date 2 2 4 12" xfId="47986"/>
    <cellStyle name="Date 2 2 4 13" xfId="47987"/>
    <cellStyle name="Date 2 2 4 2" xfId="47988"/>
    <cellStyle name="Date 2 2 4 3" xfId="47989"/>
    <cellStyle name="Date 2 2 4 4" xfId="47990"/>
    <cellStyle name="Date 2 2 4 5" xfId="47991"/>
    <cellStyle name="Date 2 2 4 6" xfId="47992"/>
    <cellStyle name="Date 2 2 4 7" xfId="47993"/>
    <cellStyle name="Date 2 2 4 8" xfId="47994"/>
    <cellStyle name="Date 2 2 4 9" xfId="47995"/>
    <cellStyle name="Date 2 2 5" xfId="47996"/>
    <cellStyle name="Date 2 2 5 10" xfId="47997"/>
    <cellStyle name="Date 2 2 5 11" xfId="47998"/>
    <cellStyle name="Date 2 2 5 12" xfId="47999"/>
    <cellStyle name="Date 2 2 5 13" xfId="48000"/>
    <cellStyle name="Date 2 2 5 2" xfId="48001"/>
    <cellStyle name="Date 2 2 5 3" xfId="48002"/>
    <cellStyle name="Date 2 2 5 4" xfId="48003"/>
    <cellStyle name="Date 2 2 5 5" xfId="48004"/>
    <cellStyle name="Date 2 2 5 6" xfId="48005"/>
    <cellStyle name="Date 2 2 5 7" xfId="48006"/>
    <cellStyle name="Date 2 2 5 8" xfId="48007"/>
    <cellStyle name="Date 2 2 5 9" xfId="48008"/>
    <cellStyle name="Date 2 2 6" xfId="48009"/>
    <cellStyle name="Date 2 2 6 10" xfId="48010"/>
    <cellStyle name="Date 2 2 6 11" xfId="48011"/>
    <cellStyle name="Date 2 2 6 12" xfId="48012"/>
    <cellStyle name="Date 2 2 6 13" xfId="48013"/>
    <cellStyle name="Date 2 2 6 2" xfId="48014"/>
    <cellStyle name="Date 2 2 6 3" xfId="48015"/>
    <cellStyle name="Date 2 2 6 4" xfId="48016"/>
    <cellStyle name="Date 2 2 6 5" xfId="48017"/>
    <cellStyle name="Date 2 2 6 6" xfId="48018"/>
    <cellStyle name="Date 2 2 6 7" xfId="48019"/>
    <cellStyle name="Date 2 2 6 8" xfId="48020"/>
    <cellStyle name="Date 2 2 6 9" xfId="48021"/>
    <cellStyle name="Date 2 20" xfId="48022"/>
    <cellStyle name="Date 2 21" xfId="48023"/>
    <cellStyle name="Date 2 3" xfId="48024"/>
    <cellStyle name="Date 2 3 2" xfId="48025"/>
    <cellStyle name="Date 2 3 2 10" xfId="48026"/>
    <cellStyle name="Date 2 3 2 11" xfId="48027"/>
    <cellStyle name="Date 2 3 2 12" xfId="48028"/>
    <cellStyle name="Date 2 3 2 13" xfId="48029"/>
    <cellStyle name="Date 2 3 2 2" xfId="48030"/>
    <cellStyle name="Date 2 3 2 3" xfId="48031"/>
    <cellStyle name="Date 2 3 2 4" xfId="48032"/>
    <cellStyle name="Date 2 3 2 5" xfId="48033"/>
    <cellStyle name="Date 2 3 2 6" xfId="48034"/>
    <cellStyle name="Date 2 3 2 7" xfId="48035"/>
    <cellStyle name="Date 2 3 2 8" xfId="48036"/>
    <cellStyle name="Date 2 3 2 9" xfId="48037"/>
    <cellStyle name="Date 2 3 3" xfId="48038"/>
    <cellStyle name="Date 2 3 3 10" xfId="48039"/>
    <cellStyle name="Date 2 3 3 11" xfId="48040"/>
    <cellStyle name="Date 2 3 3 12" xfId="48041"/>
    <cellStyle name="Date 2 3 3 13" xfId="48042"/>
    <cellStyle name="Date 2 3 3 2" xfId="48043"/>
    <cellStyle name="Date 2 3 3 3" xfId="48044"/>
    <cellStyle name="Date 2 3 3 4" xfId="48045"/>
    <cellStyle name="Date 2 3 3 5" xfId="48046"/>
    <cellStyle name="Date 2 3 3 6" xfId="48047"/>
    <cellStyle name="Date 2 3 3 7" xfId="48048"/>
    <cellStyle name="Date 2 3 3 8" xfId="48049"/>
    <cellStyle name="Date 2 3 3 9" xfId="48050"/>
    <cellStyle name="Date 2 3 4" xfId="48051"/>
    <cellStyle name="Date 2 3 4 10" xfId="48052"/>
    <cellStyle name="Date 2 3 4 11" xfId="48053"/>
    <cellStyle name="Date 2 3 4 12" xfId="48054"/>
    <cellStyle name="Date 2 3 4 13" xfId="48055"/>
    <cellStyle name="Date 2 3 4 2" xfId="48056"/>
    <cellStyle name="Date 2 3 4 3" xfId="48057"/>
    <cellStyle name="Date 2 3 4 4" xfId="48058"/>
    <cellStyle name="Date 2 3 4 5" xfId="48059"/>
    <cellStyle name="Date 2 3 4 6" xfId="48060"/>
    <cellStyle name="Date 2 3 4 7" xfId="48061"/>
    <cellStyle name="Date 2 3 4 8" xfId="48062"/>
    <cellStyle name="Date 2 3 4 9" xfId="48063"/>
    <cellStyle name="Date 2 4" xfId="48064"/>
    <cellStyle name="Date 2 4 2" xfId="48065"/>
    <cellStyle name="Date 2 4 2 10" xfId="48066"/>
    <cellStyle name="Date 2 4 2 11" xfId="48067"/>
    <cellStyle name="Date 2 4 2 12" xfId="48068"/>
    <cellStyle name="Date 2 4 2 13" xfId="48069"/>
    <cellStyle name="Date 2 4 2 2" xfId="48070"/>
    <cellStyle name="Date 2 4 2 3" xfId="48071"/>
    <cellStyle name="Date 2 4 2 4" xfId="48072"/>
    <cellStyle name="Date 2 4 2 5" xfId="48073"/>
    <cellStyle name="Date 2 4 2 6" xfId="48074"/>
    <cellStyle name="Date 2 4 2 7" xfId="48075"/>
    <cellStyle name="Date 2 4 2 8" xfId="48076"/>
    <cellStyle name="Date 2 4 2 9" xfId="48077"/>
    <cellStyle name="Date 2 4 3" xfId="48078"/>
    <cellStyle name="Date 2 4 3 10" xfId="48079"/>
    <cellStyle name="Date 2 4 3 11" xfId="48080"/>
    <cellStyle name="Date 2 4 3 12" xfId="48081"/>
    <cellStyle name="Date 2 4 3 13" xfId="48082"/>
    <cellStyle name="Date 2 4 3 2" xfId="48083"/>
    <cellStyle name="Date 2 4 3 3" xfId="48084"/>
    <cellStyle name="Date 2 4 3 4" xfId="48085"/>
    <cellStyle name="Date 2 4 3 5" xfId="48086"/>
    <cellStyle name="Date 2 4 3 6" xfId="48087"/>
    <cellStyle name="Date 2 4 3 7" xfId="48088"/>
    <cellStyle name="Date 2 4 3 8" xfId="48089"/>
    <cellStyle name="Date 2 4 3 9" xfId="48090"/>
    <cellStyle name="Date 2 4 4" xfId="48091"/>
    <cellStyle name="Date 2 4 4 10" xfId="48092"/>
    <cellStyle name="Date 2 4 4 11" xfId="48093"/>
    <cellStyle name="Date 2 4 4 12" xfId="48094"/>
    <cellStyle name="Date 2 4 4 13" xfId="48095"/>
    <cellStyle name="Date 2 4 4 2" xfId="48096"/>
    <cellStyle name="Date 2 4 4 3" xfId="48097"/>
    <cellStyle name="Date 2 4 4 4" xfId="48098"/>
    <cellStyle name="Date 2 4 4 5" xfId="48099"/>
    <cellStyle name="Date 2 4 4 6" xfId="48100"/>
    <cellStyle name="Date 2 4 4 7" xfId="48101"/>
    <cellStyle name="Date 2 4 4 8" xfId="48102"/>
    <cellStyle name="Date 2 4 4 9" xfId="48103"/>
    <cellStyle name="Date 2 5" xfId="48104"/>
    <cellStyle name="Date 2 6" xfId="48105"/>
    <cellStyle name="Date 2 7" xfId="48106"/>
    <cellStyle name="Date 2 8" xfId="48107"/>
    <cellStyle name="Date 2 9" xfId="48108"/>
    <cellStyle name="Date 20" xfId="48109"/>
    <cellStyle name="Date 21" xfId="48110"/>
    <cellStyle name="Date 22" xfId="48111"/>
    <cellStyle name="Date 23" xfId="48112"/>
    <cellStyle name="Date 24" xfId="48113"/>
    <cellStyle name="Date 25" xfId="48114"/>
    <cellStyle name="Date 26" xfId="48115"/>
    <cellStyle name="Date 27" xfId="48116"/>
    <cellStyle name="Date 28" xfId="48117"/>
    <cellStyle name="Date 29" xfId="48118"/>
    <cellStyle name="Date 3" xfId="48119"/>
    <cellStyle name="Date 3 2" xfId="48120"/>
    <cellStyle name="Date 3 3" xfId="48121"/>
    <cellStyle name="Date 3 4" xfId="48122"/>
    <cellStyle name="Date 3 5" xfId="48123"/>
    <cellStyle name="Date 3 6" xfId="48124"/>
    <cellStyle name="Date 3 6 10" xfId="48125"/>
    <cellStyle name="Date 3 6 11" xfId="48126"/>
    <cellStyle name="Date 3 6 12" xfId="48127"/>
    <cellStyle name="Date 3 6 13" xfId="48128"/>
    <cellStyle name="Date 3 6 2" xfId="48129"/>
    <cellStyle name="Date 3 6 3" xfId="48130"/>
    <cellStyle name="Date 3 6 4" xfId="48131"/>
    <cellStyle name="Date 3 6 5" xfId="48132"/>
    <cellStyle name="Date 3 6 6" xfId="48133"/>
    <cellStyle name="Date 3 6 7" xfId="48134"/>
    <cellStyle name="Date 3 6 8" xfId="48135"/>
    <cellStyle name="Date 3 6 9" xfId="48136"/>
    <cellStyle name="Date 3 7" xfId="48137"/>
    <cellStyle name="Date 3 7 10" xfId="48138"/>
    <cellStyle name="Date 3 7 11" xfId="48139"/>
    <cellStyle name="Date 3 7 12" xfId="48140"/>
    <cellStyle name="Date 3 7 13" xfId="48141"/>
    <cellStyle name="Date 3 7 2" xfId="48142"/>
    <cellStyle name="Date 3 7 3" xfId="48143"/>
    <cellStyle name="Date 3 7 4" xfId="48144"/>
    <cellStyle name="Date 3 7 5" xfId="48145"/>
    <cellStyle name="Date 3 7 6" xfId="48146"/>
    <cellStyle name="Date 3 7 7" xfId="48147"/>
    <cellStyle name="Date 3 7 8" xfId="48148"/>
    <cellStyle name="Date 3 7 9" xfId="48149"/>
    <cellStyle name="Date 3 8" xfId="48150"/>
    <cellStyle name="Date 3 8 10" xfId="48151"/>
    <cellStyle name="Date 3 8 11" xfId="48152"/>
    <cellStyle name="Date 3 8 12" xfId="48153"/>
    <cellStyle name="Date 3 8 13" xfId="48154"/>
    <cellStyle name="Date 3 8 2" xfId="48155"/>
    <cellStyle name="Date 3 8 3" xfId="48156"/>
    <cellStyle name="Date 3 8 4" xfId="48157"/>
    <cellStyle name="Date 3 8 5" xfId="48158"/>
    <cellStyle name="Date 3 8 6" xfId="48159"/>
    <cellStyle name="Date 3 8 7" xfId="48160"/>
    <cellStyle name="Date 3 8 8" xfId="48161"/>
    <cellStyle name="Date 3 8 9" xfId="48162"/>
    <cellStyle name="Date 30" xfId="48163"/>
    <cellStyle name="Date 31" xfId="48164"/>
    <cellStyle name="Date 32" xfId="48165"/>
    <cellStyle name="Date 33" xfId="48166"/>
    <cellStyle name="Date 34" xfId="48167"/>
    <cellStyle name="Date 35" xfId="48168"/>
    <cellStyle name="Date 36" xfId="48169"/>
    <cellStyle name="Date 37" xfId="48170"/>
    <cellStyle name="Date 38" xfId="48171"/>
    <cellStyle name="Date 39" xfId="48172"/>
    <cellStyle name="Date 4" xfId="48173"/>
    <cellStyle name="Date 40" xfId="48174"/>
    <cellStyle name="Date 40 2" xfId="48175"/>
    <cellStyle name="Date 40 2 10" xfId="48176"/>
    <cellStyle name="Date 40 2 11" xfId="48177"/>
    <cellStyle name="Date 40 2 12" xfId="48178"/>
    <cellStyle name="Date 40 2 13" xfId="48179"/>
    <cellStyle name="Date 40 2 2" xfId="48180"/>
    <cellStyle name="Date 40 2 3" xfId="48181"/>
    <cellStyle name="Date 40 2 4" xfId="48182"/>
    <cellStyle name="Date 40 2 5" xfId="48183"/>
    <cellStyle name="Date 40 2 6" xfId="48184"/>
    <cellStyle name="Date 40 2 7" xfId="48185"/>
    <cellStyle name="Date 40 2 8" xfId="48186"/>
    <cellStyle name="Date 40 2 9" xfId="48187"/>
    <cellStyle name="Date 40 3" xfId="48188"/>
    <cellStyle name="Date 40 3 10" xfId="48189"/>
    <cellStyle name="Date 40 3 11" xfId="48190"/>
    <cellStyle name="Date 40 3 12" xfId="48191"/>
    <cellStyle name="Date 40 3 13" xfId="48192"/>
    <cellStyle name="Date 40 3 2" xfId="48193"/>
    <cellStyle name="Date 40 3 3" xfId="48194"/>
    <cellStyle name="Date 40 3 4" xfId="48195"/>
    <cellStyle name="Date 40 3 5" xfId="48196"/>
    <cellStyle name="Date 40 3 6" xfId="48197"/>
    <cellStyle name="Date 40 3 7" xfId="48198"/>
    <cellStyle name="Date 40 3 8" xfId="48199"/>
    <cellStyle name="Date 40 3 9" xfId="48200"/>
    <cellStyle name="Date 40 4" xfId="48201"/>
    <cellStyle name="Date 40 4 10" xfId="48202"/>
    <cellStyle name="Date 40 4 11" xfId="48203"/>
    <cellStyle name="Date 40 4 12" xfId="48204"/>
    <cellStyle name="Date 40 4 13" xfId="48205"/>
    <cellStyle name="Date 40 4 2" xfId="48206"/>
    <cellStyle name="Date 40 4 3" xfId="48207"/>
    <cellStyle name="Date 40 4 4" xfId="48208"/>
    <cellStyle name="Date 40 4 5" xfId="48209"/>
    <cellStyle name="Date 40 4 6" xfId="48210"/>
    <cellStyle name="Date 40 4 7" xfId="48211"/>
    <cellStyle name="Date 40 4 8" xfId="48212"/>
    <cellStyle name="Date 40 4 9" xfId="48213"/>
    <cellStyle name="Date 41" xfId="48214"/>
    <cellStyle name="Date 41 2" xfId="48215"/>
    <cellStyle name="Date 41 2 10" xfId="48216"/>
    <cellStyle name="Date 41 2 11" xfId="48217"/>
    <cellStyle name="Date 41 2 12" xfId="48218"/>
    <cellStyle name="Date 41 2 13" xfId="48219"/>
    <cellStyle name="Date 41 2 2" xfId="48220"/>
    <cellStyle name="Date 41 2 3" xfId="48221"/>
    <cellStyle name="Date 41 2 4" xfId="48222"/>
    <cellStyle name="Date 41 2 5" xfId="48223"/>
    <cellStyle name="Date 41 2 6" xfId="48224"/>
    <cellStyle name="Date 41 2 7" xfId="48225"/>
    <cellStyle name="Date 41 2 8" xfId="48226"/>
    <cellStyle name="Date 41 2 9" xfId="48227"/>
    <cellStyle name="Date 41 3" xfId="48228"/>
    <cellStyle name="Date 41 3 10" xfId="48229"/>
    <cellStyle name="Date 41 3 11" xfId="48230"/>
    <cellStyle name="Date 41 3 12" xfId="48231"/>
    <cellStyle name="Date 41 3 13" xfId="48232"/>
    <cellStyle name="Date 41 3 2" xfId="48233"/>
    <cellStyle name="Date 41 3 3" xfId="48234"/>
    <cellStyle name="Date 41 3 4" xfId="48235"/>
    <cellStyle name="Date 41 3 5" xfId="48236"/>
    <cellStyle name="Date 41 3 6" xfId="48237"/>
    <cellStyle name="Date 41 3 7" xfId="48238"/>
    <cellStyle name="Date 41 3 8" xfId="48239"/>
    <cellStyle name="Date 41 3 9" xfId="48240"/>
    <cellStyle name="Date 41 4" xfId="48241"/>
    <cellStyle name="Date 41 4 10" xfId="48242"/>
    <cellStyle name="Date 41 4 11" xfId="48243"/>
    <cellStyle name="Date 41 4 12" xfId="48244"/>
    <cellStyle name="Date 41 4 13" xfId="48245"/>
    <cellStyle name="Date 41 4 2" xfId="48246"/>
    <cellStyle name="Date 41 4 3" xfId="48247"/>
    <cellStyle name="Date 41 4 4" xfId="48248"/>
    <cellStyle name="Date 41 4 5" xfId="48249"/>
    <cellStyle name="Date 41 4 6" xfId="48250"/>
    <cellStyle name="Date 41 4 7" xfId="48251"/>
    <cellStyle name="Date 41 4 8" xfId="48252"/>
    <cellStyle name="Date 41 4 9" xfId="48253"/>
    <cellStyle name="Date 42" xfId="48254"/>
    <cellStyle name="Date 42 2" xfId="48255"/>
    <cellStyle name="Date 42 3" xfId="48256"/>
    <cellStyle name="Date 42 4" xfId="48257"/>
    <cellStyle name="Date 42 5" xfId="48258"/>
    <cellStyle name="Date 42 6" xfId="48259"/>
    <cellStyle name="Date 42 7" xfId="48260"/>
    <cellStyle name="Date 43" xfId="48261"/>
    <cellStyle name="Date 43 2" xfId="48262"/>
    <cellStyle name="Date 43 3" xfId="48263"/>
    <cellStyle name="Date 43 4" xfId="48264"/>
    <cellStyle name="Date 43 5" xfId="48265"/>
    <cellStyle name="Date 43 6" xfId="48266"/>
    <cellStyle name="Date 43 7" xfId="48267"/>
    <cellStyle name="Date 44" xfId="48268"/>
    <cellStyle name="Date 44 2" xfId="48269"/>
    <cellStyle name="Date 44 3" xfId="48270"/>
    <cellStyle name="Date 44 4" xfId="48271"/>
    <cellStyle name="Date 44 5" xfId="48272"/>
    <cellStyle name="Date 44 6" xfId="48273"/>
    <cellStyle name="Date 44 7" xfId="48274"/>
    <cellStyle name="Date 45" xfId="48275"/>
    <cellStyle name="Date 5" xfId="48276"/>
    <cellStyle name="Date 6" xfId="48277"/>
    <cellStyle name="Date 7" xfId="48278"/>
    <cellStyle name="Date 8" xfId="48279"/>
    <cellStyle name="Date 9" xfId="48280"/>
    <cellStyle name="Date_BCC Download" xfId="48281"/>
    <cellStyle name="Explanatory Text 2" xfId="478"/>
    <cellStyle name="Explanatory Text 3" xfId="48282"/>
    <cellStyle name="Fixed" xfId="479"/>
    <cellStyle name="Fixed 10" xfId="48283"/>
    <cellStyle name="Fixed 11" xfId="48284"/>
    <cellStyle name="Fixed 12" xfId="48285"/>
    <cellStyle name="Fixed 13" xfId="48286"/>
    <cellStyle name="Fixed 14" xfId="48287"/>
    <cellStyle name="Fixed 15" xfId="48288"/>
    <cellStyle name="Fixed 16" xfId="48289"/>
    <cellStyle name="Fixed 17" xfId="48290"/>
    <cellStyle name="Fixed 18" xfId="48291"/>
    <cellStyle name="Fixed 19" xfId="48292"/>
    <cellStyle name="Fixed 2" xfId="48293"/>
    <cellStyle name="Fixed 2 10" xfId="48294"/>
    <cellStyle name="Fixed 2 11" xfId="48295"/>
    <cellStyle name="Fixed 2 12" xfId="48296"/>
    <cellStyle name="Fixed 2 13" xfId="48297"/>
    <cellStyle name="Fixed 2 14" xfId="48298"/>
    <cellStyle name="Fixed 2 15" xfId="48299"/>
    <cellStyle name="Fixed 2 16" xfId="48300"/>
    <cellStyle name="Fixed 2 17" xfId="48301"/>
    <cellStyle name="Fixed 2 18" xfId="48302"/>
    <cellStyle name="Fixed 2 19" xfId="48303"/>
    <cellStyle name="Fixed 2 2" xfId="48304"/>
    <cellStyle name="Fixed 2 2 2" xfId="48305"/>
    <cellStyle name="Fixed 2 2 3" xfId="48306"/>
    <cellStyle name="Fixed 2 2 4" xfId="48307"/>
    <cellStyle name="Fixed 2 2 4 10" xfId="48308"/>
    <cellStyle name="Fixed 2 2 4 11" xfId="48309"/>
    <cellStyle name="Fixed 2 2 4 12" xfId="48310"/>
    <cellStyle name="Fixed 2 2 4 13" xfId="48311"/>
    <cellStyle name="Fixed 2 2 4 2" xfId="48312"/>
    <cellStyle name="Fixed 2 2 4 3" xfId="48313"/>
    <cellStyle name="Fixed 2 2 4 4" xfId="48314"/>
    <cellStyle name="Fixed 2 2 4 5" xfId="48315"/>
    <cellStyle name="Fixed 2 2 4 6" xfId="48316"/>
    <cellStyle name="Fixed 2 2 4 7" xfId="48317"/>
    <cellStyle name="Fixed 2 2 4 8" xfId="48318"/>
    <cellStyle name="Fixed 2 2 4 9" xfId="48319"/>
    <cellStyle name="Fixed 2 2 5" xfId="48320"/>
    <cellStyle name="Fixed 2 2 5 10" xfId="48321"/>
    <cellStyle name="Fixed 2 2 5 11" xfId="48322"/>
    <cellStyle name="Fixed 2 2 5 12" xfId="48323"/>
    <cellStyle name="Fixed 2 2 5 13" xfId="48324"/>
    <cellStyle name="Fixed 2 2 5 2" xfId="48325"/>
    <cellStyle name="Fixed 2 2 5 3" xfId="48326"/>
    <cellStyle name="Fixed 2 2 5 4" xfId="48327"/>
    <cellStyle name="Fixed 2 2 5 5" xfId="48328"/>
    <cellStyle name="Fixed 2 2 5 6" xfId="48329"/>
    <cellStyle name="Fixed 2 2 5 7" xfId="48330"/>
    <cellStyle name="Fixed 2 2 5 8" xfId="48331"/>
    <cellStyle name="Fixed 2 2 5 9" xfId="48332"/>
    <cellStyle name="Fixed 2 2 6" xfId="48333"/>
    <cellStyle name="Fixed 2 2 6 10" xfId="48334"/>
    <cellStyle name="Fixed 2 2 6 11" xfId="48335"/>
    <cellStyle name="Fixed 2 2 6 12" xfId="48336"/>
    <cellStyle name="Fixed 2 2 6 13" xfId="48337"/>
    <cellStyle name="Fixed 2 2 6 2" xfId="48338"/>
    <cellStyle name="Fixed 2 2 6 3" xfId="48339"/>
    <cellStyle name="Fixed 2 2 6 4" xfId="48340"/>
    <cellStyle name="Fixed 2 2 6 5" xfId="48341"/>
    <cellStyle name="Fixed 2 2 6 6" xfId="48342"/>
    <cellStyle name="Fixed 2 2 6 7" xfId="48343"/>
    <cellStyle name="Fixed 2 2 6 8" xfId="48344"/>
    <cellStyle name="Fixed 2 2 6 9" xfId="48345"/>
    <cellStyle name="Fixed 2 20" xfId="48346"/>
    <cellStyle name="Fixed 2 21" xfId="48347"/>
    <cellStyle name="Fixed 2 3" xfId="48348"/>
    <cellStyle name="Fixed 2 3 2" xfId="48349"/>
    <cellStyle name="Fixed 2 3 2 10" xfId="48350"/>
    <cellStyle name="Fixed 2 3 2 11" xfId="48351"/>
    <cellStyle name="Fixed 2 3 2 12" xfId="48352"/>
    <cellStyle name="Fixed 2 3 2 13" xfId="48353"/>
    <cellStyle name="Fixed 2 3 2 2" xfId="48354"/>
    <cellStyle name="Fixed 2 3 2 3" xfId="48355"/>
    <cellStyle name="Fixed 2 3 2 4" xfId="48356"/>
    <cellStyle name="Fixed 2 3 2 5" xfId="48357"/>
    <cellStyle name="Fixed 2 3 2 6" xfId="48358"/>
    <cellStyle name="Fixed 2 3 2 7" xfId="48359"/>
    <cellStyle name="Fixed 2 3 2 8" xfId="48360"/>
    <cellStyle name="Fixed 2 3 2 9" xfId="48361"/>
    <cellStyle name="Fixed 2 3 3" xfId="48362"/>
    <cellStyle name="Fixed 2 3 3 10" xfId="48363"/>
    <cellStyle name="Fixed 2 3 3 11" xfId="48364"/>
    <cellStyle name="Fixed 2 3 3 12" xfId="48365"/>
    <cellStyle name="Fixed 2 3 3 13" xfId="48366"/>
    <cellStyle name="Fixed 2 3 3 2" xfId="48367"/>
    <cellStyle name="Fixed 2 3 3 3" xfId="48368"/>
    <cellStyle name="Fixed 2 3 3 4" xfId="48369"/>
    <cellStyle name="Fixed 2 3 3 5" xfId="48370"/>
    <cellStyle name="Fixed 2 3 3 6" xfId="48371"/>
    <cellStyle name="Fixed 2 3 3 7" xfId="48372"/>
    <cellStyle name="Fixed 2 3 3 8" xfId="48373"/>
    <cellStyle name="Fixed 2 3 3 9" xfId="48374"/>
    <cellStyle name="Fixed 2 3 4" xfId="48375"/>
    <cellStyle name="Fixed 2 3 4 10" xfId="48376"/>
    <cellStyle name="Fixed 2 3 4 11" xfId="48377"/>
    <cellStyle name="Fixed 2 3 4 12" xfId="48378"/>
    <cellStyle name="Fixed 2 3 4 13" xfId="48379"/>
    <cellStyle name="Fixed 2 3 4 2" xfId="48380"/>
    <cellStyle name="Fixed 2 3 4 3" xfId="48381"/>
    <cellStyle name="Fixed 2 3 4 4" xfId="48382"/>
    <cellStyle name="Fixed 2 3 4 5" xfId="48383"/>
    <cellStyle name="Fixed 2 3 4 6" xfId="48384"/>
    <cellStyle name="Fixed 2 3 4 7" xfId="48385"/>
    <cellStyle name="Fixed 2 3 4 8" xfId="48386"/>
    <cellStyle name="Fixed 2 3 4 9" xfId="48387"/>
    <cellStyle name="Fixed 2 4" xfId="48388"/>
    <cellStyle name="Fixed 2 4 2" xfId="48389"/>
    <cellStyle name="Fixed 2 4 2 10" xfId="48390"/>
    <cellStyle name="Fixed 2 4 2 11" xfId="48391"/>
    <cellStyle name="Fixed 2 4 2 12" xfId="48392"/>
    <cellStyle name="Fixed 2 4 2 13" xfId="48393"/>
    <cellStyle name="Fixed 2 4 2 2" xfId="48394"/>
    <cellStyle name="Fixed 2 4 2 3" xfId="48395"/>
    <cellStyle name="Fixed 2 4 2 4" xfId="48396"/>
    <cellStyle name="Fixed 2 4 2 5" xfId="48397"/>
    <cellStyle name="Fixed 2 4 2 6" xfId="48398"/>
    <cellStyle name="Fixed 2 4 2 7" xfId="48399"/>
    <cellStyle name="Fixed 2 4 2 8" xfId="48400"/>
    <cellStyle name="Fixed 2 4 2 9" xfId="48401"/>
    <cellStyle name="Fixed 2 4 3" xfId="48402"/>
    <cellStyle name="Fixed 2 4 3 10" xfId="48403"/>
    <cellStyle name="Fixed 2 4 3 11" xfId="48404"/>
    <cellStyle name="Fixed 2 4 3 12" xfId="48405"/>
    <cellStyle name="Fixed 2 4 3 13" xfId="48406"/>
    <cellStyle name="Fixed 2 4 3 2" xfId="48407"/>
    <cellStyle name="Fixed 2 4 3 3" xfId="48408"/>
    <cellStyle name="Fixed 2 4 3 4" xfId="48409"/>
    <cellStyle name="Fixed 2 4 3 5" xfId="48410"/>
    <cellStyle name="Fixed 2 4 3 6" xfId="48411"/>
    <cellStyle name="Fixed 2 4 3 7" xfId="48412"/>
    <cellStyle name="Fixed 2 4 3 8" xfId="48413"/>
    <cellStyle name="Fixed 2 4 3 9" xfId="48414"/>
    <cellStyle name="Fixed 2 4 4" xfId="48415"/>
    <cellStyle name="Fixed 2 4 4 10" xfId="48416"/>
    <cellStyle name="Fixed 2 4 4 11" xfId="48417"/>
    <cellStyle name="Fixed 2 4 4 12" xfId="48418"/>
    <cellStyle name="Fixed 2 4 4 13" xfId="48419"/>
    <cellStyle name="Fixed 2 4 4 2" xfId="48420"/>
    <cellStyle name="Fixed 2 4 4 3" xfId="48421"/>
    <cellStyle name="Fixed 2 4 4 4" xfId="48422"/>
    <cellStyle name="Fixed 2 4 4 5" xfId="48423"/>
    <cellStyle name="Fixed 2 4 4 6" xfId="48424"/>
    <cellStyle name="Fixed 2 4 4 7" xfId="48425"/>
    <cellStyle name="Fixed 2 4 4 8" xfId="48426"/>
    <cellStyle name="Fixed 2 4 4 9" xfId="48427"/>
    <cellStyle name="Fixed 2 5" xfId="48428"/>
    <cellStyle name="Fixed 2 6" xfId="48429"/>
    <cellStyle name="Fixed 2 7" xfId="48430"/>
    <cellStyle name="Fixed 2 8" xfId="48431"/>
    <cellStyle name="Fixed 2 9" xfId="48432"/>
    <cellStyle name="Fixed 20" xfId="48433"/>
    <cellStyle name="Fixed 21" xfId="48434"/>
    <cellStyle name="Fixed 22" xfId="48435"/>
    <cellStyle name="Fixed 23" xfId="48436"/>
    <cellStyle name="Fixed 24" xfId="48437"/>
    <cellStyle name="Fixed 25" xfId="48438"/>
    <cellStyle name="Fixed 26" xfId="48439"/>
    <cellStyle name="Fixed 27" xfId="48440"/>
    <cellStyle name="Fixed 28" xfId="48441"/>
    <cellStyle name="Fixed 29" xfId="48442"/>
    <cellStyle name="Fixed 3" xfId="48443"/>
    <cellStyle name="Fixed 3 2" xfId="48444"/>
    <cellStyle name="Fixed 3 3" xfId="48445"/>
    <cellStyle name="Fixed 3 4" xfId="48446"/>
    <cellStyle name="Fixed 3 5" xfId="48447"/>
    <cellStyle name="Fixed 3 6" xfId="48448"/>
    <cellStyle name="Fixed 3 6 10" xfId="48449"/>
    <cellStyle name="Fixed 3 6 11" xfId="48450"/>
    <cellStyle name="Fixed 3 6 12" xfId="48451"/>
    <cellStyle name="Fixed 3 6 13" xfId="48452"/>
    <cellStyle name="Fixed 3 6 2" xfId="48453"/>
    <cellStyle name="Fixed 3 6 3" xfId="48454"/>
    <cellStyle name="Fixed 3 6 4" xfId="48455"/>
    <cellStyle name="Fixed 3 6 5" xfId="48456"/>
    <cellStyle name="Fixed 3 6 6" xfId="48457"/>
    <cellStyle name="Fixed 3 6 7" xfId="48458"/>
    <cellStyle name="Fixed 3 6 8" xfId="48459"/>
    <cellStyle name="Fixed 3 6 9" xfId="48460"/>
    <cellStyle name="Fixed 3 7" xfId="48461"/>
    <cellStyle name="Fixed 3 7 10" xfId="48462"/>
    <cellStyle name="Fixed 3 7 11" xfId="48463"/>
    <cellStyle name="Fixed 3 7 12" xfId="48464"/>
    <cellStyle name="Fixed 3 7 13" xfId="48465"/>
    <cellStyle name="Fixed 3 7 2" xfId="48466"/>
    <cellStyle name="Fixed 3 7 3" xfId="48467"/>
    <cellStyle name="Fixed 3 7 4" xfId="48468"/>
    <cellStyle name="Fixed 3 7 5" xfId="48469"/>
    <cellStyle name="Fixed 3 7 6" xfId="48470"/>
    <cellStyle name="Fixed 3 7 7" xfId="48471"/>
    <cellStyle name="Fixed 3 7 8" xfId="48472"/>
    <cellStyle name="Fixed 3 7 9" xfId="48473"/>
    <cellStyle name="Fixed 3 8" xfId="48474"/>
    <cellStyle name="Fixed 3 8 10" xfId="48475"/>
    <cellStyle name="Fixed 3 8 11" xfId="48476"/>
    <cellStyle name="Fixed 3 8 12" xfId="48477"/>
    <cellStyle name="Fixed 3 8 13" xfId="48478"/>
    <cellStyle name="Fixed 3 8 2" xfId="48479"/>
    <cellStyle name="Fixed 3 8 3" xfId="48480"/>
    <cellStyle name="Fixed 3 8 4" xfId="48481"/>
    <cellStyle name="Fixed 3 8 5" xfId="48482"/>
    <cellStyle name="Fixed 3 8 6" xfId="48483"/>
    <cellStyle name="Fixed 3 8 7" xfId="48484"/>
    <cellStyle name="Fixed 3 8 8" xfId="48485"/>
    <cellStyle name="Fixed 3 8 9" xfId="48486"/>
    <cellStyle name="Fixed 30" xfId="48487"/>
    <cellStyle name="Fixed 31" xfId="48488"/>
    <cellStyle name="Fixed 32" xfId="48489"/>
    <cellStyle name="Fixed 33" xfId="48490"/>
    <cellStyle name="Fixed 34" xfId="48491"/>
    <cellStyle name="Fixed 35" xfId="48492"/>
    <cellStyle name="Fixed 36" xfId="48493"/>
    <cellStyle name="Fixed 37" xfId="48494"/>
    <cellStyle name="Fixed 38" xfId="48495"/>
    <cellStyle name="Fixed 39" xfId="48496"/>
    <cellStyle name="Fixed 4" xfId="48497"/>
    <cellStyle name="Fixed 40" xfId="48498"/>
    <cellStyle name="Fixed 40 2" xfId="48499"/>
    <cellStyle name="Fixed 40 2 10" xfId="48500"/>
    <cellStyle name="Fixed 40 2 11" xfId="48501"/>
    <cellStyle name="Fixed 40 2 12" xfId="48502"/>
    <cellStyle name="Fixed 40 2 13" xfId="48503"/>
    <cellStyle name="Fixed 40 2 2" xfId="48504"/>
    <cellStyle name="Fixed 40 2 3" xfId="48505"/>
    <cellStyle name="Fixed 40 2 4" xfId="48506"/>
    <cellStyle name="Fixed 40 2 5" xfId="48507"/>
    <cellStyle name="Fixed 40 2 6" xfId="48508"/>
    <cellStyle name="Fixed 40 2 7" xfId="48509"/>
    <cellStyle name="Fixed 40 2 8" xfId="48510"/>
    <cellStyle name="Fixed 40 2 9" xfId="48511"/>
    <cellStyle name="Fixed 40 3" xfId="48512"/>
    <cellStyle name="Fixed 40 3 10" xfId="48513"/>
    <cellStyle name="Fixed 40 3 11" xfId="48514"/>
    <cellStyle name="Fixed 40 3 12" xfId="48515"/>
    <cellStyle name="Fixed 40 3 13" xfId="48516"/>
    <cellStyle name="Fixed 40 3 2" xfId="48517"/>
    <cellStyle name="Fixed 40 3 3" xfId="48518"/>
    <cellStyle name="Fixed 40 3 4" xfId="48519"/>
    <cellStyle name="Fixed 40 3 5" xfId="48520"/>
    <cellStyle name="Fixed 40 3 6" xfId="48521"/>
    <cellStyle name="Fixed 40 3 7" xfId="48522"/>
    <cellStyle name="Fixed 40 3 8" xfId="48523"/>
    <cellStyle name="Fixed 40 3 9" xfId="48524"/>
    <cellStyle name="Fixed 40 4" xfId="48525"/>
    <cellStyle name="Fixed 40 4 10" xfId="48526"/>
    <cellStyle name="Fixed 40 4 11" xfId="48527"/>
    <cellStyle name="Fixed 40 4 12" xfId="48528"/>
    <cellStyle name="Fixed 40 4 13" xfId="48529"/>
    <cellStyle name="Fixed 40 4 2" xfId="48530"/>
    <cellStyle name="Fixed 40 4 3" xfId="48531"/>
    <cellStyle name="Fixed 40 4 4" xfId="48532"/>
    <cellStyle name="Fixed 40 4 5" xfId="48533"/>
    <cellStyle name="Fixed 40 4 6" xfId="48534"/>
    <cellStyle name="Fixed 40 4 7" xfId="48535"/>
    <cellStyle name="Fixed 40 4 8" xfId="48536"/>
    <cellStyle name="Fixed 40 4 9" xfId="48537"/>
    <cellStyle name="Fixed 41" xfId="48538"/>
    <cellStyle name="Fixed 41 2" xfId="48539"/>
    <cellStyle name="Fixed 41 2 10" xfId="48540"/>
    <cellStyle name="Fixed 41 2 11" xfId="48541"/>
    <cellStyle name="Fixed 41 2 12" xfId="48542"/>
    <cellStyle name="Fixed 41 2 13" xfId="48543"/>
    <cellStyle name="Fixed 41 2 2" xfId="48544"/>
    <cellStyle name="Fixed 41 2 3" xfId="48545"/>
    <cellStyle name="Fixed 41 2 4" xfId="48546"/>
    <cellStyle name="Fixed 41 2 5" xfId="48547"/>
    <cellStyle name="Fixed 41 2 6" xfId="48548"/>
    <cellStyle name="Fixed 41 2 7" xfId="48549"/>
    <cellStyle name="Fixed 41 2 8" xfId="48550"/>
    <cellStyle name="Fixed 41 2 9" xfId="48551"/>
    <cellStyle name="Fixed 41 3" xfId="48552"/>
    <cellStyle name="Fixed 41 3 10" xfId="48553"/>
    <cellStyle name="Fixed 41 3 11" xfId="48554"/>
    <cellStyle name="Fixed 41 3 12" xfId="48555"/>
    <cellStyle name="Fixed 41 3 13" xfId="48556"/>
    <cellStyle name="Fixed 41 3 2" xfId="48557"/>
    <cellStyle name="Fixed 41 3 3" xfId="48558"/>
    <cellStyle name="Fixed 41 3 4" xfId="48559"/>
    <cellStyle name="Fixed 41 3 5" xfId="48560"/>
    <cellStyle name="Fixed 41 3 6" xfId="48561"/>
    <cellStyle name="Fixed 41 3 7" xfId="48562"/>
    <cellStyle name="Fixed 41 3 8" xfId="48563"/>
    <cellStyle name="Fixed 41 3 9" xfId="48564"/>
    <cellStyle name="Fixed 41 4" xfId="48565"/>
    <cellStyle name="Fixed 41 4 10" xfId="48566"/>
    <cellStyle name="Fixed 41 4 11" xfId="48567"/>
    <cellStyle name="Fixed 41 4 12" xfId="48568"/>
    <cellStyle name="Fixed 41 4 13" xfId="48569"/>
    <cellStyle name="Fixed 41 4 2" xfId="48570"/>
    <cellStyle name="Fixed 41 4 3" xfId="48571"/>
    <cellStyle name="Fixed 41 4 4" xfId="48572"/>
    <cellStyle name="Fixed 41 4 5" xfId="48573"/>
    <cellStyle name="Fixed 41 4 6" xfId="48574"/>
    <cellStyle name="Fixed 41 4 7" xfId="48575"/>
    <cellStyle name="Fixed 41 4 8" xfId="48576"/>
    <cellStyle name="Fixed 41 4 9" xfId="48577"/>
    <cellStyle name="Fixed 42" xfId="48578"/>
    <cellStyle name="Fixed 42 2" xfId="48579"/>
    <cellStyle name="Fixed 42 3" xfId="48580"/>
    <cellStyle name="Fixed 42 4" xfId="48581"/>
    <cellStyle name="Fixed 42 5" xfId="48582"/>
    <cellStyle name="Fixed 42 6" xfId="48583"/>
    <cellStyle name="Fixed 42 7" xfId="48584"/>
    <cellStyle name="Fixed 43" xfId="48585"/>
    <cellStyle name="Fixed 43 2" xfId="48586"/>
    <cellStyle name="Fixed 43 3" xfId="48587"/>
    <cellStyle name="Fixed 43 4" xfId="48588"/>
    <cellStyle name="Fixed 43 5" xfId="48589"/>
    <cellStyle name="Fixed 43 6" xfId="48590"/>
    <cellStyle name="Fixed 43 7" xfId="48591"/>
    <cellStyle name="Fixed 44" xfId="48592"/>
    <cellStyle name="Fixed 44 2" xfId="48593"/>
    <cellStyle name="Fixed 44 3" xfId="48594"/>
    <cellStyle name="Fixed 44 4" xfId="48595"/>
    <cellStyle name="Fixed 44 5" xfId="48596"/>
    <cellStyle name="Fixed 44 6" xfId="48597"/>
    <cellStyle name="Fixed 44 7" xfId="48598"/>
    <cellStyle name="Fixed 45" xfId="48599"/>
    <cellStyle name="Fixed 5" xfId="48600"/>
    <cellStyle name="Fixed 6" xfId="48601"/>
    <cellStyle name="Fixed 7" xfId="48602"/>
    <cellStyle name="Fixed 8" xfId="48603"/>
    <cellStyle name="Fixed 9" xfId="48604"/>
    <cellStyle name="Fixed2 - Style2" xfId="48605"/>
    <cellStyle name="Good 2" xfId="480"/>
    <cellStyle name="Good 3" xfId="48606"/>
    <cellStyle name="Good 4" xfId="48607"/>
    <cellStyle name="Grey" xfId="11163"/>
    <cellStyle name="Grey 10" xfId="48608"/>
    <cellStyle name="Grey 11" xfId="48609"/>
    <cellStyle name="Grey 12" xfId="48610"/>
    <cellStyle name="Grey 13" xfId="48611"/>
    <cellStyle name="Grey 14" xfId="48612"/>
    <cellStyle name="Grey 15" xfId="48613"/>
    <cellStyle name="Grey 16" xfId="48614"/>
    <cellStyle name="Grey 17" xfId="48615"/>
    <cellStyle name="Grey 18" xfId="48616"/>
    <cellStyle name="Grey 19" xfId="48617"/>
    <cellStyle name="Grey 2" xfId="48618"/>
    <cellStyle name="Grey 20" xfId="48619"/>
    <cellStyle name="Grey 21" xfId="48620"/>
    <cellStyle name="Grey 22" xfId="48621"/>
    <cellStyle name="Grey 23" xfId="48622"/>
    <cellStyle name="Grey 24" xfId="48623"/>
    <cellStyle name="Grey 3" xfId="48624"/>
    <cellStyle name="Grey 4" xfId="48625"/>
    <cellStyle name="Grey 5" xfId="48626"/>
    <cellStyle name="Grey 6" xfId="48627"/>
    <cellStyle name="Grey 7" xfId="48628"/>
    <cellStyle name="Grey 8" xfId="48629"/>
    <cellStyle name="Grey 9" xfId="48630"/>
    <cellStyle name="header" xfId="11186"/>
    <cellStyle name="Header1" xfId="11174"/>
    <cellStyle name="Header2" xfId="11192"/>
    <cellStyle name="Header2 2" xfId="53519"/>
    <cellStyle name="Header2 3" xfId="53520"/>
    <cellStyle name="Header2 4" xfId="53521"/>
    <cellStyle name="Header2 5" xfId="53522"/>
    <cellStyle name="Heading 1 2" xfId="481"/>
    <cellStyle name="Heading 1 2 2" xfId="48631"/>
    <cellStyle name="Heading 1 2 2 2" xfId="48632"/>
    <cellStyle name="Heading 1 2 2 2 10" xfId="48633"/>
    <cellStyle name="Heading 1 2 2 2 11" xfId="48634"/>
    <cellStyle name="Heading 1 2 2 2 12" xfId="48635"/>
    <cellStyle name="Heading 1 2 2 2 13" xfId="48636"/>
    <cellStyle name="Heading 1 2 2 2 2" xfId="48637"/>
    <cellStyle name="Heading 1 2 2 2 3" xfId="48638"/>
    <cellStyle name="Heading 1 2 2 2 4" xfId="48639"/>
    <cellStyle name="Heading 1 2 2 2 5" xfId="48640"/>
    <cellStyle name="Heading 1 2 2 2 6" xfId="48641"/>
    <cellStyle name="Heading 1 2 2 2 7" xfId="48642"/>
    <cellStyle name="Heading 1 2 2 2 8" xfId="48643"/>
    <cellStyle name="Heading 1 2 2 2 9" xfId="48644"/>
    <cellStyle name="Heading 1 2 2 3" xfId="48645"/>
    <cellStyle name="Heading 1 2 2 3 10" xfId="48646"/>
    <cellStyle name="Heading 1 2 2 3 11" xfId="48647"/>
    <cellStyle name="Heading 1 2 2 3 12" xfId="48648"/>
    <cellStyle name="Heading 1 2 2 3 13" xfId="48649"/>
    <cellStyle name="Heading 1 2 2 3 2" xfId="48650"/>
    <cellStyle name="Heading 1 2 2 3 3" xfId="48651"/>
    <cellStyle name="Heading 1 2 2 3 4" xfId="48652"/>
    <cellStyle name="Heading 1 2 2 3 5" xfId="48653"/>
    <cellStyle name="Heading 1 2 2 3 6" xfId="48654"/>
    <cellStyle name="Heading 1 2 2 3 7" xfId="48655"/>
    <cellStyle name="Heading 1 2 2 3 8" xfId="48656"/>
    <cellStyle name="Heading 1 2 2 3 9" xfId="48657"/>
    <cellStyle name="Heading 1 2 2 4" xfId="48658"/>
    <cellStyle name="Heading 1 2 2 4 10" xfId="48659"/>
    <cellStyle name="Heading 1 2 2 4 11" xfId="48660"/>
    <cellStyle name="Heading 1 2 2 4 12" xfId="48661"/>
    <cellStyle name="Heading 1 2 2 4 13" xfId="48662"/>
    <cellStyle name="Heading 1 2 2 4 2" xfId="48663"/>
    <cellStyle name="Heading 1 2 2 4 3" xfId="48664"/>
    <cellStyle name="Heading 1 2 2 4 4" xfId="48665"/>
    <cellStyle name="Heading 1 2 2 4 5" xfId="48666"/>
    <cellStyle name="Heading 1 2 2 4 6" xfId="48667"/>
    <cellStyle name="Heading 1 2 2 4 7" xfId="48668"/>
    <cellStyle name="Heading 1 2 2 4 8" xfId="48669"/>
    <cellStyle name="Heading 1 2 2 4 9" xfId="48670"/>
    <cellStyle name="Heading 1 2 3" xfId="48671"/>
    <cellStyle name="Heading 1 2 3 2" xfId="48672"/>
    <cellStyle name="Heading 1 2 3 2 10" xfId="48673"/>
    <cellStyle name="Heading 1 2 3 2 11" xfId="48674"/>
    <cellStyle name="Heading 1 2 3 2 12" xfId="48675"/>
    <cellStyle name="Heading 1 2 3 2 13" xfId="48676"/>
    <cellStyle name="Heading 1 2 3 2 2" xfId="48677"/>
    <cellStyle name="Heading 1 2 3 2 3" xfId="48678"/>
    <cellStyle name="Heading 1 2 3 2 4" xfId="48679"/>
    <cellStyle name="Heading 1 2 3 2 5" xfId="48680"/>
    <cellStyle name="Heading 1 2 3 2 6" xfId="48681"/>
    <cellStyle name="Heading 1 2 3 2 7" xfId="48682"/>
    <cellStyle name="Heading 1 2 3 2 8" xfId="48683"/>
    <cellStyle name="Heading 1 2 3 2 9" xfId="48684"/>
    <cellStyle name="Heading 1 2 3 3" xfId="48685"/>
    <cellStyle name="Heading 1 2 3 3 10" xfId="48686"/>
    <cellStyle name="Heading 1 2 3 3 11" xfId="48687"/>
    <cellStyle name="Heading 1 2 3 3 12" xfId="48688"/>
    <cellStyle name="Heading 1 2 3 3 13" xfId="48689"/>
    <cellStyle name="Heading 1 2 3 3 2" xfId="48690"/>
    <cellStyle name="Heading 1 2 3 3 3" xfId="48691"/>
    <cellStyle name="Heading 1 2 3 3 4" xfId="48692"/>
    <cellStyle name="Heading 1 2 3 3 5" xfId="48693"/>
    <cellStyle name="Heading 1 2 3 3 6" xfId="48694"/>
    <cellStyle name="Heading 1 2 3 3 7" xfId="48695"/>
    <cellStyle name="Heading 1 2 3 3 8" xfId="48696"/>
    <cellStyle name="Heading 1 2 3 3 9" xfId="48697"/>
    <cellStyle name="Heading 1 2 3 4" xfId="48698"/>
    <cellStyle name="Heading 1 2 3 4 10" xfId="48699"/>
    <cellStyle name="Heading 1 2 3 4 11" xfId="48700"/>
    <cellStyle name="Heading 1 2 3 4 12" xfId="48701"/>
    <cellStyle name="Heading 1 2 3 4 13" xfId="48702"/>
    <cellStyle name="Heading 1 2 3 4 2" xfId="48703"/>
    <cellStyle name="Heading 1 2 3 4 3" xfId="48704"/>
    <cellStyle name="Heading 1 2 3 4 4" xfId="48705"/>
    <cellStyle name="Heading 1 2 3 4 5" xfId="48706"/>
    <cellStyle name="Heading 1 2 3 4 6" xfId="48707"/>
    <cellStyle name="Heading 1 2 3 4 7" xfId="48708"/>
    <cellStyle name="Heading 1 2 3 4 8" xfId="48709"/>
    <cellStyle name="Heading 1 2 3 4 9" xfId="48710"/>
    <cellStyle name="Heading 1 2 4" xfId="48711"/>
    <cellStyle name="Heading 1 2 4 2" xfId="48712"/>
    <cellStyle name="Heading 1 2 4 2 10" xfId="48713"/>
    <cellStyle name="Heading 1 2 4 2 11" xfId="48714"/>
    <cellStyle name="Heading 1 2 4 2 12" xfId="48715"/>
    <cellStyle name="Heading 1 2 4 2 13" xfId="48716"/>
    <cellStyle name="Heading 1 2 4 2 2" xfId="48717"/>
    <cellStyle name="Heading 1 2 4 2 3" xfId="48718"/>
    <cellStyle name="Heading 1 2 4 2 4" xfId="48719"/>
    <cellStyle name="Heading 1 2 4 2 5" xfId="48720"/>
    <cellStyle name="Heading 1 2 4 2 6" xfId="48721"/>
    <cellStyle name="Heading 1 2 4 2 7" xfId="48722"/>
    <cellStyle name="Heading 1 2 4 2 8" xfId="48723"/>
    <cellStyle name="Heading 1 2 4 2 9" xfId="48724"/>
    <cellStyle name="Heading 1 2 4 3" xfId="48725"/>
    <cellStyle name="Heading 1 2 4 3 10" xfId="48726"/>
    <cellStyle name="Heading 1 2 4 3 11" xfId="48727"/>
    <cellStyle name="Heading 1 2 4 3 12" xfId="48728"/>
    <cellStyle name="Heading 1 2 4 3 13" xfId="48729"/>
    <cellStyle name="Heading 1 2 4 3 2" xfId="48730"/>
    <cellStyle name="Heading 1 2 4 3 3" xfId="48731"/>
    <cellStyle name="Heading 1 2 4 3 4" xfId="48732"/>
    <cellStyle name="Heading 1 2 4 3 5" xfId="48733"/>
    <cellStyle name="Heading 1 2 4 3 6" xfId="48734"/>
    <cellStyle name="Heading 1 2 4 3 7" xfId="48735"/>
    <cellStyle name="Heading 1 2 4 3 8" xfId="48736"/>
    <cellStyle name="Heading 1 2 4 3 9" xfId="48737"/>
    <cellStyle name="Heading 1 2 4 4" xfId="48738"/>
    <cellStyle name="Heading 1 2 4 4 10" xfId="48739"/>
    <cellStyle name="Heading 1 2 4 4 11" xfId="48740"/>
    <cellStyle name="Heading 1 2 4 4 12" xfId="48741"/>
    <cellStyle name="Heading 1 2 4 4 13" xfId="48742"/>
    <cellStyle name="Heading 1 2 4 4 2" xfId="48743"/>
    <cellStyle name="Heading 1 2 4 4 3" xfId="48744"/>
    <cellStyle name="Heading 1 2 4 4 4" xfId="48745"/>
    <cellStyle name="Heading 1 2 4 4 5" xfId="48746"/>
    <cellStyle name="Heading 1 2 4 4 6" xfId="48747"/>
    <cellStyle name="Heading 1 2 4 4 7" xfId="48748"/>
    <cellStyle name="Heading 1 2 4 4 8" xfId="48749"/>
    <cellStyle name="Heading 1 2 4 4 9" xfId="48750"/>
    <cellStyle name="Heading 1 2 5" xfId="48751"/>
    <cellStyle name="Heading 1 3" xfId="48752"/>
    <cellStyle name="Heading 1 4" xfId="48753"/>
    <cellStyle name="Heading 1 4 10" xfId="48754"/>
    <cellStyle name="Heading 1 4 11" xfId="48755"/>
    <cellStyle name="Heading 1 4 12" xfId="48756"/>
    <cellStyle name="Heading 1 4 13" xfId="48757"/>
    <cellStyle name="Heading 1 4 14" xfId="48758"/>
    <cellStyle name="Heading 1 4 15" xfId="48759"/>
    <cellStyle name="Heading 1 4 16" xfId="48760"/>
    <cellStyle name="Heading 1 4 17" xfId="48761"/>
    <cellStyle name="Heading 1 4 18" xfId="48762"/>
    <cellStyle name="Heading 1 4 2" xfId="48763"/>
    <cellStyle name="Heading 1 4 3" xfId="48764"/>
    <cellStyle name="Heading 1 4 4" xfId="48765"/>
    <cellStyle name="Heading 1 4 5" xfId="48766"/>
    <cellStyle name="Heading 1 4 6" xfId="48767"/>
    <cellStyle name="Heading 1 4 7" xfId="48768"/>
    <cellStyle name="Heading 1 4 8" xfId="48769"/>
    <cellStyle name="Heading 1 4 9" xfId="48770"/>
    <cellStyle name="Heading 1 5" xfId="48771"/>
    <cellStyle name="Heading 1 6" xfId="48772"/>
    <cellStyle name="Heading 2 2" xfId="482"/>
    <cellStyle name="Heading 2 2 2" xfId="48773"/>
    <cellStyle name="Heading 2 2 2 2" xfId="48774"/>
    <cellStyle name="Heading 2 2 2 2 10" xfId="48775"/>
    <cellStyle name="Heading 2 2 2 2 11" xfId="48776"/>
    <cellStyle name="Heading 2 2 2 2 12" xfId="48777"/>
    <cellStyle name="Heading 2 2 2 2 13" xfId="48778"/>
    <cellStyle name="Heading 2 2 2 2 2" xfId="48779"/>
    <cellStyle name="Heading 2 2 2 2 3" xfId="48780"/>
    <cellStyle name="Heading 2 2 2 2 4" xfId="48781"/>
    <cellStyle name="Heading 2 2 2 2 5" xfId="48782"/>
    <cellStyle name="Heading 2 2 2 2 6" xfId="48783"/>
    <cellStyle name="Heading 2 2 2 2 7" xfId="48784"/>
    <cellStyle name="Heading 2 2 2 2 8" xfId="48785"/>
    <cellStyle name="Heading 2 2 2 2 9" xfId="48786"/>
    <cellStyle name="Heading 2 2 2 3" xfId="48787"/>
    <cellStyle name="Heading 2 2 2 3 10" xfId="48788"/>
    <cellStyle name="Heading 2 2 2 3 11" xfId="48789"/>
    <cellStyle name="Heading 2 2 2 3 12" xfId="48790"/>
    <cellStyle name="Heading 2 2 2 3 13" xfId="48791"/>
    <cellStyle name="Heading 2 2 2 3 2" xfId="48792"/>
    <cellStyle name="Heading 2 2 2 3 3" xfId="48793"/>
    <cellStyle name="Heading 2 2 2 3 4" xfId="48794"/>
    <cellStyle name="Heading 2 2 2 3 5" xfId="48795"/>
    <cellStyle name="Heading 2 2 2 3 6" xfId="48796"/>
    <cellStyle name="Heading 2 2 2 3 7" xfId="48797"/>
    <cellStyle name="Heading 2 2 2 3 8" xfId="48798"/>
    <cellStyle name="Heading 2 2 2 3 9" xfId="48799"/>
    <cellStyle name="Heading 2 2 2 4" xfId="48800"/>
    <cellStyle name="Heading 2 2 2 4 10" xfId="48801"/>
    <cellStyle name="Heading 2 2 2 4 11" xfId="48802"/>
    <cellStyle name="Heading 2 2 2 4 12" xfId="48803"/>
    <cellStyle name="Heading 2 2 2 4 13" xfId="48804"/>
    <cellStyle name="Heading 2 2 2 4 2" xfId="48805"/>
    <cellStyle name="Heading 2 2 2 4 3" xfId="48806"/>
    <cellStyle name="Heading 2 2 2 4 4" xfId="48807"/>
    <cellStyle name="Heading 2 2 2 4 5" xfId="48808"/>
    <cellStyle name="Heading 2 2 2 4 6" xfId="48809"/>
    <cellStyle name="Heading 2 2 2 4 7" xfId="48810"/>
    <cellStyle name="Heading 2 2 2 4 8" xfId="48811"/>
    <cellStyle name="Heading 2 2 2 4 9" xfId="48812"/>
    <cellStyle name="Heading 2 2 3" xfId="48813"/>
    <cellStyle name="Heading 2 2 3 2" xfId="48814"/>
    <cellStyle name="Heading 2 2 3 2 10" xfId="48815"/>
    <cellStyle name="Heading 2 2 3 2 11" xfId="48816"/>
    <cellStyle name="Heading 2 2 3 2 12" xfId="48817"/>
    <cellStyle name="Heading 2 2 3 2 13" xfId="48818"/>
    <cellStyle name="Heading 2 2 3 2 2" xfId="48819"/>
    <cellStyle name="Heading 2 2 3 2 3" xfId="48820"/>
    <cellStyle name="Heading 2 2 3 2 4" xfId="48821"/>
    <cellStyle name="Heading 2 2 3 2 5" xfId="48822"/>
    <cellStyle name="Heading 2 2 3 2 6" xfId="48823"/>
    <cellStyle name="Heading 2 2 3 2 7" xfId="48824"/>
    <cellStyle name="Heading 2 2 3 2 8" xfId="48825"/>
    <cellStyle name="Heading 2 2 3 2 9" xfId="48826"/>
    <cellStyle name="Heading 2 2 3 3" xfId="48827"/>
    <cellStyle name="Heading 2 2 3 3 10" xfId="48828"/>
    <cellStyle name="Heading 2 2 3 3 11" xfId="48829"/>
    <cellStyle name="Heading 2 2 3 3 12" xfId="48830"/>
    <cellStyle name="Heading 2 2 3 3 13" xfId="48831"/>
    <cellStyle name="Heading 2 2 3 3 2" xfId="48832"/>
    <cellStyle name="Heading 2 2 3 3 3" xfId="48833"/>
    <cellStyle name="Heading 2 2 3 3 4" xfId="48834"/>
    <cellStyle name="Heading 2 2 3 3 5" xfId="48835"/>
    <cellStyle name="Heading 2 2 3 3 6" xfId="48836"/>
    <cellStyle name="Heading 2 2 3 3 7" xfId="48837"/>
    <cellStyle name="Heading 2 2 3 3 8" xfId="48838"/>
    <cellStyle name="Heading 2 2 3 3 9" xfId="48839"/>
    <cellStyle name="Heading 2 2 3 4" xfId="48840"/>
    <cellStyle name="Heading 2 2 3 4 10" xfId="48841"/>
    <cellStyle name="Heading 2 2 3 4 11" xfId="48842"/>
    <cellStyle name="Heading 2 2 3 4 12" xfId="48843"/>
    <cellStyle name="Heading 2 2 3 4 13" xfId="48844"/>
    <cellStyle name="Heading 2 2 3 4 2" xfId="48845"/>
    <cellStyle name="Heading 2 2 3 4 3" xfId="48846"/>
    <cellStyle name="Heading 2 2 3 4 4" xfId="48847"/>
    <cellStyle name="Heading 2 2 3 4 5" xfId="48848"/>
    <cellStyle name="Heading 2 2 3 4 6" xfId="48849"/>
    <cellStyle name="Heading 2 2 3 4 7" xfId="48850"/>
    <cellStyle name="Heading 2 2 3 4 8" xfId="48851"/>
    <cellStyle name="Heading 2 2 3 4 9" xfId="48852"/>
    <cellStyle name="Heading 2 2 4" xfId="48853"/>
    <cellStyle name="Heading 2 2 4 2" xfId="48854"/>
    <cellStyle name="Heading 2 2 4 2 10" xfId="48855"/>
    <cellStyle name="Heading 2 2 4 2 11" xfId="48856"/>
    <cellStyle name="Heading 2 2 4 2 12" xfId="48857"/>
    <cellStyle name="Heading 2 2 4 2 13" xfId="48858"/>
    <cellStyle name="Heading 2 2 4 2 2" xfId="48859"/>
    <cellStyle name="Heading 2 2 4 2 3" xfId="48860"/>
    <cellStyle name="Heading 2 2 4 2 4" xfId="48861"/>
    <cellStyle name="Heading 2 2 4 2 5" xfId="48862"/>
    <cellStyle name="Heading 2 2 4 2 6" xfId="48863"/>
    <cellStyle name="Heading 2 2 4 2 7" xfId="48864"/>
    <cellStyle name="Heading 2 2 4 2 8" xfId="48865"/>
    <cellStyle name="Heading 2 2 4 2 9" xfId="48866"/>
    <cellStyle name="Heading 2 2 4 3" xfId="48867"/>
    <cellStyle name="Heading 2 2 4 3 10" xfId="48868"/>
    <cellStyle name="Heading 2 2 4 3 11" xfId="48869"/>
    <cellStyle name="Heading 2 2 4 3 12" xfId="48870"/>
    <cellStyle name="Heading 2 2 4 3 13" xfId="48871"/>
    <cellStyle name="Heading 2 2 4 3 2" xfId="48872"/>
    <cellStyle name="Heading 2 2 4 3 3" xfId="48873"/>
    <cellStyle name="Heading 2 2 4 3 4" xfId="48874"/>
    <cellStyle name="Heading 2 2 4 3 5" xfId="48875"/>
    <cellStyle name="Heading 2 2 4 3 6" xfId="48876"/>
    <cellStyle name="Heading 2 2 4 3 7" xfId="48877"/>
    <cellStyle name="Heading 2 2 4 3 8" xfId="48878"/>
    <cellStyle name="Heading 2 2 4 3 9" xfId="48879"/>
    <cellStyle name="Heading 2 2 4 4" xfId="48880"/>
    <cellStyle name="Heading 2 2 4 4 10" xfId="48881"/>
    <cellStyle name="Heading 2 2 4 4 11" xfId="48882"/>
    <cellStyle name="Heading 2 2 4 4 12" xfId="48883"/>
    <cellStyle name="Heading 2 2 4 4 13" xfId="48884"/>
    <cellStyle name="Heading 2 2 4 4 2" xfId="48885"/>
    <cellStyle name="Heading 2 2 4 4 3" xfId="48886"/>
    <cellStyle name="Heading 2 2 4 4 4" xfId="48887"/>
    <cellStyle name="Heading 2 2 4 4 5" xfId="48888"/>
    <cellStyle name="Heading 2 2 4 4 6" xfId="48889"/>
    <cellStyle name="Heading 2 2 4 4 7" xfId="48890"/>
    <cellStyle name="Heading 2 2 4 4 8" xfId="48891"/>
    <cellStyle name="Heading 2 2 4 4 9" xfId="48892"/>
    <cellStyle name="Heading 2 2 5" xfId="48893"/>
    <cellStyle name="Heading 2 3" xfId="48894"/>
    <cellStyle name="Heading 2 4" xfId="48895"/>
    <cellStyle name="Heading 2 4 10" xfId="48896"/>
    <cellStyle name="Heading 2 4 11" xfId="48897"/>
    <cellStyle name="Heading 2 4 12" xfId="48898"/>
    <cellStyle name="Heading 2 4 13" xfId="48899"/>
    <cellStyle name="Heading 2 4 14" xfId="48900"/>
    <cellStyle name="Heading 2 4 15" xfId="48901"/>
    <cellStyle name="Heading 2 4 16" xfId="48902"/>
    <cellStyle name="Heading 2 4 17" xfId="48903"/>
    <cellStyle name="Heading 2 4 18" xfId="48904"/>
    <cellStyle name="Heading 2 4 2" xfId="48905"/>
    <cellStyle name="Heading 2 4 3" xfId="48906"/>
    <cellStyle name="Heading 2 4 4" xfId="48907"/>
    <cellStyle name="Heading 2 4 5" xfId="48908"/>
    <cellStyle name="Heading 2 4 6" xfId="48909"/>
    <cellStyle name="Heading 2 4 7" xfId="48910"/>
    <cellStyle name="Heading 2 4 8" xfId="48911"/>
    <cellStyle name="Heading 2 4 9" xfId="48912"/>
    <cellStyle name="Heading 2 5" xfId="48913"/>
    <cellStyle name="Heading 2 6" xfId="48914"/>
    <cellStyle name="Heading 3 2" xfId="483"/>
    <cellStyle name="Heading 3 2 2" xfId="48915"/>
    <cellStyle name="Heading 3 2 2 2" xfId="48916"/>
    <cellStyle name="Heading 3 2 3" xfId="48917"/>
    <cellStyle name="Heading 3 3" xfId="48918"/>
    <cellStyle name="Heading 3 4" xfId="48919"/>
    <cellStyle name="Heading 3 4 2" xfId="48920"/>
    <cellStyle name="Heading 3 5" xfId="48921"/>
    <cellStyle name="Heading 4 2" xfId="484"/>
    <cellStyle name="Heading 4 2 2" xfId="48922"/>
    <cellStyle name="Heading 4 2 2 2" xfId="48923"/>
    <cellStyle name="Heading 4 2 3" xfId="48924"/>
    <cellStyle name="Heading 4 3" xfId="48925"/>
    <cellStyle name="Heading 4 4" xfId="48926"/>
    <cellStyle name="Heading 4 4 2" xfId="48927"/>
    <cellStyle name="Heading 4 5" xfId="48928"/>
    <cellStyle name="Heading1" xfId="48929"/>
    <cellStyle name="Heading1 10" xfId="48930"/>
    <cellStyle name="Heading1 11" xfId="48931"/>
    <cellStyle name="Heading1 12" xfId="48932"/>
    <cellStyle name="Heading1 13" xfId="48933"/>
    <cellStyle name="Heading1 14" xfId="48934"/>
    <cellStyle name="Heading1 15" xfId="48935"/>
    <cellStyle name="Heading1 16" xfId="48936"/>
    <cellStyle name="Heading1 17" xfId="48937"/>
    <cellStyle name="Heading1 18" xfId="48938"/>
    <cellStyle name="Heading1 19" xfId="48939"/>
    <cellStyle name="Heading1 2" xfId="48940"/>
    <cellStyle name="Heading1 2 10" xfId="48941"/>
    <cellStyle name="Heading1 2 11" xfId="48942"/>
    <cellStyle name="Heading1 2 12" xfId="48943"/>
    <cellStyle name="Heading1 2 13" xfId="48944"/>
    <cellStyle name="Heading1 2 14" xfId="48945"/>
    <cellStyle name="Heading1 2 15" xfId="48946"/>
    <cellStyle name="Heading1 2 16" xfId="48947"/>
    <cellStyle name="Heading1 2 17" xfId="48948"/>
    <cellStyle name="Heading1 2 18" xfId="48949"/>
    <cellStyle name="Heading1 2 19" xfId="48950"/>
    <cellStyle name="Heading1 2 2" xfId="48951"/>
    <cellStyle name="Heading1 2 20" xfId="48952"/>
    <cellStyle name="Heading1 2 21" xfId="48953"/>
    <cellStyle name="Heading1 2 3" xfId="48954"/>
    <cellStyle name="Heading1 2 4" xfId="48955"/>
    <cellStyle name="Heading1 2 5" xfId="48956"/>
    <cellStyle name="Heading1 2 6" xfId="48957"/>
    <cellStyle name="Heading1 2 7" xfId="48958"/>
    <cellStyle name="Heading1 2 8" xfId="48959"/>
    <cellStyle name="Heading1 2 9" xfId="48960"/>
    <cellStyle name="Heading1 20" xfId="48961"/>
    <cellStyle name="Heading1 21" xfId="48962"/>
    <cellStyle name="Heading1 22" xfId="48963"/>
    <cellStyle name="Heading1 23" xfId="48964"/>
    <cellStyle name="Heading1 24" xfId="48965"/>
    <cellStyle name="Heading1 25" xfId="48966"/>
    <cellStyle name="Heading1 26" xfId="48967"/>
    <cellStyle name="Heading1 27" xfId="48968"/>
    <cellStyle name="Heading1 28" xfId="48969"/>
    <cellStyle name="Heading1 29" xfId="48970"/>
    <cellStyle name="Heading1 3" xfId="48971"/>
    <cellStyle name="Heading1 3 2" xfId="48972"/>
    <cellStyle name="Heading1 3 3" xfId="48973"/>
    <cellStyle name="Heading1 3 4" xfId="48974"/>
    <cellStyle name="Heading1 3 5" xfId="48975"/>
    <cellStyle name="Heading1 3 6" xfId="48976"/>
    <cellStyle name="Heading1 3 6 10" xfId="48977"/>
    <cellStyle name="Heading1 3 6 11" xfId="48978"/>
    <cellStyle name="Heading1 3 6 12" xfId="48979"/>
    <cellStyle name="Heading1 3 6 13" xfId="48980"/>
    <cellStyle name="Heading1 3 6 2" xfId="48981"/>
    <cellStyle name="Heading1 3 6 3" xfId="48982"/>
    <cellStyle name="Heading1 3 6 4" xfId="48983"/>
    <cellStyle name="Heading1 3 6 5" xfId="48984"/>
    <cellStyle name="Heading1 3 6 6" xfId="48985"/>
    <cellStyle name="Heading1 3 6 7" xfId="48986"/>
    <cellStyle name="Heading1 3 6 8" xfId="48987"/>
    <cellStyle name="Heading1 3 6 9" xfId="48988"/>
    <cellStyle name="Heading1 3 7" xfId="48989"/>
    <cellStyle name="Heading1 3 7 10" xfId="48990"/>
    <cellStyle name="Heading1 3 7 11" xfId="48991"/>
    <cellStyle name="Heading1 3 7 12" xfId="48992"/>
    <cellStyle name="Heading1 3 7 13" xfId="48993"/>
    <cellStyle name="Heading1 3 7 2" xfId="48994"/>
    <cellStyle name="Heading1 3 7 3" xfId="48995"/>
    <cellStyle name="Heading1 3 7 4" xfId="48996"/>
    <cellStyle name="Heading1 3 7 5" xfId="48997"/>
    <cellStyle name="Heading1 3 7 6" xfId="48998"/>
    <cellStyle name="Heading1 3 7 7" xfId="48999"/>
    <cellStyle name="Heading1 3 7 8" xfId="49000"/>
    <cellStyle name="Heading1 3 7 9" xfId="49001"/>
    <cellStyle name="Heading1 3 8" xfId="49002"/>
    <cellStyle name="Heading1 3 8 10" xfId="49003"/>
    <cellStyle name="Heading1 3 8 11" xfId="49004"/>
    <cellStyle name="Heading1 3 8 12" xfId="49005"/>
    <cellStyle name="Heading1 3 8 13" xfId="49006"/>
    <cellStyle name="Heading1 3 8 2" xfId="49007"/>
    <cellStyle name="Heading1 3 8 3" xfId="49008"/>
    <cellStyle name="Heading1 3 8 4" xfId="49009"/>
    <cellStyle name="Heading1 3 8 5" xfId="49010"/>
    <cellStyle name="Heading1 3 8 6" xfId="49011"/>
    <cellStyle name="Heading1 3 8 7" xfId="49012"/>
    <cellStyle name="Heading1 3 8 8" xfId="49013"/>
    <cellStyle name="Heading1 3 8 9" xfId="49014"/>
    <cellStyle name="Heading1 30" xfId="49015"/>
    <cellStyle name="Heading1 31" xfId="49016"/>
    <cellStyle name="Heading1 32" xfId="49017"/>
    <cellStyle name="Heading1 33" xfId="49018"/>
    <cellStyle name="Heading1 34" xfId="49019"/>
    <cellStyle name="Heading1 35" xfId="49020"/>
    <cellStyle name="Heading1 36" xfId="49021"/>
    <cellStyle name="Heading1 37" xfId="49022"/>
    <cellStyle name="Heading1 38" xfId="49023"/>
    <cellStyle name="Heading1 39" xfId="49024"/>
    <cellStyle name="Heading1 39 2" xfId="49025"/>
    <cellStyle name="Heading1 39 2 10" xfId="49026"/>
    <cellStyle name="Heading1 39 2 11" xfId="49027"/>
    <cellStyle name="Heading1 39 2 12" xfId="49028"/>
    <cellStyle name="Heading1 39 2 13" xfId="49029"/>
    <cellStyle name="Heading1 39 2 2" xfId="49030"/>
    <cellStyle name="Heading1 39 2 3" xfId="49031"/>
    <cellStyle name="Heading1 39 2 4" xfId="49032"/>
    <cellStyle name="Heading1 39 2 5" xfId="49033"/>
    <cellStyle name="Heading1 39 2 6" xfId="49034"/>
    <cellStyle name="Heading1 39 2 7" xfId="49035"/>
    <cellStyle name="Heading1 39 2 8" xfId="49036"/>
    <cellStyle name="Heading1 39 2 9" xfId="49037"/>
    <cellStyle name="Heading1 39 3" xfId="49038"/>
    <cellStyle name="Heading1 39 3 10" xfId="49039"/>
    <cellStyle name="Heading1 39 3 11" xfId="49040"/>
    <cellStyle name="Heading1 39 3 12" xfId="49041"/>
    <cellStyle name="Heading1 39 3 13" xfId="49042"/>
    <cellStyle name="Heading1 39 3 2" xfId="49043"/>
    <cellStyle name="Heading1 39 3 3" xfId="49044"/>
    <cellStyle name="Heading1 39 3 4" xfId="49045"/>
    <cellStyle name="Heading1 39 3 5" xfId="49046"/>
    <cellStyle name="Heading1 39 3 6" xfId="49047"/>
    <cellStyle name="Heading1 39 3 7" xfId="49048"/>
    <cellStyle name="Heading1 39 3 8" xfId="49049"/>
    <cellStyle name="Heading1 39 3 9" xfId="49050"/>
    <cellStyle name="Heading1 39 4" xfId="49051"/>
    <cellStyle name="Heading1 39 4 10" xfId="49052"/>
    <cellStyle name="Heading1 39 4 11" xfId="49053"/>
    <cellStyle name="Heading1 39 4 12" xfId="49054"/>
    <cellStyle name="Heading1 39 4 13" xfId="49055"/>
    <cellStyle name="Heading1 39 4 2" xfId="49056"/>
    <cellStyle name="Heading1 39 4 3" xfId="49057"/>
    <cellStyle name="Heading1 39 4 4" xfId="49058"/>
    <cellStyle name="Heading1 39 4 5" xfId="49059"/>
    <cellStyle name="Heading1 39 4 6" xfId="49060"/>
    <cellStyle name="Heading1 39 4 7" xfId="49061"/>
    <cellStyle name="Heading1 39 4 8" xfId="49062"/>
    <cellStyle name="Heading1 39 4 9" xfId="49063"/>
    <cellStyle name="Heading1 4" xfId="49064"/>
    <cellStyle name="Heading1 40" xfId="49065"/>
    <cellStyle name="Heading1 40 2" xfId="49066"/>
    <cellStyle name="Heading1 40 2 10" xfId="49067"/>
    <cellStyle name="Heading1 40 2 11" xfId="49068"/>
    <cellStyle name="Heading1 40 2 12" xfId="49069"/>
    <cellStyle name="Heading1 40 2 13" xfId="49070"/>
    <cellStyle name="Heading1 40 2 2" xfId="49071"/>
    <cellStyle name="Heading1 40 2 3" xfId="49072"/>
    <cellStyle name="Heading1 40 2 4" xfId="49073"/>
    <cellStyle name="Heading1 40 2 5" xfId="49074"/>
    <cellStyle name="Heading1 40 2 6" xfId="49075"/>
    <cellStyle name="Heading1 40 2 7" xfId="49076"/>
    <cellStyle name="Heading1 40 2 8" xfId="49077"/>
    <cellStyle name="Heading1 40 2 9" xfId="49078"/>
    <cellStyle name="Heading1 40 3" xfId="49079"/>
    <cellStyle name="Heading1 40 3 10" xfId="49080"/>
    <cellStyle name="Heading1 40 3 11" xfId="49081"/>
    <cellStyle name="Heading1 40 3 12" xfId="49082"/>
    <cellStyle name="Heading1 40 3 13" xfId="49083"/>
    <cellStyle name="Heading1 40 3 2" xfId="49084"/>
    <cellStyle name="Heading1 40 3 3" xfId="49085"/>
    <cellStyle name="Heading1 40 3 4" xfId="49086"/>
    <cellStyle name="Heading1 40 3 5" xfId="49087"/>
    <cellStyle name="Heading1 40 3 6" xfId="49088"/>
    <cellStyle name="Heading1 40 3 7" xfId="49089"/>
    <cellStyle name="Heading1 40 3 8" xfId="49090"/>
    <cellStyle name="Heading1 40 3 9" xfId="49091"/>
    <cellStyle name="Heading1 40 4" xfId="49092"/>
    <cellStyle name="Heading1 40 4 10" xfId="49093"/>
    <cellStyle name="Heading1 40 4 11" xfId="49094"/>
    <cellStyle name="Heading1 40 4 12" xfId="49095"/>
    <cellStyle name="Heading1 40 4 13" xfId="49096"/>
    <cellStyle name="Heading1 40 4 2" xfId="49097"/>
    <cellStyle name="Heading1 40 4 3" xfId="49098"/>
    <cellStyle name="Heading1 40 4 4" xfId="49099"/>
    <cellStyle name="Heading1 40 4 5" xfId="49100"/>
    <cellStyle name="Heading1 40 4 6" xfId="49101"/>
    <cellStyle name="Heading1 40 4 7" xfId="49102"/>
    <cellStyle name="Heading1 40 4 8" xfId="49103"/>
    <cellStyle name="Heading1 40 4 9" xfId="49104"/>
    <cellStyle name="Heading1 41" xfId="49105"/>
    <cellStyle name="Heading1 41 2" xfId="49106"/>
    <cellStyle name="Heading1 41 3" xfId="49107"/>
    <cellStyle name="Heading1 41 4" xfId="49108"/>
    <cellStyle name="Heading1 41 5" xfId="49109"/>
    <cellStyle name="Heading1 41 6" xfId="49110"/>
    <cellStyle name="Heading1 41 7" xfId="49111"/>
    <cellStyle name="Heading1 42" xfId="49112"/>
    <cellStyle name="Heading1 42 2" xfId="49113"/>
    <cellStyle name="Heading1 42 3" xfId="49114"/>
    <cellStyle name="Heading1 42 4" xfId="49115"/>
    <cellStyle name="Heading1 42 5" xfId="49116"/>
    <cellStyle name="Heading1 42 6" xfId="49117"/>
    <cellStyle name="Heading1 42 7" xfId="49118"/>
    <cellStyle name="Heading1 43" xfId="49119"/>
    <cellStyle name="Heading1 43 2" xfId="49120"/>
    <cellStyle name="Heading1 43 3" xfId="49121"/>
    <cellStyle name="Heading1 43 4" xfId="49122"/>
    <cellStyle name="Heading1 43 5" xfId="49123"/>
    <cellStyle name="Heading1 43 6" xfId="49124"/>
    <cellStyle name="Heading1 43 7" xfId="49125"/>
    <cellStyle name="Heading1 44" xfId="49126"/>
    <cellStyle name="Heading1 5" xfId="49127"/>
    <cellStyle name="Heading1 6" xfId="49128"/>
    <cellStyle name="Heading1 7" xfId="49129"/>
    <cellStyle name="Heading1 8" xfId="49130"/>
    <cellStyle name="Heading1 9" xfId="49131"/>
    <cellStyle name="Heading2" xfId="49132"/>
    <cellStyle name="Heading2 10" xfId="49133"/>
    <cellStyle name="Heading2 11" xfId="49134"/>
    <cellStyle name="Heading2 12" xfId="49135"/>
    <cellStyle name="Heading2 13" xfId="49136"/>
    <cellStyle name="Heading2 14" xfId="49137"/>
    <cellStyle name="Heading2 15" xfId="49138"/>
    <cellStyle name="Heading2 16" xfId="49139"/>
    <cellStyle name="Heading2 17" xfId="49140"/>
    <cellStyle name="Heading2 18" xfId="49141"/>
    <cellStyle name="Heading2 19" xfId="49142"/>
    <cellStyle name="Heading2 2" xfId="49143"/>
    <cellStyle name="Heading2 2 10" xfId="49144"/>
    <cellStyle name="Heading2 2 11" xfId="49145"/>
    <cellStyle name="Heading2 2 12" xfId="49146"/>
    <cellStyle name="Heading2 2 13" xfId="49147"/>
    <cellStyle name="Heading2 2 14" xfId="49148"/>
    <cellStyle name="Heading2 2 15" xfId="49149"/>
    <cellStyle name="Heading2 2 16" xfId="49150"/>
    <cellStyle name="Heading2 2 17" xfId="49151"/>
    <cellStyle name="Heading2 2 18" xfId="49152"/>
    <cellStyle name="Heading2 2 19" xfId="49153"/>
    <cellStyle name="Heading2 2 2" xfId="49154"/>
    <cellStyle name="Heading2 2 20" xfId="49155"/>
    <cellStyle name="Heading2 2 21" xfId="49156"/>
    <cellStyle name="Heading2 2 3" xfId="49157"/>
    <cellStyle name="Heading2 2 4" xfId="49158"/>
    <cellStyle name="Heading2 2 5" xfId="49159"/>
    <cellStyle name="Heading2 2 6" xfId="49160"/>
    <cellStyle name="Heading2 2 7" xfId="49161"/>
    <cellStyle name="Heading2 2 8" xfId="49162"/>
    <cellStyle name="Heading2 2 9" xfId="49163"/>
    <cellStyle name="Heading2 20" xfId="49164"/>
    <cellStyle name="Heading2 21" xfId="49165"/>
    <cellStyle name="Heading2 22" xfId="49166"/>
    <cellStyle name="Heading2 23" xfId="49167"/>
    <cellStyle name="Heading2 24" xfId="49168"/>
    <cellStyle name="Heading2 25" xfId="49169"/>
    <cellStyle name="Heading2 26" xfId="49170"/>
    <cellStyle name="Heading2 27" xfId="49171"/>
    <cellStyle name="Heading2 28" xfId="49172"/>
    <cellStyle name="Heading2 29" xfId="49173"/>
    <cellStyle name="Heading2 3" xfId="49174"/>
    <cellStyle name="Heading2 3 2" xfId="49175"/>
    <cellStyle name="Heading2 3 3" xfId="49176"/>
    <cellStyle name="Heading2 3 4" xfId="49177"/>
    <cellStyle name="Heading2 3 5" xfId="49178"/>
    <cellStyle name="Heading2 3 6" xfId="49179"/>
    <cellStyle name="Heading2 3 6 10" xfId="49180"/>
    <cellStyle name="Heading2 3 6 11" xfId="49181"/>
    <cellStyle name="Heading2 3 6 12" xfId="49182"/>
    <cellStyle name="Heading2 3 6 13" xfId="49183"/>
    <cellStyle name="Heading2 3 6 2" xfId="49184"/>
    <cellStyle name="Heading2 3 6 3" xfId="49185"/>
    <cellStyle name="Heading2 3 6 4" xfId="49186"/>
    <cellStyle name="Heading2 3 6 5" xfId="49187"/>
    <cellStyle name="Heading2 3 6 6" xfId="49188"/>
    <cellStyle name="Heading2 3 6 7" xfId="49189"/>
    <cellStyle name="Heading2 3 6 8" xfId="49190"/>
    <cellStyle name="Heading2 3 6 9" xfId="49191"/>
    <cellStyle name="Heading2 3 7" xfId="49192"/>
    <cellStyle name="Heading2 3 7 10" xfId="49193"/>
    <cellStyle name="Heading2 3 7 11" xfId="49194"/>
    <cellStyle name="Heading2 3 7 12" xfId="49195"/>
    <cellStyle name="Heading2 3 7 13" xfId="49196"/>
    <cellStyle name="Heading2 3 7 2" xfId="49197"/>
    <cellStyle name="Heading2 3 7 3" xfId="49198"/>
    <cellStyle name="Heading2 3 7 4" xfId="49199"/>
    <cellStyle name="Heading2 3 7 5" xfId="49200"/>
    <cellStyle name="Heading2 3 7 6" xfId="49201"/>
    <cellStyle name="Heading2 3 7 7" xfId="49202"/>
    <cellStyle name="Heading2 3 7 8" xfId="49203"/>
    <cellStyle name="Heading2 3 7 9" xfId="49204"/>
    <cellStyle name="Heading2 3 8" xfId="49205"/>
    <cellStyle name="Heading2 3 8 10" xfId="49206"/>
    <cellStyle name="Heading2 3 8 11" xfId="49207"/>
    <cellStyle name="Heading2 3 8 12" xfId="49208"/>
    <cellStyle name="Heading2 3 8 13" xfId="49209"/>
    <cellStyle name="Heading2 3 8 2" xfId="49210"/>
    <cellStyle name="Heading2 3 8 3" xfId="49211"/>
    <cellStyle name="Heading2 3 8 4" xfId="49212"/>
    <cellStyle name="Heading2 3 8 5" xfId="49213"/>
    <cellStyle name="Heading2 3 8 6" xfId="49214"/>
    <cellStyle name="Heading2 3 8 7" xfId="49215"/>
    <cellStyle name="Heading2 3 8 8" xfId="49216"/>
    <cellStyle name="Heading2 3 8 9" xfId="49217"/>
    <cellStyle name="Heading2 30" xfId="49218"/>
    <cellStyle name="Heading2 31" xfId="49219"/>
    <cellStyle name="Heading2 32" xfId="49220"/>
    <cellStyle name="Heading2 33" xfId="49221"/>
    <cellStyle name="Heading2 34" xfId="49222"/>
    <cellStyle name="Heading2 35" xfId="49223"/>
    <cellStyle name="Heading2 36" xfId="49224"/>
    <cellStyle name="Heading2 37" xfId="49225"/>
    <cellStyle name="Heading2 38" xfId="49226"/>
    <cellStyle name="Heading2 39" xfId="49227"/>
    <cellStyle name="Heading2 39 2" xfId="49228"/>
    <cellStyle name="Heading2 39 2 10" xfId="49229"/>
    <cellStyle name="Heading2 39 2 11" xfId="49230"/>
    <cellStyle name="Heading2 39 2 12" xfId="49231"/>
    <cellStyle name="Heading2 39 2 13" xfId="49232"/>
    <cellStyle name="Heading2 39 2 2" xfId="49233"/>
    <cellStyle name="Heading2 39 2 3" xfId="49234"/>
    <cellStyle name="Heading2 39 2 4" xfId="49235"/>
    <cellStyle name="Heading2 39 2 5" xfId="49236"/>
    <cellStyle name="Heading2 39 2 6" xfId="49237"/>
    <cellStyle name="Heading2 39 2 7" xfId="49238"/>
    <cellStyle name="Heading2 39 2 8" xfId="49239"/>
    <cellStyle name="Heading2 39 2 9" xfId="49240"/>
    <cellStyle name="Heading2 39 3" xfId="49241"/>
    <cellStyle name="Heading2 39 3 10" xfId="49242"/>
    <cellStyle name="Heading2 39 3 11" xfId="49243"/>
    <cellStyle name="Heading2 39 3 12" xfId="49244"/>
    <cellStyle name="Heading2 39 3 13" xfId="49245"/>
    <cellStyle name="Heading2 39 3 2" xfId="49246"/>
    <cellStyle name="Heading2 39 3 3" xfId="49247"/>
    <cellStyle name="Heading2 39 3 4" xfId="49248"/>
    <cellStyle name="Heading2 39 3 5" xfId="49249"/>
    <cellStyle name="Heading2 39 3 6" xfId="49250"/>
    <cellStyle name="Heading2 39 3 7" xfId="49251"/>
    <cellStyle name="Heading2 39 3 8" xfId="49252"/>
    <cellStyle name="Heading2 39 3 9" xfId="49253"/>
    <cellStyle name="Heading2 39 4" xfId="49254"/>
    <cellStyle name="Heading2 39 4 10" xfId="49255"/>
    <cellStyle name="Heading2 39 4 11" xfId="49256"/>
    <cellStyle name="Heading2 39 4 12" xfId="49257"/>
    <cellStyle name="Heading2 39 4 13" xfId="49258"/>
    <cellStyle name="Heading2 39 4 2" xfId="49259"/>
    <cellStyle name="Heading2 39 4 3" xfId="49260"/>
    <cellStyle name="Heading2 39 4 4" xfId="49261"/>
    <cellStyle name="Heading2 39 4 5" xfId="49262"/>
    <cellStyle name="Heading2 39 4 6" xfId="49263"/>
    <cellStyle name="Heading2 39 4 7" xfId="49264"/>
    <cellStyle name="Heading2 39 4 8" xfId="49265"/>
    <cellStyle name="Heading2 39 4 9" xfId="49266"/>
    <cellStyle name="Heading2 4" xfId="49267"/>
    <cellStyle name="Heading2 40" xfId="49268"/>
    <cellStyle name="Heading2 40 2" xfId="49269"/>
    <cellStyle name="Heading2 40 2 10" xfId="49270"/>
    <cellStyle name="Heading2 40 2 11" xfId="49271"/>
    <cellStyle name="Heading2 40 2 12" xfId="49272"/>
    <cellStyle name="Heading2 40 2 13" xfId="49273"/>
    <cellStyle name="Heading2 40 2 2" xfId="49274"/>
    <cellStyle name="Heading2 40 2 3" xfId="49275"/>
    <cellStyle name="Heading2 40 2 4" xfId="49276"/>
    <cellStyle name="Heading2 40 2 5" xfId="49277"/>
    <cellStyle name="Heading2 40 2 6" xfId="49278"/>
    <cellStyle name="Heading2 40 2 7" xfId="49279"/>
    <cellStyle name="Heading2 40 2 8" xfId="49280"/>
    <cellStyle name="Heading2 40 2 9" xfId="49281"/>
    <cellStyle name="Heading2 40 3" xfId="49282"/>
    <cellStyle name="Heading2 40 3 10" xfId="49283"/>
    <cellStyle name="Heading2 40 3 11" xfId="49284"/>
    <cellStyle name="Heading2 40 3 12" xfId="49285"/>
    <cellStyle name="Heading2 40 3 13" xfId="49286"/>
    <cellStyle name="Heading2 40 3 2" xfId="49287"/>
    <cellStyle name="Heading2 40 3 3" xfId="49288"/>
    <cellStyle name="Heading2 40 3 4" xfId="49289"/>
    <cellStyle name="Heading2 40 3 5" xfId="49290"/>
    <cellStyle name="Heading2 40 3 6" xfId="49291"/>
    <cellStyle name="Heading2 40 3 7" xfId="49292"/>
    <cellStyle name="Heading2 40 3 8" xfId="49293"/>
    <cellStyle name="Heading2 40 3 9" xfId="49294"/>
    <cellStyle name="Heading2 40 4" xfId="49295"/>
    <cellStyle name="Heading2 40 4 10" xfId="49296"/>
    <cellStyle name="Heading2 40 4 11" xfId="49297"/>
    <cellStyle name="Heading2 40 4 12" xfId="49298"/>
    <cellStyle name="Heading2 40 4 13" xfId="49299"/>
    <cellStyle name="Heading2 40 4 2" xfId="49300"/>
    <cellStyle name="Heading2 40 4 3" xfId="49301"/>
    <cellStyle name="Heading2 40 4 4" xfId="49302"/>
    <cellStyle name="Heading2 40 4 5" xfId="49303"/>
    <cellStyle name="Heading2 40 4 6" xfId="49304"/>
    <cellStyle name="Heading2 40 4 7" xfId="49305"/>
    <cellStyle name="Heading2 40 4 8" xfId="49306"/>
    <cellStyle name="Heading2 40 4 9" xfId="49307"/>
    <cellStyle name="Heading2 41" xfId="49308"/>
    <cellStyle name="Heading2 41 2" xfId="49309"/>
    <cellStyle name="Heading2 41 3" xfId="49310"/>
    <cellStyle name="Heading2 41 4" xfId="49311"/>
    <cellStyle name="Heading2 41 5" xfId="49312"/>
    <cellStyle name="Heading2 41 6" xfId="49313"/>
    <cellStyle name="Heading2 41 7" xfId="49314"/>
    <cellStyle name="Heading2 42" xfId="49315"/>
    <cellStyle name="Heading2 42 2" xfId="49316"/>
    <cellStyle name="Heading2 42 3" xfId="49317"/>
    <cellStyle name="Heading2 42 4" xfId="49318"/>
    <cellStyle name="Heading2 42 5" xfId="49319"/>
    <cellStyle name="Heading2 42 6" xfId="49320"/>
    <cellStyle name="Heading2 42 7" xfId="49321"/>
    <cellStyle name="Heading2 43" xfId="49322"/>
    <cellStyle name="Heading2 43 2" xfId="49323"/>
    <cellStyle name="Heading2 43 3" xfId="49324"/>
    <cellStyle name="Heading2 43 4" xfId="49325"/>
    <cellStyle name="Heading2 43 5" xfId="49326"/>
    <cellStyle name="Heading2 43 6" xfId="49327"/>
    <cellStyle name="Heading2 43 7" xfId="49328"/>
    <cellStyle name="Heading2 44" xfId="49329"/>
    <cellStyle name="Heading2 5" xfId="49330"/>
    <cellStyle name="Heading2 6" xfId="49331"/>
    <cellStyle name="Heading2 7" xfId="49332"/>
    <cellStyle name="Heading2 8" xfId="49333"/>
    <cellStyle name="Heading2 9" xfId="49334"/>
    <cellStyle name="Hyperlink 2" xfId="485"/>
    <cellStyle name="Hyperlink 2 2" xfId="49335"/>
    <cellStyle name="Hyperlink 2 3" xfId="49336"/>
    <cellStyle name="Hyperlink 3" xfId="486"/>
    <cellStyle name="Hyperlink 4" xfId="487"/>
    <cellStyle name="Hyperlink 5" xfId="488"/>
    <cellStyle name="Hyperlink 6" xfId="489"/>
    <cellStyle name="Input [yellow]" xfId="11197"/>
    <cellStyle name="Input [yellow] 10" xfId="49337"/>
    <cellStyle name="Input [yellow] 11" xfId="49338"/>
    <cellStyle name="Input [yellow] 12" xfId="49339"/>
    <cellStyle name="Input [yellow] 13" xfId="49340"/>
    <cellStyle name="Input [yellow] 14" xfId="49341"/>
    <cellStyle name="Input [yellow] 15" xfId="49342"/>
    <cellStyle name="Input [yellow] 16" xfId="49343"/>
    <cellStyle name="Input [yellow] 17" xfId="49344"/>
    <cellStyle name="Input [yellow] 18" xfId="49345"/>
    <cellStyle name="Input [yellow] 19" xfId="49346"/>
    <cellStyle name="Input [yellow] 2" xfId="49347"/>
    <cellStyle name="Input [yellow] 20" xfId="49348"/>
    <cellStyle name="Input [yellow] 21" xfId="49349"/>
    <cellStyle name="Input [yellow] 22" xfId="49350"/>
    <cellStyle name="Input [yellow] 23" xfId="49351"/>
    <cellStyle name="Input [yellow] 24" xfId="49352"/>
    <cellStyle name="Input [yellow] 3" xfId="49353"/>
    <cellStyle name="Input [yellow] 4" xfId="49354"/>
    <cellStyle name="Input [yellow] 5" xfId="49355"/>
    <cellStyle name="Input [yellow] 6" xfId="49356"/>
    <cellStyle name="Input [yellow] 7" xfId="49357"/>
    <cellStyle name="Input [yellow] 8" xfId="49358"/>
    <cellStyle name="Input [yellow] 9" xfId="49359"/>
    <cellStyle name="Input 2" xfId="490"/>
    <cellStyle name="Input 2 10" xfId="3265"/>
    <cellStyle name="Input 2 10 2" xfId="8544"/>
    <cellStyle name="Input 2 10 2 2" xfId="53523"/>
    <cellStyle name="Input 2 10 2 3" xfId="53524"/>
    <cellStyle name="Input 2 10 2 4" xfId="53525"/>
    <cellStyle name="Input 2 10 2 5" xfId="53526"/>
    <cellStyle name="Input 2 10 2 6" xfId="53527"/>
    <cellStyle name="Input 2 10 3" xfId="12016"/>
    <cellStyle name="Input 2 10 4" xfId="53528"/>
    <cellStyle name="Input 2 10 5" xfId="53529"/>
    <cellStyle name="Input 2 10 6" xfId="53530"/>
    <cellStyle name="Input 2 10 7" xfId="53531"/>
    <cellStyle name="Input 2 10 8" xfId="53532"/>
    <cellStyle name="Input 2 11" xfId="3266"/>
    <cellStyle name="Input 2 11 2" xfId="8545"/>
    <cellStyle name="Input 2 11 2 2" xfId="53533"/>
    <cellStyle name="Input 2 11 2 3" xfId="53534"/>
    <cellStyle name="Input 2 11 2 4" xfId="53535"/>
    <cellStyle name="Input 2 11 2 5" xfId="53536"/>
    <cellStyle name="Input 2 11 2 6" xfId="53537"/>
    <cellStyle name="Input 2 11 3" xfId="12017"/>
    <cellStyle name="Input 2 11 4" xfId="53538"/>
    <cellStyle name="Input 2 11 5" xfId="53539"/>
    <cellStyle name="Input 2 11 6" xfId="53540"/>
    <cellStyle name="Input 2 11 7" xfId="53541"/>
    <cellStyle name="Input 2 11 8" xfId="53542"/>
    <cellStyle name="Input 2 12" xfId="3267"/>
    <cellStyle name="Input 2 12 2" xfId="8546"/>
    <cellStyle name="Input 2 12 2 2" xfId="53543"/>
    <cellStyle name="Input 2 12 2 3" xfId="53544"/>
    <cellStyle name="Input 2 12 2 4" xfId="53545"/>
    <cellStyle name="Input 2 12 2 5" xfId="53546"/>
    <cellStyle name="Input 2 12 2 6" xfId="53547"/>
    <cellStyle name="Input 2 12 3" xfId="12018"/>
    <cellStyle name="Input 2 12 4" xfId="53548"/>
    <cellStyle name="Input 2 12 5" xfId="53549"/>
    <cellStyle name="Input 2 12 6" xfId="53550"/>
    <cellStyle name="Input 2 12 7" xfId="53551"/>
    <cellStyle name="Input 2 12 8" xfId="53552"/>
    <cellStyle name="Input 2 13" xfId="3268"/>
    <cellStyle name="Input 2 13 2" xfId="8547"/>
    <cellStyle name="Input 2 13 2 2" xfId="53553"/>
    <cellStyle name="Input 2 13 2 3" xfId="53554"/>
    <cellStyle name="Input 2 13 2 4" xfId="53555"/>
    <cellStyle name="Input 2 13 2 5" xfId="53556"/>
    <cellStyle name="Input 2 13 2 6" xfId="53557"/>
    <cellStyle name="Input 2 13 3" xfId="12019"/>
    <cellStyle name="Input 2 13 4" xfId="53558"/>
    <cellStyle name="Input 2 13 5" xfId="53559"/>
    <cellStyle name="Input 2 13 6" xfId="53560"/>
    <cellStyle name="Input 2 13 7" xfId="53561"/>
    <cellStyle name="Input 2 13 8" xfId="53562"/>
    <cellStyle name="Input 2 14" xfId="3269"/>
    <cellStyle name="Input 2 14 2" xfId="8548"/>
    <cellStyle name="Input 2 14 2 2" xfId="53563"/>
    <cellStyle name="Input 2 14 2 3" xfId="53564"/>
    <cellStyle name="Input 2 14 2 4" xfId="53565"/>
    <cellStyle name="Input 2 14 2 5" xfId="53566"/>
    <cellStyle name="Input 2 14 2 6" xfId="53567"/>
    <cellStyle name="Input 2 14 3" xfId="12020"/>
    <cellStyle name="Input 2 14 4" xfId="53568"/>
    <cellStyle name="Input 2 14 5" xfId="53569"/>
    <cellStyle name="Input 2 14 6" xfId="53570"/>
    <cellStyle name="Input 2 14 7" xfId="53571"/>
    <cellStyle name="Input 2 14 8" xfId="53572"/>
    <cellStyle name="Input 2 15" xfId="1940"/>
    <cellStyle name="Input 2 15 2" xfId="7219"/>
    <cellStyle name="Input 2 15 2 2" xfId="53573"/>
    <cellStyle name="Input 2 15 2 3" xfId="53574"/>
    <cellStyle name="Input 2 15 2 4" xfId="53575"/>
    <cellStyle name="Input 2 15 2 5" xfId="53576"/>
    <cellStyle name="Input 2 15 3" xfId="11210"/>
    <cellStyle name="Input 2 15 4" xfId="53577"/>
    <cellStyle name="Input 2 15 5" xfId="53578"/>
    <cellStyle name="Input 2 15 6" xfId="53579"/>
    <cellStyle name="Input 2 16" xfId="5883"/>
    <cellStyle name="Input 2 16 2" xfId="53580"/>
    <cellStyle name="Input 2 16 3" xfId="53581"/>
    <cellStyle name="Input 2 16 4" xfId="53582"/>
    <cellStyle name="Input 2 16 5" xfId="53583"/>
    <cellStyle name="Input 2 17" xfId="53584"/>
    <cellStyle name="Input 2 18" xfId="53585"/>
    <cellStyle name="Input 2 2" xfId="945"/>
    <cellStyle name="Input 2 2 10" xfId="2182"/>
    <cellStyle name="Input 2 2 10 2" xfId="7461"/>
    <cellStyle name="Input 2 2 10 2 2" xfId="53586"/>
    <cellStyle name="Input 2 2 10 2 3" xfId="53587"/>
    <cellStyle name="Input 2 2 10 2 4" xfId="53588"/>
    <cellStyle name="Input 2 2 10 2 5" xfId="53589"/>
    <cellStyle name="Input 2 2 10 3" xfId="11211"/>
    <cellStyle name="Input 2 2 10 4" xfId="53590"/>
    <cellStyle name="Input 2 2 10 5" xfId="53591"/>
    <cellStyle name="Input 2 2 10 6" xfId="53592"/>
    <cellStyle name="Input 2 2 11" xfId="6224"/>
    <cellStyle name="Input 2 2 11 2" xfId="53593"/>
    <cellStyle name="Input 2 2 11 3" xfId="53594"/>
    <cellStyle name="Input 2 2 11 4" xfId="53595"/>
    <cellStyle name="Input 2 2 11 5" xfId="53596"/>
    <cellStyle name="Input 2 2 12" xfId="53597"/>
    <cellStyle name="Input 2 2 13" xfId="53598"/>
    <cellStyle name="Input 2 2 2" xfId="1562"/>
    <cellStyle name="Input 2 2 2 2" xfId="2796"/>
    <cellStyle name="Input 2 2 2 2 2" xfId="8075"/>
    <cellStyle name="Input 2 2 2 2 2 2" xfId="53599"/>
    <cellStyle name="Input 2 2 2 2 2 3" xfId="53600"/>
    <cellStyle name="Input 2 2 2 2 2 4" xfId="53601"/>
    <cellStyle name="Input 2 2 2 2 2 5" xfId="53602"/>
    <cellStyle name="Input 2 2 2 2 3" xfId="12022"/>
    <cellStyle name="Input 2 2 2 2 4" xfId="53603"/>
    <cellStyle name="Input 2 2 2 2 5" xfId="53604"/>
    <cellStyle name="Input 2 2 2 2 6" xfId="53605"/>
    <cellStyle name="Input 2 2 2 2 7" xfId="53606"/>
    <cellStyle name="Input 2 2 2 3" xfId="6841"/>
    <cellStyle name="Input 2 2 2 3 2" xfId="53607"/>
    <cellStyle name="Input 2 2 2 3 3" xfId="53608"/>
    <cellStyle name="Input 2 2 2 3 4" xfId="53609"/>
    <cellStyle name="Input 2 2 2 3 5" xfId="53610"/>
    <cellStyle name="Input 2 2 2 3 6" xfId="53611"/>
    <cellStyle name="Input 2 2 2 4" xfId="12021"/>
    <cellStyle name="Input 2 2 2 5" xfId="53612"/>
    <cellStyle name="Input 2 2 3" xfId="3270"/>
    <cellStyle name="Input 2 2 3 2" xfId="8549"/>
    <cellStyle name="Input 2 2 3 2 2" xfId="53613"/>
    <cellStyle name="Input 2 2 3 2 3" xfId="53614"/>
    <cellStyle name="Input 2 2 3 2 4" xfId="53615"/>
    <cellStyle name="Input 2 2 3 2 5" xfId="53616"/>
    <cellStyle name="Input 2 2 3 2 6" xfId="53617"/>
    <cellStyle name="Input 2 2 3 3" xfId="12023"/>
    <cellStyle name="Input 2 2 3 4" xfId="53618"/>
    <cellStyle name="Input 2 2 3 5" xfId="53619"/>
    <cellStyle name="Input 2 2 3 6" xfId="53620"/>
    <cellStyle name="Input 2 2 3 7" xfId="53621"/>
    <cellStyle name="Input 2 2 3 8" xfId="53622"/>
    <cellStyle name="Input 2 2 4" xfId="3271"/>
    <cellStyle name="Input 2 2 4 2" xfId="8550"/>
    <cellStyle name="Input 2 2 4 2 2" xfId="53623"/>
    <cellStyle name="Input 2 2 4 2 3" xfId="53624"/>
    <cellStyle name="Input 2 2 4 2 4" xfId="53625"/>
    <cellStyle name="Input 2 2 4 2 5" xfId="53626"/>
    <cellStyle name="Input 2 2 4 2 6" xfId="53627"/>
    <cellStyle name="Input 2 2 4 3" xfId="12024"/>
    <cellStyle name="Input 2 2 4 4" xfId="53628"/>
    <cellStyle name="Input 2 2 4 5" xfId="53629"/>
    <cellStyle name="Input 2 2 4 6" xfId="53630"/>
    <cellStyle name="Input 2 2 4 7" xfId="53631"/>
    <cellStyle name="Input 2 2 4 8" xfId="53632"/>
    <cellStyle name="Input 2 2 5" xfId="3272"/>
    <cellStyle name="Input 2 2 5 2" xfId="8551"/>
    <cellStyle name="Input 2 2 5 2 2" xfId="53633"/>
    <cellStyle name="Input 2 2 5 2 3" xfId="53634"/>
    <cellStyle name="Input 2 2 5 2 4" xfId="53635"/>
    <cellStyle name="Input 2 2 5 2 5" xfId="53636"/>
    <cellStyle name="Input 2 2 5 2 6" xfId="53637"/>
    <cellStyle name="Input 2 2 5 3" xfId="12025"/>
    <cellStyle name="Input 2 2 5 4" xfId="53638"/>
    <cellStyle name="Input 2 2 5 5" xfId="53639"/>
    <cellStyle name="Input 2 2 5 6" xfId="53640"/>
    <cellStyle name="Input 2 2 5 7" xfId="53641"/>
    <cellStyle name="Input 2 2 5 8" xfId="53642"/>
    <cellStyle name="Input 2 2 6" xfId="3273"/>
    <cellStyle name="Input 2 2 6 2" xfId="8552"/>
    <cellStyle name="Input 2 2 6 2 2" xfId="53643"/>
    <cellStyle name="Input 2 2 6 2 3" xfId="53644"/>
    <cellStyle name="Input 2 2 6 2 4" xfId="53645"/>
    <cellStyle name="Input 2 2 6 2 5" xfId="53646"/>
    <cellStyle name="Input 2 2 6 2 6" xfId="53647"/>
    <cellStyle name="Input 2 2 6 3" xfId="12026"/>
    <cellStyle name="Input 2 2 6 4" xfId="53648"/>
    <cellStyle name="Input 2 2 6 5" xfId="53649"/>
    <cellStyle name="Input 2 2 6 6" xfId="53650"/>
    <cellStyle name="Input 2 2 6 7" xfId="53651"/>
    <cellStyle name="Input 2 2 6 8" xfId="53652"/>
    <cellStyle name="Input 2 2 7" xfId="3274"/>
    <cellStyle name="Input 2 2 7 2" xfId="8553"/>
    <cellStyle name="Input 2 2 7 2 2" xfId="53653"/>
    <cellStyle name="Input 2 2 7 2 3" xfId="53654"/>
    <cellStyle name="Input 2 2 7 2 4" xfId="53655"/>
    <cellStyle name="Input 2 2 7 2 5" xfId="53656"/>
    <cellStyle name="Input 2 2 7 2 6" xfId="53657"/>
    <cellStyle name="Input 2 2 7 3" xfId="12027"/>
    <cellStyle name="Input 2 2 7 4" xfId="53658"/>
    <cellStyle name="Input 2 2 7 5" xfId="53659"/>
    <cellStyle name="Input 2 2 7 6" xfId="53660"/>
    <cellStyle name="Input 2 2 7 7" xfId="53661"/>
    <cellStyle name="Input 2 2 7 8" xfId="53662"/>
    <cellStyle name="Input 2 2 8" xfId="3275"/>
    <cellStyle name="Input 2 2 8 2" xfId="8554"/>
    <cellStyle name="Input 2 2 8 2 2" xfId="53663"/>
    <cellStyle name="Input 2 2 8 2 3" xfId="53664"/>
    <cellStyle name="Input 2 2 8 2 4" xfId="53665"/>
    <cellStyle name="Input 2 2 8 2 5" xfId="53666"/>
    <cellStyle name="Input 2 2 8 2 6" xfId="53667"/>
    <cellStyle name="Input 2 2 8 3" xfId="12028"/>
    <cellStyle name="Input 2 2 8 4" xfId="53668"/>
    <cellStyle name="Input 2 2 8 5" xfId="53669"/>
    <cellStyle name="Input 2 2 8 6" xfId="53670"/>
    <cellStyle name="Input 2 2 8 7" xfId="53671"/>
    <cellStyle name="Input 2 2 8 8" xfId="53672"/>
    <cellStyle name="Input 2 2 9" xfId="3276"/>
    <cellStyle name="Input 2 2 9 2" xfId="8555"/>
    <cellStyle name="Input 2 2 9 2 2" xfId="53673"/>
    <cellStyle name="Input 2 2 9 2 3" xfId="53674"/>
    <cellStyle name="Input 2 2 9 2 4" xfId="53675"/>
    <cellStyle name="Input 2 2 9 2 5" xfId="53676"/>
    <cellStyle name="Input 2 2 9 2 6" xfId="53677"/>
    <cellStyle name="Input 2 2 9 3" xfId="12029"/>
    <cellStyle name="Input 2 2 9 4" xfId="53678"/>
    <cellStyle name="Input 2 2 9 5" xfId="53679"/>
    <cellStyle name="Input 2 2 9 6" xfId="53680"/>
    <cellStyle name="Input 2 2 9 7" xfId="53681"/>
    <cellStyle name="Input 2 2 9 8" xfId="53682"/>
    <cellStyle name="Input 2 3" xfId="946"/>
    <cellStyle name="Input 2 3 10" xfId="2183"/>
    <cellStyle name="Input 2 3 10 2" xfId="7462"/>
    <cellStyle name="Input 2 3 10 2 2" xfId="53683"/>
    <cellStyle name="Input 2 3 10 2 3" xfId="53684"/>
    <cellStyle name="Input 2 3 10 2 4" xfId="53685"/>
    <cellStyle name="Input 2 3 10 2 5" xfId="53686"/>
    <cellStyle name="Input 2 3 10 3" xfId="11212"/>
    <cellStyle name="Input 2 3 10 4" xfId="53687"/>
    <cellStyle name="Input 2 3 10 5" xfId="53688"/>
    <cellStyle name="Input 2 3 10 6" xfId="53689"/>
    <cellStyle name="Input 2 3 11" xfId="6225"/>
    <cellStyle name="Input 2 3 11 2" xfId="53690"/>
    <cellStyle name="Input 2 3 11 3" xfId="53691"/>
    <cellStyle name="Input 2 3 11 4" xfId="53692"/>
    <cellStyle name="Input 2 3 11 5" xfId="53693"/>
    <cellStyle name="Input 2 3 12" xfId="53694"/>
    <cellStyle name="Input 2 3 13" xfId="53695"/>
    <cellStyle name="Input 2 3 2" xfId="1563"/>
    <cellStyle name="Input 2 3 2 2" xfId="2797"/>
    <cellStyle name="Input 2 3 2 2 2" xfId="8076"/>
    <cellStyle name="Input 2 3 2 2 2 2" xfId="53696"/>
    <cellStyle name="Input 2 3 2 2 2 3" xfId="53697"/>
    <cellStyle name="Input 2 3 2 2 2 4" xfId="53698"/>
    <cellStyle name="Input 2 3 2 2 2 5" xfId="53699"/>
    <cellStyle name="Input 2 3 2 2 3" xfId="12031"/>
    <cellStyle name="Input 2 3 2 2 4" xfId="53700"/>
    <cellStyle name="Input 2 3 2 2 5" xfId="53701"/>
    <cellStyle name="Input 2 3 2 2 6" xfId="53702"/>
    <cellStyle name="Input 2 3 2 2 7" xfId="53703"/>
    <cellStyle name="Input 2 3 2 3" xfId="6842"/>
    <cellStyle name="Input 2 3 2 3 2" xfId="53704"/>
    <cellStyle name="Input 2 3 2 3 3" xfId="53705"/>
    <cellStyle name="Input 2 3 2 3 4" xfId="53706"/>
    <cellStyle name="Input 2 3 2 3 5" xfId="53707"/>
    <cellStyle name="Input 2 3 2 3 6" xfId="53708"/>
    <cellStyle name="Input 2 3 2 4" xfId="12030"/>
    <cellStyle name="Input 2 3 2 5" xfId="53709"/>
    <cellStyle name="Input 2 3 3" xfId="3277"/>
    <cellStyle name="Input 2 3 3 2" xfId="8556"/>
    <cellStyle name="Input 2 3 3 2 2" xfId="53710"/>
    <cellStyle name="Input 2 3 3 2 3" xfId="53711"/>
    <cellStyle name="Input 2 3 3 2 4" xfId="53712"/>
    <cellStyle name="Input 2 3 3 2 5" xfId="53713"/>
    <cellStyle name="Input 2 3 3 2 6" xfId="53714"/>
    <cellStyle name="Input 2 3 3 3" xfId="12032"/>
    <cellStyle name="Input 2 3 3 4" xfId="53715"/>
    <cellStyle name="Input 2 3 3 5" xfId="53716"/>
    <cellStyle name="Input 2 3 3 6" xfId="53717"/>
    <cellStyle name="Input 2 3 3 7" xfId="53718"/>
    <cellStyle name="Input 2 3 3 8" xfId="53719"/>
    <cellStyle name="Input 2 3 4" xfId="3278"/>
    <cellStyle name="Input 2 3 4 2" xfId="8557"/>
    <cellStyle name="Input 2 3 4 2 2" xfId="53720"/>
    <cellStyle name="Input 2 3 4 2 3" xfId="53721"/>
    <cellStyle name="Input 2 3 4 2 4" xfId="53722"/>
    <cellStyle name="Input 2 3 4 2 5" xfId="53723"/>
    <cellStyle name="Input 2 3 4 2 6" xfId="53724"/>
    <cellStyle name="Input 2 3 4 3" xfId="12033"/>
    <cellStyle name="Input 2 3 4 4" xfId="53725"/>
    <cellStyle name="Input 2 3 4 5" xfId="53726"/>
    <cellStyle name="Input 2 3 4 6" xfId="53727"/>
    <cellStyle name="Input 2 3 4 7" xfId="53728"/>
    <cellStyle name="Input 2 3 4 8" xfId="53729"/>
    <cellStyle name="Input 2 3 5" xfId="3279"/>
    <cellStyle name="Input 2 3 5 2" xfId="8558"/>
    <cellStyle name="Input 2 3 5 2 2" xfId="53730"/>
    <cellStyle name="Input 2 3 5 2 3" xfId="53731"/>
    <cellStyle name="Input 2 3 5 2 4" xfId="53732"/>
    <cellStyle name="Input 2 3 5 2 5" xfId="53733"/>
    <cellStyle name="Input 2 3 5 2 6" xfId="53734"/>
    <cellStyle name="Input 2 3 5 3" xfId="12034"/>
    <cellStyle name="Input 2 3 5 4" xfId="53735"/>
    <cellStyle name="Input 2 3 5 5" xfId="53736"/>
    <cellStyle name="Input 2 3 5 6" xfId="53737"/>
    <cellStyle name="Input 2 3 5 7" xfId="53738"/>
    <cellStyle name="Input 2 3 5 8" xfId="53739"/>
    <cellStyle name="Input 2 3 6" xfId="3280"/>
    <cellStyle name="Input 2 3 6 2" xfId="8559"/>
    <cellStyle name="Input 2 3 6 2 2" xfId="53740"/>
    <cellStyle name="Input 2 3 6 2 3" xfId="53741"/>
    <cellStyle name="Input 2 3 6 2 4" xfId="53742"/>
    <cellStyle name="Input 2 3 6 2 5" xfId="53743"/>
    <cellStyle name="Input 2 3 6 2 6" xfId="53744"/>
    <cellStyle name="Input 2 3 6 3" xfId="12035"/>
    <cellStyle name="Input 2 3 6 4" xfId="53745"/>
    <cellStyle name="Input 2 3 6 5" xfId="53746"/>
    <cellStyle name="Input 2 3 6 6" xfId="53747"/>
    <cellStyle name="Input 2 3 6 7" xfId="53748"/>
    <cellStyle name="Input 2 3 6 8" xfId="53749"/>
    <cellStyle name="Input 2 3 7" xfId="3281"/>
    <cellStyle name="Input 2 3 7 2" xfId="8560"/>
    <cellStyle name="Input 2 3 7 2 2" xfId="53750"/>
    <cellStyle name="Input 2 3 7 2 3" xfId="53751"/>
    <cellStyle name="Input 2 3 7 2 4" xfId="53752"/>
    <cellStyle name="Input 2 3 7 2 5" xfId="53753"/>
    <cellStyle name="Input 2 3 7 2 6" xfId="53754"/>
    <cellStyle name="Input 2 3 7 3" xfId="12036"/>
    <cellStyle name="Input 2 3 7 4" xfId="53755"/>
    <cellStyle name="Input 2 3 7 5" xfId="53756"/>
    <cellStyle name="Input 2 3 7 6" xfId="53757"/>
    <cellStyle name="Input 2 3 7 7" xfId="53758"/>
    <cellStyle name="Input 2 3 7 8" xfId="53759"/>
    <cellStyle name="Input 2 3 8" xfId="3282"/>
    <cellStyle name="Input 2 3 8 2" xfId="8561"/>
    <cellStyle name="Input 2 3 8 2 2" xfId="53760"/>
    <cellStyle name="Input 2 3 8 2 3" xfId="53761"/>
    <cellStyle name="Input 2 3 8 2 4" xfId="53762"/>
    <cellStyle name="Input 2 3 8 2 5" xfId="53763"/>
    <cellStyle name="Input 2 3 8 2 6" xfId="53764"/>
    <cellStyle name="Input 2 3 8 3" xfId="12037"/>
    <cellStyle name="Input 2 3 8 4" xfId="53765"/>
    <cellStyle name="Input 2 3 8 5" xfId="53766"/>
    <cellStyle name="Input 2 3 8 6" xfId="53767"/>
    <cellStyle name="Input 2 3 8 7" xfId="53768"/>
    <cellStyle name="Input 2 3 8 8" xfId="53769"/>
    <cellStyle name="Input 2 3 9" xfId="3283"/>
    <cellStyle name="Input 2 3 9 2" xfId="8562"/>
    <cellStyle name="Input 2 3 9 2 2" xfId="53770"/>
    <cellStyle name="Input 2 3 9 2 3" xfId="53771"/>
    <cellStyle name="Input 2 3 9 2 4" xfId="53772"/>
    <cellStyle name="Input 2 3 9 2 5" xfId="53773"/>
    <cellStyle name="Input 2 3 9 2 6" xfId="53774"/>
    <cellStyle name="Input 2 3 9 3" xfId="12038"/>
    <cellStyle name="Input 2 3 9 4" xfId="53775"/>
    <cellStyle name="Input 2 3 9 5" xfId="53776"/>
    <cellStyle name="Input 2 3 9 6" xfId="53777"/>
    <cellStyle name="Input 2 3 9 7" xfId="53778"/>
    <cellStyle name="Input 2 3 9 8" xfId="53779"/>
    <cellStyle name="Input 2 4" xfId="947"/>
    <cellStyle name="Input 2 4 10" xfId="2184"/>
    <cellStyle name="Input 2 4 10 2" xfId="7463"/>
    <cellStyle name="Input 2 4 10 2 2" xfId="53780"/>
    <cellStyle name="Input 2 4 10 2 3" xfId="53781"/>
    <cellStyle name="Input 2 4 10 2 4" xfId="53782"/>
    <cellStyle name="Input 2 4 10 2 5" xfId="53783"/>
    <cellStyle name="Input 2 4 10 3" xfId="11213"/>
    <cellStyle name="Input 2 4 10 4" xfId="53784"/>
    <cellStyle name="Input 2 4 10 5" xfId="53785"/>
    <cellStyle name="Input 2 4 10 6" xfId="53786"/>
    <cellStyle name="Input 2 4 11" xfId="6226"/>
    <cellStyle name="Input 2 4 11 2" xfId="53787"/>
    <cellStyle name="Input 2 4 11 3" xfId="53788"/>
    <cellStyle name="Input 2 4 11 4" xfId="53789"/>
    <cellStyle name="Input 2 4 11 5" xfId="53790"/>
    <cellStyle name="Input 2 4 12" xfId="53791"/>
    <cellStyle name="Input 2 4 13" xfId="53792"/>
    <cellStyle name="Input 2 4 2" xfId="1564"/>
    <cellStyle name="Input 2 4 2 2" xfId="2798"/>
    <cellStyle name="Input 2 4 2 2 2" xfId="8077"/>
    <cellStyle name="Input 2 4 2 2 2 2" xfId="53793"/>
    <cellStyle name="Input 2 4 2 2 2 3" xfId="53794"/>
    <cellStyle name="Input 2 4 2 2 2 4" xfId="53795"/>
    <cellStyle name="Input 2 4 2 2 2 5" xfId="53796"/>
    <cellStyle name="Input 2 4 2 2 3" xfId="12040"/>
    <cellStyle name="Input 2 4 2 2 4" xfId="53797"/>
    <cellStyle name="Input 2 4 2 2 5" xfId="53798"/>
    <cellStyle name="Input 2 4 2 2 6" xfId="53799"/>
    <cellStyle name="Input 2 4 2 2 7" xfId="53800"/>
    <cellStyle name="Input 2 4 2 3" xfId="6843"/>
    <cellStyle name="Input 2 4 2 3 2" xfId="53801"/>
    <cellStyle name="Input 2 4 2 3 3" xfId="53802"/>
    <cellStyle name="Input 2 4 2 3 4" xfId="53803"/>
    <cellStyle name="Input 2 4 2 3 5" xfId="53804"/>
    <cellStyle name="Input 2 4 2 3 6" xfId="53805"/>
    <cellStyle name="Input 2 4 2 4" xfId="12039"/>
    <cellStyle name="Input 2 4 2 5" xfId="53806"/>
    <cellStyle name="Input 2 4 3" xfId="3284"/>
    <cellStyle name="Input 2 4 3 2" xfId="8563"/>
    <cellStyle name="Input 2 4 3 2 2" xfId="53807"/>
    <cellStyle name="Input 2 4 3 2 3" xfId="53808"/>
    <cellStyle name="Input 2 4 3 2 4" xfId="53809"/>
    <cellStyle name="Input 2 4 3 2 5" xfId="53810"/>
    <cellStyle name="Input 2 4 3 2 6" xfId="53811"/>
    <cellStyle name="Input 2 4 3 3" xfId="12041"/>
    <cellStyle name="Input 2 4 3 4" xfId="53812"/>
    <cellStyle name="Input 2 4 3 5" xfId="53813"/>
    <cellStyle name="Input 2 4 3 6" xfId="53814"/>
    <cellStyle name="Input 2 4 3 7" xfId="53815"/>
    <cellStyle name="Input 2 4 3 8" xfId="53816"/>
    <cellStyle name="Input 2 4 4" xfId="3285"/>
    <cellStyle name="Input 2 4 4 2" xfId="8564"/>
    <cellStyle name="Input 2 4 4 2 2" xfId="53817"/>
    <cellStyle name="Input 2 4 4 2 3" xfId="53818"/>
    <cellStyle name="Input 2 4 4 2 4" xfId="53819"/>
    <cellStyle name="Input 2 4 4 2 5" xfId="53820"/>
    <cellStyle name="Input 2 4 4 2 6" xfId="53821"/>
    <cellStyle name="Input 2 4 4 3" xfId="12042"/>
    <cellStyle name="Input 2 4 4 4" xfId="53822"/>
    <cellStyle name="Input 2 4 4 5" xfId="53823"/>
    <cellStyle name="Input 2 4 4 6" xfId="53824"/>
    <cellStyle name="Input 2 4 4 7" xfId="53825"/>
    <cellStyle name="Input 2 4 4 8" xfId="53826"/>
    <cellStyle name="Input 2 4 5" xfId="3286"/>
    <cellStyle name="Input 2 4 5 2" xfId="8565"/>
    <cellStyle name="Input 2 4 5 2 2" xfId="53827"/>
    <cellStyle name="Input 2 4 5 2 3" xfId="53828"/>
    <cellStyle name="Input 2 4 5 2 4" xfId="53829"/>
    <cellStyle name="Input 2 4 5 2 5" xfId="53830"/>
    <cellStyle name="Input 2 4 5 2 6" xfId="53831"/>
    <cellStyle name="Input 2 4 5 3" xfId="12043"/>
    <cellStyle name="Input 2 4 5 4" xfId="53832"/>
    <cellStyle name="Input 2 4 5 5" xfId="53833"/>
    <cellStyle name="Input 2 4 5 6" xfId="53834"/>
    <cellStyle name="Input 2 4 5 7" xfId="53835"/>
    <cellStyle name="Input 2 4 5 8" xfId="53836"/>
    <cellStyle name="Input 2 4 6" xfId="3287"/>
    <cellStyle name="Input 2 4 6 2" xfId="8566"/>
    <cellStyle name="Input 2 4 6 2 2" xfId="53837"/>
    <cellStyle name="Input 2 4 6 2 3" xfId="53838"/>
    <cellStyle name="Input 2 4 6 2 4" xfId="53839"/>
    <cellStyle name="Input 2 4 6 2 5" xfId="53840"/>
    <cellStyle name="Input 2 4 6 2 6" xfId="53841"/>
    <cellStyle name="Input 2 4 6 3" xfId="12044"/>
    <cellStyle name="Input 2 4 6 4" xfId="53842"/>
    <cellStyle name="Input 2 4 6 5" xfId="53843"/>
    <cellStyle name="Input 2 4 6 6" xfId="53844"/>
    <cellStyle name="Input 2 4 6 7" xfId="53845"/>
    <cellStyle name="Input 2 4 6 8" xfId="53846"/>
    <cellStyle name="Input 2 4 7" xfId="3288"/>
    <cellStyle name="Input 2 4 7 2" xfId="8567"/>
    <cellStyle name="Input 2 4 7 2 2" xfId="53847"/>
    <cellStyle name="Input 2 4 7 2 3" xfId="53848"/>
    <cellStyle name="Input 2 4 7 2 4" xfId="53849"/>
    <cellStyle name="Input 2 4 7 2 5" xfId="53850"/>
    <cellStyle name="Input 2 4 7 2 6" xfId="53851"/>
    <cellStyle name="Input 2 4 7 3" xfId="12045"/>
    <cellStyle name="Input 2 4 7 4" xfId="53852"/>
    <cellStyle name="Input 2 4 7 5" xfId="53853"/>
    <cellStyle name="Input 2 4 7 6" xfId="53854"/>
    <cellStyle name="Input 2 4 7 7" xfId="53855"/>
    <cellStyle name="Input 2 4 7 8" xfId="53856"/>
    <cellStyle name="Input 2 4 8" xfId="3289"/>
    <cellStyle name="Input 2 4 8 2" xfId="8568"/>
    <cellStyle name="Input 2 4 8 2 2" xfId="53857"/>
    <cellStyle name="Input 2 4 8 2 3" xfId="53858"/>
    <cellStyle name="Input 2 4 8 2 4" xfId="53859"/>
    <cellStyle name="Input 2 4 8 2 5" xfId="53860"/>
    <cellStyle name="Input 2 4 8 2 6" xfId="53861"/>
    <cellStyle name="Input 2 4 8 3" xfId="12046"/>
    <cellStyle name="Input 2 4 8 4" xfId="53862"/>
    <cellStyle name="Input 2 4 8 5" xfId="53863"/>
    <cellStyle name="Input 2 4 8 6" xfId="53864"/>
    <cellStyle name="Input 2 4 8 7" xfId="53865"/>
    <cellStyle name="Input 2 4 8 8" xfId="53866"/>
    <cellStyle name="Input 2 4 9" xfId="3290"/>
    <cellStyle name="Input 2 4 9 2" xfId="8569"/>
    <cellStyle name="Input 2 4 9 2 2" xfId="53867"/>
    <cellStyle name="Input 2 4 9 2 3" xfId="53868"/>
    <cellStyle name="Input 2 4 9 2 4" xfId="53869"/>
    <cellStyle name="Input 2 4 9 2 5" xfId="53870"/>
    <cellStyle name="Input 2 4 9 2 6" xfId="53871"/>
    <cellStyle name="Input 2 4 9 3" xfId="12047"/>
    <cellStyle name="Input 2 4 9 4" xfId="53872"/>
    <cellStyle name="Input 2 4 9 5" xfId="53873"/>
    <cellStyle name="Input 2 4 9 6" xfId="53874"/>
    <cellStyle name="Input 2 4 9 7" xfId="53875"/>
    <cellStyle name="Input 2 4 9 8" xfId="53876"/>
    <cellStyle name="Input 2 5" xfId="948"/>
    <cellStyle name="Input 2 5 10" xfId="2185"/>
    <cellStyle name="Input 2 5 10 2" xfId="7464"/>
    <cellStyle name="Input 2 5 10 2 2" xfId="53877"/>
    <cellStyle name="Input 2 5 10 2 3" xfId="53878"/>
    <cellStyle name="Input 2 5 10 2 4" xfId="53879"/>
    <cellStyle name="Input 2 5 10 2 5" xfId="53880"/>
    <cellStyle name="Input 2 5 10 3" xfId="11214"/>
    <cellStyle name="Input 2 5 10 4" xfId="53881"/>
    <cellStyle name="Input 2 5 10 5" xfId="53882"/>
    <cellStyle name="Input 2 5 10 6" xfId="53883"/>
    <cellStyle name="Input 2 5 11" xfId="6227"/>
    <cellStyle name="Input 2 5 11 2" xfId="53884"/>
    <cellStyle name="Input 2 5 11 3" xfId="53885"/>
    <cellStyle name="Input 2 5 11 4" xfId="53886"/>
    <cellStyle name="Input 2 5 11 5" xfId="53887"/>
    <cellStyle name="Input 2 5 12" xfId="53888"/>
    <cellStyle name="Input 2 5 13" xfId="53889"/>
    <cellStyle name="Input 2 5 2" xfId="1565"/>
    <cellStyle name="Input 2 5 2 2" xfId="2799"/>
    <cellStyle name="Input 2 5 2 2 2" xfId="8078"/>
    <cellStyle name="Input 2 5 2 2 2 2" xfId="53890"/>
    <cellStyle name="Input 2 5 2 2 2 3" xfId="53891"/>
    <cellStyle name="Input 2 5 2 2 2 4" xfId="53892"/>
    <cellStyle name="Input 2 5 2 2 2 5" xfId="53893"/>
    <cellStyle name="Input 2 5 2 2 3" xfId="12049"/>
    <cellStyle name="Input 2 5 2 2 4" xfId="53894"/>
    <cellStyle name="Input 2 5 2 2 5" xfId="53895"/>
    <cellStyle name="Input 2 5 2 2 6" xfId="53896"/>
    <cellStyle name="Input 2 5 2 2 7" xfId="53897"/>
    <cellStyle name="Input 2 5 2 3" xfId="6844"/>
    <cellStyle name="Input 2 5 2 3 2" xfId="53898"/>
    <cellStyle name="Input 2 5 2 3 3" xfId="53899"/>
    <cellStyle name="Input 2 5 2 3 4" xfId="53900"/>
    <cellStyle name="Input 2 5 2 3 5" xfId="53901"/>
    <cellStyle name="Input 2 5 2 3 6" xfId="53902"/>
    <cellStyle name="Input 2 5 2 4" xfId="12048"/>
    <cellStyle name="Input 2 5 2 5" xfId="53903"/>
    <cellStyle name="Input 2 5 3" xfId="3291"/>
    <cellStyle name="Input 2 5 3 2" xfId="8570"/>
    <cellStyle name="Input 2 5 3 2 2" xfId="53904"/>
    <cellStyle name="Input 2 5 3 2 3" xfId="53905"/>
    <cellStyle name="Input 2 5 3 2 4" xfId="53906"/>
    <cellStyle name="Input 2 5 3 2 5" xfId="53907"/>
    <cellStyle name="Input 2 5 3 2 6" xfId="53908"/>
    <cellStyle name="Input 2 5 3 3" xfId="12050"/>
    <cellStyle name="Input 2 5 3 4" xfId="53909"/>
    <cellStyle name="Input 2 5 3 5" xfId="53910"/>
    <cellStyle name="Input 2 5 3 6" xfId="53911"/>
    <cellStyle name="Input 2 5 3 7" xfId="53912"/>
    <cellStyle name="Input 2 5 3 8" xfId="53913"/>
    <cellStyle name="Input 2 5 4" xfId="3292"/>
    <cellStyle name="Input 2 5 4 2" xfId="8571"/>
    <cellStyle name="Input 2 5 4 2 2" xfId="53914"/>
    <cellStyle name="Input 2 5 4 2 3" xfId="53915"/>
    <cellStyle name="Input 2 5 4 2 4" xfId="53916"/>
    <cellStyle name="Input 2 5 4 2 5" xfId="53917"/>
    <cellStyle name="Input 2 5 4 2 6" xfId="53918"/>
    <cellStyle name="Input 2 5 4 3" xfId="12051"/>
    <cellStyle name="Input 2 5 4 4" xfId="53919"/>
    <cellStyle name="Input 2 5 4 5" xfId="53920"/>
    <cellStyle name="Input 2 5 4 6" xfId="53921"/>
    <cellStyle name="Input 2 5 4 7" xfId="53922"/>
    <cellStyle name="Input 2 5 4 8" xfId="53923"/>
    <cellStyle name="Input 2 5 5" xfId="3293"/>
    <cellStyle name="Input 2 5 5 2" xfId="8572"/>
    <cellStyle name="Input 2 5 5 2 2" xfId="53924"/>
    <cellStyle name="Input 2 5 5 2 3" xfId="53925"/>
    <cellStyle name="Input 2 5 5 2 4" xfId="53926"/>
    <cellStyle name="Input 2 5 5 2 5" xfId="53927"/>
    <cellStyle name="Input 2 5 5 2 6" xfId="53928"/>
    <cellStyle name="Input 2 5 5 3" xfId="12052"/>
    <cellStyle name="Input 2 5 5 4" xfId="53929"/>
    <cellStyle name="Input 2 5 5 5" xfId="53930"/>
    <cellStyle name="Input 2 5 5 6" xfId="53931"/>
    <cellStyle name="Input 2 5 5 7" xfId="53932"/>
    <cellStyle name="Input 2 5 5 8" xfId="53933"/>
    <cellStyle name="Input 2 5 6" xfId="3294"/>
    <cellStyle name="Input 2 5 6 2" xfId="8573"/>
    <cellStyle name="Input 2 5 6 2 2" xfId="53934"/>
    <cellStyle name="Input 2 5 6 2 3" xfId="53935"/>
    <cellStyle name="Input 2 5 6 2 4" xfId="53936"/>
    <cellStyle name="Input 2 5 6 2 5" xfId="53937"/>
    <cellStyle name="Input 2 5 6 2 6" xfId="53938"/>
    <cellStyle name="Input 2 5 6 3" xfId="12053"/>
    <cellStyle name="Input 2 5 6 4" xfId="53939"/>
    <cellStyle name="Input 2 5 6 5" xfId="53940"/>
    <cellStyle name="Input 2 5 6 6" xfId="53941"/>
    <cellStyle name="Input 2 5 6 7" xfId="53942"/>
    <cellStyle name="Input 2 5 6 8" xfId="53943"/>
    <cellStyle name="Input 2 5 7" xfId="3295"/>
    <cellStyle name="Input 2 5 7 2" xfId="8574"/>
    <cellStyle name="Input 2 5 7 2 2" xfId="53944"/>
    <cellStyle name="Input 2 5 7 2 3" xfId="53945"/>
    <cellStyle name="Input 2 5 7 2 4" xfId="53946"/>
    <cellStyle name="Input 2 5 7 2 5" xfId="53947"/>
    <cellStyle name="Input 2 5 7 2 6" xfId="53948"/>
    <cellStyle name="Input 2 5 7 3" xfId="12054"/>
    <cellStyle name="Input 2 5 7 4" xfId="53949"/>
    <cellStyle name="Input 2 5 7 5" xfId="53950"/>
    <cellStyle name="Input 2 5 7 6" xfId="53951"/>
    <cellStyle name="Input 2 5 7 7" xfId="53952"/>
    <cellStyle name="Input 2 5 7 8" xfId="53953"/>
    <cellStyle name="Input 2 5 8" xfId="3296"/>
    <cellStyle name="Input 2 5 8 2" xfId="8575"/>
    <cellStyle name="Input 2 5 8 2 2" xfId="53954"/>
    <cellStyle name="Input 2 5 8 2 3" xfId="53955"/>
    <cellStyle name="Input 2 5 8 2 4" xfId="53956"/>
    <cellStyle name="Input 2 5 8 2 5" xfId="53957"/>
    <cellStyle name="Input 2 5 8 2 6" xfId="53958"/>
    <cellStyle name="Input 2 5 8 3" xfId="12055"/>
    <cellStyle name="Input 2 5 8 4" xfId="53959"/>
    <cellStyle name="Input 2 5 8 5" xfId="53960"/>
    <cellStyle name="Input 2 5 8 6" xfId="53961"/>
    <cellStyle name="Input 2 5 8 7" xfId="53962"/>
    <cellStyle name="Input 2 5 8 8" xfId="53963"/>
    <cellStyle name="Input 2 5 9" xfId="3297"/>
    <cellStyle name="Input 2 5 9 2" xfId="8576"/>
    <cellStyle name="Input 2 5 9 2 2" xfId="53964"/>
    <cellStyle name="Input 2 5 9 2 3" xfId="53965"/>
    <cellStyle name="Input 2 5 9 2 4" xfId="53966"/>
    <cellStyle name="Input 2 5 9 2 5" xfId="53967"/>
    <cellStyle name="Input 2 5 9 2 6" xfId="53968"/>
    <cellStyle name="Input 2 5 9 3" xfId="12056"/>
    <cellStyle name="Input 2 5 9 4" xfId="53969"/>
    <cellStyle name="Input 2 5 9 5" xfId="53970"/>
    <cellStyle name="Input 2 5 9 6" xfId="53971"/>
    <cellStyle name="Input 2 5 9 7" xfId="53972"/>
    <cellStyle name="Input 2 5 9 8" xfId="53973"/>
    <cellStyle name="Input 2 6" xfId="949"/>
    <cellStyle name="Input 2 6 10" xfId="2186"/>
    <cellStyle name="Input 2 6 10 2" xfId="7465"/>
    <cellStyle name="Input 2 6 10 2 2" xfId="53974"/>
    <cellStyle name="Input 2 6 10 2 3" xfId="53975"/>
    <cellStyle name="Input 2 6 10 2 4" xfId="53976"/>
    <cellStyle name="Input 2 6 10 2 5" xfId="53977"/>
    <cellStyle name="Input 2 6 10 3" xfId="11215"/>
    <cellStyle name="Input 2 6 10 4" xfId="53978"/>
    <cellStyle name="Input 2 6 10 5" xfId="53979"/>
    <cellStyle name="Input 2 6 10 6" xfId="53980"/>
    <cellStyle name="Input 2 6 11" xfId="6228"/>
    <cellStyle name="Input 2 6 11 2" xfId="53981"/>
    <cellStyle name="Input 2 6 11 3" xfId="53982"/>
    <cellStyle name="Input 2 6 11 4" xfId="53983"/>
    <cellStyle name="Input 2 6 11 5" xfId="53984"/>
    <cellStyle name="Input 2 6 12" xfId="53985"/>
    <cellStyle name="Input 2 6 13" xfId="53986"/>
    <cellStyle name="Input 2 6 2" xfId="1566"/>
    <cellStyle name="Input 2 6 2 2" xfId="2800"/>
    <cellStyle name="Input 2 6 2 2 2" xfId="8079"/>
    <cellStyle name="Input 2 6 2 2 2 2" xfId="53987"/>
    <cellStyle name="Input 2 6 2 2 2 3" xfId="53988"/>
    <cellStyle name="Input 2 6 2 2 2 4" xfId="53989"/>
    <cellStyle name="Input 2 6 2 2 2 5" xfId="53990"/>
    <cellStyle name="Input 2 6 2 2 3" xfId="12058"/>
    <cellStyle name="Input 2 6 2 2 4" xfId="53991"/>
    <cellStyle name="Input 2 6 2 2 5" xfId="53992"/>
    <cellStyle name="Input 2 6 2 2 6" xfId="53993"/>
    <cellStyle name="Input 2 6 2 2 7" xfId="53994"/>
    <cellStyle name="Input 2 6 2 3" xfId="6845"/>
    <cellStyle name="Input 2 6 2 3 2" xfId="53995"/>
    <cellStyle name="Input 2 6 2 3 3" xfId="53996"/>
    <cellStyle name="Input 2 6 2 3 4" xfId="53997"/>
    <cellStyle name="Input 2 6 2 3 5" xfId="53998"/>
    <cellStyle name="Input 2 6 2 3 6" xfId="53999"/>
    <cellStyle name="Input 2 6 2 4" xfId="12057"/>
    <cellStyle name="Input 2 6 2 5" xfId="54000"/>
    <cellStyle name="Input 2 6 3" xfId="3298"/>
    <cellStyle name="Input 2 6 3 2" xfId="8577"/>
    <cellStyle name="Input 2 6 3 2 2" xfId="54001"/>
    <cellStyle name="Input 2 6 3 2 3" xfId="54002"/>
    <cellStyle name="Input 2 6 3 2 4" xfId="54003"/>
    <cellStyle name="Input 2 6 3 2 5" xfId="54004"/>
    <cellStyle name="Input 2 6 3 2 6" xfId="54005"/>
    <cellStyle name="Input 2 6 3 3" xfId="12059"/>
    <cellStyle name="Input 2 6 3 4" xfId="54006"/>
    <cellStyle name="Input 2 6 3 5" xfId="54007"/>
    <cellStyle name="Input 2 6 3 6" xfId="54008"/>
    <cellStyle name="Input 2 6 3 7" xfId="54009"/>
    <cellStyle name="Input 2 6 3 8" xfId="54010"/>
    <cellStyle name="Input 2 6 4" xfId="3299"/>
    <cellStyle name="Input 2 6 4 2" xfId="8578"/>
    <cellStyle name="Input 2 6 4 2 2" xfId="54011"/>
    <cellStyle name="Input 2 6 4 2 3" xfId="54012"/>
    <cellStyle name="Input 2 6 4 2 4" xfId="54013"/>
    <cellStyle name="Input 2 6 4 2 5" xfId="54014"/>
    <cellStyle name="Input 2 6 4 2 6" xfId="54015"/>
    <cellStyle name="Input 2 6 4 3" xfId="12060"/>
    <cellStyle name="Input 2 6 4 4" xfId="54016"/>
    <cellStyle name="Input 2 6 4 5" xfId="54017"/>
    <cellStyle name="Input 2 6 4 6" xfId="54018"/>
    <cellStyle name="Input 2 6 4 7" xfId="54019"/>
    <cellStyle name="Input 2 6 4 8" xfId="54020"/>
    <cellStyle name="Input 2 6 5" xfId="3300"/>
    <cellStyle name="Input 2 6 5 2" xfId="8579"/>
    <cellStyle name="Input 2 6 5 2 2" xfId="54021"/>
    <cellStyle name="Input 2 6 5 2 3" xfId="54022"/>
    <cellStyle name="Input 2 6 5 2 4" xfId="54023"/>
    <cellStyle name="Input 2 6 5 2 5" xfId="54024"/>
    <cellStyle name="Input 2 6 5 2 6" xfId="54025"/>
    <cellStyle name="Input 2 6 5 3" xfId="12061"/>
    <cellStyle name="Input 2 6 5 4" xfId="54026"/>
    <cellStyle name="Input 2 6 5 5" xfId="54027"/>
    <cellStyle name="Input 2 6 5 6" xfId="54028"/>
    <cellStyle name="Input 2 6 5 7" xfId="54029"/>
    <cellStyle name="Input 2 6 5 8" xfId="54030"/>
    <cellStyle name="Input 2 6 6" xfId="3301"/>
    <cellStyle name="Input 2 6 6 2" xfId="8580"/>
    <cellStyle name="Input 2 6 6 2 2" xfId="54031"/>
    <cellStyle name="Input 2 6 6 2 3" xfId="54032"/>
    <cellStyle name="Input 2 6 6 2 4" xfId="54033"/>
    <cellStyle name="Input 2 6 6 2 5" xfId="54034"/>
    <cellStyle name="Input 2 6 6 2 6" xfId="54035"/>
    <cellStyle name="Input 2 6 6 3" xfId="12062"/>
    <cellStyle name="Input 2 6 6 4" xfId="54036"/>
    <cellStyle name="Input 2 6 6 5" xfId="54037"/>
    <cellStyle name="Input 2 6 6 6" xfId="54038"/>
    <cellStyle name="Input 2 6 6 7" xfId="54039"/>
    <cellStyle name="Input 2 6 6 8" xfId="54040"/>
    <cellStyle name="Input 2 6 7" xfId="3302"/>
    <cellStyle name="Input 2 6 7 2" xfId="8581"/>
    <cellStyle name="Input 2 6 7 2 2" xfId="54041"/>
    <cellStyle name="Input 2 6 7 2 3" xfId="54042"/>
    <cellStyle name="Input 2 6 7 2 4" xfId="54043"/>
    <cellStyle name="Input 2 6 7 2 5" xfId="54044"/>
    <cellStyle name="Input 2 6 7 2 6" xfId="54045"/>
    <cellStyle name="Input 2 6 7 3" xfId="12063"/>
    <cellStyle name="Input 2 6 7 4" xfId="54046"/>
    <cellStyle name="Input 2 6 7 5" xfId="54047"/>
    <cellStyle name="Input 2 6 7 6" xfId="54048"/>
    <cellStyle name="Input 2 6 7 7" xfId="54049"/>
    <cellStyle name="Input 2 6 7 8" xfId="54050"/>
    <cellStyle name="Input 2 6 8" xfId="3303"/>
    <cellStyle name="Input 2 6 8 2" xfId="8582"/>
    <cellStyle name="Input 2 6 8 2 2" xfId="54051"/>
    <cellStyle name="Input 2 6 8 2 3" xfId="54052"/>
    <cellStyle name="Input 2 6 8 2 4" xfId="54053"/>
    <cellStyle name="Input 2 6 8 2 5" xfId="54054"/>
    <cellStyle name="Input 2 6 8 2 6" xfId="54055"/>
    <cellStyle name="Input 2 6 8 3" xfId="12064"/>
    <cellStyle name="Input 2 6 8 4" xfId="54056"/>
    <cellStyle name="Input 2 6 8 5" xfId="54057"/>
    <cellStyle name="Input 2 6 8 6" xfId="54058"/>
    <cellStyle name="Input 2 6 8 7" xfId="54059"/>
    <cellStyle name="Input 2 6 8 8" xfId="54060"/>
    <cellStyle name="Input 2 6 9" xfId="3304"/>
    <cellStyle name="Input 2 6 9 2" xfId="8583"/>
    <cellStyle name="Input 2 6 9 2 2" xfId="54061"/>
    <cellStyle name="Input 2 6 9 2 3" xfId="54062"/>
    <cellStyle name="Input 2 6 9 2 4" xfId="54063"/>
    <cellStyle name="Input 2 6 9 2 5" xfId="54064"/>
    <cellStyle name="Input 2 6 9 2 6" xfId="54065"/>
    <cellStyle name="Input 2 6 9 3" xfId="12065"/>
    <cellStyle name="Input 2 6 9 4" xfId="54066"/>
    <cellStyle name="Input 2 6 9 5" xfId="54067"/>
    <cellStyle name="Input 2 6 9 6" xfId="54068"/>
    <cellStyle name="Input 2 6 9 7" xfId="54069"/>
    <cellStyle name="Input 2 6 9 8" xfId="54070"/>
    <cellStyle name="Input 2 7" xfId="1253"/>
    <cellStyle name="Input 2 7 2" xfId="2487"/>
    <cellStyle name="Input 2 7 2 2" xfId="7766"/>
    <cellStyle name="Input 2 7 2 2 2" xfId="54071"/>
    <cellStyle name="Input 2 7 2 2 3" xfId="54072"/>
    <cellStyle name="Input 2 7 2 2 4" xfId="54073"/>
    <cellStyle name="Input 2 7 2 2 5" xfId="54074"/>
    <cellStyle name="Input 2 7 2 3" xfId="12067"/>
    <cellStyle name="Input 2 7 2 4" xfId="54075"/>
    <cellStyle name="Input 2 7 2 5" xfId="54076"/>
    <cellStyle name="Input 2 7 2 6" xfId="54077"/>
    <cellStyle name="Input 2 7 2 7" xfId="54078"/>
    <cellStyle name="Input 2 7 3" xfId="6532"/>
    <cellStyle name="Input 2 7 3 2" xfId="54079"/>
    <cellStyle name="Input 2 7 3 3" xfId="54080"/>
    <cellStyle name="Input 2 7 3 4" xfId="54081"/>
    <cellStyle name="Input 2 7 3 5" xfId="54082"/>
    <cellStyle name="Input 2 7 3 6" xfId="54083"/>
    <cellStyle name="Input 2 7 4" xfId="12066"/>
    <cellStyle name="Input 2 7 5" xfId="54084"/>
    <cellStyle name="Input 2 8" xfId="3305"/>
    <cellStyle name="Input 2 8 2" xfId="8584"/>
    <cellStyle name="Input 2 8 2 2" xfId="54085"/>
    <cellStyle name="Input 2 8 2 3" xfId="54086"/>
    <cellStyle name="Input 2 8 2 4" xfId="54087"/>
    <cellStyle name="Input 2 8 2 5" xfId="54088"/>
    <cellStyle name="Input 2 8 2 6" xfId="54089"/>
    <cellStyle name="Input 2 8 3" xfId="12068"/>
    <cellStyle name="Input 2 8 4" xfId="54090"/>
    <cellStyle name="Input 2 8 5" xfId="54091"/>
    <cellStyle name="Input 2 8 6" xfId="54092"/>
    <cellStyle name="Input 2 8 7" xfId="54093"/>
    <cellStyle name="Input 2 8 8" xfId="54094"/>
    <cellStyle name="Input 2 9" xfId="3306"/>
    <cellStyle name="Input 2 9 2" xfId="8585"/>
    <cellStyle name="Input 2 9 2 2" xfId="54095"/>
    <cellStyle name="Input 2 9 2 3" xfId="54096"/>
    <cellStyle name="Input 2 9 2 4" xfId="54097"/>
    <cellStyle name="Input 2 9 2 5" xfId="54098"/>
    <cellStyle name="Input 2 9 2 6" xfId="54099"/>
    <cellStyle name="Input 2 9 3" xfId="12069"/>
    <cellStyle name="Input 2 9 4" xfId="54100"/>
    <cellStyle name="Input 2 9 5" xfId="54101"/>
    <cellStyle name="Input 2 9 6" xfId="54102"/>
    <cellStyle name="Input 2 9 7" xfId="54103"/>
    <cellStyle name="Input 2 9 8" xfId="54104"/>
    <cellStyle name="Input 3" xfId="49360"/>
    <cellStyle name="Input 4" xfId="49361"/>
    <cellStyle name="Input 5" xfId="49362"/>
    <cellStyle name="Input 6" xfId="49363"/>
    <cellStyle name="Input 7" xfId="49364"/>
    <cellStyle name="Inst. Sections" xfId="49365"/>
    <cellStyle name="Inst. Subheading" xfId="49366"/>
    <cellStyle name="kwh_centered" xfId="25"/>
    <cellStyle name="Labels - Style3" xfId="49367"/>
    <cellStyle name="Linked Cell 2" xfId="491"/>
    <cellStyle name="Linked Cell 3" xfId="49368"/>
    <cellStyle name="Linked Cell 4" xfId="49369"/>
    <cellStyle name="MCP" xfId="5864"/>
    <cellStyle name="Neutral 2" xfId="492"/>
    <cellStyle name="Neutral 3" xfId="49370"/>
    <cellStyle name="Neutral 4" xfId="49371"/>
    <cellStyle name="nONE" xfId="11195"/>
    <cellStyle name="noninput" xfId="11144"/>
    <cellStyle name="Normal" xfId="0" builtinId="0"/>
    <cellStyle name="Normal - Style1" xfId="5918"/>
    <cellStyle name="Normal - Style2" xfId="49372"/>
    <cellStyle name="Normal - Style3" xfId="49373"/>
    <cellStyle name="Normal - Style4" xfId="49374"/>
    <cellStyle name="Normal - Style5" xfId="49375"/>
    <cellStyle name="Normal - Style6" xfId="49376"/>
    <cellStyle name="Normal - Style7" xfId="49377"/>
    <cellStyle name="Normal - Style8" xfId="49378"/>
    <cellStyle name="Normal 10" xfId="40"/>
    <cellStyle name="Normal 10 10" xfId="5848"/>
    <cellStyle name="Normal 10 11" xfId="12070"/>
    <cellStyle name="Normal 10 2" xfId="57"/>
    <cellStyle name="Normal 10 2 2" xfId="493"/>
    <cellStyle name="Normal 10 3" xfId="494"/>
    <cellStyle name="Normal 10 3 2" xfId="49379"/>
    <cellStyle name="Normal 10 4" xfId="495"/>
    <cellStyle name="Normal 10 4 2" xfId="803"/>
    <cellStyle name="Normal 10 4 2 2" xfId="914"/>
    <cellStyle name="Normal 10 4 2 2 2" xfId="1533"/>
    <cellStyle name="Normal 10 4 2 2 2 2" xfId="2767"/>
    <cellStyle name="Normal 10 4 2 2 2 2 2" xfId="8046"/>
    <cellStyle name="Normal 10 4 2 2 2 2 3" xfId="12075"/>
    <cellStyle name="Normal 10 4 2 2 2 3" xfId="6812"/>
    <cellStyle name="Normal 10 4 2 2 2 4" xfId="12074"/>
    <cellStyle name="Normal 10 4 2 2 3" xfId="3307"/>
    <cellStyle name="Normal 10 4 2 2 3 2" xfId="8586"/>
    <cellStyle name="Normal 10 4 2 2 3 2 2" xfId="54105"/>
    <cellStyle name="Normal 10 4 2 2 3 3" xfId="12076"/>
    <cellStyle name="Normal 10 4 2 2 4" xfId="2154"/>
    <cellStyle name="Normal 10 4 2 2 4 2" xfId="7433"/>
    <cellStyle name="Normal 10 4 2 2 4 3" xfId="12077"/>
    <cellStyle name="Normal 10 4 2 2 5" xfId="6195"/>
    <cellStyle name="Normal 10 4 2 2 6" xfId="12073"/>
    <cellStyle name="Normal 10 4 2 3" xfId="1430"/>
    <cellStyle name="Normal 10 4 2 3 2" xfId="2664"/>
    <cellStyle name="Normal 10 4 2 3 2 2" xfId="7943"/>
    <cellStyle name="Normal 10 4 2 3 2 3" xfId="12079"/>
    <cellStyle name="Normal 10 4 2 3 3" xfId="6709"/>
    <cellStyle name="Normal 10 4 2 3 4" xfId="12078"/>
    <cellStyle name="Normal 10 4 2 4" xfId="3308"/>
    <cellStyle name="Normal 10 4 2 4 2" xfId="8587"/>
    <cellStyle name="Normal 10 4 2 4 2 2" xfId="54106"/>
    <cellStyle name="Normal 10 4 2 4 3" xfId="12080"/>
    <cellStyle name="Normal 10 4 2 5" xfId="2056"/>
    <cellStyle name="Normal 10 4 2 5 2" xfId="7335"/>
    <cellStyle name="Normal 10 4 2 5 3" xfId="12081"/>
    <cellStyle name="Normal 10 4 2 6" xfId="6092"/>
    <cellStyle name="Normal 10 4 2 7" xfId="12072"/>
    <cellStyle name="Normal 10 4 3" xfId="865"/>
    <cellStyle name="Normal 10 4 3 2" xfId="1484"/>
    <cellStyle name="Normal 10 4 3 2 2" xfId="2718"/>
    <cellStyle name="Normal 10 4 3 2 2 2" xfId="7997"/>
    <cellStyle name="Normal 10 4 3 2 2 3" xfId="12084"/>
    <cellStyle name="Normal 10 4 3 2 3" xfId="6763"/>
    <cellStyle name="Normal 10 4 3 2 4" xfId="12083"/>
    <cellStyle name="Normal 10 4 3 3" xfId="3309"/>
    <cellStyle name="Normal 10 4 3 3 2" xfId="8588"/>
    <cellStyle name="Normal 10 4 3 3 2 2" xfId="54107"/>
    <cellStyle name="Normal 10 4 3 3 3" xfId="12085"/>
    <cellStyle name="Normal 10 4 3 4" xfId="2105"/>
    <cellStyle name="Normal 10 4 3 4 2" xfId="7384"/>
    <cellStyle name="Normal 10 4 3 4 3" xfId="12086"/>
    <cellStyle name="Normal 10 4 3 5" xfId="6146"/>
    <cellStyle name="Normal 10 4 3 6" xfId="12082"/>
    <cellStyle name="Normal 10 4 4" xfId="1254"/>
    <cellStyle name="Normal 10 4 4 2" xfId="2488"/>
    <cellStyle name="Normal 10 4 4 2 2" xfId="7767"/>
    <cellStyle name="Normal 10 4 4 2 3" xfId="12088"/>
    <cellStyle name="Normal 10 4 4 3" xfId="6533"/>
    <cellStyle name="Normal 10 4 4 4" xfId="12087"/>
    <cellStyle name="Normal 10 4 5" xfId="3310"/>
    <cellStyle name="Normal 10 4 5 2" xfId="8589"/>
    <cellStyle name="Normal 10 4 5 2 2" xfId="54108"/>
    <cellStyle name="Normal 10 4 5 3" xfId="12089"/>
    <cellStyle name="Normal 10 4 6" xfId="1941"/>
    <cellStyle name="Normal 10 4 6 2" xfId="7220"/>
    <cellStyle name="Normal 10 4 6 3" xfId="12090"/>
    <cellStyle name="Normal 10 4 7" xfId="5888"/>
    <cellStyle name="Normal 10 4 8" xfId="12071"/>
    <cellStyle name="Normal 10 5" xfId="722"/>
    <cellStyle name="Normal 10 5 2" xfId="893"/>
    <cellStyle name="Normal 10 5 2 2" xfId="1512"/>
    <cellStyle name="Normal 10 5 2 2 2" xfId="2746"/>
    <cellStyle name="Normal 10 5 2 2 2 2" xfId="8025"/>
    <cellStyle name="Normal 10 5 2 2 2 3" xfId="12094"/>
    <cellStyle name="Normal 10 5 2 2 3" xfId="6791"/>
    <cellStyle name="Normal 10 5 2 2 4" xfId="12093"/>
    <cellStyle name="Normal 10 5 2 3" xfId="3311"/>
    <cellStyle name="Normal 10 5 2 3 2" xfId="8590"/>
    <cellStyle name="Normal 10 5 2 3 2 2" xfId="54109"/>
    <cellStyle name="Normal 10 5 2 3 3" xfId="12095"/>
    <cellStyle name="Normal 10 5 2 4" xfId="2133"/>
    <cellStyle name="Normal 10 5 2 4 2" xfId="7412"/>
    <cellStyle name="Normal 10 5 2 4 3" xfId="12096"/>
    <cellStyle name="Normal 10 5 2 5" xfId="6174"/>
    <cellStyle name="Normal 10 5 2 6" xfId="12092"/>
    <cellStyle name="Normal 10 5 3" xfId="1349"/>
    <cellStyle name="Normal 10 5 3 2" xfId="2583"/>
    <cellStyle name="Normal 10 5 3 2 2" xfId="7862"/>
    <cellStyle name="Normal 10 5 3 2 3" xfId="12098"/>
    <cellStyle name="Normal 10 5 3 3" xfId="6628"/>
    <cellStyle name="Normal 10 5 3 4" xfId="12097"/>
    <cellStyle name="Normal 10 5 4" xfId="3312"/>
    <cellStyle name="Normal 10 5 4 2" xfId="8591"/>
    <cellStyle name="Normal 10 5 4 2 2" xfId="54110"/>
    <cellStyle name="Normal 10 5 4 3" xfId="12099"/>
    <cellStyle name="Normal 10 5 5" xfId="2035"/>
    <cellStyle name="Normal 10 5 5 2" xfId="7314"/>
    <cellStyle name="Normal 10 5 5 3" xfId="12100"/>
    <cellStyle name="Normal 10 5 6" xfId="6011"/>
    <cellStyle name="Normal 10 5 7" xfId="12091"/>
    <cellStyle name="Normal 10 6" xfId="844"/>
    <cellStyle name="Normal 10 6 2" xfId="1463"/>
    <cellStyle name="Normal 10 6 2 2" xfId="2697"/>
    <cellStyle name="Normal 10 6 2 2 2" xfId="7976"/>
    <cellStyle name="Normal 10 6 2 2 3" xfId="12103"/>
    <cellStyle name="Normal 10 6 2 3" xfId="6742"/>
    <cellStyle name="Normal 10 6 2 4" xfId="12102"/>
    <cellStyle name="Normal 10 6 3" xfId="3313"/>
    <cellStyle name="Normal 10 6 3 2" xfId="8592"/>
    <cellStyle name="Normal 10 6 3 2 2" xfId="54111"/>
    <cellStyle name="Normal 10 6 3 3" xfId="12104"/>
    <cellStyle name="Normal 10 6 4" xfId="2084"/>
    <cellStyle name="Normal 10 6 4 2" xfId="7363"/>
    <cellStyle name="Normal 10 6 4 3" xfId="12105"/>
    <cellStyle name="Normal 10 6 5" xfId="6125"/>
    <cellStyle name="Normal 10 6 6" xfId="12101"/>
    <cellStyle name="Normal 10 7" xfId="1231"/>
    <cellStyle name="Normal 10 7 2" xfId="2465"/>
    <cellStyle name="Normal 10 7 2 2" xfId="7744"/>
    <cellStyle name="Normal 10 7 2 3" xfId="12107"/>
    <cellStyle name="Normal 10 7 3" xfId="6510"/>
    <cellStyle name="Normal 10 7 4" xfId="12106"/>
    <cellStyle name="Normal 10 8" xfId="3314"/>
    <cellStyle name="Normal 10 8 2" xfId="8593"/>
    <cellStyle name="Normal 10 8 2 2" xfId="54112"/>
    <cellStyle name="Normal 10 8 3" xfId="12108"/>
    <cellStyle name="Normal 10 9" xfId="1918"/>
    <cellStyle name="Normal 10 9 2" xfId="7197"/>
    <cellStyle name="Normal 10 9 3" xfId="12109"/>
    <cellStyle name="Normal 10_10-15-10-Stmt AU - Period I - Working 1 0" xfId="496"/>
    <cellStyle name="Normal 11" xfId="42"/>
    <cellStyle name="Normal 11 10" xfId="12110"/>
    <cellStyle name="Normal 11 2" xfId="497"/>
    <cellStyle name="Normal 11 2 2" xfId="49380"/>
    <cellStyle name="Normal 11 3" xfId="498"/>
    <cellStyle name="Normal 11 3 2" xfId="804"/>
    <cellStyle name="Normal 11 3 2 2" xfId="915"/>
    <cellStyle name="Normal 11 3 2 2 2" xfId="1534"/>
    <cellStyle name="Normal 11 3 2 2 2 2" xfId="2768"/>
    <cellStyle name="Normal 11 3 2 2 2 2 2" xfId="8047"/>
    <cellStyle name="Normal 11 3 2 2 2 2 3" xfId="12115"/>
    <cellStyle name="Normal 11 3 2 2 2 3" xfId="6813"/>
    <cellStyle name="Normal 11 3 2 2 2 4" xfId="12114"/>
    <cellStyle name="Normal 11 3 2 2 3" xfId="3315"/>
    <cellStyle name="Normal 11 3 2 2 3 2" xfId="8594"/>
    <cellStyle name="Normal 11 3 2 2 3 2 2" xfId="54113"/>
    <cellStyle name="Normal 11 3 2 2 3 3" xfId="12116"/>
    <cellStyle name="Normal 11 3 2 2 4" xfId="2155"/>
    <cellStyle name="Normal 11 3 2 2 4 2" xfId="7434"/>
    <cellStyle name="Normal 11 3 2 2 4 3" xfId="12117"/>
    <cellStyle name="Normal 11 3 2 2 5" xfId="6196"/>
    <cellStyle name="Normal 11 3 2 2 6" xfId="12113"/>
    <cellStyle name="Normal 11 3 2 3" xfId="1431"/>
    <cellStyle name="Normal 11 3 2 3 2" xfId="2665"/>
    <cellStyle name="Normal 11 3 2 3 2 2" xfId="7944"/>
    <cellStyle name="Normal 11 3 2 3 2 3" xfId="12119"/>
    <cellStyle name="Normal 11 3 2 3 3" xfId="6710"/>
    <cellStyle name="Normal 11 3 2 3 4" xfId="12118"/>
    <cellStyle name="Normal 11 3 2 4" xfId="3316"/>
    <cellStyle name="Normal 11 3 2 4 2" xfId="8595"/>
    <cellStyle name="Normal 11 3 2 4 2 2" xfId="54114"/>
    <cellStyle name="Normal 11 3 2 4 3" xfId="12120"/>
    <cellStyle name="Normal 11 3 2 5" xfId="2057"/>
    <cellStyle name="Normal 11 3 2 5 2" xfId="7336"/>
    <cellStyle name="Normal 11 3 2 5 3" xfId="12121"/>
    <cellStyle name="Normal 11 3 2 6" xfId="6093"/>
    <cellStyle name="Normal 11 3 2 7" xfId="12112"/>
    <cellStyle name="Normal 11 3 3" xfId="866"/>
    <cellStyle name="Normal 11 3 3 2" xfId="1485"/>
    <cellStyle name="Normal 11 3 3 2 2" xfId="2719"/>
    <cellStyle name="Normal 11 3 3 2 2 2" xfId="7998"/>
    <cellStyle name="Normal 11 3 3 2 2 3" xfId="12124"/>
    <cellStyle name="Normal 11 3 3 2 3" xfId="6764"/>
    <cellStyle name="Normal 11 3 3 2 4" xfId="12123"/>
    <cellStyle name="Normal 11 3 3 3" xfId="3317"/>
    <cellStyle name="Normal 11 3 3 3 2" xfId="8596"/>
    <cellStyle name="Normal 11 3 3 3 2 2" xfId="54115"/>
    <cellStyle name="Normal 11 3 3 3 3" xfId="12125"/>
    <cellStyle name="Normal 11 3 3 4" xfId="2106"/>
    <cellStyle name="Normal 11 3 3 4 2" xfId="7385"/>
    <cellStyle name="Normal 11 3 3 4 3" xfId="12126"/>
    <cellStyle name="Normal 11 3 3 5" xfId="6147"/>
    <cellStyle name="Normal 11 3 3 6" xfId="12122"/>
    <cellStyle name="Normal 11 3 4" xfId="1255"/>
    <cellStyle name="Normal 11 3 4 2" xfId="2489"/>
    <cellStyle name="Normal 11 3 4 2 2" xfId="7768"/>
    <cellStyle name="Normal 11 3 4 2 3" xfId="12128"/>
    <cellStyle name="Normal 11 3 4 3" xfId="6534"/>
    <cellStyle name="Normal 11 3 4 4" xfId="12127"/>
    <cellStyle name="Normal 11 3 5" xfId="3318"/>
    <cellStyle name="Normal 11 3 5 2" xfId="8597"/>
    <cellStyle name="Normal 11 3 5 2 2" xfId="54116"/>
    <cellStyle name="Normal 11 3 5 3" xfId="12129"/>
    <cellStyle name="Normal 11 3 6" xfId="1942"/>
    <cellStyle name="Normal 11 3 6 2" xfId="7221"/>
    <cellStyle name="Normal 11 3 6 3" xfId="12130"/>
    <cellStyle name="Normal 11 3 7" xfId="5891"/>
    <cellStyle name="Normal 11 3 8" xfId="12111"/>
    <cellStyle name="Normal 11 4" xfId="723"/>
    <cellStyle name="Normal 11 4 2" xfId="894"/>
    <cellStyle name="Normal 11 4 2 2" xfId="1513"/>
    <cellStyle name="Normal 11 4 2 2 2" xfId="2747"/>
    <cellStyle name="Normal 11 4 2 2 2 2" xfId="8026"/>
    <cellStyle name="Normal 11 4 2 2 2 3" xfId="12134"/>
    <cellStyle name="Normal 11 4 2 2 3" xfId="6792"/>
    <cellStyle name="Normal 11 4 2 2 4" xfId="12133"/>
    <cellStyle name="Normal 11 4 2 3" xfId="3319"/>
    <cellStyle name="Normal 11 4 2 3 2" xfId="8598"/>
    <cellStyle name="Normal 11 4 2 3 2 2" xfId="54117"/>
    <cellStyle name="Normal 11 4 2 3 3" xfId="12135"/>
    <cellStyle name="Normal 11 4 2 4" xfId="2134"/>
    <cellStyle name="Normal 11 4 2 4 2" xfId="7413"/>
    <cellStyle name="Normal 11 4 2 4 3" xfId="12136"/>
    <cellStyle name="Normal 11 4 2 5" xfId="6175"/>
    <cellStyle name="Normal 11 4 2 6" xfId="12132"/>
    <cellStyle name="Normal 11 4 3" xfId="1350"/>
    <cellStyle name="Normal 11 4 3 2" xfId="2584"/>
    <cellStyle name="Normal 11 4 3 2 2" xfId="7863"/>
    <cellStyle name="Normal 11 4 3 2 3" xfId="12138"/>
    <cellStyle name="Normal 11 4 3 3" xfId="6629"/>
    <cellStyle name="Normal 11 4 3 4" xfId="12137"/>
    <cellStyle name="Normal 11 4 4" xfId="3320"/>
    <cellStyle name="Normal 11 4 4 2" xfId="8599"/>
    <cellStyle name="Normal 11 4 4 2 2" xfId="54118"/>
    <cellStyle name="Normal 11 4 4 3" xfId="12139"/>
    <cellStyle name="Normal 11 4 5" xfId="2036"/>
    <cellStyle name="Normal 11 4 5 2" xfId="7315"/>
    <cellStyle name="Normal 11 4 5 3" xfId="12140"/>
    <cellStyle name="Normal 11 4 6" xfId="6012"/>
    <cellStyle name="Normal 11 4 7" xfId="12131"/>
    <cellStyle name="Normal 11 5" xfId="845"/>
    <cellStyle name="Normal 11 5 2" xfId="1464"/>
    <cellStyle name="Normal 11 5 2 2" xfId="2698"/>
    <cellStyle name="Normal 11 5 2 2 2" xfId="7977"/>
    <cellStyle name="Normal 11 5 2 2 3" xfId="12143"/>
    <cellStyle name="Normal 11 5 2 3" xfId="6743"/>
    <cellStyle name="Normal 11 5 2 4" xfId="12142"/>
    <cellStyle name="Normal 11 5 3" xfId="3321"/>
    <cellStyle name="Normal 11 5 3 2" xfId="8600"/>
    <cellStyle name="Normal 11 5 3 2 2" xfId="54119"/>
    <cellStyle name="Normal 11 5 3 3" xfId="12144"/>
    <cellStyle name="Normal 11 5 4" xfId="2085"/>
    <cellStyle name="Normal 11 5 4 2" xfId="7364"/>
    <cellStyle name="Normal 11 5 4 3" xfId="12145"/>
    <cellStyle name="Normal 11 5 5" xfId="6126"/>
    <cellStyle name="Normal 11 5 6" xfId="12141"/>
    <cellStyle name="Normal 11 6" xfId="1232"/>
    <cellStyle name="Normal 11 6 2" xfId="2466"/>
    <cellStyle name="Normal 11 6 2 2" xfId="7745"/>
    <cellStyle name="Normal 11 6 2 3" xfId="12147"/>
    <cellStyle name="Normal 11 6 3" xfId="6511"/>
    <cellStyle name="Normal 11 6 4" xfId="12146"/>
    <cellStyle name="Normal 11 7" xfId="3322"/>
    <cellStyle name="Normal 11 7 2" xfId="8601"/>
    <cellStyle name="Normal 11 7 2 2" xfId="54120"/>
    <cellStyle name="Normal 11 7 3" xfId="12148"/>
    <cellStyle name="Normal 11 8" xfId="1919"/>
    <cellStyle name="Normal 11 8 2" xfId="7198"/>
    <cellStyle name="Normal 11 8 3" xfId="12149"/>
    <cellStyle name="Normal 11 9" xfId="5849"/>
    <cellStyle name="Normal 12" xfId="44"/>
    <cellStyle name="Normal 12 10" xfId="5851"/>
    <cellStyle name="Normal 12 11" xfId="12150"/>
    <cellStyle name="Normal 12 2" xfId="499"/>
    <cellStyle name="Normal 12 2 2" xfId="500"/>
    <cellStyle name="Normal 12 3" xfId="501"/>
    <cellStyle name="Normal 12 3 2" xfId="49381"/>
    <cellStyle name="Normal 12 4" xfId="502"/>
    <cellStyle name="Normal 12 4 2" xfId="805"/>
    <cellStyle name="Normal 12 4 2 2" xfId="916"/>
    <cellStyle name="Normal 12 4 2 2 2" xfId="1535"/>
    <cellStyle name="Normal 12 4 2 2 2 2" xfId="2769"/>
    <cellStyle name="Normal 12 4 2 2 2 2 2" xfId="8048"/>
    <cellStyle name="Normal 12 4 2 2 2 2 3" xfId="12155"/>
    <cellStyle name="Normal 12 4 2 2 2 3" xfId="6814"/>
    <cellStyle name="Normal 12 4 2 2 2 4" xfId="12154"/>
    <cellStyle name="Normal 12 4 2 2 3" xfId="3323"/>
    <cellStyle name="Normal 12 4 2 2 3 2" xfId="8602"/>
    <cellStyle name="Normal 12 4 2 2 3 2 2" xfId="54121"/>
    <cellStyle name="Normal 12 4 2 2 3 3" xfId="12156"/>
    <cellStyle name="Normal 12 4 2 2 4" xfId="2156"/>
    <cellStyle name="Normal 12 4 2 2 4 2" xfId="7435"/>
    <cellStyle name="Normal 12 4 2 2 4 3" xfId="12157"/>
    <cellStyle name="Normal 12 4 2 2 5" xfId="6197"/>
    <cellStyle name="Normal 12 4 2 2 6" xfId="12153"/>
    <cellStyle name="Normal 12 4 2 3" xfId="1432"/>
    <cellStyle name="Normal 12 4 2 3 2" xfId="2666"/>
    <cellStyle name="Normal 12 4 2 3 2 2" xfId="7945"/>
    <cellStyle name="Normal 12 4 2 3 2 3" xfId="12159"/>
    <cellStyle name="Normal 12 4 2 3 3" xfId="6711"/>
    <cellStyle name="Normal 12 4 2 3 4" xfId="12158"/>
    <cellStyle name="Normal 12 4 2 4" xfId="3324"/>
    <cellStyle name="Normal 12 4 2 4 2" xfId="8603"/>
    <cellStyle name="Normal 12 4 2 4 2 2" xfId="54122"/>
    <cellStyle name="Normal 12 4 2 4 3" xfId="12160"/>
    <cellStyle name="Normal 12 4 2 5" xfId="2058"/>
    <cellStyle name="Normal 12 4 2 5 2" xfId="7337"/>
    <cellStyle name="Normal 12 4 2 5 3" xfId="12161"/>
    <cellStyle name="Normal 12 4 2 6" xfId="6094"/>
    <cellStyle name="Normal 12 4 2 7" xfId="12152"/>
    <cellStyle name="Normal 12 4 3" xfId="867"/>
    <cellStyle name="Normal 12 4 3 2" xfId="1486"/>
    <cellStyle name="Normal 12 4 3 2 2" xfId="2720"/>
    <cellStyle name="Normal 12 4 3 2 2 2" xfId="7999"/>
    <cellStyle name="Normal 12 4 3 2 2 3" xfId="12164"/>
    <cellStyle name="Normal 12 4 3 2 3" xfId="6765"/>
    <cellStyle name="Normal 12 4 3 2 4" xfId="12163"/>
    <cellStyle name="Normal 12 4 3 3" xfId="3325"/>
    <cellStyle name="Normal 12 4 3 3 2" xfId="8604"/>
    <cellStyle name="Normal 12 4 3 3 2 2" xfId="54123"/>
    <cellStyle name="Normal 12 4 3 3 3" xfId="12165"/>
    <cellStyle name="Normal 12 4 3 4" xfId="2107"/>
    <cellStyle name="Normal 12 4 3 4 2" xfId="7386"/>
    <cellStyle name="Normal 12 4 3 4 3" xfId="12166"/>
    <cellStyle name="Normal 12 4 3 5" xfId="6148"/>
    <cellStyle name="Normal 12 4 3 6" xfId="12162"/>
    <cellStyle name="Normal 12 4 4" xfId="1256"/>
    <cellStyle name="Normal 12 4 4 2" xfId="2490"/>
    <cellStyle name="Normal 12 4 4 2 2" xfId="7769"/>
    <cellStyle name="Normal 12 4 4 2 3" xfId="12168"/>
    <cellStyle name="Normal 12 4 4 3" xfId="6535"/>
    <cellStyle name="Normal 12 4 4 4" xfId="12167"/>
    <cellStyle name="Normal 12 4 5" xfId="3326"/>
    <cellStyle name="Normal 12 4 5 2" xfId="8605"/>
    <cellStyle name="Normal 12 4 5 2 2" xfId="54124"/>
    <cellStyle name="Normal 12 4 5 3" xfId="12169"/>
    <cellStyle name="Normal 12 4 6" xfId="1943"/>
    <cellStyle name="Normal 12 4 6 2" xfId="7222"/>
    <cellStyle name="Normal 12 4 6 3" xfId="12170"/>
    <cellStyle name="Normal 12 4 7" xfId="5895"/>
    <cellStyle name="Normal 12 4 8" xfId="12151"/>
    <cellStyle name="Normal 12 5" xfId="725"/>
    <cellStyle name="Normal 12 5 2" xfId="896"/>
    <cellStyle name="Normal 12 5 2 2" xfId="1515"/>
    <cellStyle name="Normal 12 5 2 2 2" xfId="2749"/>
    <cellStyle name="Normal 12 5 2 2 2 2" xfId="8028"/>
    <cellStyle name="Normal 12 5 2 2 2 3" xfId="12174"/>
    <cellStyle name="Normal 12 5 2 2 3" xfId="6794"/>
    <cellStyle name="Normal 12 5 2 2 4" xfId="12173"/>
    <cellStyle name="Normal 12 5 2 3" xfId="3327"/>
    <cellStyle name="Normal 12 5 2 3 2" xfId="8606"/>
    <cellStyle name="Normal 12 5 2 3 2 2" xfId="54125"/>
    <cellStyle name="Normal 12 5 2 3 3" xfId="12175"/>
    <cellStyle name="Normal 12 5 2 4" xfId="2136"/>
    <cellStyle name="Normal 12 5 2 4 2" xfId="7415"/>
    <cellStyle name="Normal 12 5 2 4 3" xfId="12176"/>
    <cellStyle name="Normal 12 5 2 5" xfId="6177"/>
    <cellStyle name="Normal 12 5 2 6" xfId="12172"/>
    <cellStyle name="Normal 12 5 3" xfId="1352"/>
    <cellStyle name="Normal 12 5 3 2" xfId="2586"/>
    <cellStyle name="Normal 12 5 3 2 2" xfId="7865"/>
    <cellStyle name="Normal 12 5 3 2 3" xfId="12178"/>
    <cellStyle name="Normal 12 5 3 3" xfId="6631"/>
    <cellStyle name="Normal 12 5 3 4" xfId="12177"/>
    <cellStyle name="Normal 12 5 4" xfId="3328"/>
    <cellStyle name="Normal 12 5 4 2" xfId="8607"/>
    <cellStyle name="Normal 12 5 4 2 2" xfId="54126"/>
    <cellStyle name="Normal 12 5 4 3" xfId="12179"/>
    <cellStyle name="Normal 12 5 5" xfId="2038"/>
    <cellStyle name="Normal 12 5 5 2" xfId="7317"/>
    <cellStyle name="Normal 12 5 5 3" xfId="12180"/>
    <cellStyle name="Normal 12 5 6" xfId="6014"/>
    <cellStyle name="Normal 12 5 7" xfId="12171"/>
    <cellStyle name="Normal 12 6" xfId="847"/>
    <cellStyle name="Normal 12 6 2" xfId="1466"/>
    <cellStyle name="Normal 12 6 2 2" xfId="2700"/>
    <cellStyle name="Normal 12 6 2 2 2" xfId="7979"/>
    <cellStyle name="Normal 12 6 2 2 3" xfId="12183"/>
    <cellStyle name="Normal 12 6 2 3" xfId="6745"/>
    <cellStyle name="Normal 12 6 2 4" xfId="12182"/>
    <cellStyle name="Normal 12 6 3" xfId="3329"/>
    <cellStyle name="Normal 12 6 3 2" xfId="8608"/>
    <cellStyle name="Normal 12 6 3 2 2" xfId="54127"/>
    <cellStyle name="Normal 12 6 3 3" xfId="12184"/>
    <cellStyle name="Normal 12 6 4" xfId="2087"/>
    <cellStyle name="Normal 12 6 4 2" xfId="7366"/>
    <cellStyle name="Normal 12 6 4 3" xfId="12185"/>
    <cellStyle name="Normal 12 6 5" xfId="6128"/>
    <cellStyle name="Normal 12 6 6" xfId="12181"/>
    <cellStyle name="Normal 12 7" xfId="1234"/>
    <cellStyle name="Normal 12 7 2" xfId="2468"/>
    <cellStyle name="Normal 12 7 2 2" xfId="7747"/>
    <cellStyle name="Normal 12 7 2 3" xfId="12187"/>
    <cellStyle name="Normal 12 7 3" xfId="6513"/>
    <cellStyle name="Normal 12 7 4" xfId="12186"/>
    <cellStyle name="Normal 12 8" xfId="3330"/>
    <cellStyle name="Normal 12 8 2" xfId="8609"/>
    <cellStyle name="Normal 12 8 2 2" xfId="54128"/>
    <cellStyle name="Normal 12 8 3" xfId="12188"/>
    <cellStyle name="Normal 12 9" xfId="1921"/>
    <cellStyle name="Normal 12 9 2" xfId="7200"/>
    <cellStyle name="Normal 12 9 3" xfId="12189"/>
    <cellStyle name="Normal 13" xfId="43"/>
    <cellStyle name="Normal 13 10" xfId="12190"/>
    <cellStyle name="Normal 13 2" xfId="53"/>
    <cellStyle name="Normal 13 2 10" xfId="12191"/>
    <cellStyle name="Normal 13 2 2" xfId="503"/>
    <cellStyle name="Normal 13 2 2 2" xfId="806"/>
    <cellStyle name="Normal 13 2 2 2 2" xfId="917"/>
    <cellStyle name="Normal 13 2 2 2 2 2" xfId="1536"/>
    <cellStyle name="Normal 13 2 2 2 2 2 2" xfId="2770"/>
    <cellStyle name="Normal 13 2 2 2 2 2 2 2" xfId="8049"/>
    <cellStyle name="Normal 13 2 2 2 2 2 2 3" xfId="12196"/>
    <cellStyle name="Normal 13 2 2 2 2 2 3" xfId="6815"/>
    <cellStyle name="Normal 13 2 2 2 2 2 4" xfId="12195"/>
    <cellStyle name="Normal 13 2 2 2 2 3" xfId="3331"/>
    <cellStyle name="Normal 13 2 2 2 2 3 2" xfId="8610"/>
    <cellStyle name="Normal 13 2 2 2 2 3 2 2" xfId="54129"/>
    <cellStyle name="Normal 13 2 2 2 2 3 3" xfId="12197"/>
    <cellStyle name="Normal 13 2 2 2 2 4" xfId="2157"/>
    <cellStyle name="Normal 13 2 2 2 2 4 2" xfId="7436"/>
    <cellStyle name="Normal 13 2 2 2 2 4 3" xfId="12198"/>
    <cellStyle name="Normal 13 2 2 2 2 5" xfId="6198"/>
    <cellStyle name="Normal 13 2 2 2 2 6" xfId="12194"/>
    <cellStyle name="Normal 13 2 2 2 3" xfId="1433"/>
    <cellStyle name="Normal 13 2 2 2 3 2" xfId="2667"/>
    <cellStyle name="Normal 13 2 2 2 3 2 2" xfId="7946"/>
    <cellStyle name="Normal 13 2 2 2 3 2 3" xfId="12200"/>
    <cellStyle name="Normal 13 2 2 2 3 3" xfId="6712"/>
    <cellStyle name="Normal 13 2 2 2 3 4" xfId="12199"/>
    <cellStyle name="Normal 13 2 2 2 4" xfId="3332"/>
    <cellStyle name="Normal 13 2 2 2 4 2" xfId="8611"/>
    <cellStyle name="Normal 13 2 2 2 4 2 2" xfId="54130"/>
    <cellStyle name="Normal 13 2 2 2 4 3" xfId="12201"/>
    <cellStyle name="Normal 13 2 2 2 5" xfId="2059"/>
    <cellStyle name="Normal 13 2 2 2 5 2" xfId="7338"/>
    <cellStyle name="Normal 13 2 2 2 5 3" xfId="12202"/>
    <cellStyle name="Normal 13 2 2 2 6" xfId="6095"/>
    <cellStyle name="Normal 13 2 2 2 7" xfId="12193"/>
    <cellStyle name="Normal 13 2 2 3" xfId="868"/>
    <cellStyle name="Normal 13 2 2 3 2" xfId="1487"/>
    <cellStyle name="Normal 13 2 2 3 2 2" xfId="2721"/>
    <cellStyle name="Normal 13 2 2 3 2 2 2" xfId="8000"/>
    <cellStyle name="Normal 13 2 2 3 2 2 3" xfId="12205"/>
    <cellStyle name="Normal 13 2 2 3 2 3" xfId="6766"/>
    <cellStyle name="Normal 13 2 2 3 2 4" xfId="12204"/>
    <cellStyle name="Normal 13 2 2 3 3" xfId="3333"/>
    <cellStyle name="Normal 13 2 2 3 3 2" xfId="8612"/>
    <cellStyle name="Normal 13 2 2 3 3 2 2" xfId="54131"/>
    <cellStyle name="Normal 13 2 2 3 3 3" xfId="12206"/>
    <cellStyle name="Normal 13 2 2 3 4" xfId="2108"/>
    <cellStyle name="Normal 13 2 2 3 4 2" xfId="7387"/>
    <cellStyle name="Normal 13 2 2 3 4 3" xfId="12207"/>
    <cellStyle name="Normal 13 2 2 3 5" xfId="6149"/>
    <cellStyle name="Normal 13 2 2 3 6" xfId="12203"/>
    <cellStyle name="Normal 13 2 2 4" xfId="1257"/>
    <cellStyle name="Normal 13 2 2 4 2" xfId="2491"/>
    <cellStyle name="Normal 13 2 2 4 2 2" xfId="7770"/>
    <cellStyle name="Normal 13 2 2 4 2 3" xfId="12209"/>
    <cellStyle name="Normal 13 2 2 4 3" xfId="6536"/>
    <cellStyle name="Normal 13 2 2 4 4" xfId="12208"/>
    <cellStyle name="Normal 13 2 2 5" xfId="3334"/>
    <cellStyle name="Normal 13 2 2 5 2" xfId="8613"/>
    <cellStyle name="Normal 13 2 2 5 2 2" xfId="54132"/>
    <cellStyle name="Normal 13 2 2 5 3" xfId="12210"/>
    <cellStyle name="Normal 13 2 2 6" xfId="1944"/>
    <cellStyle name="Normal 13 2 2 6 2" xfId="7223"/>
    <cellStyle name="Normal 13 2 2 6 3" xfId="12211"/>
    <cellStyle name="Normal 13 2 2 7" xfId="5896"/>
    <cellStyle name="Normal 13 2 2 8" xfId="12192"/>
    <cellStyle name="Normal 13 2 3" xfId="730"/>
    <cellStyle name="Normal 13 2 3 2" xfId="901"/>
    <cellStyle name="Normal 13 2 3 2 2" xfId="1520"/>
    <cellStyle name="Normal 13 2 3 2 2 2" xfId="2754"/>
    <cellStyle name="Normal 13 2 3 2 2 2 2" xfId="8033"/>
    <cellStyle name="Normal 13 2 3 2 2 2 3" xfId="12215"/>
    <cellStyle name="Normal 13 2 3 2 2 3" xfId="6799"/>
    <cellStyle name="Normal 13 2 3 2 2 4" xfId="12214"/>
    <cellStyle name="Normal 13 2 3 2 3" xfId="3335"/>
    <cellStyle name="Normal 13 2 3 2 3 2" xfId="8614"/>
    <cellStyle name="Normal 13 2 3 2 3 2 2" xfId="54133"/>
    <cellStyle name="Normal 13 2 3 2 3 3" xfId="12216"/>
    <cellStyle name="Normal 13 2 3 2 4" xfId="2141"/>
    <cellStyle name="Normal 13 2 3 2 4 2" xfId="7420"/>
    <cellStyle name="Normal 13 2 3 2 4 3" xfId="12217"/>
    <cellStyle name="Normal 13 2 3 2 5" xfId="6182"/>
    <cellStyle name="Normal 13 2 3 2 6" xfId="12213"/>
    <cellStyle name="Normal 13 2 3 3" xfId="1357"/>
    <cellStyle name="Normal 13 2 3 3 2" xfId="2591"/>
    <cellStyle name="Normal 13 2 3 3 2 2" xfId="7870"/>
    <cellStyle name="Normal 13 2 3 3 2 3" xfId="12219"/>
    <cellStyle name="Normal 13 2 3 3 3" xfId="6636"/>
    <cellStyle name="Normal 13 2 3 3 4" xfId="12218"/>
    <cellStyle name="Normal 13 2 3 4" xfId="3336"/>
    <cellStyle name="Normal 13 2 3 4 2" xfId="8615"/>
    <cellStyle name="Normal 13 2 3 4 2 2" xfId="54134"/>
    <cellStyle name="Normal 13 2 3 4 3" xfId="12220"/>
    <cellStyle name="Normal 13 2 3 5" xfId="2043"/>
    <cellStyle name="Normal 13 2 3 5 2" xfId="7322"/>
    <cellStyle name="Normal 13 2 3 5 3" xfId="12221"/>
    <cellStyle name="Normal 13 2 3 6" xfId="6019"/>
    <cellStyle name="Normal 13 2 3 7" xfId="12212"/>
    <cellStyle name="Normal 13 2 4" xfId="1218"/>
    <cellStyle name="Normal 13 2 4 2" xfId="1835"/>
    <cellStyle name="Normal 13 2 4 2 2" xfId="3069"/>
    <cellStyle name="Normal 13 2 4 2 2 2" xfId="8348"/>
    <cellStyle name="Normal 13 2 4 2 2 3" xfId="12224"/>
    <cellStyle name="Normal 13 2 4 2 3" xfId="7114"/>
    <cellStyle name="Normal 13 2 4 2 4" xfId="12223"/>
    <cellStyle name="Normal 13 2 4 3" xfId="3337"/>
    <cellStyle name="Normal 13 2 4 3 2" xfId="8616"/>
    <cellStyle name="Normal 13 2 4 3 2 2" xfId="54135"/>
    <cellStyle name="Normal 13 2 4 3 3" xfId="12225"/>
    <cellStyle name="Normal 13 2 4 4" xfId="2452"/>
    <cellStyle name="Normal 13 2 4 4 2" xfId="7731"/>
    <cellStyle name="Normal 13 2 4 4 3" xfId="12226"/>
    <cellStyle name="Normal 13 2 4 5" xfId="6497"/>
    <cellStyle name="Normal 13 2 4 6" xfId="12222"/>
    <cellStyle name="Normal 13 2 5" xfId="852"/>
    <cellStyle name="Normal 13 2 5 2" xfId="1471"/>
    <cellStyle name="Normal 13 2 5 2 2" xfId="2705"/>
    <cellStyle name="Normal 13 2 5 2 2 2" xfId="7984"/>
    <cellStyle name="Normal 13 2 5 2 2 3" xfId="12229"/>
    <cellStyle name="Normal 13 2 5 2 3" xfId="6750"/>
    <cellStyle name="Normal 13 2 5 2 4" xfId="12228"/>
    <cellStyle name="Normal 13 2 5 3" xfId="3338"/>
    <cellStyle name="Normal 13 2 5 3 2" xfId="8617"/>
    <cellStyle name="Normal 13 2 5 3 2 2" xfId="54136"/>
    <cellStyle name="Normal 13 2 5 3 3" xfId="12230"/>
    <cellStyle name="Normal 13 2 5 4" xfId="2092"/>
    <cellStyle name="Normal 13 2 5 4 2" xfId="7371"/>
    <cellStyle name="Normal 13 2 5 4 3" xfId="12231"/>
    <cellStyle name="Normal 13 2 5 5" xfId="6133"/>
    <cellStyle name="Normal 13 2 5 6" xfId="12227"/>
    <cellStyle name="Normal 13 2 6" xfId="1239"/>
    <cellStyle name="Normal 13 2 6 2" xfId="2473"/>
    <cellStyle name="Normal 13 2 6 2 2" xfId="7752"/>
    <cellStyle name="Normal 13 2 6 2 3" xfId="12233"/>
    <cellStyle name="Normal 13 2 6 3" xfId="6518"/>
    <cellStyle name="Normal 13 2 6 4" xfId="12232"/>
    <cellStyle name="Normal 13 2 7" xfId="3339"/>
    <cellStyle name="Normal 13 2 7 2" xfId="8618"/>
    <cellStyle name="Normal 13 2 7 2 2" xfId="54137"/>
    <cellStyle name="Normal 13 2 7 3" xfId="12234"/>
    <cellStyle name="Normal 13 2 8" xfId="1926"/>
    <cellStyle name="Normal 13 2 8 2" xfId="7205"/>
    <cellStyle name="Normal 13 2 8 3" xfId="12235"/>
    <cellStyle name="Normal 13 2 9" xfId="5858"/>
    <cellStyle name="Normal 13 3" xfId="504"/>
    <cellStyle name="Normal 13 3 2" xfId="807"/>
    <cellStyle name="Normal 13 3 2 2" xfId="918"/>
    <cellStyle name="Normal 13 3 2 2 2" xfId="1537"/>
    <cellStyle name="Normal 13 3 2 2 2 2" xfId="2771"/>
    <cellStyle name="Normal 13 3 2 2 2 2 2" xfId="8050"/>
    <cellStyle name="Normal 13 3 2 2 2 2 3" xfId="12240"/>
    <cellStyle name="Normal 13 3 2 2 2 3" xfId="6816"/>
    <cellStyle name="Normal 13 3 2 2 2 4" xfId="12239"/>
    <cellStyle name="Normal 13 3 2 2 3" xfId="3340"/>
    <cellStyle name="Normal 13 3 2 2 3 2" xfId="8619"/>
    <cellStyle name="Normal 13 3 2 2 3 2 2" xfId="54138"/>
    <cellStyle name="Normal 13 3 2 2 3 3" xfId="12241"/>
    <cellStyle name="Normal 13 3 2 2 4" xfId="2158"/>
    <cellStyle name="Normal 13 3 2 2 4 2" xfId="7437"/>
    <cellStyle name="Normal 13 3 2 2 4 3" xfId="12242"/>
    <cellStyle name="Normal 13 3 2 2 5" xfId="6199"/>
    <cellStyle name="Normal 13 3 2 2 6" xfId="12238"/>
    <cellStyle name="Normal 13 3 2 3" xfId="1434"/>
    <cellStyle name="Normal 13 3 2 3 2" xfId="2668"/>
    <cellStyle name="Normal 13 3 2 3 2 2" xfId="7947"/>
    <cellStyle name="Normal 13 3 2 3 2 3" xfId="12244"/>
    <cellStyle name="Normal 13 3 2 3 3" xfId="6713"/>
    <cellStyle name="Normal 13 3 2 3 4" xfId="12243"/>
    <cellStyle name="Normal 13 3 2 4" xfId="3341"/>
    <cellStyle name="Normal 13 3 2 4 2" xfId="8620"/>
    <cellStyle name="Normal 13 3 2 4 2 2" xfId="54139"/>
    <cellStyle name="Normal 13 3 2 4 3" xfId="12245"/>
    <cellStyle name="Normal 13 3 2 5" xfId="2060"/>
    <cellStyle name="Normal 13 3 2 5 2" xfId="7339"/>
    <cellStyle name="Normal 13 3 2 5 3" xfId="12246"/>
    <cellStyle name="Normal 13 3 2 6" xfId="6096"/>
    <cellStyle name="Normal 13 3 2 7" xfId="12237"/>
    <cellStyle name="Normal 13 3 3" xfId="869"/>
    <cellStyle name="Normal 13 3 3 2" xfId="1488"/>
    <cellStyle name="Normal 13 3 3 2 2" xfId="2722"/>
    <cellStyle name="Normal 13 3 3 2 2 2" xfId="8001"/>
    <cellStyle name="Normal 13 3 3 2 2 3" xfId="12249"/>
    <cellStyle name="Normal 13 3 3 2 3" xfId="6767"/>
    <cellStyle name="Normal 13 3 3 2 4" xfId="12248"/>
    <cellStyle name="Normal 13 3 3 3" xfId="3342"/>
    <cellStyle name="Normal 13 3 3 3 2" xfId="8621"/>
    <cellStyle name="Normal 13 3 3 3 2 2" xfId="54140"/>
    <cellStyle name="Normal 13 3 3 3 3" xfId="12250"/>
    <cellStyle name="Normal 13 3 3 4" xfId="2109"/>
    <cellStyle name="Normal 13 3 3 4 2" xfId="7388"/>
    <cellStyle name="Normal 13 3 3 4 3" xfId="12251"/>
    <cellStyle name="Normal 13 3 3 5" xfId="6150"/>
    <cellStyle name="Normal 13 3 3 6" xfId="12247"/>
    <cellStyle name="Normal 13 3 4" xfId="1258"/>
    <cellStyle name="Normal 13 3 4 2" xfId="2492"/>
    <cellStyle name="Normal 13 3 4 2 2" xfId="7771"/>
    <cellStyle name="Normal 13 3 4 2 3" xfId="12253"/>
    <cellStyle name="Normal 13 3 4 3" xfId="6537"/>
    <cellStyle name="Normal 13 3 4 4" xfId="12252"/>
    <cellStyle name="Normal 13 3 5" xfId="3343"/>
    <cellStyle name="Normal 13 3 5 2" xfId="8622"/>
    <cellStyle name="Normal 13 3 5 2 2" xfId="54141"/>
    <cellStyle name="Normal 13 3 5 3" xfId="12254"/>
    <cellStyle name="Normal 13 3 6" xfId="1945"/>
    <cellStyle name="Normal 13 3 6 2" xfId="7224"/>
    <cellStyle name="Normal 13 3 6 3" xfId="12255"/>
    <cellStyle name="Normal 13 3 7" xfId="5897"/>
    <cellStyle name="Normal 13 3 8" xfId="12236"/>
    <cellStyle name="Normal 13 4" xfId="724"/>
    <cellStyle name="Normal 13 4 2" xfId="895"/>
    <cellStyle name="Normal 13 4 2 2" xfId="1514"/>
    <cellStyle name="Normal 13 4 2 2 2" xfId="2748"/>
    <cellStyle name="Normal 13 4 2 2 2 2" xfId="8027"/>
    <cellStyle name="Normal 13 4 2 2 2 3" xfId="12259"/>
    <cellStyle name="Normal 13 4 2 2 3" xfId="6793"/>
    <cellStyle name="Normal 13 4 2 2 4" xfId="12258"/>
    <cellStyle name="Normal 13 4 2 3" xfId="3344"/>
    <cellStyle name="Normal 13 4 2 3 2" xfId="8623"/>
    <cellStyle name="Normal 13 4 2 3 2 2" xfId="54142"/>
    <cellStyle name="Normal 13 4 2 3 3" xfId="12260"/>
    <cellStyle name="Normal 13 4 2 4" xfId="2135"/>
    <cellStyle name="Normal 13 4 2 4 2" xfId="7414"/>
    <cellStyle name="Normal 13 4 2 4 3" xfId="12261"/>
    <cellStyle name="Normal 13 4 2 5" xfId="6176"/>
    <cellStyle name="Normal 13 4 2 6" xfId="12257"/>
    <cellStyle name="Normal 13 4 3" xfId="1351"/>
    <cellStyle name="Normal 13 4 3 2" xfId="2585"/>
    <cellStyle name="Normal 13 4 3 2 2" xfId="7864"/>
    <cellStyle name="Normal 13 4 3 2 3" xfId="12263"/>
    <cellStyle name="Normal 13 4 3 3" xfId="6630"/>
    <cellStyle name="Normal 13 4 3 4" xfId="12262"/>
    <cellStyle name="Normal 13 4 4" xfId="3345"/>
    <cellStyle name="Normal 13 4 4 2" xfId="8624"/>
    <cellStyle name="Normal 13 4 4 2 2" xfId="54143"/>
    <cellStyle name="Normal 13 4 4 3" xfId="12264"/>
    <cellStyle name="Normal 13 4 5" xfId="2037"/>
    <cellStyle name="Normal 13 4 5 2" xfId="7316"/>
    <cellStyle name="Normal 13 4 5 3" xfId="12265"/>
    <cellStyle name="Normal 13 4 6" xfId="6013"/>
    <cellStyle name="Normal 13 4 7" xfId="12256"/>
    <cellStyle name="Normal 13 5" xfId="846"/>
    <cellStyle name="Normal 13 5 2" xfId="1465"/>
    <cellStyle name="Normal 13 5 2 2" xfId="2699"/>
    <cellStyle name="Normal 13 5 2 2 2" xfId="7978"/>
    <cellStyle name="Normal 13 5 2 2 3" xfId="12268"/>
    <cellStyle name="Normal 13 5 2 3" xfId="6744"/>
    <cellStyle name="Normal 13 5 2 4" xfId="12267"/>
    <cellStyle name="Normal 13 5 3" xfId="3346"/>
    <cellStyle name="Normal 13 5 3 2" xfId="8625"/>
    <cellStyle name="Normal 13 5 3 2 2" xfId="54144"/>
    <cellStyle name="Normal 13 5 3 3" xfId="12269"/>
    <cellStyle name="Normal 13 5 4" xfId="2086"/>
    <cellStyle name="Normal 13 5 4 2" xfId="7365"/>
    <cellStyle name="Normal 13 5 4 3" xfId="12270"/>
    <cellStyle name="Normal 13 5 5" xfId="6127"/>
    <cellStyle name="Normal 13 5 6" xfId="12266"/>
    <cellStyle name="Normal 13 6" xfId="1233"/>
    <cellStyle name="Normal 13 6 2" xfId="2467"/>
    <cellStyle name="Normal 13 6 2 2" xfId="7746"/>
    <cellStyle name="Normal 13 6 2 3" xfId="12272"/>
    <cellStyle name="Normal 13 6 3" xfId="6512"/>
    <cellStyle name="Normal 13 6 4" xfId="12271"/>
    <cellStyle name="Normal 13 7" xfId="3347"/>
    <cellStyle name="Normal 13 7 2" xfId="8626"/>
    <cellStyle name="Normal 13 7 2 2" xfId="54145"/>
    <cellStyle name="Normal 13 7 3" xfId="12273"/>
    <cellStyle name="Normal 13 8" xfId="1920"/>
    <cellStyle name="Normal 13 8 2" xfId="7199"/>
    <cellStyle name="Normal 13 8 3" xfId="12274"/>
    <cellStyle name="Normal 13 9" xfId="5850"/>
    <cellStyle name="Normal 14" xfId="54"/>
    <cellStyle name="Normal 14 10" xfId="12275"/>
    <cellStyle name="Normal 14 10 2" xfId="62573"/>
    <cellStyle name="Normal 14 10 3" xfId="62578"/>
    <cellStyle name="Normal 14 2" xfId="505"/>
    <cellStyle name="Normal 14 2 2" xfId="808"/>
    <cellStyle name="Normal 14 2 2 2" xfId="919"/>
    <cellStyle name="Normal 14 2 2 2 2" xfId="1538"/>
    <cellStyle name="Normal 14 2 2 2 2 2" xfId="2772"/>
    <cellStyle name="Normal 14 2 2 2 2 2 2" xfId="8051"/>
    <cellStyle name="Normal 14 2 2 2 2 2 3" xfId="12280"/>
    <cellStyle name="Normal 14 2 2 2 2 3" xfId="6817"/>
    <cellStyle name="Normal 14 2 2 2 2 4" xfId="12279"/>
    <cellStyle name="Normal 14 2 2 2 3" xfId="3348"/>
    <cellStyle name="Normal 14 2 2 2 3 2" xfId="8627"/>
    <cellStyle name="Normal 14 2 2 2 3 2 2" xfId="54146"/>
    <cellStyle name="Normal 14 2 2 2 3 3" xfId="12281"/>
    <cellStyle name="Normal 14 2 2 2 4" xfId="2159"/>
    <cellStyle name="Normal 14 2 2 2 4 2" xfId="7438"/>
    <cellStyle name="Normal 14 2 2 2 4 3" xfId="12282"/>
    <cellStyle name="Normal 14 2 2 2 5" xfId="6200"/>
    <cellStyle name="Normal 14 2 2 2 6" xfId="12278"/>
    <cellStyle name="Normal 14 2 2 3" xfId="1435"/>
    <cellStyle name="Normal 14 2 2 3 2" xfId="2669"/>
    <cellStyle name="Normal 14 2 2 3 2 2" xfId="7948"/>
    <cellStyle name="Normal 14 2 2 3 2 3" xfId="12284"/>
    <cellStyle name="Normal 14 2 2 3 3" xfId="6714"/>
    <cellStyle name="Normal 14 2 2 3 4" xfId="12283"/>
    <cellStyle name="Normal 14 2 2 4" xfId="3349"/>
    <cellStyle name="Normal 14 2 2 4 2" xfId="8628"/>
    <cellStyle name="Normal 14 2 2 4 2 2" xfId="54147"/>
    <cellStyle name="Normal 14 2 2 4 3" xfId="12285"/>
    <cellStyle name="Normal 14 2 2 5" xfId="2061"/>
    <cellStyle name="Normal 14 2 2 5 2" xfId="7340"/>
    <cellStyle name="Normal 14 2 2 5 3" xfId="12286"/>
    <cellStyle name="Normal 14 2 2 6" xfId="6097"/>
    <cellStyle name="Normal 14 2 2 7" xfId="12277"/>
    <cellStyle name="Normal 14 2 3" xfId="870"/>
    <cellStyle name="Normal 14 2 3 2" xfId="1489"/>
    <cellStyle name="Normal 14 2 3 2 2" xfId="2723"/>
    <cellStyle name="Normal 14 2 3 2 2 2" xfId="8002"/>
    <cellStyle name="Normal 14 2 3 2 2 3" xfId="12289"/>
    <cellStyle name="Normal 14 2 3 2 3" xfId="6768"/>
    <cellStyle name="Normal 14 2 3 2 4" xfId="12288"/>
    <cellStyle name="Normal 14 2 3 3" xfId="3350"/>
    <cellStyle name="Normal 14 2 3 3 2" xfId="8629"/>
    <cellStyle name="Normal 14 2 3 3 2 2" xfId="54148"/>
    <cellStyle name="Normal 14 2 3 3 3" xfId="12290"/>
    <cellStyle name="Normal 14 2 3 4" xfId="2110"/>
    <cellStyle name="Normal 14 2 3 4 2" xfId="7389"/>
    <cellStyle name="Normal 14 2 3 4 3" xfId="12291"/>
    <cellStyle name="Normal 14 2 3 5" xfId="6151"/>
    <cellStyle name="Normal 14 2 3 6" xfId="12287"/>
    <cellStyle name="Normal 14 2 4" xfId="1259"/>
    <cellStyle name="Normal 14 2 4 2" xfId="2493"/>
    <cellStyle name="Normal 14 2 4 2 2" xfId="7772"/>
    <cellStyle name="Normal 14 2 4 2 3" xfId="12293"/>
    <cellStyle name="Normal 14 2 4 3" xfId="6538"/>
    <cellStyle name="Normal 14 2 4 4" xfId="12292"/>
    <cellStyle name="Normal 14 2 5" xfId="3351"/>
    <cellStyle name="Normal 14 2 5 2" xfId="8630"/>
    <cellStyle name="Normal 14 2 5 2 2" xfId="54149"/>
    <cellStyle name="Normal 14 2 5 3" xfId="12294"/>
    <cellStyle name="Normal 14 2 6" xfId="1946"/>
    <cellStyle name="Normal 14 2 6 2" xfId="7225"/>
    <cellStyle name="Normal 14 2 6 3" xfId="12295"/>
    <cellStyle name="Normal 14 2 7" xfId="5898"/>
    <cellStyle name="Normal 14 2 8" xfId="12276"/>
    <cellStyle name="Normal 14 3" xfId="731"/>
    <cellStyle name="Normal 14 3 2" xfId="902"/>
    <cellStyle name="Normal 14 3 2 2" xfId="1521"/>
    <cellStyle name="Normal 14 3 2 2 2" xfId="2755"/>
    <cellStyle name="Normal 14 3 2 2 2 2" xfId="8034"/>
    <cellStyle name="Normal 14 3 2 2 2 3" xfId="12299"/>
    <cellStyle name="Normal 14 3 2 2 3" xfId="6800"/>
    <cellStyle name="Normal 14 3 2 2 4" xfId="12298"/>
    <cellStyle name="Normal 14 3 2 3" xfId="3352"/>
    <cellStyle name="Normal 14 3 2 3 2" xfId="8631"/>
    <cellStyle name="Normal 14 3 2 3 2 2" xfId="54150"/>
    <cellStyle name="Normal 14 3 2 3 3" xfId="12300"/>
    <cellStyle name="Normal 14 3 2 4" xfId="2142"/>
    <cellStyle name="Normal 14 3 2 4 2" xfId="7421"/>
    <cellStyle name="Normal 14 3 2 4 3" xfId="12301"/>
    <cellStyle name="Normal 14 3 2 5" xfId="6183"/>
    <cellStyle name="Normal 14 3 2 6" xfId="12297"/>
    <cellStyle name="Normal 14 3 3" xfId="1358"/>
    <cellStyle name="Normal 14 3 3 2" xfId="2592"/>
    <cellStyle name="Normal 14 3 3 2 2" xfId="7871"/>
    <cellStyle name="Normal 14 3 3 2 3" xfId="12303"/>
    <cellStyle name="Normal 14 3 3 3" xfId="6637"/>
    <cellStyle name="Normal 14 3 3 4" xfId="12302"/>
    <cellStyle name="Normal 14 3 4" xfId="3353"/>
    <cellStyle name="Normal 14 3 4 2" xfId="8632"/>
    <cellStyle name="Normal 14 3 4 2 2" xfId="54151"/>
    <cellStyle name="Normal 14 3 4 3" xfId="12304"/>
    <cellStyle name="Normal 14 3 5" xfId="2044"/>
    <cellStyle name="Normal 14 3 5 2" xfId="7323"/>
    <cellStyle name="Normal 14 3 5 3" xfId="12305"/>
    <cellStyle name="Normal 14 3 6" xfId="6020"/>
    <cellStyle name="Normal 14 3 7" xfId="12296"/>
    <cellStyle name="Normal 14 4" xfId="853"/>
    <cellStyle name="Normal 14 4 2" xfId="1472"/>
    <cellStyle name="Normal 14 4 2 2" xfId="2706"/>
    <cellStyle name="Normal 14 4 2 2 2" xfId="7985"/>
    <cellStyle name="Normal 14 4 2 2 3" xfId="12308"/>
    <cellStyle name="Normal 14 4 2 3" xfId="6751"/>
    <cellStyle name="Normal 14 4 2 4" xfId="12307"/>
    <cellStyle name="Normal 14 4 3" xfId="3354"/>
    <cellStyle name="Normal 14 4 3 2" xfId="8633"/>
    <cellStyle name="Normal 14 4 3 2 2" xfId="54152"/>
    <cellStyle name="Normal 14 4 3 3" xfId="12309"/>
    <cellStyle name="Normal 14 4 4" xfId="2093"/>
    <cellStyle name="Normal 14 4 4 2" xfId="7372"/>
    <cellStyle name="Normal 14 4 4 3" xfId="12310"/>
    <cellStyle name="Normal 14 4 5" xfId="6134"/>
    <cellStyle name="Normal 14 4 6" xfId="12306"/>
    <cellStyle name="Normal 14 5" xfId="1240"/>
    <cellStyle name="Normal 14 5 2" xfId="2474"/>
    <cellStyle name="Normal 14 5 2 2" xfId="7753"/>
    <cellStyle name="Normal 14 5 2 3" xfId="12312"/>
    <cellStyle name="Normal 14 5 3" xfId="6519"/>
    <cellStyle name="Normal 14 5 4" xfId="12311"/>
    <cellStyle name="Normal 14 6" xfId="3355"/>
    <cellStyle name="Normal 14 6 2" xfId="8634"/>
    <cellStyle name="Normal 14 6 2 2" xfId="54153"/>
    <cellStyle name="Normal 14 6 3" xfId="12313"/>
    <cellStyle name="Normal 14 7" xfId="1927"/>
    <cellStyle name="Normal 14 7 2" xfId="7206"/>
    <cellStyle name="Normal 14 7 3" xfId="12314"/>
    <cellStyle name="Normal 14 8" xfId="5824"/>
    <cellStyle name="Normal 14 8 2" xfId="62580"/>
    <cellStyle name="Normal 14 9" xfId="5859"/>
    <cellStyle name="Normal 15" xfId="506"/>
    <cellStyle name="Normal 15 2" xfId="5917"/>
    <cellStyle name="Normal 16" xfId="507"/>
    <cellStyle name="Normal 16 2" xfId="809"/>
    <cellStyle name="Normal 16 2 2" xfId="920"/>
    <cellStyle name="Normal 16 2 2 2" xfId="1539"/>
    <cellStyle name="Normal 16 2 2 2 2" xfId="2773"/>
    <cellStyle name="Normal 16 2 2 2 2 2" xfId="8052"/>
    <cellStyle name="Normal 16 2 2 2 2 3" xfId="12318"/>
    <cellStyle name="Normal 16 2 2 2 3" xfId="6818"/>
    <cellStyle name="Normal 16 2 2 2 4" xfId="12317"/>
    <cellStyle name="Normal 16 2 2 3" xfId="3356"/>
    <cellStyle name="Normal 16 2 2 3 2" xfId="8635"/>
    <cellStyle name="Normal 16 2 2 3 2 2" xfId="54154"/>
    <cellStyle name="Normal 16 2 2 3 3" xfId="12319"/>
    <cellStyle name="Normal 16 2 2 4" xfId="2160"/>
    <cellStyle name="Normal 16 2 2 4 2" xfId="7439"/>
    <cellStyle name="Normal 16 2 2 4 3" xfId="12320"/>
    <cellStyle name="Normal 16 2 2 5" xfId="6201"/>
    <cellStyle name="Normal 16 2 2 6" xfId="12316"/>
    <cellStyle name="Normal 16 2 3" xfId="1436"/>
    <cellStyle name="Normal 16 2 3 2" xfId="2670"/>
    <cellStyle name="Normal 16 2 3 2 2" xfId="7949"/>
    <cellStyle name="Normal 16 2 3 2 3" xfId="12322"/>
    <cellStyle name="Normal 16 2 3 3" xfId="6715"/>
    <cellStyle name="Normal 16 2 3 4" xfId="12321"/>
    <cellStyle name="Normal 16 2 4" xfId="3357"/>
    <cellStyle name="Normal 16 2 4 2" xfId="8636"/>
    <cellStyle name="Normal 16 2 4 2 2" xfId="54155"/>
    <cellStyle name="Normal 16 2 4 3" xfId="12323"/>
    <cellStyle name="Normal 16 2 5" xfId="2062"/>
    <cellStyle name="Normal 16 2 5 2" xfId="7341"/>
    <cellStyle name="Normal 16 2 5 3" xfId="12324"/>
    <cellStyle name="Normal 16 2 6" xfId="6098"/>
    <cellStyle name="Normal 16 2 7" xfId="12315"/>
    <cellStyle name="Normal 16 3" xfId="935"/>
    <cellStyle name="Normal 16 3 2" xfId="1554"/>
    <cellStyle name="Normal 16 3 2 2" xfId="2788"/>
    <cellStyle name="Normal 16 3 2 2 2" xfId="8067"/>
    <cellStyle name="Normal 16 3 2 2 3" xfId="12327"/>
    <cellStyle name="Normal 16 3 2 3" xfId="6833"/>
    <cellStyle name="Normal 16 3 2 4" xfId="12326"/>
    <cellStyle name="Normal 16 3 3" xfId="3358"/>
    <cellStyle name="Normal 16 3 3 2" xfId="8637"/>
    <cellStyle name="Normal 16 3 3 2 2" xfId="54156"/>
    <cellStyle name="Normal 16 3 3 3" xfId="12328"/>
    <cellStyle name="Normal 16 3 4" xfId="2175"/>
    <cellStyle name="Normal 16 3 4 2" xfId="7454"/>
    <cellStyle name="Normal 16 3 4 3" xfId="12329"/>
    <cellStyle name="Normal 16 3 5" xfId="6216"/>
    <cellStyle name="Normal 16 3 6" xfId="12325"/>
    <cellStyle name="Normal 16 4" xfId="871"/>
    <cellStyle name="Normal 16 4 2" xfId="1490"/>
    <cellStyle name="Normal 16 4 2 2" xfId="2724"/>
    <cellStyle name="Normal 16 4 2 2 2" xfId="8003"/>
    <cellStyle name="Normal 16 4 2 2 3" xfId="12332"/>
    <cellStyle name="Normal 16 4 2 3" xfId="6769"/>
    <cellStyle name="Normal 16 4 2 4" xfId="12331"/>
    <cellStyle name="Normal 16 4 3" xfId="3359"/>
    <cellStyle name="Normal 16 4 3 2" xfId="8638"/>
    <cellStyle name="Normal 16 4 3 2 2" xfId="54157"/>
    <cellStyle name="Normal 16 4 3 3" xfId="12333"/>
    <cellStyle name="Normal 16 4 4" xfId="2111"/>
    <cellStyle name="Normal 16 4 4 2" xfId="7390"/>
    <cellStyle name="Normal 16 4 4 3" xfId="12334"/>
    <cellStyle name="Normal 16 4 5" xfId="6152"/>
    <cellStyle name="Normal 16 4 6" xfId="12330"/>
    <cellStyle name="Normal 16 5" xfId="1260"/>
    <cellStyle name="Normal 16 5 2" xfId="2494"/>
    <cellStyle name="Normal 16 5 2 2" xfId="7773"/>
    <cellStyle name="Normal 16 5 2 3" xfId="12336"/>
    <cellStyle name="Normal 16 5 3" xfId="6539"/>
    <cellStyle name="Normal 16 5 4" xfId="12335"/>
    <cellStyle name="Normal 16 6" xfId="3360"/>
    <cellStyle name="Normal 16 6 2" xfId="8639"/>
    <cellStyle name="Normal 16 6 2 2" xfId="54158"/>
    <cellStyle name="Normal 16 6 3" xfId="12337"/>
    <cellStyle name="Normal 16 7" xfId="1947"/>
    <cellStyle name="Normal 16 7 2" xfId="7226"/>
    <cellStyle name="Normal 16 7 3" xfId="12338"/>
    <cellStyle name="Normal 16 8" xfId="5900"/>
    <cellStyle name="Normal 16 9" xfId="11550"/>
    <cellStyle name="Normal 17" xfId="698"/>
    <cellStyle name="Normal 17 2" xfId="821"/>
    <cellStyle name="Normal 17 2 2" xfId="927"/>
    <cellStyle name="Normal 17 2 2 2" xfId="1546"/>
    <cellStyle name="Normal 17 2 2 2 2" xfId="2780"/>
    <cellStyle name="Normal 17 2 2 2 2 2" xfId="8059"/>
    <cellStyle name="Normal 17 2 2 2 2 3" xfId="12343"/>
    <cellStyle name="Normal 17 2 2 2 3" xfId="6825"/>
    <cellStyle name="Normal 17 2 2 2 4" xfId="12342"/>
    <cellStyle name="Normal 17 2 2 3" xfId="3361"/>
    <cellStyle name="Normal 17 2 2 3 2" xfId="8640"/>
    <cellStyle name="Normal 17 2 2 3 2 2" xfId="54159"/>
    <cellStyle name="Normal 17 2 2 3 3" xfId="12344"/>
    <cellStyle name="Normal 17 2 2 4" xfId="2167"/>
    <cellStyle name="Normal 17 2 2 4 2" xfId="7446"/>
    <cellStyle name="Normal 17 2 2 4 3" xfId="12345"/>
    <cellStyle name="Normal 17 2 2 5" xfId="6208"/>
    <cellStyle name="Normal 17 2 2 6" xfId="12341"/>
    <cellStyle name="Normal 17 2 3" xfId="1448"/>
    <cellStyle name="Normal 17 2 3 2" xfId="2682"/>
    <cellStyle name="Normal 17 2 3 2 2" xfId="7961"/>
    <cellStyle name="Normal 17 2 3 2 3" xfId="12347"/>
    <cellStyle name="Normal 17 2 3 3" xfId="6727"/>
    <cellStyle name="Normal 17 2 3 4" xfId="12346"/>
    <cellStyle name="Normal 17 2 4" xfId="3362"/>
    <cellStyle name="Normal 17 2 4 2" xfId="8641"/>
    <cellStyle name="Normal 17 2 4 2 2" xfId="54160"/>
    <cellStyle name="Normal 17 2 4 3" xfId="12348"/>
    <cellStyle name="Normal 17 2 5" xfId="2069"/>
    <cellStyle name="Normal 17 2 5 2" xfId="7348"/>
    <cellStyle name="Normal 17 2 5 3" xfId="12349"/>
    <cellStyle name="Normal 17 2 6" xfId="6110"/>
    <cellStyle name="Normal 17 2 7" xfId="12340"/>
    <cellStyle name="Normal 17 3" xfId="878"/>
    <cellStyle name="Normal 17 3 2" xfId="1497"/>
    <cellStyle name="Normal 17 3 2 2" xfId="2731"/>
    <cellStyle name="Normal 17 3 2 2 2" xfId="8010"/>
    <cellStyle name="Normal 17 3 2 2 3" xfId="12352"/>
    <cellStyle name="Normal 17 3 2 3" xfId="6776"/>
    <cellStyle name="Normal 17 3 2 4" xfId="12351"/>
    <cellStyle name="Normal 17 3 3" xfId="3363"/>
    <cellStyle name="Normal 17 3 3 2" xfId="8642"/>
    <cellStyle name="Normal 17 3 3 2 2" xfId="54161"/>
    <cellStyle name="Normal 17 3 3 3" xfId="12353"/>
    <cellStyle name="Normal 17 3 4" xfId="2118"/>
    <cellStyle name="Normal 17 3 4 2" xfId="7397"/>
    <cellStyle name="Normal 17 3 4 3" xfId="12354"/>
    <cellStyle name="Normal 17 3 5" xfId="6159"/>
    <cellStyle name="Normal 17 3 6" xfId="12350"/>
    <cellStyle name="Normal 17 4" xfId="1333"/>
    <cellStyle name="Normal 17 4 2" xfId="2567"/>
    <cellStyle name="Normal 17 4 2 2" xfId="7846"/>
    <cellStyle name="Normal 17 4 2 3" xfId="12356"/>
    <cellStyle name="Normal 17 4 3" xfId="6612"/>
    <cellStyle name="Normal 17 4 4" xfId="12355"/>
    <cellStyle name="Normal 17 5" xfId="3364"/>
    <cellStyle name="Normal 17 5 2" xfId="8643"/>
    <cellStyle name="Normal 17 5 2 2" xfId="54162"/>
    <cellStyle name="Normal 17 5 3" xfId="12357"/>
    <cellStyle name="Normal 17 6" xfId="2020"/>
    <cellStyle name="Normal 17 6 2" xfId="7299"/>
    <cellStyle name="Normal 17 6 3" xfId="12358"/>
    <cellStyle name="Normal 17 7" xfId="5995"/>
    <cellStyle name="Normal 17 8" xfId="12339"/>
    <cellStyle name="Normal 17 9" xfId="52844"/>
    <cellStyle name="Normal 18" xfId="701"/>
    <cellStyle name="Normal 18 2" xfId="824"/>
    <cellStyle name="Normal 18 2 2" xfId="930"/>
    <cellStyle name="Normal 18 2 2 2" xfId="1549"/>
    <cellStyle name="Normal 18 2 2 2 2" xfId="2783"/>
    <cellStyle name="Normal 18 2 2 2 2 2" xfId="8062"/>
    <cellStyle name="Normal 18 2 2 2 2 3" xfId="12363"/>
    <cellStyle name="Normal 18 2 2 2 3" xfId="6828"/>
    <cellStyle name="Normal 18 2 2 2 4" xfId="12362"/>
    <cellStyle name="Normal 18 2 2 3" xfId="3365"/>
    <cellStyle name="Normal 18 2 2 3 2" xfId="8644"/>
    <cellStyle name="Normal 18 2 2 3 2 2" xfId="54163"/>
    <cellStyle name="Normal 18 2 2 3 3" xfId="12364"/>
    <cellStyle name="Normal 18 2 2 4" xfId="2170"/>
    <cellStyle name="Normal 18 2 2 4 2" xfId="7449"/>
    <cellStyle name="Normal 18 2 2 4 3" xfId="12365"/>
    <cellStyle name="Normal 18 2 2 5" xfId="6211"/>
    <cellStyle name="Normal 18 2 2 6" xfId="12361"/>
    <cellStyle name="Normal 18 2 3" xfId="1451"/>
    <cellStyle name="Normal 18 2 3 2" xfId="2685"/>
    <cellStyle name="Normal 18 2 3 2 2" xfId="7964"/>
    <cellStyle name="Normal 18 2 3 2 3" xfId="12367"/>
    <cellStyle name="Normal 18 2 3 3" xfId="6730"/>
    <cellStyle name="Normal 18 2 3 4" xfId="12366"/>
    <cellStyle name="Normal 18 2 4" xfId="3366"/>
    <cellStyle name="Normal 18 2 4 2" xfId="8645"/>
    <cellStyle name="Normal 18 2 4 2 2" xfId="54164"/>
    <cellStyle name="Normal 18 2 4 3" xfId="12368"/>
    <cellStyle name="Normal 18 2 5" xfId="2072"/>
    <cellStyle name="Normal 18 2 5 2" xfId="7351"/>
    <cellStyle name="Normal 18 2 5 3" xfId="12369"/>
    <cellStyle name="Normal 18 2 6" xfId="6113"/>
    <cellStyle name="Normal 18 2 7" xfId="12360"/>
    <cellStyle name="Normal 18 3" xfId="881"/>
    <cellStyle name="Normal 18 3 2" xfId="1500"/>
    <cellStyle name="Normal 18 3 2 2" xfId="2734"/>
    <cellStyle name="Normal 18 3 2 2 2" xfId="8013"/>
    <cellStyle name="Normal 18 3 2 2 3" xfId="12372"/>
    <cellStyle name="Normal 18 3 2 3" xfId="6779"/>
    <cellStyle name="Normal 18 3 2 4" xfId="12371"/>
    <cellStyle name="Normal 18 3 3" xfId="3367"/>
    <cellStyle name="Normal 18 3 3 2" xfId="8646"/>
    <cellStyle name="Normal 18 3 3 2 2" xfId="54165"/>
    <cellStyle name="Normal 18 3 3 3" xfId="12373"/>
    <cellStyle name="Normal 18 3 4" xfId="2121"/>
    <cellStyle name="Normal 18 3 4 2" xfId="7400"/>
    <cellStyle name="Normal 18 3 4 3" xfId="12374"/>
    <cellStyle name="Normal 18 3 5" xfId="6162"/>
    <cellStyle name="Normal 18 3 6" xfId="12370"/>
    <cellStyle name="Normal 18 4" xfId="1336"/>
    <cellStyle name="Normal 18 4 2" xfId="2570"/>
    <cellStyle name="Normal 18 4 2 2" xfId="7849"/>
    <cellStyle name="Normal 18 4 2 3" xfId="12376"/>
    <cellStyle name="Normal 18 4 3" xfId="6615"/>
    <cellStyle name="Normal 18 4 4" xfId="12375"/>
    <cellStyle name="Normal 18 5" xfId="3368"/>
    <cellStyle name="Normal 18 5 2" xfId="8647"/>
    <cellStyle name="Normal 18 5 2 2" xfId="54166"/>
    <cellStyle name="Normal 18 5 3" xfId="12377"/>
    <cellStyle name="Normal 18 6" xfId="2023"/>
    <cellStyle name="Normal 18 6 2" xfId="7302"/>
    <cellStyle name="Normal 18 6 3" xfId="12378"/>
    <cellStyle name="Normal 18 7" xfId="5998"/>
    <cellStyle name="Normal 18 8" xfId="12359"/>
    <cellStyle name="Normal 19" xfId="5825"/>
    <cellStyle name="Normal 19 2" xfId="16078"/>
    <cellStyle name="Normal 2" xfId="8"/>
    <cellStyle name="Normal 2 10" xfId="49382"/>
    <cellStyle name="Normal 2 10 10" xfId="49383"/>
    <cellStyle name="Normal 2 10 11" xfId="49384"/>
    <cellStyle name="Normal 2 10 2" xfId="49385"/>
    <cellStyle name="Normal 2 10 2 10" xfId="49386"/>
    <cellStyle name="Normal 2 10 2 2" xfId="49387"/>
    <cellStyle name="Normal 2 10 2 2 2" xfId="49388"/>
    <cellStyle name="Normal 2 10 2 2 2 2" xfId="49389"/>
    <cellStyle name="Normal 2 10 2 2 3" xfId="49390"/>
    <cellStyle name="Normal 2 10 2 2 3 2" xfId="49391"/>
    <cellStyle name="Normal 2 10 2 2 4" xfId="49392"/>
    <cellStyle name="Normal 2 10 2 2 5" xfId="49393"/>
    <cellStyle name="Normal 2 10 2 2 6" xfId="49394"/>
    <cellStyle name="Normal 2 10 2 2 7" xfId="49395"/>
    <cellStyle name="Normal 2 10 2 3" xfId="49396"/>
    <cellStyle name="Normal 2 10 2 3 2" xfId="49397"/>
    <cellStyle name="Normal 2 10 2 3 2 2" xfId="49398"/>
    <cellStyle name="Normal 2 10 2 3 3" xfId="49399"/>
    <cellStyle name="Normal 2 10 2 3 3 2" xfId="49400"/>
    <cellStyle name="Normal 2 10 2 3 4" xfId="49401"/>
    <cellStyle name="Normal 2 10 2 3 5" xfId="49402"/>
    <cellStyle name="Normal 2 10 2 3 6" xfId="49403"/>
    <cellStyle name="Normal 2 10 2 3 7" xfId="49404"/>
    <cellStyle name="Normal 2 10 2 4" xfId="49405"/>
    <cellStyle name="Normal 2 10 2 4 2" xfId="49406"/>
    <cellStyle name="Normal 2 10 2 4 2 2" xfId="49407"/>
    <cellStyle name="Normal 2 10 2 4 3" xfId="49408"/>
    <cellStyle name="Normal 2 10 2 4 3 2" xfId="49409"/>
    <cellStyle name="Normal 2 10 2 4 4" xfId="49410"/>
    <cellStyle name="Normal 2 10 2 4 5" xfId="49411"/>
    <cellStyle name="Normal 2 10 2 4 6" xfId="49412"/>
    <cellStyle name="Normal 2 10 2 4 7" xfId="49413"/>
    <cellStyle name="Normal 2 10 2 5" xfId="49414"/>
    <cellStyle name="Normal 2 10 2 5 2" xfId="49415"/>
    <cellStyle name="Normal 2 10 2 6" xfId="49416"/>
    <cellStyle name="Normal 2 10 2 6 2" xfId="49417"/>
    <cellStyle name="Normal 2 10 2 7" xfId="49418"/>
    <cellStyle name="Normal 2 10 2 8" xfId="49419"/>
    <cellStyle name="Normal 2 10 2 9" xfId="49420"/>
    <cellStyle name="Normal 2 10 3" xfId="49421"/>
    <cellStyle name="Normal 2 10 3 2" xfId="49422"/>
    <cellStyle name="Normal 2 10 3 2 2" xfId="49423"/>
    <cellStyle name="Normal 2 10 3 3" xfId="49424"/>
    <cellStyle name="Normal 2 10 3 3 2" xfId="49425"/>
    <cellStyle name="Normal 2 10 3 4" xfId="49426"/>
    <cellStyle name="Normal 2 10 3 5" xfId="49427"/>
    <cellStyle name="Normal 2 10 3 6" xfId="49428"/>
    <cellStyle name="Normal 2 10 3 7" xfId="49429"/>
    <cellStyle name="Normal 2 10 4" xfId="49430"/>
    <cellStyle name="Normal 2 10 4 2" xfId="49431"/>
    <cellStyle name="Normal 2 10 4 2 2" xfId="49432"/>
    <cellStyle name="Normal 2 10 4 3" xfId="49433"/>
    <cellStyle name="Normal 2 10 4 3 2" xfId="49434"/>
    <cellStyle name="Normal 2 10 4 4" xfId="49435"/>
    <cellStyle name="Normal 2 10 4 5" xfId="49436"/>
    <cellStyle name="Normal 2 10 4 6" xfId="49437"/>
    <cellStyle name="Normal 2 10 4 7" xfId="49438"/>
    <cellStyle name="Normal 2 10 5" xfId="49439"/>
    <cellStyle name="Normal 2 10 5 2" xfId="49440"/>
    <cellStyle name="Normal 2 10 5 2 2" xfId="49441"/>
    <cellStyle name="Normal 2 10 5 3" xfId="49442"/>
    <cellStyle name="Normal 2 10 5 3 2" xfId="49443"/>
    <cellStyle name="Normal 2 10 5 4" xfId="49444"/>
    <cellStyle name="Normal 2 10 5 5" xfId="49445"/>
    <cellStyle name="Normal 2 10 5 6" xfId="49446"/>
    <cellStyle name="Normal 2 10 5 7" xfId="49447"/>
    <cellStyle name="Normal 2 10 6" xfId="49448"/>
    <cellStyle name="Normal 2 10 6 2" xfId="49449"/>
    <cellStyle name="Normal 2 10 7" xfId="49450"/>
    <cellStyle name="Normal 2 10 7 2" xfId="49451"/>
    <cellStyle name="Normal 2 10 8" xfId="49452"/>
    <cellStyle name="Normal 2 10 9" xfId="49453"/>
    <cellStyle name="Normal 2 11" xfId="49454"/>
    <cellStyle name="Normal 2 11 10" xfId="49455"/>
    <cellStyle name="Normal 2 11 11" xfId="49456"/>
    <cellStyle name="Normal 2 11 2" xfId="49457"/>
    <cellStyle name="Normal 2 11 2 10" xfId="49458"/>
    <cellStyle name="Normal 2 11 2 2" xfId="49459"/>
    <cellStyle name="Normal 2 11 2 2 2" xfId="49460"/>
    <cellStyle name="Normal 2 11 2 2 2 2" xfId="49461"/>
    <cellStyle name="Normal 2 11 2 2 3" xfId="49462"/>
    <cellStyle name="Normal 2 11 2 2 3 2" xfId="49463"/>
    <cellStyle name="Normal 2 11 2 2 4" xfId="49464"/>
    <cellStyle name="Normal 2 11 2 2 5" xfId="49465"/>
    <cellStyle name="Normal 2 11 2 2 6" xfId="49466"/>
    <cellStyle name="Normal 2 11 2 2 7" xfId="49467"/>
    <cellStyle name="Normal 2 11 2 3" xfId="49468"/>
    <cellStyle name="Normal 2 11 2 3 2" xfId="49469"/>
    <cellStyle name="Normal 2 11 2 3 2 2" xfId="49470"/>
    <cellStyle name="Normal 2 11 2 3 3" xfId="49471"/>
    <cellStyle name="Normal 2 11 2 3 3 2" xfId="49472"/>
    <cellStyle name="Normal 2 11 2 3 4" xfId="49473"/>
    <cellStyle name="Normal 2 11 2 3 5" xfId="49474"/>
    <cellStyle name="Normal 2 11 2 3 6" xfId="49475"/>
    <cellStyle name="Normal 2 11 2 3 7" xfId="49476"/>
    <cellStyle name="Normal 2 11 2 4" xfId="49477"/>
    <cellStyle name="Normal 2 11 2 4 2" xfId="49478"/>
    <cellStyle name="Normal 2 11 2 4 2 2" xfId="49479"/>
    <cellStyle name="Normal 2 11 2 4 3" xfId="49480"/>
    <cellStyle name="Normal 2 11 2 4 3 2" xfId="49481"/>
    <cellStyle name="Normal 2 11 2 4 4" xfId="49482"/>
    <cellStyle name="Normal 2 11 2 4 5" xfId="49483"/>
    <cellStyle name="Normal 2 11 2 4 6" xfId="49484"/>
    <cellStyle name="Normal 2 11 2 4 7" xfId="49485"/>
    <cellStyle name="Normal 2 11 2 5" xfId="49486"/>
    <cellStyle name="Normal 2 11 2 5 2" xfId="49487"/>
    <cellStyle name="Normal 2 11 2 6" xfId="49488"/>
    <cellStyle name="Normal 2 11 2 6 2" xfId="49489"/>
    <cellStyle name="Normal 2 11 2 7" xfId="49490"/>
    <cellStyle name="Normal 2 11 2 8" xfId="49491"/>
    <cellStyle name="Normal 2 11 2 9" xfId="49492"/>
    <cellStyle name="Normal 2 11 3" xfId="49493"/>
    <cellStyle name="Normal 2 11 3 2" xfId="49494"/>
    <cellStyle name="Normal 2 11 3 2 2" xfId="49495"/>
    <cellStyle name="Normal 2 11 3 3" xfId="49496"/>
    <cellStyle name="Normal 2 11 3 3 2" xfId="49497"/>
    <cellStyle name="Normal 2 11 3 4" xfId="49498"/>
    <cellStyle name="Normal 2 11 3 5" xfId="49499"/>
    <cellStyle name="Normal 2 11 3 6" xfId="49500"/>
    <cellStyle name="Normal 2 11 3 7" xfId="49501"/>
    <cellStyle name="Normal 2 11 4" xfId="49502"/>
    <cellStyle name="Normal 2 11 4 2" xfId="49503"/>
    <cellStyle name="Normal 2 11 4 2 2" xfId="49504"/>
    <cellStyle name="Normal 2 11 4 3" xfId="49505"/>
    <cellStyle name="Normal 2 11 4 3 2" xfId="49506"/>
    <cellStyle name="Normal 2 11 4 4" xfId="49507"/>
    <cellStyle name="Normal 2 11 4 5" xfId="49508"/>
    <cellStyle name="Normal 2 11 4 6" xfId="49509"/>
    <cellStyle name="Normal 2 11 4 7" xfId="49510"/>
    <cellStyle name="Normal 2 11 5" xfId="49511"/>
    <cellStyle name="Normal 2 11 5 2" xfId="49512"/>
    <cellStyle name="Normal 2 11 5 2 2" xfId="49513"/>
    <cellStyle name="Normal 2 11 5 3" xfId="49514"/>
    <cellStyle name="Normal 2 11 5 3 2" xfId="49515"/>
    <cellStyle name="Normal 2 11 5 4" xfId="49516"/>
    <cellStyle name="Normal 2 11 5 5" xfId="49517"/>
    <cellStyle name="Normal 2 11 5 6" xfId="49518"/>
    <cellStyle name="Normal 2 11 5 7" xfId="49519"/>
    <cellStyle name="Normal 2 11 6" xfId="49520"/>
    <cellStyle name="Normal 2 11 6 2" xfId="49521"/>
    <cellStyle name="Normal 2 11 7" xfId="49522"/>
    <cellStyle name="Normal 2 11 7 2" xfId="49523"/>
    <cellStyle name="Normal 2 11 8" xfId="49524"/>
    <cellStyle name="Normal 2 11 9" xfId="49525"/>
    <cellStyle name="Normal 2 12" xfId="49526"/>
    <cellStyle name="Normal 2 12 10" xfId="49527"/>
    <cellStyle name="Normal 2 12 2" xfId="49528"/>
    <cellStyle name="Normal 2 12 2 2" xfId="49529"/>
    <cellStyle name="Normal 2 12 2 2 2" xfId="49530"/>
    <cellStyle name="Normal 2 12 2 3" xfId="49531"/>
    <cellStyle name="Normal 2 12 2 3 2" xfId="49532"/>
    <cellStyle name="Normal 2 12 2 4" xfId="49533"/>
    <cellStyle name="Normal 2 12 2 5" xfId="49534"/>
    <cellStyle name="Normal 2 12 2 6" xfId="49535"/>
    <cellStyle name="Normal 2 12 2 7" xfId="49536"/>
    <cellStyle name="Normal 2 12 3" xfId="49537"/>
    <cellStyle name="Normal 2 12 3 2" xfId="49538"/>
    <cellStyle name="Normal 2 12 3 2 2" xfId="49539"/>
    <cellStyle name="Normal 2 12 3 3" xfId="49540"/>
    <cellStyle name="Normal 2 12 3 3 2" xfId="49541"/>
    <cellStyle name="Normal 2 12 3 4" xfId="49542"/>
    <cellStyle name="Normal 2 12 3 5" xfId="49543"/>
    <cellStyle name="Normal 2 12 3 6" xfId="49544"/>
    <cellStyle name="Normal 2 12 3 7" xfId="49545"/>
    <cellStyle name="Normal 2 12 4" xfId="49546"/>
    <cellStyle name="Normal 2 12 4 2" xfId="49547"/>
    <cellStyle name="Normal 2 12 4 2 2" xfId="49548"/>
    <cellStyle name="Normal 2 12 4 3" xfId="49549"/>
    <cellStyle name="Normal 2 12 4 3 2" xfId="49550"/>
    <cellStyle name="Normal 2 12 4 4" xfId="49551"/>
    <cellStyle name="Normal 2 12 4 5" xfId="49552"/>
    <cellStyle name="Normal 2 12 4 6" xfId="49553"/>
    <cellStyle name="Normal 2 12 4 7" xfId="49554"/>
    <cellStyle name="Normal 2 12 5" xfId="49555"/>
    <cellStyle name="Normal 2 12 5 2" xfId="49556"/>
    <cellStyle name="Normal 2 12 6" xfId="49557"/>
    <cellStyle name="Normal 2 12 6 2" xfId="49558"/>
    <cellStyle name="Normal 2 12 7" xfId="49559"/>
    <cellStyle name="Normal 2 12 8" xfId="49560"/>
    <cellStyle name="Normal 2 12 9" xfId="49561"/>
    <cellStyle name="Normal 2 13" xfId="49562"/>
    <cellStyle name="Normal 2 13 2" xfId="49563"/>
    <cellStyle name="Normal 2 13 2 2" xfId="49564"/>
    <cellStyle name="Normal 2 13 3" xfId="49565"/>
    <cellStyle name="Normal 2 13 3 2" xfId="49566"/>
    <cellStyle name="Normal 2 13 4" xfId="49567"/>
    <cellStyle name="Normal 2 13 5" xfId="49568"/>
    <cellStyle name="Normal 2 13 6" xfId="49569"/>
    <cellStyle name="Normal 2 13 7" xfId="49570"/>
    <cellStyle name="Normal 2 14" xfId="49571"/>
    <cellStyle name="Normal 2 14 2" xfId="49572"/>
    <cellStyle name="Normal 2 14 2 2" xfId="49573"/>
    <cellStyle name="Normal 2 14 3" xfId="49574"/>
    <cellStyle name="Normal 2 14 3 2" xfId="49575"/>
    <cellStyle name="Normal 2 14 4" xfId="49576"/>
    <cellStyle name="Normal 2 14 5" xfId="49577"/>
    <cellStyle name="Normal 2 14 6" xfId="49578"/>
    <cellStyle name="Normal 2 14 7" xfId="49579"/>
    <cellStyle name="Normal 2 15" xfId="49580"/>
    <cellStyle name="Normal 2 15 2" xfId="49581"/>
    <cellStyle name="Normal 2 15 2 2" xfId="49582"/>
    <cellStyle name="Normal 2 15 3" xfId="49583"/>
    <cellStyle name="Normal 2 15 3 2" xfId="49584"/>
    <cellStyle name="Normal 2 15 4" xfId="49585"/>
    <cellStyle name="Normal 2 15 5" xfId="49586"/>
    <cellStyle name="Normal 2 15 6" xfId="49587"/>
    <cellStyle name="Normal 2 15 7" xfId="49588"/>
    <cellStyle name="Normal 2 16" xfId="49589"/>
    <cellStyle name="Normal 2 16 2" xfId="49590"/>
    <cellStyle name="Normal 2 17" xfId="49591"/>
    <cellStyle name="Normal 2 18" xfId="49592"/>
    <cellStyle name="Normal 2 19" xfId="49593"/>
    <cellStyle name="Normal 2 2" xfId="45"/>
    <cellStyle name="Normal 2 2 10" xfId="49594"/>
    <cellStyle name="Normal 2 2 10 2" xfId="49595"/>
    <cellStyle name="Normal 2 2 10 2 2" xfId="49596"/>
    <cellStyle name="Normal 2 2 10 3" xfId="49597"/>
    <cellStyle name="Normal 2 2 10 3 2" xfId="49598"/>
    <cellStyle name="Normal 2 2 10 4" xfId="49599"/>
    <cellStyle name="Normal 2 2 10 5" xfId="49600"/>
    <cellStyle name="Normal 2 2 10 6" xfId="49601"/>
    <cellStyle name="Normal 2 2 10 7" xfId="49602"/>
    <cellStyle name="Normal 2 2 11" xfId="49603"/>
    <cellStyle name="Normal 2 2 11 2" xfId="49604"/>
    <cellStyle name="Normal 2 2 11 2 2" xfId="49605"/>
    <cellStyle name="Normal 2 2 11 3" xfId="49606"/>
    <cellStyle name="Normal 2 2 11 3 2" xfId="49607"/>
    <cellStyle name="Normal 2 2 11 4" xfId="49608"/>
    <cellStyle name="Normal 2 2 11 5" xfId="49609"/>
    <cellStyle name="Normal 2 2 11 6" xfId="49610"/>
    <cellStyle name="Normal 2 2 11 7" xfId="49611"/>
    <cellStyle name="Normal 2 2 12" xfId="49612"/>
    <cellStyle name="Normal 2 2 12 2" xfId="49613"/>
    <cellStyle name="Normal 2 2 12 2 2" xfId="49614"/>
    <cellStyle name="Normal 2 2 12 3" xfId="49615"/>
    <cellStyle name="Normal 2 2 12 3 2" xfId="49616"/>
    <cellStyle name="Normal 2 2 12 4" xfId="49617"/>
    <cellStyle name="Normal 2 2 12 5" xfId="49618"/>
    <cellStyle name="Normal 2 2 12 6" xfId="49619"/>
    <cellStyle name="Normal 2 2 12 7" xfId="49620"/>
    <cellStyle name="Normal 2 2 13" xfId="49621"/>
    <cellStyle name="Normal 2 2 13 2" xfId="49622"/>
    <cellStyle name="Normal 2 2 14" xfId="49623"/>
    <cellStyle name="Normal 2 2 14 2" xfId="49624"/>
    <cellStyle name="Normal 2 2 15" xfId="49625"/>
    <cellStyle name="Normal 2 2 16" xfId="49626"/>
    <cellStyle name="Normal 2 2 17" xfId="49627"/>
    <cellStyle name="Normal 2 2 18" xfId="49628"/>
    <cellStyle name="Normal 2 2 2" xfId="508"/>
    <cellStyle name="Normal 2 2 2 2" xfId="5916"/>
    <cellStyle name="Normal 2 2 2 2 2" xfId="5915"/>
    <cellStyle name="Normal 2 2 3" xfId="49629"/>
    <cellStyle name="Normal 2 2 4" xfId="49630"/>
    <cellStyle name="Normal 2 2 4 10" xfId="49631"/>
    <cellStyle name="Normal 2 2 4 11" xfId="49632"/>
    <cellStyle name="Normal 2 2 4 12" xfId="49633"/>
    <cellStyle name="Normal 2 2 4 13" xfId="49634"/>
    <cellStyle name="Normal 2 2 4 2" xfId="49635"/>
    <cellStyle name="Normal 2 2 4 3" xfId="49636"/>
    <cellStyle name="Normal 2 2 4 4" xfId="49637"/>
    <cellStyle name="Normal 2 2 4 5" xfId="49638"/>
    <cellStyle name="Normal 2 2 4 6" xfId="49639"/>
    <cellStyle name="Normal 2 2 4 7" xfId="49640"/>
    <cellStyle name="Normal 2 2 4 8" xfId="49641"/>
    <cellStyle name="Normal 2 2 4 9" xfId="49642"/>
    <cellStyle name="Normal 2 2 5" xfId="49643"/>
    <cellStyle name="Normal 2 2 5 10" xfId="49644"/>
    <cellStyle name="Normal 2 2 5 11" xfId="49645"/>
    <cellStyle name="Normal 2 2 5 12" xfId="49646"/>
    <cellStyle name="Normal 2 2 5 13" xfId="49647"/>
    <cellStyle name="Normal 2 2 5 2" xfId="49648"/>
    <cellStyle name="Normal 2 2 5 3" xfId="49649"/>
    <cellStyle name="Normal 2 2 5 4" xfId="49650"/>
    <cellStyle name="Normal 2 2 5 5" xfId="49651"/>
    <cellStyle name="Normal 2 2 5 6" xfId="49652"/>
    <cellStyle name="Normal 2 2 5 7" xfId="49653"/>
    <cellStyle name="Normal 2 2 5 8" xfId="49654"/>
    <cellStyle name="Normal 2 2 5 9" xfId="49655"/>
    <cellStyle name="Normal 2 2 6" xfId="49656"/>
    <cellStyle name="Normal 2 2 6 10" xfId="49657"/>
    <cellStyle name="Normal 2 2 6 11" xfId="49658"/>
    <cellStyle name="Normal 2 2 6 12" xfId="49659"/>
    <cellStyle name="Normal 2 2 6 13" xfId="49660"/>
    <cellStyle name="Normal 2 2 6 2" xfId="49661"/>
    <cellStyle name="Normal 2 2 6 3" xfId="49662"/>
    <cellStyle name="Normal 2 2 6 4" xfId="49663"/>
    <cellStyle name="Normal 2 2 6 5" xfId="49664"/>
    <cellStyle name="Normal 2 2 6 6" xfId="49665"/>
    <cellStyle name="Normal 2 2 6 7" xfId="49666"/>
    <cellStyle name="Normal 2 2 6 8" xfId="49667"/>
    <cellStyle name="Normal 2 2 6 9" xfId="49668"/>
    <cellStyle name="Normal 2 2 7" xfId="49669"/>
    <cellStyle name="Normal 2 2 7 10" xfId="49670"/>
    <cellStyle name="Normal 2 2 7 11" xfId="49671"/>
    <cellStyle name="Normal 2 2 7 2" xfId="49672"/>
    <cellStyle name="Normal 2 2 7 2 10" xfId="49673"/>
    <cellStyle name="Normal 2 2 7 2 2" xfId="49674"/>
    <cellStyle name="Normal 2 2 7 2 2 2" xfId="49675"/>
    <cellStyle name="Normal 2 2 7 2 2 2 2" xfId="49676"/>
    <cellStyle name="Normal 2 2 7 2 2 3" xfId="49677"/>
    <cellStyle name="Normal 2 2 7 2 2 3 2" xfId="49678"/>
    <cellStyle name="Normal 2 2 7 2 2 4" xfId="49679"/>
    <cellStyle name="Normal 2 2 7 2 2 5" xfId="49680"/>
    <cellStyle name="Normal 2 2 7 2 2 6" xfId="49681"/>
    <cellStyle name="Normal 2 2 7 2 2 7" xfId="49682"/>
    <cellStyle name="Normal 2 2 7 2 3" xfId="49683"/>
    <cellStyle name="Normal 2 2 7 2 3 2" xfId="49684"/>
    <cellStyle name="Normal 2 2 7 2 3 2 2" xfId="49685"/>
    <cellStyle name="Normal 2 2 7 2 3 3" xfId="49686"/>
    <cellStyle name="Normal 2 2 7 2 3 3 2" xfId="49687"/>
    <cellStyle name="Normal 2 2 7 2 3 4" xfId="49688"/>
    <cellStyle name="Normal 2 2 7 2 3 5" xfId="49689"/>
    <cellStyle name="Normal 2 2 7 2 3 6" xfId="49690"/>
    <cellStyle name="Normal 2 2 7 2 3 7" xfId="49691"/>
    <cellStyle name="Normal 2 2 7 2 4" xfId="49692"/>
    <cellStyle name="Normal 2 2 7 2 4 2" xfId="49693"/>
    <cellStyle name="Normal 2 2 7 2 4 2 2" xfId="49694"/>
    <cellStyle name="Normal 2 2 7 2 4 3" xfId="49695"/>
    <cellStyle name="Normal 2 2 7 2 4 3 2" xfId="49696"/>
    <cellStyle name="Normal 2 2 7 2 4 4" xfId="49697"/>
    <cellStyle name="Normal 2 2 7 2 4 5" xfId="49698"/>
    <cellStyle name="Normal 2 2 7 2 4 6" xfId="49699"/>
    <cellStyle name="Normal 2 2 7 2 4 7" xfId="49700"/>
    <cellStyle name="Normal 2 2 7 2 5" xfId="49701"/>
    <cellStyle name="Normal 2 2 7 2 5 2" xfId="49702"/>
    <cellStyle name="Normal 2 2 7 2 6" xfId="49703"/>
    <cellStyle name="Normal 2 2 7 2 6 2" xfId="49704"/>
    <cellStyle name="Normal 2 2 7 2 7" xfId="49705"/>
    <cellStyle name="Normal 2 2 7 2 8" xfId="49706"/>
    <cellStyle name="Normal 2 2 7 2 9" xfId="49707"/>
    <cellStyle name="Normal 2 2 7 3" xfId="49708"/>
    <cellStyle name="Normal 2 2 7 3 2" xfId="49709"/>
    <cellStyle name="Normal 2 2 7 3 2 2" xfId="49710"/>
    <cellStyle name="Normal 2 2 7 3 3" xfId="49711"/>
    <cellStyle name="Normal 2 2 7 3 3 2" xfId="49712"/>
    <cellStyle name="Normal 2 2 7 3 4" xfId="49713"/>
    <cellStyle name="Normal 2 2 7 3 5" xfId="49714"/>
    <cellStyle name="Normal 2 2 7 3 6" xfId="49715"/>
    <cellStyle name="Normal 2 2 7 3 7" xfId="49716"/>
    <cellStyle name="Normal 2 2 7 4" xfId="49717"/>
    <cellStyle name="Normal 2 2 7 4 2" xfId="49718"/>
    <cellStyle name="Normal 2 2 7 4 2 2" xfId="49719"/>
    <cellStyle name="Normal 2 2 7 4 3" xfId="49720"/>
    <cellStyle name="Normal 2 2 7 4 3 2" xfId="49721"/>
    <cellStyle name="Normal 2 2 7 4 4" xfId="49722"/>
    <cellStyle name="Normal 2 2 7 4 5" xfId="49723"/>
    <cellStyle name="Normal 2 2 7 4 6" xfId="49724"/>
    <cellStyle name="Normal 2 2 7 4 7" xfId="49725"/>
    <cellStyle name="Normal 2 2 7 5" xfId="49726"/>
    <cellStyle name="Normal 2 2 7 5 2" xfId="49727"/>
    <cellStyle name="Normal 2 2 7 5 2 2" xfId="49728"/>
    <cellStyle name="Normal 2 2 7 5 3" xfId="49729"/>
    <cellStyle name="Normal 2 2 7 5 3 2" xfId="49730"/>
    <cellStyle name="Normal 2 2 7 5 4" xfId="49731"/>
    <cellStyle name="Normal 2 2 7 5 5" xfId="49732"/>
    <cellStyle name="Normal 2 2 7 5 6" xfId="49733"/>
    <cellStyle name="Normal 2 2 7 5 7" xfId="49734"/>
    <cellStyle name="Normal 2 2 7 6" xfId="49735"/>
    <cellStyle name="Normal 2 2 7 6 2" xfId="49736"/>
    <cellStyle name="Normal 2 2 7 7" xfId="49737"/>
    <cellStyle name="Normal 2 2 7 7 2" xfId="49738"/>
    <cellStyle name="Normal 2 2 7 8" xfId="49739"/>
    <cellStyle name="Normal 2 2 7 9" xfId="49740"/>
    <cellStyle name="Normal 2 2 8" xfId="49741"/>
    <cellStyle name="Normal 2 2 8 10" xfId="49742"/>
    <cellStyle name="Normal 2 2 8 11" xfId="49743"/>
    <cellStyle name="Normal 2 2 8 2" xfId="49744"/>
    <cellStyle name="Normal 2 2 8 2 10" xfId="49745"/>
    <cellStyle name="Normal 2 2 8 2 2" xfId="49746"/>
    <cellStyle name="Normal 2 2 8 2 2 2" xfId="49747"/>
    <cellStyle name="Normal 2 2 8 2 2 2 2" xfId="49748"/>
    <cellStyle name="Normal 2 2 8 2 2 3" xfId="49749"/>
    <cellStyle name="Normal 2 2 8 2 2 3 2" xfId="49750"/>
    <cellStyle name="Normal 2 2 8 2 2 4" xfId="49751"/>
    <cellStyle name="Normal 2 2 8 2 2 5" xfId="49752"/>
    <cellStyle name="Normal 2 2 8 2 2 6" xfId="49753"/>
    <cellStyle name="Normal 2 2 8 2 2 7" xfId="49754"/>
    <cellStyle name="Normal 2 2 8 2 3" xfId="49755"/>
    <cellStyle name="Normal 2 2 8 2 3 2" xfId="49756"/>
    <cellStyle name="Normal 2 2 8 2 3 2 2" xfId="49757"/>
    <cellStyle name="Normal 2 2 8 2 3 3" xfId="49758"/>
    <cellStyle name="Normal 2 2 8 2 3 3 2" xfId="49759"/>
    <cellStyle name="Normal 2 2 8 2 3 4" xfId="49760"/>
    <cellStyle name="Normal 2 2 8 2 3 5" xfId="49761"/>
    <cellStyle name="Normal 2 2 8 2 3 6" xfId="49762"/>
    <cellStyle name="Normal 2 2 8 2 3 7" xfId="49763"/>
    <cellStyle name="Normal 2 2 8 2 4" xfId="49764"/>
    <cellStyle name="Normal 2 2 8 2 4 2" xfId="49765"/>
    <cellStyle name="Normal 2 2 8 2 4 2 2" xfId="49766"/>
    <cellStyle name="Normal 2 2 8 2 4 3" xfId="49767"/>
    <cellStyle name="Normal 2 2 8 2 4 3 2" xfId="49768"/>
    <cellStyle name="Normal 2 2 8 2 4 4" xfId="49769"/>
    <cellStyle name="Normal 2 2 8 2 4 5" xfId="49770"/>
    <cellStyle name="Normal 2 2 8 2 4 6" xfId="49771"/>
    <cellStyle name="Normal 2 2 8 2 4 7" xfId="49772"/>
    <cellStyle name="Normal 2 2 8 2 5" xfId="49773"/>
    <cellStyle name="Normal 2 2 8 2 5 2" xfId="49774"/>
    <cellStyle name="Normal 2 2 8 2 6" xfId="49775"/>
    <cellStyle name="Normal 2 2 8 2 6 2" xfId="49776"/>
    <cellStyle name="Normal 2 2 8 2 7" xfId="49777"/>
    <cellStyle name="Normal 2 2 8 2 8" xfId="49778"/>
    <cellStyle name="Normal 2 2 8 2 9" xfId="49779"/>
    <cellStyle name="Normal 2 2 8 3" xfId="49780"/>
    <cellStyle name="Normal 2 2 8 3 2" xfId="49781"/>
    <cellStyle name="Normal 2 2 8 3 2 2" xfId="49782"/>
    <cellStyle name="Normal 2 2 8 3 3" xfId="49783"/>
    <cellStyle name="Normal 2 2 8 3 3 2" xfId="49784"/>
    <cellStyle name="Normal 2 2 8 3 4" xfId="49785"/>
    <cellStyle name="Normal 2 2 8 3 5" xfId="49786"/>
    <cellStyle name="Normal 2 2 8 3 6" xfId="49787"/>
    <cellStyle name="Normal 2 2 8 3 7" xfId="49788"/>
    <cellStyle name="Normal 2 2 8 4" xfId="49789"/>
    <cellStyle name="Normal 2 2 8 4 2" xfId="49790"/>
    <cellStyle name="Normal 2 2 8 4 2 2" xfId="49791"/>
    <cellStyle name="Normal 2 2 8 4 3" xfId="49792"/>
    <cellStyle name="Normal 2 2 8 4 3 2" xfId="49793"/>
    <cellStyle name="Normal 2 2 8 4 4" xfId="49794"/>
    <cellStyle name="Normal 2 2 8 4 5" xfId="49795"/>
    <cellStyle name="Normal 2 2 8 4 6" xfId="49796"/>
    <cellStyle name="Normal 2 2 8 4 7" xfId="49797"/>
    <cellStyle name="Normal 2 2 8 5" xfId="49798"/>
    <cellStyle name="Normal 2 2 8 5 2" xfId="49799"/>
    <cellStyle name="Normal 2 2 8 5 2 2" xfId="49800"/>
    <cellStyle name="Normal 2 2 8 5 3" xfId="49801"/>
    <cellStyle name="Normal 2 2 8 5 3 2" xfId="49802"/>
    <cellStyle name="Normal 2 2 8 5 4" xfId="49803"/>
    <cellStyle name="Normal 2 2 8 5 5" xfId="49804"/>
    <cellStyle name="Normal 2 2 8 5 6" xfId="49805"/>
    <cellStyle name="Normal 2 2 8 5 7" xfId="49806"/>
    <cellStyle name="Normal 2 2 8 6" xfId="49807"/>
    <cellStyle name="Normal 2 2 8 6 2" xfId="49808"/>
    <cellStyle name="Normal 2 2 8 7" xfId="49809"/>
    <cellStyle name="Normal 2 2 8 7 2" xfId="49810"/>
    <cellStyle name="Normal 2 2 8 8" xfId="49811"/>
    <cellStyle name="Normal 2 2 8 9" xfId="49812"/>
    <cellStyle name="Normal 2 2 9" xfId="49813"/>
    <cellStyle name="Normal 2 2 9 10" xfId="49814"/>
    <cellStyle name="Normal 2 2 9 2" xfId="49815"/>
    <cellStyle name="Normal 2 2 9 2 2" xfId="49816"/>
    <cellStyle name="Normal 2 2 9 2 2 2" xfId="49817"/>
    <cellStyle name="Normal 2 2 9 2 3" xfId="49818"/>
    <cellStyle name="Normal 2 2 9 2 3 2" xfId="49819"/>
    <cellStyle name="Normal 2 2 9 2 4" xfId="49820"/>
    <cellStyle name="Normal 2 2 9 2 5" xfId="49821"/>
    <cellStyle name="Normal 2 2 9 2 6" xfId="49822"/>
    <cellStyle name="Normal 2 2 9 2 7" xfId="49823"/>
    <cellStyle name="Normal 2 2 9 3" xfId="49824"/>
    <cellStyle name="Normal 2 2 9 3 2" xfId="49825"/>
    <cellStyle name="Normal 2 2 9 3 2 2" xfId="49826"/>
    <cellStyle name="Normal 2 2 9 3 3" xfId="49827"/>
    <cellStyle name="Normal 2 2 9 3 3 2" xfId="49828"/>
    <cellStyle name="Normal 2 2 9 3 4" xfId="49829"/>
    <cellStyle name="Normal 2 2 9 3 5" xfId="49830"/>
    <cellStyle name="Normal 2 2 9 3 6" xfId="49831"/>
    <cellStyle name="Normal 2 2 9 3 7" xfId="49832"/>
    <cellStyle name="Normal 2 2 9 4" xfId="49833"/>
    <cellStyle name="Normal 2 2 9 4 2" xfId="49834"/>
    <cellStyle name="Normal 2 2 9 4 2 2" xfId="49835"/>
    <cellStyle name="Normal 2 2 9 4 3" xfId="49836"/>
    <cellStyle name="Normal 2 2 9 4 3 2" xfId="49837"/>
    <cellStyle name="Normal 2 2 9 4 4" xfId="49838"/>
    <cellStyle name="Normal 2 2 9 4 5" xfId="49839"/>
    <cellStyle name="Normal 2 2 9 4 6" xfId="49840"/>
    <cellStyle name="Normal 2 2 9 4 7" xfId="49841"/>
    <cellStyle name="Normal 2 2 9 5" xfId="49842"/>
    <cellStyle name="Normal 2 2 9 5 2" xfId="49843"/>
    <cellStyle name="Normal 2 2 9 6" xfId="49844"/>
    <cellStyle name="Normal 2 2 9 6 2" xfId="49845"/>
    <cellStyle name="Normal 2 2 9 7" xfId="49846"/>
    <cellStyle name="Normal 2 2 9 8" xfId="49847"/>
    <cellStyle name="Normal 2 2 9 9" xfId="49848"/>
    <cellStyle name="Normal 2 20" xfId="49849"/>
    <cellStyle name="Normal 2 3" xfId="509"/>
    <cellStyle name="Normal 2 3 2" xfId="510"/>
    <cellStyle name="Normal 2 3 2 10" xfId="49850"/>
    <cellStyle name="Normal 2 3 2 11" xfId="49851"/>
    <cellStyle name="Normal 2 3 2 12" xfId="49852"/>
    <cellStyle name="Normal 2 3 2 13" xfId="49853"/>
    <cellStyle name="Normal 2 3 2 2" xfId="49854"/>
    <cellStyle name="Normal 2 3 2 3" xfId="49855"/>
    <cellStyle name="Normal 2 3 2 4" xfId="49856"/>
    <cellStyle name="Normal 2 3 2 5" xfId="49857"/>
    <cellStyle name="Normal 2 3 2 6" xfId="49858"/>
    <cellStyle name="Normal 2 3 2 7" xfId="49859"/>
    <cellStyle name="Normal 2 3 2 8" xfId="49860"/>
    <cellStyle name="Normal 2 3 2 9" xfId="49861"/>
    <cellStyle name="Normal 2 3 3" xfId="49862"/>
    <cellStyle name="Normal 2 3 3 10" xfId="49863"/>
    <cellStyle name="Normal 2 3 3 11" xfId="49864"/>
    <cellStyle name="Normal 2 3 3 12" xfId="49865"/>
    <cellStyle name="Normal 2 3 3 13" xfId="49866"/>
    <cellStyle name="Normal 2 3 3 2" xfId="49867"/>
    <cellStyle name="Normal 2 3 3 3" xfId="49868"/>
    <cellStyle name="Normal 2 3 3 4" xfId="49869"/>
    <cellStyle name="Normal 2 3 3 5" xfId="49870"/>
    <cellStyle name="Normal 2 3 3 6" xfId="49871"/>
    <cellStyle name="Normal 2 3 3 7" xfId="49872"/>
    <cellStyle name="Normal 2 3 3 8" xfId="49873"/>
    <cellStyle name="Normal 2 3 3 9" xfId="49874"/>
    <cellStyle name="Normal 2 3 4" xfId="49875"/>
    <cellStyle name="Normal 2 3 4 10" xfId="49876"/>
    <cellStyle name="Normal 2 3 4 11" xfId="49877"/>
    <cellStyle name="Normal 2 3 4 12" xfId="49878"/>
    <cellStyle name="Normal 2 3 4 13" xfId="49879"/>
    <cellStyle name="Normal 2 3 4 2" xfId="49880"/>
    <cellStyle name="Normal 2 3 4 3" xfId="49881"/>
    <cellStyle name="Normal 2 3 4 4" xfId="49882"/>
    <cellStyle name="Normal 2 3 4 5" xfId="49883"/>
    <cellStyle name="Normal 2 3 4 6" xfId="49884"/>
    <cellStyle name="Normal 2 3 4 7" xfId="49885"/>
    <cellStyle name="Normal 2 3 4 8" xfId="49886"/>
    <cellStyle name="Normal 2 3 4 9" xfId="49887"/>
    <cellStyle name="Normal 2 4" xfId="511"/>
    <cellStyle name="Normal 2 4 2" xfId="49888"/>
    <cellStyle name="Normal 2 4 2 10" xfId="49889"/>
    <cellStyle name="Normal 2 4 2 11" xfId="49890"/>
    <cellStyle name="Normal 2 4 2 12" xfId="49891"/>
    <cellStyle name="Normal 2 4 2 13" xfId="49892"/>
    <cellStyle name="Normal 2 4 2 2" xfId="49893"/>
    <cellStyle name="Normal 2 4 2 3" xfId="49894"/>
    <cellStyle name="Normal 2 4 2 4" xfId="49895"/>
    <cellStyle name="Normal 2 4 2 5" xfId="49896"/>
    <cellStyle name="Normal 2 4 2 6" xfId="49897"/>
    <cellStyle name="Normal 2 4 2 7" xfId="49898"/>
    <cellStyle name="Normal 2 4 2 8" xfId="49899"/>
    <cellStyle name="Normal 2 4 2 9" xfId="49900"/>
    <cellStyle name="Normal 2 4 3" xfId="49901"/>
    <cellStyle name="Normal 2 4 3 10" xfId="49902"/>
    <cellStyle name="Normal 2 4 3 11" xfId="49903"/>
    <cellStyle name="Normal 2 4 3 12" xfId="49904"/>
    <cellStyle name="Normal 2 4 3 13" xfId="49905"/>
    <cellStyle name="Normal 2 4 3 2" xfId="49906"/>
    <cellStyle name="Normal 2 4 3 3" xfId="49907"/>
    <cellStyle name="Normal 2 4 3 4" xfId="49908"/>
    <cellStyle name="Normal 2 4 3 5" xfId="49909"/>
    <cellStyle name="Normal 2 4 3 6" xfId="49910"/>
    <cellStyle name="Normal 2 4 3 7" xfId="49911"/>
    <cellStyle name="Normal 2 4 3 8" xfId="49912"/>
    <cellStyle name="Normal 2 4 3 9" xfId="49913"/>
    <cellStyle name="Normal 2 4 4" xfId="49914"/>
    <cellStyle name="Normal 2 4 4 10" xfId="49915"/>
    <cellStyle name="Normal 2 4 4 11" xfId="49916"/>
    <cellStyle name="Normal 2 4 4 12" xfId="49917"/>
    <cellStyle name="Normal 2 4 4 13" xfId="49918"/>
    <cellStyle name="Normal 2 4 4 2" xfId="49919"/>
    <cellStyle name="Normal 2 4 4 3" xfId="49920"/>
    <cellStyle name="Normal 2 4 4 4" xfId="49921"/>
    <cellStyle name="Normal 2 4 4 5" xfId="49922"/>
    <cellStyle name="Normal 2 4 4 6" xfId="49923"/>
    <cellStyle name="Normal 2 4 4 7" xfId="49924"/>
    <cellStyle name="Normal 2 4 4 8" xfId="49925"/>
    <cellStyle name="Normal 2 4 4 9" xfId="49926"/>
    <cellStyle name="Normal 2 5" xfId="708"/>
    <cellStyle name="Normal 2 5 2" xfId="831"/>
    <cellStyle name="Normal 2 5 2 2" xfId="934"/>
    <cellStyle name="Normal 2 5 2 2 2" xfId="1553"/>
    <cellStyle name="Normal 2 5 2 2 2 2" xfId="2787"/>
    <cellStyle name="Normal 2 5 2 2 2 2 2" xfId="8066"/>
    <cellStyle name="Normal 2 5 2 2 2 2 3" xfId="12383"/>
    <cellStyle name="Normal 2 5 2 2 2 3" xfId="6832"/>
    <cellStyle name="Normal 2 5 2 2 2 4" xfId="12382"/>
    <cellStyle name="Normal 2 5 2 2 3" xfId="3369"/>
    <cellStyle name="Normal 2 5 2 2 3 2" xfId="8648"/>
    <cellStyle name="Normal 2 5 2 2 3 2 2" xfId="54167"/>
    <cellStyle name="Normal 2 5 2 2 3 3" xfId="12384"/>
    <cellStyle name="Normal 2 5 2 2 4" xfId="2174"/>
    <cellStyle name="Normal 2 5 2 2 4 2" xfId="7453"/>
    <cellStyle name="Normal 2 5 2 2 4 3" xfId="12385"/>
    <cellStyle name="Normal 2 5 2 2 5" xfId="6215"/>
    <cellStyle name="Normal 2 5 2 2 6" xfId="12381"/>
    <cellStyle name="Normal 2 5 2 3" xfId="1455"/>
    <cellStyle name="Normal 2 5 2 3 2" xfId="2689"/>
    <cellStyle name="Normal 2 5 2 3 2 2" xfId="7968"/>
    <cellStyle name="Normal 2 5 2 3 2 3" xfId="12387"/>
    <cellStyle name="Normal 2 5 2 3 3" xfId="6734"/>
    <cellStyle name="Normal 2 5 2 3 4" xfId="12386"/>
    <cellStyle name="Normal 2 5 2 4" xfId="3370"/>
    <cellStyle name="Normal 2 5 2 4 2" xfId="8649"/>
    <cellStyle name="Normal 2 5 2 4 2 2" xfId="54168"/>
    <cellStyle name="Normal 2 5 2 4 3" xfId="12388"/>
    <cellStyle name="Normal 2 5 2 5" xfId="2076"/>
    <cellStyle name="Normal 2 5 2 5 2" xfId="7355"/>
    <cellStyle name="Normal 2 5 2 5 3" xfId="12389"/>
    <cellStyle name="Normal 2 5 2 6" xfId="6117"/>
    <cellStyle name="Normal 2 5 2 7" xfId="12380"/>
    <cellStyle name="Normal 2 5 3" xfId="885"/>
    <cellStyle name="Normal 2 5 3 2" xfId="1504"/>
    <cellStyle name="Normal 2 5 3 2 2" xfId="2738"/>
    <cellStyle name="Normal 2 5 3 2 2 2" xfId="8017"/>
    <cellStyle name="Normal 2 5 3 2 2 3" xfId="12392"/>
    <cellStyle name="Normal 2 5 3 2 3" xfId="6783"/>
    <cellStyle name="Normal 2 5 3 2 4" xfId="12391"/>
    <cellStyle name="Normal 2 5 3 3" xfId="3371"/>
    <cellStyle name="Normal 2 5 3 3 2" xfId="8650"/>
    <cellStyle name="Normal 2 5 3 3 2 2" xfId="54169"/>
    <cellStyle name="Normal 2 5 3 3 3" xfId="12393"/>
    <cellStyle name="Normal 2 5 3 4" xfId="2125"/>
    <cellStyle name="Normal 2 5 3 4 2" xfId="7404"/>
    <cellStyle name="Normal 2 5 3 4 3" xfId="12394"/>
    <cellStyle name="Normal 2 5 3 5" xfId="6166"/>
    <cellStyle name="Normal 2 5 3 6" xfId="12390"/>
    <cellStyle name="Normal 2 5 4" xfId="1340"/>
    <cellStyle name="Normal 2 5 4 2" xfId="2574"/>
    <cellStyle name="Normal 2 5 4 2 2" xfId="7853"/>
    <cellStyle name="Normal 2 5 4 2 3" xfId="12396"/>
    <cellStyle name="Normal 2 5 4 3" xfId="6619"/>
    <cellStyle name="Normal 2 5 4 4" xfId="12395"/>
    <cellStyle name="Normal 2 5 5" xfId="3372"/>
    <cellStyle name="Normal 2 5 5 2" xfId="8651"/>
    <cellStyle name="Normal 2 5 5 2 2" xfId="54170"/>
    <cellStyle name="Normal 2 5 5 3" xfId="12397"/>
    <cellStyle name="Normal 2 5 6" xfId="2027"/>
    <cellStyle name="Normal 2 5 6 2" xfId="7306"/>
    <cellStyle name="Normal 2 5 6 3" xfId="12398"/>
    <cellStyle name="Normal 2 5 7" xfId="6002"/>
    <cellStyle name="Normal 2 5 8" xfId="12379"/>
    <cellStyle name="Normal 2 6" xfId="5914"/>
    <cellStyle name="Normal 2 6 10" xfId="49927"/>
    <cellStyle name="Normal 2 6 11" xfId="49928"/>
    <cellStyle name="Normal 2 6 12" xfId="49929"/>
    <cellStyle name="Normal 2 6 13" xfId="49930"/>
    <cellStyle name="Normal 2 6 2" xfId="16081"/>
    <cellStyle name="Normal 2 6 2 10" xfId="49931"/>
    <cellStyle name="Normal 2 6 2 11" xfId="49932"/>
    <cellStyle name="Normal 2 6 2 2" xfId="49933"/>
    <cellStyle name="Normal 2 6 2 2 10" xfId="49934"/>
    <cellStyle name="Normal 2 6 2 2 2" xfId="49935"/>
    <cellStyle name="Normal 2 6 2 2 2 2" xfId="49936"/>
    <cellStyle name="Normal 2 6 2 2 2 2 2" xfId="49937"/>
    <cellStyle name="Normal 2 6 2 2 2 3" xfId="49938"/>
    <cellStyle name="Normal 2 6 2 2 2 3 2" xfId="49939"/>
    <cellStyle name="Normal 2 6 2 2 2 4" xfId="49940"/>
    <cellStyle name="Normal 2 6 2 2 2 5" xfId="49941"/>
    <cellStyle name="Normal 2 6 2 2 2 6" xfId="49942"/>
    <cellStyle name="Normal 2 6 2 2 2 7" xfId="49943"/>
    <cellStyle name="Normal 2 6 2 2 3" xfId="49944"/>
    <cellStyle name="Normal 2 6 2 2 3 2" xfId="49945"/>
    <cellStyle name="Normal 2 6 2 2 3 2 2" xfId="49946"/>
    <cellStyle name="Normal 2 6 2 2 3 3" xfId="49947"/>
    <cellStyle name="Normal 2 6 2 2 3 3 2" xfId="49948"/>
    <cellStyle name="Normal 2 6 2 2 3 4" xfId="49949"/>
    <cellStyle name="Normal 2 6 2 2 3 5" xfId="49950"/>
    <cellStyle name="Normal 2 6 2 2 3 6" xfId="49951"/>
    <cellStyle name="Normal 2 6 2 2 3 7" xfId="49952"/>
    <cellStyle name="Normal 2 6 2 2 4" xfId="49953"/>
    <cellStyle name="Normal 2 6 2 2 4 2" xfId="49954"/>
    <cellStyle name="Normal 2 6 2 2 4 2 2" xfId="49955"/>
    <cellStyle name="Normal 2 6 2 2 4 3" xfId="49956"/>
    <cellStyle name="Normal 2 6 2 2 4 3 2" xfId="49957"/>
    <cellStyle name="Normal 2 6 2 2 4 4" xfId="49958"/>
    <cellStyle name="Normal 2 6 2 2 4 5" xfId="49959"/>
    <cellStyle name="Normal 2 6 2 2 4 6" xfId="49960"/>
    <cellStyle name="Normal 2 6 2 2 4 7" xfId="49961"/>
    <cellStyle name="Normal 2 6 2 2 5" xfId="49962"/>
    <cellStyle name="Normal 2 6 2 2 5 2" xfId="49963"/>
    <cellStyle name="Normal 2 6 2 2 6" xfId="49964"/>
    <cellStyle name="Normal 2 6 2 2 6 2" xfId="49965"/>
    <cellStyle name="Normal 2 6 2 2 7" xfId="49966"/>
    <cellStyle name="Normal 2 6 2 2 8" xfId="49967"/>
    <cellStyle name="Normal 2 6 2 2 9" xfId="49968"/>
    <cellStyle name="Normal 2 6 2 3" xfId="49969"/>
    <cellStyle name="Normal 2 6 2 3 2" xfId="49970"/>
    <cellStyle name="Normal 2 6 2 3 2 2" xfId="49971"/>
    <cellStyle name="Normal 2 6 2 3 3" xfId="49972"/>
    <cellStyle name="Normal 2 6 2 3 3 2" xfId="49973"/>
    <cellStyle name="Normal 2 6 2 3 4" xfId="49974"/>
    <cellStyle name="Normal 2 6 2 3 5" xfId="49975"/>
    <cellStyle name="Normal 2 6 2 3 6" xfId="49976"/>
    <cellStyle name="Normal 2 6 2 3 7" xfId="49977"/>
    <cellStyle name="Normal 2 6 2 4" xfId="49978"/>
    <cellStyle name="Normal 2 6 2 4 2" xfId="49979"/>
    <cellStyle name="Normal 2 6 2 4 2 2" xfId="49980"/>
    <cellStyle name="Normal 2 6 2 4 3" xfId="49981"/>
    <cellStyle name="Normal 2 6 2 4 3 2" xfId="49982"/>
    <cellStyle name="Normal 2 6 2 4 4" xfId="49983"/>
    <cellStyle name="Normal 2 6 2 4 5" xfId="49984"/>
    <cellStyle name="Normal 2 6 2 4 6" xfId="49985"/>
    <cellStyle name="Normal 2 6 2 4 7" xfId="49986"/>
    <cellStyle name="Normal 2 6 2 5" xfId="49987"/>
    <cellStyle name="Normal 2 6 2 5 2" xfId="49988"/>
    <cellStyle name="Normal 2 6 2 5 2 2" xfId="49989"/>
    <cellStyle name="Normal 2 6 2 5 3" xfId="49990"/>
    <cellStyle name="Normal 2 6 2 5 3 2" xfId="49991"/>
    <cellStyle name="Normal 2 6 2 5 4" xfId="49992"/>
    <cellStyle name="Normal 2 6 2 5 5" xfId="49993"/>
    <cellStyle name="Normal 2 6 2 5 6" xfId="49994"/>
    <cellStyle name="Normal 2 6 2 5 7" xfId="49995"/>
    <cellStyle name="Normal 2 6 2 6" xfId="49996"/>
    <cellStyle name="Normal 2 6 2 6 2" xfId="49997"/>
    <cellStyle name="Normal 2 6 2 7" xfId="49998"/>
    <cellStyle name="Normal 2 6 2 7 2" xfId="49999"/>
    <cellStyle name="Normal 2 6 2 8" xfId="50000"/>
    <cellStyle name="Normal 2 6 2 9" xfId="50001"/>
    <cellStyle name="Normal 2 6 3" xfId="50002"/>
    <cellStyle name="Normal 2 6 3 10" xfId="50003"/>
    <cellStyle name="Normal 2 6 3 11" xfId="50004"/>
    <cellStyle name="Normal 2 6 3 2" xfId="50005"/>
    <cellStyle name="Normal 2 6 3 2 10" xfId="50006"/>
    <cellStyle name="Normal 2 6 3 2 2" xfId="50007"/>
    <cellStyle name="Normal 2 6 3 2 2 2" xfId="50008"/>
    <cellStyle name="Normal 2 6 3 2 2 2 2" xfId="50009"/>
    <cellStyle name="Normal 2 6 3 2 2 3" xfId="50010"/>
    <cellStyle name="Normal 2 6 3 2 2 3 2" xfId="50011"/>
    <cellStyle name="Normal 2 6 3 2 2 4" xfId="50012"/>
    <cellStyle name="Normal 2 6 3 2 2 5" xfId="50013"/>
    <cellStyle name="Normal 2 6 3 2 2 6" xfId="50014"/>
    <cellStyle name="Normal 2 6 3 2 2 7" xfId="50015"/>
    <cellStyle name="Normal 2 6 3 2 3" xfId="50016"/>
    <cellStyle name="Normal 2 6 3 2 3 2" xfId="50017"/>
    <cellStyle name="Normal 2 6 3 2 3 2 2" xfId="50018"/>
    <cellStyle name="Normal 2 6 3 2 3 3" xfId="50019"/>
    <cellStyle name="Normal 2 6 3 2 3 3 2" xfId="50020"/>
    <cellStyle name="Normal 2 6 3 2 3 4" xfId="50021"/>
    <cellStyle name="Normal 2 6 3 2 3 5" xfId="50022"/>
    <cellStyle name="Normal 2 6 3 2 3 6" xfId="50023"/>
    <cellStyle name="Normal 2 6 3 2 3 7" xfId="50024"/>
    <cellStyle name="Normal 2 6 3 2 4" xfId="50025"/>
    <cellStyle name="Normal 2 6 3 2 4 2" xfId="50026"/>
    <cellStyle name="Normal 2 6 3 2 4 2 2" xfId="50027"/>
    <cellStyle name="Normal 2 6 3 2 4 3" xfId="50028"/>
    <cellStyle name="Normal 2 6 3 2 4 3 2" xfId="50029"/>
    <cellStyle name="Normal 2 6 3 2 4 4" xfId="50030"/>
    <cellStyle name="Normal 2 6 3 2 4 5" xfId="50031"/>
    <cellStyle name="Normal 2 6 3 2 4 6" xfId="50032"/>
    <cellStyle name="Normal 2 6 3 2 4 7" xfId="50033"/>
    <cellStyle name="Normal 2 6 3 2 5" xfId="50034"/>
    <cellStyle name="Normal 2 6 3 2 5 2" xfId="50035"/>
    <cellStyle name="Normal 2 6 3 2 6" xfId="50036"/>
    <cellStyle name="Normal 2 6 3 2 6 2" xfId="50037"/>
    <cellStyle name="Normal 2 6 3 2 7" xfId="50038"/>
    <cellStyle name="Normal 2 6 3 2 8" xfId="50039"/>
    <cellStyle name="Normal 2 6 3 2 9" xfId="50040"/>
    <cellStyle name="Normal 2 6 3 3" xfId="50041"/>
    <cellStyle name="Normal 2 6 3 3 2" xfId="50042"/>
    <cellStyle name="Normal 2 6 3 3 2 2" xfId="50043"/>
    <cellStyle name="Normal 2 6 3 3 3" xfId="50044"/>
    <cellStyle name="Normal 2 6 3 3 3 2" xfId="50045"/>
    <cellStyle name="Normal 2 6 3 3 4" xfId="50046"/>
    <cellStyle name="Normal 2 6 3 3 5" xfId="50047"/>
    <cellStyle name="Normal 2 6 3 3 6" xfId="50048"/>
    <cellStyle name="Normal 2 6 3 3 7" xfId="50049"/>
    <cellStyle name="Normal 2 6 3 4" xfId="50050"/>
    <cellStyle name="Normal 2 6 3 4 2" xfId="50051"/>
    <cellStyle name="Normal 2 6 3 4 2 2" xfId="50052"/>
    <cellStyle name="Normal 2 6 3 4 3" xfId="50053"/>
    <cellStyle name="Normal 2 6 3 4 3 2" xfId="50054"/>
    <cellStyle name="Normal 2 6 3 4 4" xfId="50055"/>
    <cellStyle name="Normal 2 6 3 4 5" xfId="50056"/>
    <cellStyle name="Normal 2 6 3 4 6" xfId="50057"/>
    <cellStyle name="Normal 2 6 3 4 7" xfId="50058"/>
    <cellStyle name="Normal 2 6 3 5" xfId="50059"/>
    <cellStyle name="Normal 2 6 3 5 2" xfId="50060"/>
    <cellStyle name="Normal 2 6 3 5 2 2" xfId="50061"/>
    <cellStyle name="Normal 2 6 3 5 3" xfId="50062"/>
    <cellStyle name="Normal 2 6 3 5 3 2" xfId="50063"/>
    <cellStyle name="Normal 2 6 3 5 4" xfId="50064"/>
    <cellStyle name="Normal 2 6 3 5 5" xfId="50065"/>
    <cellStyle name="Normal 2 6 3 5 6" xfId="50066"/>
    <cellStyle name="Normal 2 6 3 5 7" xfId="50067"/>
    <cellStyle name="Normal 2 6 3 6" xfId="50068"/>
    <cellStyle name="Normal 2 6 3 6 2" xfId="50069"/>
    <cellStyle name="Normal 2 6 3 7" xfId="50070"/>
    <cellStyle name="Normal 2 6 3 7 2" xfId="50071"/>
    <cellStyle name="Normal 2 6 3 8" xfId="50072"/>
    <cellStyle name="Normal 2 6 3 9" xfId="50073"/>
    <cellStyle name="Normal 2 6 4" xfId="50074"/>
    <cellStyle name="Normal 2 6 4 10" xfId="50075"/>
    <cellStyle name="Normal 2 6 4 2" xfId="50076"/>
    <cellStyle name="Normal 2 6 4 2 2" xfId="50077"/>
    <cellStyle name="Normal 2 6 4 2 2 2" xfId="50078"/>
    <cellStyle name="Normal 2 6 4 2 3" xfId="50079"/>
    <cellStyle name="Normal 2 6 4 2 3 2" xfId="50080"/>
    <cellStyle name="Normal 2 6 4 2 4" xfId="50081"/>
    <cellStyle name="Normal 2 6 4 2 5" xfId="50082"/>
    <cellStyle name="Normal 2 6 4 2 6" xfId="50083"/>
    <cellStyle name="Normal 2 6 4 2 7" xfId="50084"/>
    <cellStyle name="Normal 2 6 4 3" xfId="50085"/>
    <cellStyle name="Normal 2 6 4 3 2" xfId="50086"/>
    <cellStyle name="Normal 2 6 4 3 2 2" xfId="50087"/>
    <cellStyle name="Normal 2 6 4 3 3" xfId="50088"/>
    <cellStyle name="Normal 2 6 4 3 3 2" xfId="50089"/>
    <cellStyle name="Normal 2 6 4 3 4" xfId="50090"/>
    <cellStyle name="Normal 2 6 4 3 5" xfId="50091"/>
    <cellStyle name="Normal 2 6 4 3 6" xfId="50092"/>
    <cellStyle name="Normal 2 6 4 3 7" xfId="50093"/>
    <cellStyle name="Normal 2 6 4 4" xfId="50094"/>
    <cellStyle name="Normal 2 6 4 4 2" xfId="50095"/>
    <cellStyle name="Normal 2 6 4 4 2 2" xfId="50096"/>
    <cellStyle name="Normal 2 6 4 4 3" xfId="50097"/>
    <cellStyle name="Normal 2 6 4 4 3 2" xfId="50098"/>
    <cellStyle name="Normal 2 6 4 4 4" xfId="50099"/>
    <cellStyle name="Normal 2 6 4 4 5" xfId="50100"/>
    <cellStyle name="Normal 2 6 4 4 6" xfId="50101"/>
    <cellStyle name="Normal 2 6 4 4 7" xfId="50102"/>
    <cellStyle name="Normal 2 6 4 5" xfId="50103"/>
    <cellStyle name="Normal 2 6 4 5 2" xfId="50104"/>
    <cellStyle name="Normal 2 6 4 6" xfId="50105"/>
    <cellStyle name="Normal 2 6 4 6 2" xfId="50106"/>
    <cellStyle name="Normal 2 6 4 7" xfId="50107"/>
    <cellStyle name="Normal 2 6 4 8" xfId="50108"/>
    <cellStyle name="Normal 2 6 4 9" xfId="50109"/>
    <cellStyle name="Normal 2 6 5" xfId="50110"/>
    <cellStyle name="Normal 2 6 5 2" xfId="50111"/>
    <cellStyle name="Normal 2 6 5 2 2" xfId="50112"/>
    <cellStyle name="Normal 2 6 5 3" xfId="50113"/>
    <cellStyle name="Normal 2 6 5 3 2" xfId="50114"/>
    <cellStyle name="Normal 2 6 5 4" xfId="50115"/>
    <cellStyle name="Normal 2 6 5 5" xfId="50116"/>
    <cellStyle name="Normal 2 6 5 6" xfId="50117"/>
    <cellStyle name="Normal 2 6 5 7" xfId="50118"/>
    <cellStyle name="Normal 2 6 6" xfId="50119"/>
    <cellStyle name="Normal 2 6 6 2" xfId="50120"/>
    <cellStyle name="Normal 2 6 6 2 2" xfId="50121"/>
    <cellStyle name="Normal 2 6 6 3" xfId="50122"/>
    <cellStyle name="Normal 2 6 6 3 2" xfId="50123"/>
    <cellStyle name="Normal 2 6 6 4" xfId="50124"/>
    <cellStyle name="Normal 2 6 6 5" xfId="50125"/>
    <cellStyle name="Normal 2 6 6 6" xfId="50126"/>
    <cellStyle name="Normal 2 6 6 7" xfId="50127"/>
    <cellStyle name="Normal 2 6 7" xfId="50128"/>
    <cellStyle name="Normal 2 6 7 2" xfId="50129"/>
    <cellStyle name="Normal 2 6 7 2 2" xfId="50130"/>
    <cellStyle name="Normal 2 6 7 3" xfId="50131"/>
    <cellStyle name="Normal 2 6 7 3 2" xfId="50132"/>
    <cellStyle name="Normal 2 6 7 4" xfId="50133"/>
    <cellStyle name="Normal 2 6 7 5" xfId="50134"/>
    <cellStyle name="Normal 2 6 7 6" xfId="50135"/>
    <cellStyle name="Normal 2 6 7 7" xfId="50136"/>
    <cellStyle name="Normal 2 6 8" xfId="50137"/>
    <cellStyle name="Normal 2 6 8 2" xfId="50138"/>
    <cellStyle name="Normal 2 6 9" xfId="50139"/>
    <cellStyle name="Normal 2 6 9 2" xfId="50140"/>
    <cellStyle name="Normal 2 7" xfId="11189"/>
    <cellStyle name="Normal 2 7 10" xfId="50141"/>
    <cellStyle name="Normal 2 7 11" xfId="50142"/>
    <cellStyle name="Normal 2 7 12" xfId="50143"/>
    <cellStyle name="Normal 2 7 13" xfId="50144"/>
    <cellStyle name="Normal 2 7 2" xfId="50145"/>
    <cellStyle name="Normal 2 7 2 10" xfId="50146"/>
    <cellStyle name="Normal 2 7 2 11" xfId="50147"/>
    <cellStyle name="Normal 2 7 2 2" xfId="50148"/>
    <cellStyle name="Normal 2 7 2 2 10" xfId="50149"/>
    <cellStyle name="Normal 2 7 2 2 2" xfId="50150"/>
    <cellStyle name="Normal 2 7 2 2 2 2" xfId="50151"/>
    <cellStyle name="Normal 2 7 2 2 2 2 2" xfId="50152"/>
    <cellStyle name="Normal 2 7 2 2 2 3" xfId="50153"/>
    <cellStyle name="Normal 2 7 2 2 2 3 2" xfId="50154"/>
    <cellStyle name="Normal 2 7 2 2 2 4" xfId="50155"/>
    <cellStyle name="Normal 2 7 2 2 2 5" xfId="50156"/>
    <cellStyle name="Normal 2 7 2 2 2 6" xfId="50157"/>
    <cellStyle name="Normal 2 7 2 2 2 7" xfId="50158"/>
    <cellStyle name="Normal 2 7 2 2 3" xfId="50159"/>
    <cellStyle name="Normal 2 7 2 2 3 2" xfId="50160"/>
    <cellStyle name="Normal 2 7 2 2 3 2 2" xfId="50161"/>
    <cellStyle name="Normal 2 7 2 2 3 3" xfId="50162"/>
    <cellStyle name="Normal 2 7 2 2 3 3 2" xfId="50163"/>
    <cellStyle name="Normal 2 7 2 2 3 4" xfId="50164"/>
    <cellStyle name="Normal 2 7 2 2 3 5" xfId="50165"/>
    <cellStyle name="Normal 2 7 2 2 3 6" xfId="50166"/>
    <cellStyle name="Normal 2 7 2 2 3 7" xfId="50167"/>
    <cellStyle name="Normal 2 7 2 2 4" xfId="50168"/>
    <cellStyle name="Normal 2 7 2 2 4 2" xfId="50169"/>
    <cellStyle name="Normal 2 7 2 2 4 2 2" xfId="50170"/>
    <cellStyle name="Normal 2 7 2 2 4 3" xfId="50171"/>
    <cellStyle name="Normal 2 7 2 2 4 3 2" xfId="50172"/>
    <cellStyle name="Normal 2 7 2 2 4 4" xfId="50173"/>
    <cellStyle name="Normal 2 7 2 2 4 5" xfId="50174"/>
    <cellStyle name="Normal 2 7 2 2 4 6" xfId="50175"/>
    <cellStyle name="Normal 2 7 2 2 4 7" xfId="50176"/>
    <cellStyle name="Normal 2 7 2 2 5" xfId="50177"/>
    <cellStyle name="Normal 2 7 2 2 5 2" xfId="50178"/>
    <cellStyle name="Normal 2 7 2 2 6" xfId="50179"/>
    <cellStyle name="Normal 2 7 2 2 6 2" xfId="50180"/>
    <cellStyle name="Normal 2 7 2 2 7" xfId="50181"/>
    <cellStyle name="Normal 2 7 2 2 8" xfId="50182"/>
    <cellStyle name="Normal 2 7 2 2 9" xfId="50183"/>
    <cellStyle name="Normal 2 7 2 3" xfId="50184"/>
    <cellStyle name="Normal 2 7 2 3 2" xfId="50185"/>
    <cellStyle name="Normal 2 7 2 3 2 2" xfId="50186"/>
    <cellStyle name="Normal 2 7 2 3 3" xfId="50187"/>
    <cellStyle name="Normal 2 7 2 3 3 2" xfId="50188"/>
    <cellStyle name="Normal 2 7 2 3 4" xfId="50189"/>
    <cellStyle name="Normal 2 7 2 3 5" xfId="50190"/>
    <cellStyle name="Normal 2 7 2 3 6" xfId="50191"/>
    <cellStyle name="Normal 2 7 2 3 7" xfId="50192"/>
    <cellStyle name="Normal 2 7 2 4" xfId="50193"/>
    <cellStyle name="Normal 2 7 2 4 2" xfId="50194"/>
    <cellStyle name="Normal 2 7 2 4 2 2" xfId="50195"/>
    <cellStyle name="Normal 2 7 2 4 3" xfId="50196"/>
    <cellStyle name="Normal 2 7 2 4 3 2" xfId="50197"/>
    <cellStyle name="Normal 2 7 2 4 4" xfId="50198"/>
    <cellStyle name="Normal 2 7 2 4 5" xfId="50199"/>
    <cellStyle name="Normal 2 7 2 4 6" xfId="50200"/>
    <cellStyle name="Normal 2 7 2 4 7" xfId="50201"/>
    <cellStyle name="Normal 2 7 2 5" xfId="50202"/>
    <cellStyle name="Normal 2 7 2 5 2" xfId="50203"/>
    <cellStyle name="Normal 2 7 2 5 2 2" xfId="50204"/>
    <cellStyle name="Normal 2 7 2 5 3" xfId="50205"/>
    <cellStyle name="Normal 2 7 2 5 3 2" xfId="50206"/>
    <cellStyle name="Normal 2 7 2 5 4" xfId="50207"/>
    <cellStyle name="Normal 2 7 2 5 5" xfId="50208"/>
    <cellStyle name="Normal 2 7 2 5 6" xfId="50209"/>
    <cellStyle name="Normal 2 7 2 5 7" xfId="50210"/>
    <cellStyle name="Normal 2 7 2 6" xfId="50211"/>
    <cellStyle name="Normal 2 7 2 6 2" xfId="50212"/>
    <cellStyle name="Normal 2 7 2 7" xfId="50213"/>
    <cellStyle name="Normal 2 7 2 7 2" xfId="50214"/>
    <cellStyle name="Normal 2 7 2 8" xfId="50215"/>
    <cellStyle name="Normal 2 7 2 9" xfId="50216"/>
    <cellStyle name="Normal 2 7 3" xfId="50217"/>
    <cellStyle name="Normal 2 7 3 10" xfId="50218"/>
    <cellStyle name="Normal 2 7 3 11" xfId="50219"/>
    <cellStyle name="Normal 2 7 3 2" xfId="50220"/>
    <cellStyle name="Normal 2 7 3 2 10" xfId="50221"/>
    <cellStyle name="Normal 2 7 3 2 2" xfId="50222"/>
    <cellStyle name="Normal 2 7 3 2 2 2" xfId="50223"/>
    <cellStyle name="Normal 2 7 3 2 2 2 2" xfId="50224"/>
    <cellStyle name="Normal 2 7 3 2 2 3" xfId="50225"/>
    <cellStyle name="Normal 2 7 3 2 2 3 2" xfId="50226"/>
    <cellStyle name="Normal 2 7 3 2 2 4" xfId="50227"/>
    <cellStyle name="Normal 2 7 3 2 2 5" xfId="50228"/>
    <cellStyle name="Normal 2 7 3 2 2 6" xfId="50229"/>
    <cellStyle name="Normal 2 7 3 2 2 7" xfId="50230"/>
    <cellStyle name="Normal 2 7 3 2 3" xfId="50231"/>
    <cellStyle name="Normal 2 7 3 2 3 2" xfId="50232"/>
    <cellStyle name="Normal 2 7 3 2 3 2 2" xfId="50233"/>
    <cellStyle name="Normal 2 7 3 2 3 3" xfId="50234"/>
    <cellStyle name="Normal 2 7 3 2 3 3 2" xfId="50235"/>
    <cellStyle name="Normal 2 7 3 2 3 4" xfId="50236"/>
    <cellStyle name="Normal 2 7 3 2 3 5" xfId="50237"/>
    <cellStyle name="Normal 2 7 3 2 3 6" xfId="50238"/>
    <cellStyle name="Normal 2 7 3 2 3 7" xfId="50239"/>
    <cellStyle name="Normal 2 7 3 2 4" xfId="50240"/>
    <cellStyle name="Normal 2 7 3 2 4 2" xfId="50241"/>
    <cellStyle name="Normal 2 7 3 2 4 2 2" xfId="50242"/>
    <cellStyle name="Normal 2 7 3 2 4 3" xfId="50243"/>
    <cellStyle name="Normal 2 7 3 2 4 3 2" xfId="50244"/>
    <cellStyle name="Normal 2 7 3 2 4 4" xfId="50245"/>
    <cellStyle name="Normal 2 7 3 2 4 5" xfId="50246"/>
    <cellStyle name="Normal 2 7 3 2 4 6" xfId="50247"/>
    <cellStyle name="Normal 2 7 3 2 4 7" xfId="50248"/>
    <cellStyle name="Normal 2 7 3 2 5" xfId="50249"/>
    <cellStyle name="Normal 2 7 3 2 5 2" xfId="50250"/>
    <cellStyle name="Normal 2 7 3 2 6" xfId="50251"/>
    <cellStyle name="Normal 2 7 3 2 6 2" xfId="50252"/>
    <cellStyle name="Normal 2 7 3 2 7" xfId="50253"/>
    <cellStyle name="Normal 2 7 3 2 8" xfId="50254"/>
    <cellStyle name="Normal 2 7 3 2 9" xfId="50255"/>
    <cellStyle name="Normal 2 7 3 3" xfId="50256"/>
    <cellStyle name="Normal 2 7 3 3 2" xfId="50257"/>
    <cellStyle name="Normal 2 7 3 3 2 2" xfId="50258"/>
    <cellStyle name="Normal 2 7 3 3 3" xfId="50259"/>
    <cellStyle name="Normal 2 7 3 3 3 2" xfId="50260"/>
    <cellStyle name="Normal 2 7 3 3 4" xfId="50261"/>
    <cellStyle name="Normal 2 7 3 3 5" xfId="50262"/>
    <cellStyle name="Normal 2 7 3 3 6" xfId="50263"/>
    <cellStyle name="Normal 2 7 3 3 7" xfId="50264"/>
    <cellStyle name="Normal 2 7 3 4" xfId="50265"/>
    <cellStyle name="Normal 2 7 3 4 2" xfId="50266"/>
    <cellStyle name="Normal 2 7 3 4 2 2" xfId="50267"/>
    <cellStyle name="Normal 2 7 3 4 3" xfId="50268"/>
    <cellStyle name="Normal 2 7 3 4 3 2" xfId="50269"/>
    <cellStyle name="Normal 2 7 3 4 4" xfId="50270"/>
    <cellStyle name="Normal 2 7 3 4 5" xfId="50271"/>
    <cellStyle name="Normal 2 7 3 4 6" xfId="50272"/>
    <cellStyle name="Normal 2 7 3 4 7" xfId="50273"/>
    <cellStyle name="Normal 2 7 3 5" xfId="50274"/>
    <cellStyle name="Normal 2 7 3 5 2" xfId="50275"/>
    <cellStyle name="Normal 2 7 3 5 2 2" xfId="50276"/>
    <cellStyle name="Normal 2 7 3 5 3" xfId="50277"/>
    <cellStyle name="Normal 2 7 3 5 3 2" xfId="50278"/>
    <cellStyle name="Normal 2 7 3 5 4" xfId="50279"/>
    <cellStyle name="Normal 2 7 3 5 5" xfId="50280"/>
    <cellStyle name="Normal 2 7 3 5 6" xfId="50281"/>
    <cellStyle name="Normal 2 7 3 5 7" xfId="50282"/>
    <cellStyle name="Normal 2 7 3 6" xfId="50283"/>
    <cellStyle name="Normal 2 7 3 6 2" xfId="50284"/>
    <cellStyle name="Normal 2 7 3 7" xfId="50285"/>
    <cellStyle name="Normal 2 7 3 7 2" xfId="50286"/>
    <cellStyle name="Normal 2 7 3 8" xfId="50287"/>
    <cellStyle name="Normal 2 7 3 9" xfId="50288"/>
    <cellStyle name="Normal 2 7 4" xfId="50289"/>
    <cellStyle name="Normal 2 7 4 10" xfId="50290"/>
    <cellStyle name="Normal 2 7 4 2" xfId="50291"/>
    <cellStyle name="Normal 2 7 4 2 2" xfId="50292"/>
    <cellStyle name="Normal 2 7 4 2 2 2" xfId="50293"/>
    <cellStyle name="Normal 2 7 4 2 3" xfId="50294"/>
    <cellStyle name="Normal 2 7 4 2 3 2" xfId="50295"/>
    <cellStyle name="Normal 2 7 4 2 4" xfId="50296"/>
    <cellStyle name="Normal 2 7 4 2 5" xfId="50297"/>
    <cellStyle name="Normal 2 7 4 2 6" xfId="50298"/>
    <cellStyle name="Normal 2 7 4 2 7" xfId="50299"/>
    <cellStyle name="Normal 2 7 4 3" xfId="50300"/>
    <cellStyle name="Normal 2 7 4 3 2" xfId="50301"/>
    <cellStyle name="Normal 2 7 4 3 2 2" xfId="50302"/>
    <cellStyle name="Normal 2 7 4 3 3" xfId="50303"/>
    <cellStyle name="Normal 2 7 4 3 3 2" xfId="50304"/>
    <cellStyle name="Normal 2 7 4 3 4" xfId="50305"/>
    <cellStyle name="Normal 2 7 4 3 5" xfId="50306"/>
    <cellStyle name="Normal 2 7 4 3 6" xfId="50307"/>
    <cellStyle name="Normal 2 7 4 3 7" xfId="50308"/>
    <cellStyle name="Normal 2 7 4 4" xfId="50309"/>
    <cellStyle name="Normal 2 7 4 4 2" xfId="50310"/>
    <cellStyle name="Normal 2 7 4 4 2 2" xfId="50311"/>
    <cellStyle name="Normal 2 7 4 4 3" xfId="50312"/>
    <cellStyle name="Normal 2 7 4 4 3 2" xfId="50313"/>
    <cellStyle name="Normal 2 7 4 4 4" xfId="50314"/>
    <cellStyle name="Normal 2 7 4 4 5" xfId="50315"/>
    <cellStyle name="Normal 2 7 4 4 6" xfId="50316"/>
    <cellStyle name="Normal 2 7 4 4 7" xfId="50317"/>
    <cellStyle name="Normal 2 7 4 5" xfId="50318"/>
    <cellStyle name="Normal 2 7 4 5 2" xfId="50319"/>
    <cellStyle name="Normal 2 7 4 6" xfId="50320"/>
    <cellStyle name="Normal 2 7 4 6 2" xfId="50321"/>
    <cellStyle name="Normal 2 7 4 7" xfId="50322"/>
    <cellStyle name="Normal 2 7 4 8" xfId="50323"/>
    <cellStyle name="Normal 2 7 4 9" xfId="50324"/>
    <cellStyle name="Normal 2 7 5" xfId="50325"/>
    <cellStyle name="Normal 2 7 5 2" xfId="50326"/>
    <cellStyle name="Normal 2 7 5 2 2" xfId="50327"/>
    <cellStyle name="Normal 2 7 5 3" xfId="50328"/>
    <cellStyle name="Normal 2 7 5 3 2" xfId="50329"/>
    <cellStyle name="Normal 2 7 5 4" xfId="50330"/>
    <cellStyle name="Normal 2 7 5 5" xfId="50331"/>
    <cellStyle name="Normal 2 7 5 6" xfId="50332"/>
    <cellStyle name="Normal 2 7 5 7" xfId="50333"/>
    <cellStyle name="Normal 2 7 6" xfId="50334"/>
    <cellStyle name="Normal 2 7 6 2" xfId="50335"/>
    <cellStyle name="Normal 2 7 6 2 2" xfId="50336"/>
    <cellStyle name="Normal 2 7 6 3" xfId="50337"/>
    <cellStyle name="Normal 2 7 6 3 2" xfId="50338"/>
    <cellStyle name="Normal 2 7 6 4" xfId="50339"/>
    <cellStyle name="Normal 2 7 6 5" xfId="50340"/>
    <cellStyle name="Normal 2 7 6 6" xfId="50341"/>
    <cellStyle name="Normal 2 7 6 7" xfId="50342"/>
    <cellStyle name="Normal 2 7 7" xfId="50343"/>
    <cellStyle name="Normal 2 7 7 2" xfId="50344"/>
    <cellStyle name="Normal 2 7 7 2 2" xfId="50345"/>
    <cellStyle name="Normal 2 7 7 3" xfId="50346"/>
    <cellStyle name="Normal 2 7 7 3 2" xfId="50347"/>
    <cellStyle name="Normal 2 7 7 4" xfId="50348"/>
    <cellStyle name="Normal 2 7 7 5" xfId="50349"/>
    <cellStyle name="Normal 2 7 7 6" xfId="50350"/>
    <cellStyle name="Normal 2 7 7 7" xfId="50351"/>
    <cellStyle name="Normal 2 7 8" xfId="50352"/>
    <cellStyle name="Normal 2 7 8 2" xfId="50353"/>
    <cellStyle name="Normal 2 7 9" xfId="50354"/>
    <cellStyle name="Normal 2 7 9 2" xfId="50355"/>
    <cellStyle name="Normal 2 8" xfId="50356"/>
    <cellStyle name="Normal 2 8 10" xfId="50357"/>
    <cellStyle name="Normal 2 8 11" xfId="50358"/>
    <cellStyle name="Normal 2 8 12" xfId="50359"/>
    <cellStyle name="Normal 2 8 13" xfId="50360"/>
    <cellStyle name="Normal 2 8 2" xfId="50361"/>
    <cellStyle name="Normal 2 8 2 10" xfId="50362"/>
    <cellStyle name="Normal 2 8 2 11" xfId="50363"/>
    <cellStyle name="Normal 2 8 2 2" xfId="50364"/>
    <cellStyle name="Normal 2 8 2 2 10" xfId="50365"/>
    <cellStyle name="Normal 2 8 2 2 2" xfId="50366"/>
    <cellStyle name="Normal 2 8 2 2 2 2" xfId="50367"/>
    <cellStyle name="Normal 2 8 2 2 2 2 2" xfId="50368"/>
    <cellStyle name="Normal 2 8 2 2 2 3" xfId="50369"/>
    <cellStyle name="Normal 2 8 2 2 2 3 2" xfId="50370"/>
    <cellStyle name="Normal 2 8 2 2 2 4" xfId="50371"/>
    <cellStyle name="Normal 2 8 2 2 2 5" xfId="50372"/>
    <cellStyle name="Normal 2 8 2 2 2 6" xfId="50373"/>
    <cellStyle name="Normal 2 8 2 2 2 7" xfId="50374"/>
    <cellStyle name="Normal 2 8 2 2 3" xfId="50375"/>
    <cellStyle name="Normal 2 8 2 2 3 2" xfId="50376"/>
    <cellStyle name="Normal 2 8 2 2 3 2 2" xfId="50377"/>
    <cellStyle name="Normal 2 8 2 2 3 3" xfId="50378"/>
    <cellStyle name="Normal 2 8 2 2 3 3 2" xfId="50379"/>
    <cellStyle name="Normal 2 8 2 2 3 4" xfId="50380"/>
    <cellStyle name="Normal 2 8 2 2 3 5" xfId="50381"/>
    <cellStyle name="Normal 2 8 2 2 3 6" xfId="50382"/>
    <cellStyle name="Normal 2 8 2 2 3 7" xfId="50383"/>
    <cellStyle name="Normal 2 8 2 2 4" xfId="50384"/>
    <cellStyle name="Normal 2 8 2 2 4 2" xfId="50385"/>
    <cellStyle name="Normal 2 8 2 2 4 2 2" xfId="50386"/>
    <cellStyle name="Normal 2 8 2 2 4 3" xfId="50387"/>
    <cellStyle name="Normal 2 8 2 2 4 3 2" xfId="50388"/>
    <cellStyle name="Normal 2 8 2 2 4 4" xfId="50389"/>
    <cellStyle name="Normal 2 8 2 2 4 5" xfId="50390"/>
    <cellStyle name="Normal 2 8 2 2 4 6" xfId="50391"/>
    <cellStyle name="Normal 2 8 2 2 4 7" xfId="50392"/>
    <cellStyle name="Normal 2 8 2 2 5" xfId="50393"/>
    <cellStyle name="Normal 2 8 2 2 5 2" xfId="50394"/>
    <cellStyle name="Normal 2 8 2 2 6" xfId="50395"/>
    <cellStyle name="Normal 2 8 2 2 6 2" xfId="50396"/>
    <cellStyle name="Normal 2 8 2 2 7" xfId="50397"/>
    <cellStyle name="Normal 2 8 2 2 8" xfId="50398"/>
    <cellStyle name="Normal 2 8 2 2 9" xfId="50399"/>
    <cellStyle name="Normal 2 8 2 3" xfId="50400"/>
    <cellStyle name="Normal 2 8 2 3 2" xfId="50401"/>
    <cellStyle name="Normal 2 8 2 3 2 2" xfId="50402"/>
    <cellStyle name="Normal 2 8 2 3 3" xfId="50403"/>
    <cellStyle name="Normal 2 8 2 3 3 2" xfId="50404"/>
    <cellStyle name="Normal 2 8 2 3 4" xfId="50405"/>
    <cellStyle name="Normal 2 8 2 3 5" xfId="50406"/>
    <cellStyle name="Normal 2 8 2 3 6" xfId="50407"/>
    <cellStyle name="Normal 2 8 2 3 7" xfId="50408"/>
    <cellStyle name="Normal 2 8 2 4" xfId="50409"/>
    <cellStyle name="Normal 2 8 2 4 2" xfId="50410"/>
    <cellStyle name="Normal 2 8 2 4 2 2" xfId="50411"/>
    <cellStyle name="Normal 2 8 2 4 3" xfId="50412"/>
    <cellStyle name="Normal 2 8 2 4 3 2" xfId="50413"/>
    <cellStyle name="Normal 2 8 2 4 4" xfId="50414"/>
    <cellStyle name="Normal 2 8 2 4 5" xfId="50415"/>
    <cellStyle name="Normal 2 8 2 4 6" xfId="50416"/>
    <cellStyle name="Normal 2 8 2 4 7" xfId="50417"/>
    <cellStyle name="Normal 2 8 2 5" xfId="50418"/>
    <cellStyle name="Normal 2 8 2 5 2" xfId="50419"/>
    <cellStyle name="Normal 2 8 2 5 2 2" xfId="50420"/>
    <cellStyle name="Normal 2 8 2 5 3" xfId="50421"/>
    <cellStyle name="Normal 2 8 2 5 3 2" xfId="50422"/>
    <cellStyle name="Normal 2 8 2 5 4" xfId="50423"/>
    <cellStyle name="Normal 2 8 2 5 5" xfId="50424"/>
    <cellStyle name="Normal 2 8 2 5 6" xfId="50425"/>
    <cellStyle name="Normal 2 8 2 5 7" xfId="50426"/>
    <cellStyle name="Normal 2 8 2 6" xfId="50427"/>
    <cellStyle name="Normal 2 8 2 6 2" xfId="50428"/>
    <cellStyle name="Normal 2 8 2 7" xfId="50429"/>
    <cellStyle name="Normal 2 8 2 7 2" xfId="50430"/>
    <cellStyle name="Normal 2 8 2 8" xfId="50431"/>
    <cellStyle name="Normal 2 8 2 9" xfId="50432"/>
    <cellStyle name="Normal 2 8 3" xfId="50433"/>
    <cellStyle name="Normal 2 8 3 10" xfId="50434"/>
    <cellStyle name="Normal 2 8 3 11" xfId="50435"/>
    <cellStyle name="Normal 2 8 3 2" xfId="50436"/>
    <cellStyle name="Normal 2 8 3 2 10" xfId="50437"/>
    <cellStyle name="Normal 2 8 3 2 2" xfId="50438"/>
    <cellStyle name="Normal 2 8 3 2 2 2" xfId="50439"/>
    <cellStyle name="Normal 2 8 3 2 2 2 2" xfId="50440"/>
    <cellStyle name="Normal 2 8 3 2 2 3" xfId="50441"/>
    <cellStyle name="Normal 2 8 3 2 2 3 2" xfId="50442"/>
    <cellStyle name="Normal 2 8 3 2 2 4" xfId="50443"/>
    <cellStyle name="Normal 2 8 3 2 2 5" xfId="50444"/>
    <cellStyle name="Normal 2 8 3 2 2 6" xfId="50445"/>
    <cellStyle name="Normal 2 8 3 2 2 7" xfId="50446"/>
    <cellStyle name="Normal 2 8 3 2 3" xfId="50447"/>
    <cellStyle name="Normal 2 8 3 2 3 2" xfId="50448"/>
    <cellStyle name="Normal 2 8 3 2 3 2 2" xfId="50449"/>
    <cellStyle name="Normal 2 8 3 2 3 3" xfId="50450"/>
    <cellStyle name="Normal 2 8 3 2 3 3 2" xfId="50451"/>
    <cellStyle name="Normal 2 8 3 2 3 4" xfId="50452"/>
    <cellStyle name="Normal 2 8 3 2 3 5" xfId="50453"/>
    <cellStyle name="Normal 2 8 3 2 3 6" xfId="50454"/>
    <cellStyle name="Normal 2 8 3 2 3 7" xfId="50455"/>
    <cellStyle name="Normal 2 8 3 2 4" xfId="50456"/>
    <cellStyle name="Normal 2 8 3 2 4 2" xfId="50457"/>
    <cellStyle name="Normal 2 8 3 2 4 2 2" xfId="50458"/>
    <cellStyle name="Normal 2 8 3 2 4 3" xfId="50459"/>
    <cellStyle name="Normal 2 8 3 2 4 3 2" xfId="50460"/>
    <cellStyle name="Normal 2 8 3 2 4 4" xfId="50461"/>
    <cellStyle name="Normal 2 8 3 2 4 5" xfId="50462"/>
    <cellStyle name="Normal 2 8 3 2 4 6" xfId="50463"/>
    <cellStyle name="Normal 2 8 3 2 4 7" xfId="50464"/>
    <cellStyle name="Normal 2 8 3 2 5" xfId="50465"/>
    <cellStyle name="Normal 2 8 3 2 5 2" xfId="50466"/>
    <cellStyle name="Normal 2 8 3 2 6" xfId="50467"/>
    <cellStyle name="Normal 2 8 3 2 6 2" xfId="50468"/>
    <cellStyle name="Normal 2 8 3 2 7" xfId="50469"/>
    <cellStyle name="Normal 2 8 3 2 8" xfId="50470"/>
    <cellStyle name="Normal 2 8 3 2 9" xfId="50471"/>
    <cellStyle name="Normal 2 8 3 3" xfId="50472"/>
    <cellStyle name="Normal 2 8 3 3 2" xfId="50473"/>
    <cellStyle name="Normal 2 8 3 3 2 2" xfId="50474"/>
    <cellStyle name="Normal 2 8 3 3 3" xfId="50475"/>
    <cellStyle name="Normal 2 8 3 3 3 2" xfId="50476"/>
    <cellStyle name="Normal 2 8 3 3 4" xfId="50477"/>
    <cellStyle name="Normal 2 8 3 3 5" xfId="50478"/>
    <cellStyle name="Normal 2 8 3 3 6" xfId="50479"/>
    <cellStyle name="Normal 2 8 3 3 7" xfId="50480"/>
    <cellStyle name="Normal 2 8 3 4" xfId="50481"/>
    <cellStyle name="Normal 2 8 3 4 2" xfId="50482"/>
    <cellStyle name="Normal 2 8 3 4 2 2" xfId="50483"/>
    <cellStyle name="Normal 2 8 3 4 3" xfId="50484"/>
    <cellStyle name="Normal 2 8 3 4 3 2" xfId="50485"/>
    <cellStyle name="Normal 2 8 3 4 4" xfId="50486"/>
    <cellStyle name="Normal 2 8 3 4 5" xfId="50487"/>
    <cellStyle name="Normal 2 8 3 4 6" xfId="50488"/>
    <cellStyle name="Normal 2 8 3 4 7" xfId="50489"/>
    <cellStyle name="Normal 2 8 3 5" xfId="50490"/>
    <cellStyle name="Normal 2 8 3 5 2" xfId="50491"/>
    <cellStyle name="Normal 2 8 3 5 2 2" xfId="50492"/>
    <cellStyle name="Normal 2 8 3 5 3" xfId="50493"/>
    <cellStyle name="Normal 2 8 3 5 3 2" xfId="50494"/>
    <cellStyle name="Normal 2 8 3 5 4" xfId="50495"/>
    <cellStyle name="Normal 2 8 3 5 5" xfId="50496"/>
    <cellStyle name="Normal 2 8 3 5 6" xfId="50497"/>
    <cellStyle name="Normal 2 8 3 5 7" xfId="50498"/>
    <cellStyle name="Normal 2 8 3 6" xfId="50499"/>
    <cellStyle name="Normal 2 8 3 6 2" xfId="50500"/>
    <cellStyle name="Normal 2 8 3 7" xfId="50501"/>
    <cellStyle name="Normal 2 8 3 7 2" xfId="50502"/>
    <cellStyle name="Normal 2 8 3 8" xfId="50503"/>
    <cellStyle name="Normal 2 8 3 9" xfId="50504"/>
    <cellStyle name="Normal 2 8 4" xfId="50505"/>
    <cellStyle name="Normal 2 8 4 10" xfId="50506"/>
    <cellStyle name="Normal 2 8 4 2" xfId="50507"/>
    <cellStyle name="Normal 2 8 4 2 2" xfId="50508"/>
    <cellStyle name="Normal 2 8 4 2 2 2" xfId="50509"/>
    <cellStyle name="Normal 2 8 4 2 3" xfId="50510"/>
    <cellStyle name="Normal 2 8 4 2 3 2" xfId="50511"/>
    <cellStyle name="Normal 2 8 4 2 4" xfId="50512"/>
    <cellStyle name="Normal 2 8 4 2 5" xfId="50513"/>
    <cellStyle name="Normal 2 8 4 2 6" xfId="50514"/>
    <cellStyle name="Normal 2 8 4 2 7" xfId="50515"/>
    <cellStyle name="Normal 2 8 4 3" xfId="50516"/>
    <cellStyle name="Normal 2 8 4 3 2" xfId="50517"/>
    <cellStyle name="Normal 2 8 4 3 2 2" xfId="50518"/>
    <cellStyle name="Normal 2 8 4 3 3" xfId="50519"/>
    <cellStyle name="Normal 2 8 4 3 3 2" xfId="50520"/>
    <cellStyle name="Normal 2 8 4 3 4" xfId="50521"/>
    <cellStyle name="Normal 2 8 4 3 5" xfId="50522"/>
    <cellStyle name="Normal 2 8 4 3 6" xfId="50523"/>
    <cellStyle name="Normal 2 8 4 3 7" xfId="50524"/>
    <cellStyle name="Normal 2 8 4 4" xfId="50525"/>
    <cellStyle name="Normal 2 8 4 4 2" xfId="50526"/>
    <cellStyle name="Normal 2 8 4 4 2 2" xfId="50527"/>
    <cellStyle name="Normal 2 8 4 4 3" xfId="50528"/>
    <cellStyle name="Normal 2 8 4 4 3 2" xfId="50529"/>
    <cellStyle name="Normal 2 8 4 4 4" xfId="50530"/>
    <cellStyle name="Normal 2 8 4 4 5" xfId="50531"/>
    <cellStyle name="Normal 2 8 4 4 6" xfId="50532"/>
    <cellStyle name="Normal 2 8 4 4 7" xfId="50533"/>
    <cellStyle name="Normal 2 8 4 5" xfId="50534"/>
    <cellStyle name="Normal 2 8 4 5 2" xfId="50535"/>
    <cellStyle name="Normal 2 8 4 6" xfId="50536"/>
    <cellStyle name="Normal 2 8 4 6 2" xfId="50537"/>
    <cellStyle name="Normal 2 8 4 7" xfId="50538"/>
    <cellStyle name="Normal 2 8 4 8" xfId="50539"/>
    <cellStyle name="Normal 2 8 4 9" xfId="50540"/>
    <cellStyle name="Normal 2 8 5" xfId="50541"/>
    <cellStyle name="Normal 2 8 5 2" xfId="50542"/>
    <cellStyle name="Normal 2 8 5 2 2" xfId="50543"/>
    <cellStyle name="Normal 2 8 5 3" xfId="50544"/>
    <cellStyle name="Normal 2 8 5 3 2" xfId="50545"/>
    <cellStyle name="Normal 2 8 5 4" xfId="50546"/>
    <cellStyle name="Normal 2 8 5 5" xfId="50547"/>
    <cellStyle name="Normal 2 8 5 6" xfId="50548"/>
    <cellStyle name="Normal 2 8 5 7" xfId="50549"/>
    <cellStyle name="Normal 2 8 6" xfId="50550"/>
    <cellStyle name="Normal 2 8 6 2" xfId="50551"/>
    <cellStyle name="Normal 2 8 6 2 2" xfId="50552"/>
    <cellStyle name="Normal 2 8 6 3" xfId="50553"/>
    <cellStyle name="Normal 2 8 6 3 2" xfId="50554"/>
    <cellStyle name="Normal 2 8 6 4" xfId="50555"/>
    <cellStyle name="Normal 2 8 6 5" xfId="50556"/>
    <cellStyle name="Normal 2 8 6 6" xfId="50557"/>
    <cellStyle name="Normal 2 8 6 7" xfId="50558"/>
    <cellStyle name="Normal 2 8 7" xfId="50559"/>
    <cellStyle name="Normal 2 8 7 2" xfId="50560"/>
    <cellStyle name="Normal 2 8 7 2 2" xfId="50561"/>
    <cellStyle name="Normal 2 8 7 3" xfId="50562"/>
    <cellStyle name="Normal 2 8 7 3 2" xfId="50563"/>
    <cellStyle name="Normal 2 8 7 4" xfId="50564"/>
    <cellStyle name="Normal 2 8 7 5" xfId="50565"/>
    <cellStyle name="Normal 2 8 7 6" xfId="50566"/>
    <cellStyle name="Normal 2 8 7 7" xfId="50567"/>
    <cellStyle name="Normal 2 8 8" xfId="50568"/>
    <cellStyle name="Normal 2 8 8 2" xfId="50569"/>
    <cellStyle name="Normal 2 8 9" xfId="50570"/>
    <cellStyle name="Normal 2 8 9 2" xfId="50571"/>
    <cellStyle name="Normal 2 9" xfId="50572"/>
    <cellStyle name="Normal 2 9 10" xfId="50573"/>
    <cellStyle name="Normal 2 9 11" xfId="50574"/>
    <cellStyle name="Normal 2 9 12" xfId="50575"/>
    <cellStyle name="Normal 2 9 13" xfId="50576"/>
    <cellStyle name="Normal 2 9 2" xfId="50577"/>
    <cellStyle name="Normal 2 9 2 10" xfId="50578"/>
    <cellStyle name="Normal 2 9 2 11" xfId="50579"/>
    <cellStyle name="Normal 2 9 2 2" xfId="50580"/>
    <cellStyle name="Normal 2 9 2 2 10" xfId="50581"/>
    <cellStyle name="Normal 2 9 2 2 2" xfId="50582"/>
    <cellStyle name="Normal 2 9 2 2 2 2" xfId="50583"/>
    <cellStyle name="Normal 2 9 2 2 2 2 2" xfId="50584"/>
    <cellStyle name="Normal 2 9 2 2 2 3" xfId="50585"/>
    <cellStyle name="Normal 2 9 2 2 2 3 2" xfId="50586"/>
    <cellStyle name="Normal 2 9 2 2 2 4" xfId="50587"/>
    <cellStyle name="Normal 2 9 2 2 2 5" xfId="50588"/>
    <cellStyle name="Normal 2 9 2 2 2 6" xfId="50589"/>
    <cellStyle name="Normal 2 9 2 2 2 7" xfId="50590"/>
    <cellStyle name="Normal 2 9 2 2 3" xfId="50591"/>
    <cellStyle name="Normal 2 9 2 2 3 2" xfId="50592"/>
    <cellStyle name="Normal 2 9 2 2 3 2 2" xfId="50593"/>
    <cellStyle name="Normal 2 9 2 2 3 3" xfId="50594"/>
    <cellStyle name="Normal 2 9 2 2 3 3 2" xfId="50595"/>
    <cellStyle name="Normal 2 9 2 2 3 4" xfId="50596"/>
    <cellStyle name="Normal 2 9 2 2 3 5" xfId="50597"/>
    <cellStyle name="Normal 2 9 2 2 3 6" xfId="50598"/>
    <cellStyle name="Normal 2 9 2 2 3 7" xfId="50599"/>
    <cellStyle name="Normal 2 9 2 2 4" xfId="50600"/>
    <cellStyle name="Normal 2 9 2 2 4 2" xfId="50601"/>
    <cellStyle name="Normal 2 9 2 2 4 2 2" xfId="50602"/>
    <cellStyle name="Normal 2 9 2 2 4 3" xfId="50603"/>
    <cellStyle name="Normal 2 9 2 2 4 3 2" xfId="50604"/>
    <cellStyle name="Normal 2 9 2 2 4 4" xfId="50605"/>
    <cellStyle name="Normal 2 9 2 2 4 5" xfId="50606"/>
    <cellStyle name="Normal 2 9 2 2 4 6" xfId="50607"/>
    <cellStyle name="Normal 2 9 2 2 4 7" xfId="50608"/>
    <cellStyle name="Normal 2 9 2 2 5" xfId="50609"/>
    <cellStyle name="Normal 2 9 2 2 5 2" xfId="50610"/>
    <cellStyle name="Normal 2 9 2 2 6" xfId="50611"/>
    <cellStyle name="Normal 2 9 2 2 6 2" xfId="50612"/>
    <cellStyle name="Normal 2 9 2 2 7" xfId="50613"/>
    <cellStyle name="Normal 2 9 2 2 8" xfId="50614"/>
    <cellStyle name="Normal 2 9 2 2 9" xfId="50615"/>
    <cellStyle name="Normal 2 9 2 3" xfId="50616"/>
    <cellStyle name="Normal 2 9 2 3 2" xfId="50617"/>
    <cellStyle name="Normal 2 9 2 3 2 2" xfId="50618"/>
    <cellStyle name="Normal 2 9 2 3 3" xfId="50619"/>
    <cellStyle name="Normal 2 9 2 3 3 2" xfId="50620"/>
    <cellStyle name="Normal 2 9 2 3 4" xfId="50621"/>
    <cellStyle name="Normal 2 9 2 3 5" xfId="50622"/>
    <cellStyle name="Normal 2 9 2 3 6" xfId="50623"/>
    <cellStyle name="Normal 2 9 2 3 7" xfId="50624"/>
    <cellStyle name="Normal 2 9 2 4" xfId="50625"/>
    <cellStyle name="Normal 2 9 2 4 2" xfId="50626"/>
    <cellStyle name="Normal 2 9 2 4 2 2" xfId="50627"/>
    <cellStyle name="Normal 2 9 2 4 3" xfId="50628"/>
    <cellStyle name="Normal 2 9 2 4 3 2" xfId="50629"/>
    <cellStyle name="Normal 2 9 2 4 4" xfId="50630"/>
    <cellStyle name="Normal 2 9 2 4 5" xfId="50631"/>
    <cellStyle name="Normal 2 9 2 4 6" xfId="50632"/>
    <cellStyle name="Normal 2 9 2 4 7" xfId="50633"/>
    <cellStyle name="Normal 2 9 2 5" xfId="50634"/>
    <cellStyle name="Normal 2 9 2 5 2" xfId="50635"/>
    <cellStyle name="Normal 2 9 2 5 2 2" xfId="50636"/>
    <cellStyle name="Normal 2 9 2 5 3" xfId="50637"/>
    <cellStyle name="Normal 2 9 2 5 3 2" xfId="50638"/>
    <cellStyle name="Normal 2 9 2 5 4" xfId="50639"/>
    <cellStyle name="Normal 2 9 2 5 5" xfId="50640"/>
    <cellStyle name="Normal 2 9 2 5 6" xfId="50641"/>
    <cellStyle name="Normal 2 9 2 5 7" xfId="50642"/>
    <cellStyle name="Normal 2 9 2 6" xfId="50643"/>
    <cellStyle name="Normal 2 9 2 6 2" xfId="50644"/>
    <cellStyle name="Normal 2 9 2 7" xfId="50645"/>
    <cellStyle name="Normal 2 9 2 7 2" xfId="50646"/>
    <cellStyle name="Normal 2 9 2 8" xfId="50647"/>
    <cellStyle name="Normal 2 9 2 9" xfId="50648"/>
    <cellStyle name="Normal 2 9 3" xfId="50649"/>
    <cellStyle name="Normal 2 9 3 10" xfId="50650"/>
    <cellStyle name="Normal 2 9 3 11" xfId="50651"/>
    <cellStyle name="Normal 2 9 3 2" xfId="50652"/>
    <cellStyle name="Normal 2 9 3 2 10" xfId="50653"/>
    <cellStyle name="Normal 2 9 3 2 2" xfId="50654"/>
    <cellStyle name="Normal 2 9 3 2 2 2" xfId="50655"/>
    <cellStyle name="Normal 2 9 3 2 2 2 2" xfId="50656"/>
    <cellStyle name="Normal 2 9 3 2 2 3" xfId="50657"/>
    <cellStyle name="Normal 2 9 3 2 2 3 2" xfId="50658"/>
    <cellStyle name="Normal 2 9 3 2 2 4" xfId="50659"/>
    <cellStyle name="Normal 2 9 3 2 2 5" xfId="50660"/>
    <cellStyle name="Normal 2 9 3 2 2 6" xfId="50661"/>
    <cellStyle name="Normal 2 9 3 2 2 7" xfId="50662"/>
    <cellStyle name="Normal 2 9 3 2 3" xfId="50663"/>
    <cellStyle name="Normal 2 9 3 2 3 2" xfId="50664"/>
    <cellStyle name="Normal 2 9 3 2 3 2 2" xfId="50665"/>
    <cellStyle name="Normal 2 9 3 2 3 3" xfId="50666"/>
    <cellStyle name="Normal 2 9 3 2 3 3 2" xfId="50667"/>
    <cellStyle name="Normal 2 9 3 2 3 4" xfId="50668"/>
    <cellStyle name="Normal 2 9 3 2 3 5" xfId="50669"/>
    <cellStyle name="Normal 2 9 3 2 3 6" xfId="50670"/>
    <cellStyle name="Normal 2 9 3 2 3 7" xfId="50671"/>
    <cellStyle name="Normal 2 9 3 2 4" xfId="50672"/>
    <cellStyle name="Normal 2 9 3 2 4 2" xfId="50673"/>
    <cellStyle name="Normal 2 9 3 2 4 2 2" xfId="50674"/>
    <cellStyle name="Normal 2 9 3 2 4 3" xfId="50675"/>
    <cellStyle name="Normal 2 9 3 2 4 3 2" xfId="50676"/>
    <cellStyle name="Normal 2 9 3 2 4 4" xfId="50677"/>
    <cellStyle name="Normal 2 9 3 2 4 5" xfId="50678"/>
    <cellStyle name="Normal 2 9 3 2 4 6" xfId="50679"/>
    <cellStyle name="Normal 2 9 3 2 4 7" xfId="50680"/>
    <cellStyle name="Normal 2 9 3 2 5" xfId="50681"/>
    <cellStyle name="Normal 2 9 3 2 5 2" xfId="50682"/>
    <cellStyle name="Normal 2 9 3 2 6" xfId="50683"/>
    <cellStyle name="Normal 2 9 3 2 6 2" xfId="50684"/>
    <cellStyle name="Normal 2 9 3 2 7" xfId="50685"/>
    <cellStyle name="Normal 2 9 3 2 8" xfId="50686"/>
    <cellStyle name="Normal 2 9 3 2 9" xfId="50687"/>
    <cellStyle name="Normal 2 9 3 3" xfId="50688"/>
    <cellStyle name="Normal 2 9 3 3 2" xfId="50689"/>
    <cellStyle name="Normal 2 9 3 3 2 2" xfId="50690"/>
    <cellStyle name="Normal 2 9 3 3 3" xfId="50691"/>
    <cellStyle name="Normal 2 9 3 3 3 2" xfId="50692"/>
    <cellStyle name="Normal 2 9 3 3 4" xfId="50693"/>
    <cellStyle name="Normal 2 9 3 3 5" xfId="50694"/>
    <cellStyle name="Normal 2 9 3 3 6" xfId="50695"/>
    <cellStyle name="Normal 2 9 3 3 7" xfId="50696"/>
    <cellStyle name="Normal 2 9 3 4" xfId="50697"/>
    <cellStyle name="Normal 2 9 3 4 2" xfId="50698"/>
    <cellStyle name="Normal 2 9 3 4 2 2" xfId="50699"/>
    <cellStyle name="Normal 2 9 3 4 3" xfId="50700"/>
    <cellStyle name="Normal 2 9 3 4 3 2" xfId="50701"/>
    <cellStyle name="Normal 2 9 3 4 4" xfId="50702"/>
    <cellStyle name="Normal 2 9 3 4 5" xfId="50703"/>
    <cellStyle name="Normal 2 9 3 4 6" xfId="50704"/>
    <cellStyle name="Normal 2 9 3 4 7" xfId="50705"/>
    <cellStyle name="Normal 2 9 3 5" xfId="50706"/>
    <cellStyle name="Normal 2 9 3 5 2" xfId="50707"/>
    <cellStyle name="Normal 2 9 3 5 2 2" xfId="50708"/>
    <cellStyle name="Normal 2 9 3 5 3" xfId="50709"/>
    <cellStyle name="Normal 2 9 3 5 3 2" xfId="50710"/>
    <cellStyle name="Normal 2 9 3 5 4" xfId="50711"/>
    <cellStyle name="Normal 2 9 3 5 5" xfId="50712"/>
    <cellStyle name="Normal 2 9 3 5 6" xfId="50713"/>
    <cellStyle name="Normal 2 9 3 5 7" xfId="50714"/>
    <cellStyle name="Normal 2 9 3 6" xfId="50715"/>
    <cellStyle name="Normal 2 9 3 6 2" xfId="50716"/>
    <cellStyle name="Normal 2 9 3 7" xfId="50717"/>
    <cellStyle name="Normal 2 9 3 7 2" xfId="50718"/>
    <cellStyle name="Normal 2 9 3 8" xfId="50719"/>
    <cellStyle name="Normal 2 9 3 9" xfId="50720"/>
    <cellStyle name="Normal 2 9 4" xfId="50721"/>
    <cellStyle name="Normal 2 9 4 10" xfId="50722"/>
    <cellStyle name="Normal 2 9 4 2" xfId="50723"/>
    <cellStyle name="Normal 2 9 4 2 2" xfId="50724"/>
    <cellStyle name="Normal 2 9 4 2 2 2" xfId="50725"/>
    <cellStyle name="Normal 2 9 4 2 3" xfId="50726"/>
    <cellStyle name="Normal 2 9 4 2 3 2" xfId="50727"/>
    <cellStyle name="Normal 2 9 4 2 4" xfId="50728"/>
    <cellStyle name="Normal 2 9 4 2 5" xfId="50729"/>
    <cellStyle name="Normal 2 9 4 2 6" xfId="50730"/>
    <cellStyle name="Normal 2 9 4 2 7" xfId="50731"/>
    <cellStyle name="Normal 2 9 4 3" xfId="50732"/>
    <cellStyle name="Normal 2 9 4 3 2" xfId="50733"/>
    <cellStyle name="Normal 2 9 4 3 2 2" xfId="50734"/>
    <cellStyle name="Normal 2 9 4 3 3" xfId="50735"/>
    <cellStyle name="Normal 2 9 4 3 3 2" xfId="50736"/>
    <cellStyle name="Normal 2 9 4 3 4" xfId="50737"/>
    <cellStyle name="Normal 2 9 4 3 5" xfId="50738"/>
    <cellStyle name="Normal 2 9 4 3 6" xfId="50739"/>
    <cellStyle name="Normal 2 9 4 3 7" xfId="50740"/>
    <cellStyle name="Normal 2 9 4 4" xfId="50741"/>
    <cellStyle name="Normal 2 9 4 4 2" xfId="50742"/>
    <cellStyle name="Normal 2 9 4 4 2 2" xfId="50743"/>
    <cellStyle name="Normal 2 9 4 4 3" xfId="50744"/>
    <cellStyle name="Normal 2 9 4 4 3 2" xfId="50745"/>
    <cellStyle name="Normal 2 9 4 4 4" xfId="50746"/>
    <cellStyle name="Normal 2 9 4 4 5" xfId="50747"/>
    <cellStyle name="Normal 2 9 4 4 6" xfId="50748"/>
    <cellStyle name="Normal 2 9 4 4 7" xfId="50749"/>
    <cellStyle name="Normal 2 9 4 5" xfId="50750"/>
    <cellStyle name="Normal 2 9 4 5 2" xfId="50751"/>
    <cellStyle name="Normal 2 9 4 6" xfId="50752"/>
    <cellStyle name="Normal 2 9 4 6 2" xfId="50753"/>
    <cellStyle name="Normal 2 9 4 7" xfId="50754"/>
    <cellStyle name="Normal 2 9 4 8" xfId="50755"/>
    <cellStyle name="Normal 2 9 4 9" xfId="50756"/>
    <cellStyle name="Normal 2 9 5" xfId="50757"/>
    <cellStyle name="Normal 2 9 5 2" xfId="50758"/>
    <cellStyle name="Normal 2 9 5 2 2" xfId="50759"/>
    <cellStyle name="Normal 2 9 5 3" xfId="50760"/>
    <cellStyle name="Normal 2 9 5 3 2" xfId="50761"/>
    <cellStyle name="Normal 2 9 5 4" xfId="50762"/>
    <cellStyle name="Normal 2 9 5 5" xfId="50763"/>
    <cellStyle name="Normal 2 9 5 6" xfId="50764"/>
    <cellStyle name="Normal 2 9 5 7" xfId="50765"/>
    <cellStyle name="Normal 2 9 6" xfId="50766"/>
    <cellStyle name="Normal 2 9 6 2" xfId="50767"/>
    <cellStyle name="Normal 2 9 6 2 2" xfId="50768"/>
    <cellStyle name="Normal 2 9 6 3" xfId="50769"/>
    <cellStyle name="Normal 2 9 6 3 2" xfId="50770"/>
    <cellStyle name="Normal 2 9 6 4" xfId="50771"/>
    <cellStyle name="Normal 2 9 6 5" xfId="50772"/>
    <cellStyle name="Normal 2 9 6 6" xfId="50773"/>
    <cellStyle name="Normal 2 9 6 7" xfId="50774"/>
    <cellStyle name="Normal 2 9 7" xfId="50775"/>
    <cellStyle name="Normal 2 9 7 2" xfId="50776"/>
    <cellStyle name="Normal 2 9 7 2 2" xfId="50777"/>
    <cellStyle name="Normal 2 9 7 3" xfId="50778"/>
    <cellStyle name="Normal 2 9 7 3 2" xfId="50779"/>
    <cellStyle name="Normal 2 9 7 4" xfId="50780"/>
    <cellStyle name="Normal 2 9 7 5" xfId="50781"/>
    <cellStyle name="Normal 2 9 7 6" xfId="50782"/>
    <cellStyle name="Normal 2 9 7 7" xfId="50783"/>
    <cellStyle name="Normal 2 9 8" xfId="50784"/>
    <cellStyle name="Normal 2 9 8 2" xfId="50785"/>
    <cellStyle name="Normal 2 9 9" xfId="50786"/>
    <cellStyle name="Normal 2 9 9 2" xfId="50787"/>
    <cellStyle name="Normal 2_AJ-P2 Table (PNM Present  Proposed Depr Parameters  Expense)" xfId="512"/>
    <cellStyle name="Normal 20" xfId="5870"/>
    <cellStyle name="Normal 20 2" xfId="16079"/>
    <cellStyle name="Normal 21" xfId="11120"/>
    <cellStyle name="Normal 21 2" xfId="54171"/>
    <cellStyle name="Normal 22" xfId="11155"/>
    <cellStyle name="Normal 22 2" xfId="54172"/>
    <cellStyle name="Normal 23" xfId="11126"/>
    <cellStyle name="Normal 23 2" xfId="54173"/>
    <cellStyle name="Normal 24" xfId="16084"/>
    <cellStyle name="Normal 25" xfId="50788"/>
    <cellStyle name="Normal 26" xfId="50789"/>
    <cellStyle name="Normal 27" xfId="50790"/>
    <cellStyle name="Normal 28" xfId="50791"/>
    <cellStyle name="Normal 29" xfId="50792"/>
    <cellStyle name="Normal 3" xfId="9"/>
    <cellStyle name="Normal 3 10" xfId="50793"/>
    <cellStyle name="Normal 3 10 2" xfId="50794"/>
    <cellStyle name="Normal 3 10 2 2" xfId="50795"/>
    <cellStyle name="Normal 3 10 3" xfId="50796"/>
    <cellStyle name="Normal 3 10 3 2" xfId="50797"/>
    <cellStyle name="Normal 3 10 4" xfId="50798"/>
    <cellStyle name="Normal 3 10 5" xfId="50799"/>
    <cellStyle name="Normal 3 10 6" xfId="50800"/>
    <cellStyle name="Normal 3 10 7" xfId="50801"/>
    <cellStyle name="Normal 3 11" xfId="50802"/>
    <cellStyle name="Normal 3 11 2" xfId="50803"/>
    <cellStyle name="Normal 3 11 2 2" xfId="50804"/>
    <cellStyle name="Normal 3 11 3" xfId="50805"/>
    <cellStyle name="Normal 3 11 3 2" xfId="50806"/>
    <cellStyle name="Normal 3 11 4" xfId="50807"/>
    <cellStyle name="Normal 3 11 5" xfId="50808"/>
    <cellStyle name="Normal 3 11 6" xfId="50809"/>
    <cellStyle name="Normal 3 11 7" xfId="50810"/>
    <cellStyle name="Normal 3 12" xfId="50811"/>
    <cellStyle name="Normal 3 12 2" xfId="50812"/>
    <cellStyle name="Normal 3 12 2 2" xfId="50813"/>
    <cellStyle name="Normal 3 12 3" xfId="50814"/>
    <cellStyle name="Normal 3 12 3 2" xfId="50815"/>
    <cellStyle name="Normal 3 12 4" xfId="50816"/>
    <cellStyle name="Normal 3 12 5" xfId="50817"/>
    <cellStyle name="Normal 3 12 6" xfId="50818"/>
    <cellStyle name="Normal 3 12 7" xfId="50819"/>
    <cellStyle name="Normal 3 13" xfId="50820"/>
    <cellStyle name="Normal 3 13 2" xfId="50821"/>
    <cellStyle name="Normal 3 14" xfId="50822"/>
    <cellStyle name="Normal 3 14 2" xfId="50823"/>
    <cellStyle name="Normal 3 15" xfId="50824"/>
    <cellStyle name="Normal 3 16" xfId="50825"/>
    <cellStyle name="Normal 3 17" xfId="50826"/>
    <cellStyle name="Normal 3 18" xfId="50827"/>
    <cellStyle name="Normal 3 2" xfId="37"/>
    <cellStyle name="Normal 3 2 10" xfId="50828"/>
    <cellStyle name="Normal 3 2 11" xfId="50829"/>
    <cellStyle name="Normal 3 2 12" xfId="50830"/>
    <cellStyle name="Normal 3 2 13" xfId="50831"/>
    <cellStyle name="Normal 3 2 2" xfId="513"/>
    <cellStyle name="Normal 3 2 2 10" xfId="50832"/>
    <cellStyle name="Normal 3 2 2 11" xfId="50833"/>
    <cellStyle name="Normal 3 2 2 2" xfId="514"/>
    <cellStyle name="Normal 3 2 2 2 10" xfId="50834"/>
    <cellStyle name="Normal 3 2 2 2 2" xfId="50835"/>
    <cellStyle name="Normal 3 2 2 2 2 2" xfId="50836"/>
    <cellStyle name="Normal 3 2 2 2 2 2 2" xfId="50837"/>
    <cellStyle name="Normal 3 2 2 2 2 3" xfId="50838"/>
    <cellStyle name="Normal 3 2 2 2 2 3 2" xfId="50839"/>
    <cellStyle name="Normal 3 2 2 2 2 4" xfId="50840"/>
    <cellStyle name="Normal 3 2 2 2 2 5" xfId="50841"/>
    <cellStyle name="Normal 3 2 2 2 2 6" xfId="50842"/>
    <cellStyle name="Normal 3 2 2 2 2 7" xfId="50843"/>
    <cellStyle name="Normal 3 2 2 2 3" xfId="50844"/>
    <cellStyle name="Normal 3 2 2 2 3 2" xfId="50845"/>
    <cellStyle name="Normal 3 2 2 2 3 2 2" xfId="50846"/>
    <cellStyle name="Normal 3 2 2 2 3 3" xfId="50847"/>
    <cellStyle name="Normal 3 2 2 2 3 3 2" xfId="50848"/>
    <cellStyle name="Normal 3 2 2 2 3 4" xfId="50849"/>
    <cellStyle name="Normal 3 2 2 2 3 5" xfId="50850"/>
    <cellStyle name="Normal 3 2 2 2 3 6" xfId="50851"/>
    <cellStyle name="Normal 3 2 2 2 3 7" xfId="50852"/>
    <cellStyle name="Normal 3 2 2 2 4" xfId="50853"/>
    <cellStyle name="Normal 3 2 2 2 4 2" xfId="50854"/>
    <cellStyle name="Normal 3 2 2 2 4 2 2" xfId="50855"/>
    <cellStyle name="Normal 3 2 2 2 4 3" xfId="50856"/>
    <cellStyle name="Normal 3 2 2 2 4 3 2" xfId="50857"/>
    <cellStyle name="Normal 3 2 2 2 4 4" xfId="50858"/>
    <cellStyle name="Normal 3 2 2 2 4 5" xfId="50859"/>
    <cellStyle name="Normal 3 2 2 2 4 6" xfId="50860"/>
    <cellStyle name="Normal 3 2 2 2 4 7" xfId="50861"/>
    <cellStyle name="Normal 3 2 2 2 5" xfId="50862"/>
    <cellStyle name="Normal 3 2 2 2 5 2" xfId="50863"/>
    <cellStyle name="Normal 3 2 2 2 6" xfId="50864"/>
    <cellStyle name="Normal 3 2 2 2 6 2" xfId="50865"/>
    <cellStyle name="Normal 3 2 2 2 7" xfId="50866"/>
    <cellStyle name="Normal 3 2 2 2 8" xfId="50867"/>
    <cellStyle name="Normal 3 2 2 2 9" xfId="50868"/>
    <cellStyle name="Normal 3 2 2 3" xfId="50869"/>
    <cellStyle name="Normal 3 2 2 3 2" xfId="50870"/>
    <cellStyle name="Normal 3 2 2 3 2 2" xfId="50871"/>
    <cellStyle name="Normal 3 2 2 3 3" xfId="50872"/>
    <cellStyle name="Normal 3 2 2 3 3 2" xfId="50873"/>
    <cellStyle name="Normal 3 2 2 3 4" xfId="50874"/>
    <cellStyle name="Normal 3 2 2 3 5" xfId="50875"/>
    <cellStyle name="Normal 3 2 2 3 6" xfId="50876"/>
    <cellStyle name="Normal 3 2 2 3 7" xfId="50877"/>
    <cellStyle name="Normal 3 2 2 4" xfId="50878"/>
    <cellStyle name="Normal 3 2 2 4 2" xfId="50879"/>
    <cellStyle name="Normal 3 2 2 4 2 2" xfId="50880"/>
    <cellStyle name="Normal 3 2 2 4 3" xfId="50881"/>
    <cellStyle name="Normal 3 2 2 4 3 2" xfId="50882"/>
    <cellStyle name="Normal 3 2 2 4 4" xfId="50883"/>
    <cellStyle name="Normal 3 2 2 4 5" xfId="50884"/>
    <cellStyle name="Normal 3 2 2 4 6" xfId="50885"/>
    <cellStyle name="Normal 3 2 2 4 7" xfId="50886"/>
    <cellStyle name="Normal 3 2 2 5" xfId="50887"/>
    <cellStyle name="Normal 3 2 2 5 2" xfId="50888"/>
    <cellStyle name="Normal 3 2 2 5 2 2" xfId="50889"/>
    <cellStyle name="Normal 3 2 2 5 3" xfId="50890"/>
    <cellStyle name="Normal 3 2 2 5 3 2" xfId="50891"/>
    <cellStyle name="Normal 3 2 2 5 4" xfId="50892"/>
    <cellStyle name="Normal 3 2 2 5 5" xfId="50893"/>
    <cellStyle name="Normal 3 2 2 5 6" xfId="50894"/>
    <cellStyle name="Normal 3 2 2 5 7" xfId="50895"/>
    <cellStyle name="Normal 3 2 2 6" xfId="50896"/>
    <cellStyle name="Normal 3 2 2 6 2" xfId="50897"/>
    <cellStyle name="Normal 3 2 2 7" xfId="50898"/>
    <cellStyle name="Normal 3 2 2 7 2" xfId="50899"/>
    <cellStyle name="Normal 3 2 2 8" xfId="50900"/>
    <cellStyle name="Normal 3 2 2 9" xfId="50901"/>
    <cellStyle name="Normal 3 2 3" xfId="515"/>
    <cellStyle name="Normal 3 2 3 10" xfId="50902"/>
    <cellStyle name="Normal 3 2 3 11" xfId="50903"/>
    <cellStyle name="Normal 3 2 3 2" xfId="50904"/>
    <cellStyle name="Normal 3 2 3 2 10" xfId="50905"/>
    <cellStyle name="Normal 3 2 3 2 2" xfId="50906"/>
    <cellStyle name="Normal 3 2 3 2 2 2" xfId="50907"/>
    <cellStyle name="Normal 3 2 3 2 2 2 2" xfId="50908"/>
    <cellStyle name="Normal 3 2 3 2 2 3" xfId="50909"/>
    <cellStyle name="Normal 3 2 3 2 2 3 2" xfId="50910"/>
    <cellStyle name="Normal 3 2 3 2 2 4" xfId="50911"/>
    <cellStyle name="Normal 3 2 3 2 2 5" xfId="50912"/>
    <cellStyle name="Normal 3 2 3 2 2 6" xfId="50913"/>
    <cellStyle name="Normal 3 2 3 2 2 7" xfId="50914"/>
    <cellStyle name="Normal 3 2 3 2 3" xfId="50915"/>
    <cellStyle name="Normal 3 2 3 2 3 2" xfId="50916"/>
    <cellStyle name="Normal 3 2 3 2 3 2 2" xfId="50917"/>
    <cellStyle name="Normal 3 2 3 2 3 3" xfId="50918"/>
    <cellStyle name="Normal 3 2 3 2 3 3 2" xfId="50919"/>
    <cellStyle name="Normal 3 2 3 2 3 4" xfId="50920"/>
    <cellStyle name="Normal 3 2 3 2 3 5" xfId="50921"/>
    <cellStyle name="Normal 3 2 3 2 3 6" xfId="50922"/>
    <cellStyle name="Normal 3 2 3 2 3 7" xfId="50923"/>
    <cellStyle name="Normal 3 2 3 2 4" xfId="50924"/>
    <cellStyle name="Normal 3 2 3 2 4 2" xfId="50925"/>
    <cellStyle name="Normal 3 2 3 2 4 2 2" xfId="50926"/>
    <cellStyle name="Normal 3 2 3 2 4 3" xfId="50927"/>
    <cellStyle name="Normal 3 2 3 2 4 3 2" xfId="50928"/>
    <cellStyle name="Normal 3 2 3 2 4 4" xfId="50929"/>
    <cellStyle name="Normal 3 2 3 2 4 5" xfId="50930"/>
    <cellStyle name="Normal 3 2 3 2 4 6" xfId="50931"/>
    <cellStyle name="Normal 3 2 3 2 4 7" xfId="50932"/>
    <cellStyle name="Normal 3 2 3 2 5" xfId="50933"/>
    <cellStyle name="Normal 3 2 3 2 5 2" xfId="50934"/>
    <cellStyle name="Normal 3 2 3 2 6" xfId="50935"/>
    <cellStyle name="Normal 3 2 3 2 6 2" xfId="50936"/>
    <cellStyle name="Normal 3 2 3 2 7" xfId="50937"/>
    <cellStyle name="Normal 3 2 3 2 8" xfId="50938"/>
    <cellStyle name="Normal 3 2 3 2 9" xfId="50939"/>
    <cellStyle name="Normal 3 2 3 3" xfId="50940"/>
    <cellStyle name="Normal 3 2 3 3 2" xfId="50941"/>
    <cellStyle name="Normal 3 2 3 3 2 2" xfId="50942"/>
    <cellStyle name="Normal 3 2 3 3 3" xfId="50943"/>
    <cellStyle name="Normal 3 2 3 3 3 2" xfId="50944"/>
    <cellStyle name="Normal 3 2 3 3 4" xfId="50945"/>
    <cellStyle name="Normal 3 2 3 3 5" xfId="50946"/>
    <cellStyle name="Normal 3 2 3 3 6" xfId="50947"/>
    <cellStyle name="Normal 3 2 3 3 7" xfId="50948"/>
    <cellStyle name="Normal 3 2 3 4" xfId="50949"/>
    <cellStyle name="Normal 3 2 3 4 2" xfId="50950"/>
    <cellStyle name="Normal 3 2 3 4 2 2" xfId="50951"/>
    <cellStyle name="Normal 3 2 3 4 3" xfId="50952"/>
    <cellStyle name="Normal 3 2 3 4 3 2" xfId="50953"/>
    <cellStyle name="Normal 3 2 3 4 4" xfId="50954"/>
    <cellStyle name="Normal 3 2 3 4 5" xfId="50955"/>
    <cellStyle name="Normal 3 2 3 4 6" xfId="50956"/>
    <cellStyle name="Normal 3 2 3 4 7" xfId="50957"/>
    <cellStyle name="Normal 3 2 3 5" xfId="50958"/>
    <cellStyle name="Normal 3 2 3 5 2" xfId="50959"/>
    <cellStyle name="Normal 3 2 3 5 2 2" xfId="50960"/>
    <cellStyle name="Normal 3 2 3 5 3" xfId="50961"/>
    <cellStyle name="Normal 3 2 3 5 3 2" xfId="50962"/>
    <cellStyle name="Normal 3 2 3 5 4" xfId="50963"/>
    <cellStyle name="Normal 3 2 3 5 5" xfId="50964"/>
    <cellStyle name="Normal 3 2 3 5 6" xfId="50965"/>
    <cellStyle name="Normal 3 2 3 5 7" xfId="50966"/>
    <cellStyle name="Normal 3 2 3 6" xfId="50967"/>
    <cellStyle name="Normal 3 2 3 6 2" xfId="50968"/>
    <cellStyle name="Normal 3 2 3 7" xfId="50969"/>
    <cellStyle name="Normal 3 2 3 7 2" xfId="50970"/>
    <cellStyle name="Normal 3 2 3 8" xfId="50971"/>
    <cellStyle name="Normal 3 2 3 9" xfId="50972"/>
    <cellStyle name="Normal 3 2 4" xfId="516"/>
    <cellStyle name="Normal 3 2 4 10" xfId="50973"/>
    <cellStyle name="Normal 3 2 4 2" xfId="50974"/>
    <cellStyle name="Normal 3 2 4 2 2" xfId="50975"/>
    <cellStyle name="Normal 3 2 4 2 2 2" xfId="50976"/>
    <cellStyle name="Normal 3 2 4 2 3" xfId="50977"/>
    <cellStyle name="Normal 3 2 4 2 3 2" xfId="50978"/>
    <cellStyle name="Normal 3 2 4 2 4" xfId="50979"/>
    <cellStyle name="Normal 3 2 4 2 5" xfId="50980"/>
    <cellStyle name="Normal 3 2 4 2 6" xfId="50981"/>
    <cellStyle name="Normal 3 2 4 2 7" xfId="50982"/>
    <cellStyle name="Normal 3 2 4 3" xfId="50983"/>
    <cellStyle name="Normal 3 2 4 3 2" xfId="50984"/>
    <cellStyle name="Normal 3 2 4 3 2 2" xfId="50985"/>
    <cellStyle name="Normal 3 2 4 3 3" xfId="50986"/>
    <cellStyle name="Normal 3 2 4 3 3 2" xfId="50987"/>
    <cellStyle name="Normal 3 2 4 3 4" xfId="50988"/>
    <cellStyle name="Normal 3 2 4 3 5" xfId="50989"/>
    <cellStyle name="Normal 3 2 4 3 6" xfId="50990"/>
    <cellStyle name="Normal 3 2 4 3 7" xfId="50991"/>
    <cellStyle name="Normal 3 2 4 4" xfId="50992"/>
    <cellStyle name="Normal 3 2 4 4 2" xfId="50993"/>
    <cellStyle name="Normal 3 2 4 4 2 2" xfId="50994"/>
    <cellStyle name="Normal 3 2 4 4 3" xfId="50995"/>
    <cellStyle name="Normal 3 2 4 4 3 2" xfId="50996"/>
    <cellStyle name="Normal 3 2 4 4 4" xfId="50997"/>
    <cellStyle name="Normal 3 2 4 4 5" xfId="50998"/>
    <cellStyle name="Normal 3 2 4 4 6" xfId="50999"/>
    <cellStyle name="Normal 3 2 4 4 7" xfId="51000"/>
    <cellStyle name="Normal 3 2 4 5" xfId="51001"/>
    <cellStyle name="Normal 3 2 4 5 2" xfId="51002"/>
    <cellStyle name="Normal 3 2 4 6" xfId="51003"/>
    <cellStyle name="Normal 3 2 4 6 2" xfId="51004"/>
    <cellStyle name="Normal 3 2 4 7" xfId="51005"/>
    <cellStyle name="Normal 3 2 4 8" xfId="51006"/>
    <cellStyle name="Normal 3 2 4 9" xfId="51007"/>
    <cellStyle name="Normal 3 2 5" xfId="51008"/>
    <cellStyle name="Normal 3 2 5 2" xfId="51009"/>
    <cellStyle name="Normal 3 2 5 2 2" xfId="51010"/>
    <cellStyle name="Normal 3 2 5 3" xfId="51011"/>
    <cellStyle name="Normal 3 2 5 3 2" xfId="51012"/>
    <cellStyle name="Normal 3 2 5 4" xfId="51013"/>
    <cellStyle name="Normal 3 2 5 5" xfId="51014"/>
    <cellStyle name="Normal 3 2 5 6" xfId="51015"/>
    <cellStyle name="Normal 3 2 5 7" xfId="51016"/>
    <cellStyle name="Normal 3 2 6" xfId="51017"/>
    <cellStyle name="Normal 3 2 6 2" xfId="51018"/>
    <cellStyle name="Normal 3 2 6 2 2" xfId="51019"/>
    <cellStyle name="Normal 3 2 6 3" xfId="51020"/>
    <cellStyle name="Normal 3 2 6 3 2" xfId="51021"/>
    <cellStyle name="Normal 3 2 6 4" xfId="51022"/>
    <cellStyle name="Normal 3 2 6 5" xfId="51023"/>
    <cellStyle name="Normal 3 2 6 6" xfId="51024"/>
    <cellStyle name="Normal 3 2 6 7" xfId="51025"/>
    <cellStyle name="Normal 3 2 7" xfId="51026"/>
    <cellStyle name="Normal 3 2 7 2" xfId="51027"/>
    <cellStyle name="Normal 3 2 7 2 2" xfId="51028"/>
    <cellStyle name="Normal 3 2 7 3" xfId="51029"/>
    <cellStyle name="Normal 3 2 7 3 2" xfId="51030"/>
    <cellStyle name="Normal 3 2 7 4" xfId="51031"/>
    <cellStyle name="Normal 3 2 7 5" xfId="51032"/>
    <cellStyle name="Normal 3 2 7 6" xfId="51033"/>
    <cellStyle name="Normal 3 2 7 7" xfId="51034"/>
    <cellStyle name="Normal 3 2 8" xfId="51035"/>
    <cellStyle name="Normal 3 2 8 2" xfId="51036"/>
    <cellStyle name="Normal 3 2 9" xfId="51037"/>
    <cellStyle name="Normal 3 2 9 2" xfId="51038"/>
    <cellStyle name="Normal 3 3" xfId="517"/>
    <cellStyle name="Normal 3 3 10" xfId="51039"/>
    <cellStyle name="Normal 3 3 11" xfId="51040"/>
    <cellStyle name="Normal 3 3 12" xfId="51041"/>
    <cellStyle name="Normal 3 3 13" xfId="51042"/>
    <cellStyle name="Normal 3 3 2" xfId="518"/>
    <cellStyle name="Normal 3 3 2 10" xfId="51043"/>
    <cellStyle name="Normal 3 3 2 11" xfId="51044"/>
    <cellStyle name="Normal 3 3 2 2" xfId="519"/>
    <cellStyle name="Normal 3 3 2 2 10" xfId="51045"/>
    <cellStyle name="Normal 3 3 2 2 2" xfId="51046"/>
    <cellStyle name="Normal 3 3 2 2 2 2" xfId="51047"/>
    <cellStyle name="Normal 3 3 2 2 2 2 2" xfId="51048"/>
    <cellStyle name="Normal 3 3 2 2 2 3" xfId="51049"/>
    <cellStyle name="Normal 3 3 2 2 2 3 2" xfId="51050"/>
    <cellStyle name="Normal 3 3 2 2 2 4" xfId="51051"/>
    <cellStyle name="Normal 3 3 2 2 2 5" xfId="51052"/>
    <cellStyle name="Normal 3 3 2 2 2 6" xfId="51053"/>
    <cellStyle name="Normal 3 3 2 2 2 7" xfId="51054"/>
    <cellStyle name="Normal 3 3 2 2 3" xfId="51055"/>
    <cellStyle name="Normal 3 3 2 2 3 2" xfId="51056"/>
    <cellStyle name="Normal 3 3 2 2 3 2 2" xfId="51057"/>
    <cellStyle name="Normal 3 3 2 2 3 3" xfId="51058"/>
    <cellStyle name="Normal 3 3 2 2 3 3 2" xfId="51059"/>
    <cellStyle name="Normal 3 3 2 2 3 4" xfId="51060"/>
    <cellStyle name="Normal 3 3 2 2 3 5" xfId="51061"/>
    <cellStyle name="Normal 3 3 2 2 3 6" xfId="51062"/>
    <cellStyle name="Normal 3 3 2 2 3 7" xfId="51063"/>
    <cellStyle name="Normal 3 3 2 2 4" xfId="51064"/>
    <cellStyle name="Normal 3 3 2 2 4 2" xfId="51065"/>
    <cellStyle name="Normal 3 3 2 2 4 2 2" xfId="51066"/>
    <cellStyle name="Normal 3 3 2 2 4 3" xfId="51067"/>
    <cellStyle name="Normal 3 3 2 2 4 3 2" xfId="51068"/>
    <cellStyle name="Normal 3 3 2 2 4 4" xfId="51069"/>
    <cellStyle name="Normal 3 3 2 2 4 5" xfId="51070"/>
    <cellStyle name="Normal 3 3 2 2 4 6" xfId="51071"/>
    <cellStyle name="Normal 3 3 2 2 4 7" xfId="51072"/>
    <cellStyle name="Normal 3 3 2 2 5" xfId="51073"/>
    <cellStyle name="Normal 3 3 2 2 5 2" xfId="51074"/>
    <cellStyle name="Normal 3 3 2 2 6" xfId="51075"/>
    <cellStyle name="Normal 3 3 2 2 6 2" xfId="51076"/>
    <cellStyle name="Normal 3 3 2 2 7" xfId="51077"/>
    <cellStyle name="Normal 3 3 2 2 8" xfId="51078"/>
    <cellStyle name="Normal 3 3 2 2 9" xfId="51079"/>
    <cellStyle name="Normal 3 3 2 3" xfId="51080"/>
    <cellStyle name="Normal 3 3 2 3 2" xfId="51081"/>
    <cellStyle name="Normal 3 3 2 3 2 2" xfId="51082"/>
    <cellStyle name="Normal 3 3 2 3 3" xfId="51083"/>
    <cellStyle name="Normal 3 3 2 3 3 2" xfId="51084"/>
    <cellStyle name="Normal 3 3 2 3 4" xfId="51085"/>
    <cellStyle name="Normal 3 3 2 3 5" xfId="51086"/>
    <cellStyle name="Normal 3 3 2 3 6" xfId="51087"/>
    <cellStyle name="Normal 3 3 2 3 7" xfId="51088"/>
    <cellStyle name="Normal 3 3 2 4" xfId="51089"/>
    <cellStyle name="Normal 3 3 2 4 2" xfId="51090"/>
    <cellStyle name="Normal 3 3 2 4 2 2" xfId="51091"/>
    <cellStyle name="Normal 3 3 2 4 3" xfId="51092"/>
    <cellStyle name="Normal 3 3 2 4 3 2" xfId="51093"/>
    <cellStyle name="Normal 3 3 2 4 4" xfId="51094"/>
    <cellStyle name="Normal 3 3 2 4 5" xfId="51095"/>
    <cellStyle name="Normal 3 3 2 4 6" xfId="51096"/>
    <cellStyle name="Normal 3 3 2 4 7" xfId="51097"/>
    <cellStyle name="Normal 3 3 2 5" xfId="51098"/>
    <cellStyle name="Normal 3 3 2 5 2" xfId="51099"/>
    <cellStyle name="Normal 3 3 2 5 2 2" xfId="51100"/>
    <cellStyle name="Normal 3 3 2 5 3" xfId="51101"/>
    <cellStyle name="Normal 3 3 2 5 3 2" xfId="51102"/>
    <cellStyle name="Normal 3 3 2 5 4" xfId="51103"/>
    <cellStyle name="Normal 3 3 2 5 5" xfId="51104"/>
    <cellStyle name="Normal 3 3 2 5 6" xfId="51105"/>
    <cellStyle name="Normal 3 3 2 5 7" xfId="51106"/>
    <cellStyle name="Normal 3 3 2 6" xfId="51107"/>
    <cellStyle name="Normal 3 3 2 6 2" xfId="51108"/>
    <cellStyle name="Normal 3 3 2 7" xfId="51109"/>
    <cellStyle name="Normal 3 3 2 7 2" xfId="51110"/>
    <cellStyle name="Normal 3 3 2 8" xfId="51111"/>
    <cellStyle name="Normal 3 3 2 9" xfId="51112"/>
    <cellStyle name="Normal 3 3 3" xfId="520"/>
    <cellStyle name="Normal 3 3 3 10" xfId="51113"/>
    <cellStyle name="Normal 3 3 3 11" xfId="51114"/>
    <cellStyle name="Normal 3 3 3 2" xfId="51115"/>
    <cellStyle name="Normal 3 3 3 2 10" xfId="51116"/>
    <cellStyle name="Normal 3 3 3 2 2" xfId="51117"/>
    <cellStyle name="Normal 3 3 3 2 2 2" xfId="51118"/>
    <cellStyle name="Normal 3 3 3 2 2 2 2" xfId="51119"/>
    <cellStyle name="Normal 3 3 3 2 2 3" xfId="51120"/>
    <cellStyle name="Normal 3 3 3 2 2 3 2" xfId="51121"/>
    <cellStyle name="Normal 3 3 3 2 2 4" xfId="51122"/>
    <cellStyle name="Normal 3 3 3 2 2 5" xfId="51123"/>
    <cellStyle name="Normal 3 3 3 2 2 6" xfId="51124"/>
    <cellStyle name="Normal 3 3 3 2 2 7" xfId="51125"/>
    <cellStyle name="Normal 3 3 3 2 3" xfId="51126"/>
    <cellStyle name="Normal 3 3 3 2 3 2" xfId="51127"/>
    <cellStyle name="Normal 3 3 3 2 3 2 2" xfId="51128"/>
    <cellStyle name="Normal 3 3 3 2 3 3" xfId="51129"/>
    <cellStyle name="Normal 3 3 3 2 3 3 2" xfId="51130"/>
    <cellStyle name="Normal 3 3 3 2 3 4" xfId="51131"/>
    <cellStyle name="Normal 3 3 3 2 3 5" xfId="51132"/>
    <cellStyle name="Normal 3 3 3 2 3 6" xfId="51133"/>
    <cellStyle name="Normal 3 3 3 2 3 7" xfId="51134"/>
    <cellStyle name="Normal 3 3 3 2 4" xfId="51135"/>
    <cellStyle name="Normal 3 3 3 2 4 2" xfId="51136"/>
    <cellStyle name="Normal 3 3 3 2 4 2 2" xfId="51137"/>
    <cellStyle name="Normal 3 3 3 2 4 3" xfId="51138"/>
    <cellStyle name="Normal 3 3 3 2 4 3 2" xfId="51139"/>
    <cellStyle name="Normal 3 3 3 2 4 4" xfId="51140"/>
    <cellStyle name="Normal 3 3 3 2 4 5" xfId="51141"/>
    <cellStyle name="Normal 3 3 3 2 4 6" xfId="51142"/>
    <cellStyle name="Normal 3 3 3 2 4 7" xfId="51143"/>
    <cellStyle name="Normal 3 3 3 2 5" xfId="51144"/>
    <cellStyle name="Normal 3 3 3 2 5 2" xfId="51145"/>
    <cellStyle name="Normal 3 3 3 2 6" xfId="51146"/>
    <cellStyle name="Normal 3 3 3 2 6 2" xfId="51147"/>
    <cellStyle name="Normal 3 3 3 2 7" xfId="51148"/>
    <cellStyle name="Normal 3 3 3 2 8" xfId="51149"/>
    <cellStyle name="Normal 3 3 3 2 9" xfId="51150"/>
    <cellStyle name="Normal 3 3 3 3" xfId="51151"/>
    <cellStyle name="Normal 3 3 3 3 2" xfId="51152"/>
    <cellStyle name="Normal 3 3 3 3 2 2" xfId="51153"/>
    <cellStyle name="Normal 3 3 3 3 3" xfId="51154"/>
    <cellStyle name="Normal 3 3 3 3 3 2" xfId="51155"/>
    <cellStyle name="Normal 3 3 3 3 4" xfId="51156"/>
    <cellStyle name="Normal 3 3 3 3 5" xfId="51157"/>
    <cellStyle name="Normal 3 3 3 3 6" xfId="51158"/>
    <cellStyle name="Normal 3 3 3 3 7" xfId="51159"/>
    <cellStyle name="Normal 3 3 3 4" xfId="51160"/>
    <cellStyle name="Normal 3 3 3 4 2" xfId="51161"/>
    <cellStyle name="Normal 3 3 3 4 2 2" xfId="51162"/>
    <cellStyle name="Normal 3 3 3 4 3" xfId="51163"/>
    <cellStyle name="Normal 3 3 3 4 3 2" xfId="51164"/>
    <cellStyle name="Normal 3 3 3 4 4" xfId="51165"/>
    <cellStyle name="Normal 3 3 3 4 5" xfId="51166"/>
    <cellStyle name="Normal 3 3 3 4 6" xfId="51167"/>
    <cellStyle name="Normal 3 3 3 4 7" xfId="51168"/>
    <cellStyle name="Normal 3 3 3 5" xfId="51169"/>
    <cellStyle name="Normal 3 3 3 5 2" xfId="51170"/>
    <cellStyle name="Normal 3 3 3 5 2 2" xfId="51171"/>
    <cellStyle name="Normal 3 3 3 5 3" xfId="51172"/>
    <cellStyle name="Normal 3 3 3 5 3 2" xfId="51173"/>
    <cellStyle name="Normal 3 3 3 5 4" xfId="51174"/>
    <cellStyle name="Normal 3 3 3 5 5" xfId="51175"/>
    <cellStyle name="Normal 3 3 3 5 6" xfId="51176"/>
    <cellStyle name="Normal 3 3 3 5 7" xfId="51177"/>
    <cellStyle name="Normal 3 3 3 6" xfId="51178"/>
    <cellStyle name="Normal 3 3 3 6 2" xfId="51179"/>
    <cellStyle name="Normal 3 3 3 7" xfId="51180"/>
    <cellStyle name="Normal 3 3 3 7 2" xfId="51181"/>
    <cellStyle name="Normal 3 3 3 8" xfId="51182"/>
    <cellStyle name="Normal 3 3 3 9" xfId="51183"/>
    <cellStyle name="Normal 3 3 4" xfId="51184"/>
    <cellStyle name="Normal 3 3 4 10" xfId="51185"/>
    <cellStyle name="Normal 3 3 4 2" xfId="51186"/>
    <cellStyle name="Normal 3 3 4 2 2" xfId="51187"/>
    <cellStyle name="Normal 3 3 4 2 2 2" xfId="51188"/>
    <cellStyle name="Normal 3 3 4 2 3" xfId="51189"/>
    <cellStyle name="Normal 3 3 4 2 3 2" xfId="51190"/>
    <cellStyle name="Normal 3 3 4 2 4" xfId="51191"/>
    <cellStyle name="Normal 3 3 4 2 5" xfId="51192"/>
    <cellStyle name="Normal 3 3 4 2 6" xfId="51193"/>
    <cellStyle name="Normal 3 3 4 2 7" xfId="51194"/>
    <cellStyle name="Normal 3 3 4 3" xfId="51195"/>
    <cellStyle name="Normal 3 3 4 3 2" xfId="51196"/>
    <cellStyle name="Normal 3 3 4 3 2 2" xfId="51197"/>
    <cellStyle name="Normal 3 3 4 3 3" xfId="51198"/>
    <cellStyle name="Normal 3 3 4 3 3 2" xfId="51199"/>
    <cellStyle name="Normal 3 3 4 3 4" xfId="51200"/>
    <cellStyle name="Normal 3 3 4 3 5" xfId="51201"/>
    <cellStyle name="Normal 3 3 4 3 6" xfId="51202"/>
    <cellStyle name="Normal 3 3 4 3 7" xfId="51203"/>
    <cellStyle name="Normal 3 3 4 4" xfId="51204"/>
    <cellStyle name="Normal 3 3 4 4 2" xfId="51205"/>
    <cellStyle name="Normal 3 3 4 4 2 2" xfId="51206"/>
    <cellStyle name="Normal 3 3 4 4 3" xfId="51207"/>
    <cellStyle name="Normal 3 3 4 4 3 2" xfId="51208"/>
    <cellStyle name="Normal 3 3 4 4 4" xfId="51209"/>
    <cellStyle name="Normal 3 3 4 4 5" xfId="51210"/>
    <cellStyle name="Normal 3 3 4 4 6" xfId="51211"/>
    <cellStyle name="Normal 3 3 4 4 7" xfId="51212"/>
    <cellStyle name="Normal 3 3 4 5" xfId="51213"/>
    <cellStyle name="Normal 3 3 4 5 2" xfId="51214"/>
    <cellStyle name="Normal 3 3 4 6" xfId="51215"/>
    <cellStyle name="Normal 3 3 4 6 2" xfId="51216"/>
    <cellStyle name="Normal 3 3 4 7" xfId="51217"/>
    <cellStyle name="Normal 3 3 4 8" xfId="51218"/>
    <cellStyle name="Normal 3 3 4 9" xfId="51219"/>
    <cellStyle name="Normal 3 3 5" xfId="51220"/>
    <cellStyle name="Normal 3 3 5 2" xfId="51221"/>
    <cellStyle name="Normal 3 3 5 2 2" xfId="51222"/>
    <cellStyle name="Normal 3 3 5 3" xfId="51223"/>
    <cellStyle name="Normal 3 3 5 3 2" xfId="51224"/>
    <cellStyle name="Normal 3 3 5 4" xfId="51225"/>
    <cellStyle name="Normal 3 3 5 5" xfId="51226"/>
    <cellStyle name="Normal 3 3 5 6" xfId="51227"/>
    <cellStyle name="Normal 3 3 5 7" xfId="51228"/>
    <cellStyle name="Normal 3 3 6" xfId="51229"/>
    <cellStyle name="Normal 3 3 6 2" xfId="51230"/>
    <cellStyle name="Normal 3 3 6 2 2" xfId="51231"/>
    <cellStyle name="Normal 3 3 6 3" xfId="51232"/>
    <cellStyle name="Normal 3 3 6 3 2" xfId="51233"/>
    <cellStyle name="Normal 3 3 6 4" xfId="51234"/>
    <cellStyle name="Normal 3 3 6 5" xfId="51235"/>
    <cellStyle name="Normal 3 3 6 6" xfId="51236"/>
    <cellStyle name="Normal 3 3 6 7" xfId="51237"/>
    <cellStyle name="Normal 3 3 7" xfId="51238"/>
    <cellStyle name="Normal 3 3 7 2" xfId="51239"/>
    <cellStyle name="Normal 3 3 7 2 2" xfId="51240"/>
    <cellStyle name="Normal 3 3 7 3" xfId="51241"/>
    <cellStyle name="Normal 3 3 7 3 2" xfId="51242"/>
    <cellStyle name="Normal 3 3 7 4" xfId="51243"/>
    <cellStyle name="Normal 3 3 7 5" xfId="51244"/>
    <cellStyle name="Normal 3 3 7 6" xfId="51245"/>
    <cellStyle name="Normal 3 3 7 7" xfId="51246"/>
    <cellStyle name="Normal 3 3 8" xfId="51247"/>
    <cellStyle name="Normal 3 3 8 2" xfId="51248"/>
    <cellStyle name="Normal 3 3 9" xfId="51249"/>
    <cellStyle name="Normal 3 3 9 2" xfId="51250"/>
    <cellStyle name="Normal 3 4" xfId="521"/>
    <cellStyle name="Normal 3 4 10" xfId="51251"/>
    <cellStyle name="Normal 3 4 11" xfId="51252"/>
    <cellStyle name="Normal 3 4 12" xfId="51253"/>
    <cellStyle name="Normal 3 4 13" xfId="51254"/>
    <cellStyle name="Normal 3 4 2" xfId="522"/>
    <cellStyle name="Normal 3 4 2 10" xfId="51255"/>
    <cellStyle name="Normal 3 4 2 11" xfId="51256"/>
    <cellStyle name="Normal 3 4 2 2" xfId="51257"/>
    <cellStyle name="Normal 3 4 2 2 10" xfId="51258"/>
    <cellStyle name="Normal 3 4 2 2 2" xfId="51259"/>
    <cellStyle name="Normal 3 4 2 2 2 2" xfId="51260"/>
    <cellStyle name="Normal 3 4 2 2 2 2 2" xfId="51261"/>
    <cellStyle name="Normal 3 4 2 2 2 3" xfId="51262"/>
    <cellStyle name="Normal 3 4 2 2 2 3 2" xfId="51263"/>
    <cellStyle name="Normal 3 4 2 2 2 4" xfId="51264"/>
    <cellStyle name="Normal 3 4 2 2 2 5" xfId="51265"/>
    <cellStyle name="Normal 3 4 2 2 2 6" xfId="51266"/>
    <cellStyle name="Normal 3 4 2 2 2 7" xfId="51267"/>
    <cellStyle name="Normal 3 4 2 2 3" xfId="51268"/>
    <cellStyle name="Normal 3 4 2 2 3 2" xfId="51269"/>
    <cellStyle name="Normal 3 4 2 2 3 2 2" xfId="51270"/>
    <cellStyle name="Normal 3 4 2 2 3 3" xfId="51271"/>
    <cellStyle name="Normal 3 4 2 2 3 3 2" xfId="51272"/>
    <cellStyle name="Normal 3 4 2 2 3 4" xfId="51273"/>
    <cellStyle name="Normal 3 4 2 2 3 5" xfId="51274"/>
    <cellStyle name="Normal 3 4 2 2 3 6" xfId="51275"/>
    <cellStyle name="Normal 3 4 2 2 3 7" xfId="51276"/>
    <cellStyle name="Normal 3 4 2 2 4" xfId="51277"/>
    <cellStyle name="Normal 3 4 2 2 4 2" xfId="51278"/>
    <cellStyle name="Normal 3 4 2 2 4 2 2" xfId="51279"/>
    <cellStyle name="Normal 3 4 2 2 4 3" xfId="51280"/>
    <cellStyle name="Normal 3 4 2 2 4 3 2" xfId="51281"/>
    <cellStyle name="Normal 3 4 2 2 4 4" xfId="51282"/>
    <cellStyle name="Normal 3 4 2 2 4 5" xfId="51283"/>
    <cellStyle name="Normal 3 4 2 2 4 6" xfId="51284"/>
    <cellStyle name="Normal 3 4 2 2 4 7" xfId="51285"/>
    <cellStyle name="Normal 3 4 2 2 5" xfId="51286"/>
    <cellStyle name="Normal 3 4 2 2 5 2" xfId="51287"/>
    <cellStyle name="Normal 3 4 2 2 6" xfId="51288"/>
    <cellStyle name="Normal 3 4 2 2 6 2" xfId="51289"/>
    <cellStyle name="Normal 3 4 2 2 7" xfId="51290"/>
    <cellStyle name="Normal 3 4 2 2 8" xfId="51291"/>
    <cellStyle name="Normal 3 4 2 2 9" xfId="51292"/>
    <cellStyle name="Normal 3 4 2 3" xfId="51293"/>
    <cellStyle name="Normal 3 4 2 3 2" xfId="51294"/>
    <cellStyle name="Normal 3 4 2 3 2 2" xfId="51295"/>
    <cellStyle name="Normal 3 4 2 3 3" xfId="51296"/>
    <cellStyle name="Normal 3 4 2 3 3 2" xfId="51297"/>
    <cellStyle name="Normal 3 4 2 3 4" xfId="51298"/>
    <cellStyle name="Normal 3 4 2 3 5" xfId="51299"/>
    <cellStyle name="Normal 3 4 2 3 6" xfId="51300"/>
    <cellStyle name="Normal 3 4 2 3 7" xfId="51301"/>
    <cellStyle name="Normal 3 4 2 4" xfId="51302"/>
    <cellStyle name="Normal 3 4 2 4 2" xfId="51303"/>
    <cellStyle name="Normal 3 4 2 4 2 2" xfId="51304"/>
    <cellStyle name="Normal 3 4 2 4 3" xfId="51305"/>
    <cellStyle name="Normal 3 4 2 4 3 2" xfId="51306"/>
    <cellStyle name="Normal 3 4 2 4 4" xfId="51307"/>
    <cellStyle name="Normal 3 4 2 4 5" xfId="51308"/>
    <cellStyle name="Normal 3 4 2 4 6" xfId="51309"/>
    <cellStyle name="Normal 3 4 2 4 7" xfId="51310"/>
    <cellStyle name="Normal 3 4 2 5" xfId="51311"/>
    <cellStyle name="Normal 3 4 2 5 2" xfId="51312"/>
    <cellStyle name="Normal 3 4 2 5 2 2" xfId="51313"/>
    <cellStyle name="Normal 3 4 2 5 3" xfId="51314"/>
    <cellStyle name="Normal 3 4 2 5 3 2" xfId="51315"/>
    <cellStyle name="Normal 3 4 2 5 4" xfId="51316"/>
    <cellStyle name="Normal 3 4 2 5 5" xfId="51317"/>
    <cellStyle name="Normal 3 4 2 5 6" xfId="51318"/>
    <cellStyle name="Normal 3 4 2 5 7" xfId="51319"/>
    <cellStyle name="Normal 3 4 2 6" xfId="51320"/>
    <cellStyle name="Normal 3 4 2 6 2" xfId="51321"/>
    <cellStyle name="Normal 3 4 2 7" xfId="51322"/>
    <cellStyle name="Normal 3 4 2 7 2" xfId="51323"/>
    <cellStyle name="Normal 3 4 2 8" xfId="51324"/>
    <cellStyle name="Normal 3 4 2 9" xfId="51325"/>
    <cellStyle name="Normal 3 4 3" xfId="51326"/>
    <cellStyle name="Normal 3 4 3 10" xfId="51327"/>
    <cellStyle name="Normal 3 4 3 11" xfId="51328"/>
    <cellStyle name="Normal 3 4 3 2" xfId="51329"/>
    <cellStyle name="Normal 3 4 3 2 10" xfId="51330"/>
    <cellStyle name="Normal 3 4 3 2 2" xfId="51331"/>
    <cellStyle name="Normal 3 4 3 2 2 2" xfId="51332"/>
    <cellStyle name="Normal 3 4 3 2 2 2 2" xfId="51333"/>
    <cellStyle name="Normal 3 4 3 2 2 3" xfId="51334"/>
    <cellStyle name="Normal 3 4 3 2 2 3 2" xfId="51335"/>
    <cellStyle name="Normal 3 4 3 2 2 4" xfId="51336"/>
    <cellStyle name="Normal 3 4 3 2 2 5" xfId="51337"/>
    <cellStyle name="Normal 3 4 3 2 2 6" xfId="51338"/>
    <cellStyle name="Normal 3 4 3 2 2 7" xfId="51339"/>
    <cellStyle name="Normal 3 4 3 2 3" xfId="51340"/>
    <cellStyle name="Normal 3 4 3 2 3 2" xfId="51341"/>
    <cellStyle name="Normal 3 4 3 2 3 2 2" xfId="51342"/>
    <cellStyle name="Normal 3 4 3 2 3 3" xfId="51343"/>
    <cellStyle name="Normal 3 4 3 2 3 3 2" xfId="51344"/>
    <cellStyle name="Normal 3 4 3 2 3 4" xfId="51345"/>
    <cellStyle name="Normal 3 4 3 2 3 5" xfId="51346"/>
    <cellStyle name="Normal 3 4 3 2 3 6" xfId="51347"/>
    <cellStyle name="Normal 3 4 3 2 3 7" xfId="51348"/>
    <cellStyle name="Normal 3 4 3 2 4" xfId="51349"/>
    <cellStyle name="Normal 3 4 3 2 4 2" xfId="51350"/>
    <cellStyle name="Normal 3 4 3 2 4 2 2" xfId="51351"/>
    <cellStyle name="Normal 3 4 3 2 4 3" xfId="51352"/>
    <cellStyle name="Normal 3 4 3 2 4 3 2" xfId="51353"/>
    <cellStyle name="Normal 3 4 3 2 4 4" xfId="51354"/>
    <cellStyle name="Normal 3 4 3 2 4 5" xfId="51355"/>
    <cellStyle name="Normal 3 4 3 2 4 6" xfId="51356"/>
    <cellStyle name="Normal 3 4 3 2 4 7" xfId="51357"/>
    <cellStyle name="Normal 3 4 3 2 5" xfId="51358"/>
    <cellStyle name="Normal 3 4 3 2 5 2" xfId="51359"/>
    <cellStyle name="Normal 3 4 3 2 6" xfId="51360"/>
    <cellStyle name="Normal 3 4 3 2 6 2" xfId="51361"/>
    <cellStyle name="Normal 3 4 3 2 7" xfId="51362"/>
    <cellStyle name="Normal 3 4 3 2 8" xfId="51363"/>
    <cellStyle name="Normal 3 4 3 2 9" xfId="51364"/>
    <cellStyle name="Normal 3 4 3 3" xfId="51365"/>
    <cellStyle name="Normal 3 4 3 3 2" xfId="51366"/>
    <cellStyle name="Normal 3 4 3 3 2 2" xfId="51367"/>
    <cellStyle name="Normal 3 4 3 3 3" xfId="51368"/>
    <cellStyle name="Normal 3 4 3 3 3 2" xfId="51369"/>
    <cellStyle name="Normal 3 4 3 3 4" xfId="51370"/>
    <cellStyle name="Normal 3 4 3 3 5" xfId="51371"/>
    <cellStyle name="Normal 3 4 3 3 6" xfId="51372"/>
    <cellStyle name="Normal 3 4 3 3 7" xfId="51373"/>
    <cellStyle name="Normal 3 4 3 4" xfId="51374"/>
    <cellStyle name="Normal 3 4 3 4 2" xfId="51375"/>
    <cellStyle name="Normal 3 4 3 4 2 2" xfId="51376"/>
    <cellStyle name="Normal 3 4 3 4 3" xfId="51377"/>
    <cellStyle name="Normal 3 4 3 4 3 2" xfId="51378"/>
    <cellStyle name="Normal 3 4 3 4 4" xfId="51379"/>
    <cellStyle name="Normal 3 4 3 4 5" xfId="51380"/>
    <cellStyle name="Normal 3 4 3 4 6" xfId="51381"/>
    <cellStyle name="Normal 3 4 3 4 7" xfId="51382"/>
    <cellStyle name="Normal 3 4 3 5" xfId="51383"/>
    <cellStyle name="Normal 3 4 3 5 2" xfId="51384"/>
    <cellStyle name="Normal 3 4 3 5 2 2" xfId="51385"/>
    <cellStyle name="Normal 3 4 3 5 3" xfId="51386"/>
    <cellStyle name="Normal 3 4 3 5 3 2" xfId="51387"/>
    <cellStyle name="Normal 3 4 3 5 4" xfId="51388"/>
    <cellStyle name="Normal 3 4 3 5 5" xfId="51389"/>
    <cellStyle name="Normal 3 4 3 5 6" xfId="51390"/>
    <cellStyle name="Normal 3 4 3 5 7" xfId="51391"/>
    <cellStyle name="Normal 3 4 3 6" xfId="51392"/>
    <cellStyle name="Normal 3 4 3 6 2" xfId="51393"/>
    <cellStyle name="Normal 3 4 3 7" xfId="51394"/>
    <cellStyle name="Normal 3 4 3 7 2" xfId="51395"/>
    <cellStyle name="Normal 3 4 3 8" xfId="51396"/>
    <cellStyle name="Normal 3 4 3 9" xfId="51397"/>
    <cellStyle name="Normal 3 4 4" xfId="51398"/>
    <cellStyle name="Normal 3 4 4 10" xfId="51399"/>
    <cellStyle name="Normal 3 4 4 2" xfId="51400"/>
    <cellStyle name="Normal 3 4 4 2 2" xfId="51401"/>
    <cellStyle name="Normal 3 4 4 2 2 2" xfId="51402"/>
    <cellStyle name="Normal 3 4 4 2 3" xfId="51403"/>
    <cellStyle name="Normal 3 4 4 2 3 2" xfId="51404"/>
    <cellStyle name="Normal 3 4 4 2 4" xfId="51405"/>
    <cellStyle name="Normal 3 4 4 2 5" xfId="51406"/>
    <cellStyle name="Normal 3 4 4 2 6" xfId="51407"/>
    <cellStyle name="Normal 3 4 4 2 7" xfId="51408"/>
    <cellStyle name="Normal 3 4 4 3" xfId="51409"/>
    <cellStyle name="Normal 3 4 4 3 2" xfId="51410"/>
    <cellStyle name="Normal 3 4 4 3 2 2" xfId="51411"/>
    <cellStyle name="Normal 3 4 4 3 3" xfId="51412"/>
    <cellStyle name="Normal 3 4 4 3 3 2" xfId="51413"/>
    <cellStyle name="Normal 3 4 4 3 4" xfId="51414"/>
    <cellStyle name="Normal 3 4 4 3 5" xfId="51415"/>
    <cellStyle name="Normal 3 4 4 3 6" xfId="51416"/>
    <cellStyle name="Normal 3 4 4 3 7" xfId="51417"/>
    <cellStyle name="Normal 3 4 4 4" xfId="51418"/>
    <cellStyle name="Normal 3 4 4 4 2" xfId="51419"/>
    <cellStyle name="Normal 3 4 4 4 2 2" xfId="51420"/>
    <cellStyle name="Normal 3 4 4 4 3" xfId="51421"/>
    <cellStyle name="Normal 3 4 4 4 3 2" xfId="51422"/>
    <cellStyle name="Normal 3 4 4 4 4" xfId="51423"/>
    <cellStyle name="Normal 3 4 4 4 5" xfId="51424"/>
    <cellStyle name="Normal 3 4 4 4 6" xfId="51425"/>
    <cellStyle name="Normal 3 4 4 4 7" xfId="51426"/>
    <cellStyle name="Normal 3 4 4 5" xfId="51427"/>
    <cellStyle name="Normal 3 4 4 5 2" xfId="51428"/>
    <cellStyle name="Normal 3 4 4 6" xfId="51429"/>
    <cellStyle name="Normal 3 4 4 6 2" xfId="51430"/>
    <cellStyle name="Normal 3 4 4 7" xfId="51431"/>
    <cellStyle name="Normal 3 4 4 8" xfId="51432"/>
    <cellStyle name="Normal 3 4 4 9" xfId="51433"/>
    <cellStyle name="Normal 3 4 5" xfId="51434"/>
    <cellStyle name="Normal 3 4 5 2" xfId="51435"/>
    <cellStyle name="Normal 3 4 5 2 2" xfId="51436"/>
    <cellStyle name="Normal 3 4 5 3" xfId="51437"/>
    <cellStyle name="Normal 3 4 5 3 2" xfId="51438"/>
    <cellStyle name="Normal 3 4 5 4" xfId="51439"/>
    <cellStyle name="Normal 3 4 5 5" xfId="51440"/>
    <cellStyle name="Normal 3 4 5 6" xfId="51441"/>
    <cellStyle name="Normal 3 4 5 7" xfId="51442"/>
    <cellStyle name="Normal 3 4 6" xfId="51443"/>
    <cellStyle name="Normal 3 4 6 2" xfId="51444"/>
    <cellStyle name="Normal 3 4 6 2 2" xfId="51445"/>
    <cellStyle name="Normal 3 4 6 3" xfId="51446"/>
    <cellStyle name="Normal 3 4 6 3 2" xfId="51447"/>
    <cellStyle name="Normal 3 4 6 4" xfId="51448"/>
    <cellStyle name="Normal 3 4 6 5" xfId="51449"/>
    <cellStyle name="Normal 3 4 6 6" xfId="51450"/>
    <cellStyle name="Normal 3 4 6 7" xfId="51451"/>
    <cellStyle name="Normal 3 4 7" xfId="51452"/>
    <cellStyle name="Normal 3 4 7 2" xfId="51453"/>
    <cellStyle name="Normal 3 4 7 2 2" xfId="51454"/>
    <cellStyle name="Normal 3 4 7 3" xfId="51455"/>
    <cellStyle name="Normal 3 4 7 3 2" xfId="51456"/>
    <cellStyle name="Normal 3 4 7 4" xfId="51457"/>
    <cellStyle name="Normal 3 4 7 5" xfId="51458"/>
    <cellStyle name="Normal 3 4 7 6" xfId="51459"/>
    <cellStyle name="Normal 3 4 7 7" xfId="51460"/>
    <cellStyle name="Normal 3 4 8" xfId="51461"/>
    <cellStyle name="Normal 3 4 8 2" xfId="51462"/>
    <cellStyle name="Normal 3 4 9" xfId="51463"/>
    <cellStyle name="Normal 3 4 9 2" xfId="51464"/>
    <cellStyle name="Normal 3 5" xfId="523"/>
    <cellStyle name="Normal 3 5 10" xfId="51465"/>
    <cellStyle name="Normal 3 5 11" xfId="51466"/>
    <cellStyle name="Normal 3 5 12" xfId="51467"/>
    <cellStyle name="Normal 3 5 13" xfId="51468"/>
    <cellStyle name="Normal 3 5 2" xfId="51469"/>
    <cellStyle name="Normal 3 5 2 10" xfId="51470"/>
    <cellStyle name="Normal 3 5 2 11" xfId="51471"/>
    <cellStyle name="Normal 3 5 2 2" xfId="51472"/>
    <cellStyle name="Normal 3 5 2 2 10" xfId="51473"/>
    <cellStyle name="Normal 3 5 2 2 2" xfId="51474"/>
    <cellStyle name="Normal 3 5 2 2 2 2" xfId="51475"/>
    <cellStyle name="Normal 3 5 2 2 2 2 2" xfId="51476"/>
    <cellStyle name="Normal 3 5 2 2 2 3" xfId="51477"/>
    <cellStyle name="Normal 3 5 2 2 2 3 2" xfId="51478"/>
    <cellStyle name="Normal 3 5 2 2 2 4" xfId="51479"/>
    <cellStyle name="Normal 3 5 2 2 2 5" xfId="51480"/>
    <cellStyle name="Normal 3 5 2 2 2 6" xfId="51481"/>
    <cellStyle name="Normal 3 5 2 2 2 7" xfId="51482"/>
    <cellStyle name="Normal 3 5 2 2 3" xfId="51483"/>
    <cellStyle name="Normal 3 5 2 2 3 2" xfId="51484"/>
    <cellStyle name="Normal 3 5 2 2 3 2 2" xfId="51485"/>
    <cellStyle name="Normal 3 5 2 2 3 3" xfId="51486"/>
    <cellStyle name="Normal 3 5 2 2 3 3 2" xfId="51487"/>
    <cellStyle name="Normal 3 5 2 2 3 4" xfId="51488"/>
    <cellStyle name="Normal 3 5 2 2 3 5" xfId="51489"/>
    <cellStyle name="Normal 3 5 2 2 3 6" xfId="51490"/>
    <cellStyle name="Normal 3 5 2 2 3 7" xfId="51491"/>
    <cellStyle name="Normal 3 5 2 2 4" xfId="51492"/>
    <cellStyle name="Normal 3 5 2 2 4 2" xfId="51493"/>
    <cellStyle name="Normal 3 5 2 2 4 2 2" xfId="51494"/>
    <cellStyle name="Normal 3 5 2 2 4 3" xfId="51495"/>
    <cellStyle name="Normal 3 5 2 2 4 3 2" xfId="51496"/>
    <cellStyle name="Normal 3 5 2 2 4 4" xfId="51497"/>
    <cellStyle name="Normal 3 5 2 2 4 5" xfId="51498"/>
    <cellStyle name="Normal 3 5 2 2 4 6" xfId="51499"/>
    <cellStyle name="Normal 3 5 2 2 4 7" xfId="51500"/>
    <cellStyle name="Normal 3 5 2 2 5" xfId="51501"/>
    <cellStyle name="Normal 3 5 2 2 5 2" xfId="51502"/>
    <cellStyle name="Normal 3 5 2 2 6" xfId="51503"/>
    <cellStyle name="Normal 3 5 2 2 6 2" xfId="51504"/>
    <cellStyle name="Normal 3 5 2 2 7" xfId="51505"/>
    <cellStyle name="Normal 3 5 2 2 8" xfId="51506"/>
    <cellStyle name="Normal 3 5 2 2 9" xfId="51507"/>
    <cellStyle name="Normal 3 5 2 3" xfId="51508"/>
    <cellStyle name="Normal 3 5 2 3 2" xfId="51509"/>
    <cellStyle name="Normal 3 5 2 3 2 2" xfId="51510"/>
    <cellStyle name="Normal 3 5 2 3 3" xfId="51511"/>
    <cellStyle name="Normal 3 5 2 3 3 2" xfId="51512"/>
    <cellStyle name="Normal 3 5 2 3 4" xfId="51513"/>
    <cellStyle name="Normal 3 5 2 3 5" xfId="51514"/>
    <cellStyle name="Normal 3 5 2 3 6" xfId="51515"/>
    <cellStyle name="Normal 3 5 2 3 7" xfId="51516"/>
    <cellStyle name="Normal 3 5 2 4" xfId="51517"/>
    <cellStyle name="Normal 3 5 2 4 2" xfId="51518"/>
    <cellStyle name="Normal 3 5 2 4 2 2" xfId="51519"/>
    <cellStyle name="Normal 3 5 2 4 3" xfId="51520"/>
    <cellStyle name="Normal 3 5 2 4 3 2" xfId="51521"/>
    <cellStyle name="Normal 3 5 2 4 4" xfId="51522"/>
    <cellStyle name="Normal 3 5 2 4 5" xfId="51523"/>
    <cellStyle name="Normal 3 5 2 4 6" xfId="51524"/>
    <cellStyle name="Normal 3 5 2 4 7" xfId="51525"/>
    <cellStyle name="Normal 3 5 2 5" xfId="51526"/>
    <cellStyle name="Normal 3 5 2 5 2" xfId="51527"/>
    <cellStyle name="Normal 3 5 2 5 2 2" xfId="51528"/>
    <cellStyle name="Normal 3 5 2 5 3" xfId="51529"/>
    <cellStyle name="Normal 3 5 2 5 3 2" xfId="51530"/>
    <cellStyle name="Normal 3 5 2 5 4" xfId="51531"/>
    <cellStyle name="Normal 3 5 2 5 5" xfId="51532"/>
    <cellStyle name="Normal 3 5 2 5 6" xfId="51533"/>
    <cellStyle name="Normal 3 5 2 5 7" xfId="51534"/>
    <cellStyle name="Normal 3 5 2 6" xfId="51535"/>
    <cellStyle name="Normal 3 5 2 6 2" xfId="51536"/>
    <cellStyle name="Normal 3 5 2 7" xfId="51537"/>
    <cellStyle name="Normal 3 5 2 7 2" xfId="51538"/>
    <cellStyle name="Normal 3 5 2 8" xfId="51539"/>
    <cellStyle name="Normal 3 5 2 9" xfId="51540"/>
    <cellStyle name="Normal 3 5 3" xfId="51541"/>
    <cellStyle name="Normal 3 5 3 10" xfId="51542"/>
    <cellStyle name="Normal 3 5 3 11" xfId="51543"/>
    <cellStyle name="Normal 3 5 3 2" xfId="51544"/>
    <cellStyle name="Normal 3 5 3 2 10" xfId="51545"/>
    <cellStyle name="Normal 3 5 3 2 2" xfId="51546"/>
    <cellStyle name="Normal 3 5 3 2 2 2" xfId="51547"/>
    <cellStyle name="Normal 3 5 3 2 2 2 2" xfId="51548"/>
    <cellStyle name="Normal 3 5 3 2 2 3" xfId="51549"/>
    <cellStyle name="Normal 3 5 3 2 2 3 2" xfId="51550"/>
    <cellStyle name="Normal 3 5 3 2 2 4" xfId="51551"/>
    <cellStyle name="Normal 3 5 3 2 2 5" xfId="51552"/>
    <cellStyle name="Normal 3 5 3 2 2 6" xfId="51553"/>
    <cellStyle name="Normal 3 5 3 2 2 7" xfId="51554"/>
    <cellStyle name="Normal 3 5 3 2 3" xfId="51555"/>
    <cellStyle name="Normal 3 5 3 2 3 2" xfId="51556"/>
    <cellStyle name="Normal 3 5 3 2 3 2 2" xfId="51557"/>
    <cellStyle name="Normal 3 5 3 2 3 3" xfId="51558"/>
    <cellStyle name="Normal 3 5 3 2 3 3 2" xfId="51559"/>
    <cellStyle name="Normal 3 5 3 2 3 4" xfId="51560"/>
    <cellStyle name="Normal 3 5 3 2 3 5" xfId="51561"/>
    <cellStyle name="Normal 3 5 3 2 3 6" xfId="51562"/>
    <cellStyle name="Normal 3 5 3 2 3 7" xfId="51563"/>
    <cellStyle name="Normal 3 5 3 2 4" xfId="51564"/>
    <cellStyle name="Normal 3 5 3 2 4 2" xfId="51565"/>
    <cellStyle name="Normal 3 5 3 2 4 2 2" xfId="51566"/>
    <cellStyle name="Normal 3 5 3 2 4 3" xfId="51567"/>
    <cellStyle name="Normal 3 5 3 2 4 3 2" xfId="51568"/>
    <cellStyle name="Normal 3 5 3 2 4 4" xfId="51569"/>
    <cellStyle name="Normal 3 5 3 2 4 5" xfId="51570"/>
    <cellStyle name="Normal 3 5 3 2 4 6" xfId="51571"/>
    <cellStyle name="Normal 3 5 3 2 4 7" xfId="51572"/>
    <cellStyle name="Normal 3 5 3 2 5" xfId="51573"/>
    <cellStyle name="Normal 3 5 3 2 5 2" xfId="51574"/>
    <cellStyle name="Normal 3 5 3 2 6" xfId="51575"/>
    <cellStyle name="Normal 3 5 3 2 6 2" xfId="51576"/>
    <cellStyle name="Normal 3 5 3 2 7" xfId="51577"/>
    <cellStyle name="Normal 3 5 3 2 8" xfId="51578"/>
    <cellStyle name="Normal 3 5 3 2 9" xfId="51579"/>
    <cellStyle name="Normal 3 5 3 3" xfId="51580"/>
    <cellStyle name="Normal 3 5 3 3 2" xfId="51581"/>
    <cellStyle name="Normal 3 5 3 3 2 2" xfId="51582"/>
    <cellStyle name="Normal 3 5 3 3 3" xfId="51583"/>
    <cellStyle name="Normal 3 5 3 3 3 2" xfId="51584"/>
    <cellStyle name="Normal 3 5 3 3 4" xfId="51585"/>
    <cellStyle name="Normal 3 5 3 3 5" xfId="51586"/>
    <cellStyle name="Normal 3 5 3 3 6" xfId="51587"/>
    <cellStyle name="Normal 3 5 3 3 7" xfId="51588"/>
    <cellStyle name="Normal 3 5 3 4" xfId="51589"/>
    <cellStyle name="Normal 3 5 3 4 2" xfId="51590"/>
    <cellStyle name="Normal 3 5 3 4 2 2" xfId="51591"/>
    <cellStyle name="Normal 3 5 3 4 3" xfId="51592"/>
    <cellStyle name="Normal 3 5 3 4 3 2" xfId="51593"/>
    <cellStyle name="Normal 3 5 3 4 4" xfId="51594"/>
    <cellStyle name="Normal 3 5 3 4 5" xfId="51595"/>
    <cellStyle name="Normal 3 5 3 4 6" xfId="51596"/>
    <cellStyle name="Normal 3 5 3 4 7" xfId="51597"/>
    <cellStyle name="Normal 3 5 3 5" xfId="51598"/>
    <cellStyle name="Normal 3 5 3 5 2" xfId="51599"/>
    <cellStyle name="Normal 3 5 3 5 2 2" xfId="51600"/>
    <cellStyle name="Normal 3 5 3 5 3" xfId="51601"/>
    <cellStyle name="Normal 3 5 3 5 3 2" xfId="51602"/>
    <cellStyle name="Normal 3 5 3 5 4" xfId="51603"/>
    <cellStyle name="Normal 3 5 3 5 5" xfId="51604"/>
    <cellStyle name="Normal 3 5 3 5 6" xfId="51605"/>
    <cellStyle name="Normal 3 5 3 5 7" xfId="51606"/>
    <cellStyle name="Normal 3 5 3 6" xfId="51607"/>
    <cellStyle name="Normal 3 5 3 6 2" xfId="51608"/>
    <cellStyle name="Normal 3 5 3 7" xfId="51609"/>
    <cellStyle name="Normal 3 5 3 7 2" xfId="51610"/>
    <cellStyle name="Normal 3 5 3 8" xfId="51611"/>
    <cellStyle name="Normal 3 5 3 9" xfId="51612"/>
    <cellStyle name="Normal 3 5 4" xfId="51613"/>
    <cellStyle name="Normal 3 5 4 10" xfId="51614"/>
    <cellStyle name="Normal 3 5 4 2" xfId="51615"/>
    <cellStyle name="Normal 3 5 4 2 2" xfId="51616"/>
    <cellStyle name="Normal 3 5 4 2 2 2" xfId="51617"/>
    <cellStyle name="Normal 3 5 4 2 3" xfId="51618"/>
    <cellStyle name="Normal 3 5 4 2 3 2" xfId="51619"/>
    <cellStyle name="Normal 3 5 4 2 4" xfId="51620"/>
    <cellStyle name="Normal 3 5 4 2 5" xfId="51621"/>
    <cellStyle name="Normal 3 5 4 2 6" xfId="51622"/>
    <cellStyle name="Normal 3 5 4 2 7" xfId="51623"/>
    <cellStyle name="Normal 3 5 4 3" xfId="51624"/>
    <cellStyle name="Normal 3 5 4 3 2" xfId="51625"/>
    <cellStyle name="Normal 3 5 4 3 2 2" xfId="51626"/>
    <cellStyle name="Normal 3 5 4 3 3" xfId="51627"/>
    <cellStyle name="Normal 3 5 4 3 3 2" xfId="51628"/>
    <cellStyle name="Normal 3 5 4 3 4" xfId="51629"/>
    <cellStyle name="Normal 3 5 4 3 5" xfId="51630"/>
    <cellStyle name="Normal 3 5 4 3 6" xfId="51631"/>
    <cellStyle name="Normal 3 5 4 3 7" xfId="51632"/>
    <cellStyle name="Normal 3 5 4 4" xfId="51633"/>
    <cellStyle name="Normal 3 5 4 4 2" xfId="51634"/>
    <cellStyle name="Normal 3 5 4 4 2 2" xfId="51635"/>
    <cellStyle name="Normal 3 5 4 4 3" xfId="51636"/>
    <cellStyle name="Normal 3 5 4 4 3 2" xfId="51637"/>
    <cellStyle name="Normal 3 5 4 4 4" xfId="51638"/>
    <cellStyle name="Normal 3 5 4 4 5" xfId="51639"/>
    <cellStyle name="Normal 3 5 4 4 6" xfId="51640"/>
    <cellStyle name="Normal 3 5 4 4 7" xfId="51641"/>
    <cellStyle name="Normal 3 5 4 5" xfId="51642"/>
    <cellStyle name="Normal 3 5 4 5 2" xfId="51643"/>
    <cellStyle name="Normal 3 5 4 6" xfId="51644"/>
    <cellStyle name="Normal 3 5 4 6 2" xfId="51645"/>
    <cellStyle name="Normal 3 5 4 7" xfId="51646"/>
    <cellStyle name="Normal 3 5 4 8" xfId="51647"/>
    <cellStyle name="Normal 3 5 4 9" xfId="51648"/>
    <cellStyle name="Normal 3 5 5" xfId="51649"/>
    <cellStyle name="Normal 3 5 5 2" xfId="51650"/>
    <cellStyle name="Normal 3 5 5 2 2" xfId="51651"/>
    <cellStyle name="Normal 3 5 5 3" xfId="51652"/>
    <cellStyle name="Normal 3 5 5 3 2" xfId="51653"/>
    <cellStyle name="Normal 3 5 5 4" xfId="51654"/>
    <cellStyle name="Normal 3 5 5 5" xfId="51655"/>
    <cellStyle name="Normal 3 5 5 6" xfId="51656"/>
    <cellStyle name="Normal 3 5 5 7" xfId="51657"/>
    <cellStyle name="Normal 3 5 6" xfId="51658"/>
    <cellStyle name="Normal 3 5 6 2" xfId="51659"/>
    <cellStyle name="Normal 3 5 6 2 2" xfId="51660"/>
    <cellStyle name="Normal 3 5 6 3" xfId="51661"/>
    <cellStyle name="Normal 3 5 6 3 2" xfId="51662"/>
    <cellStyle name="Normal 3 5 6 4" xfId="51663"/>
    <cellStyle name="Normal 3 5 6 5" xfId="51664"/>
    <cellStyle name="Normal 3 5 6 6" xfId="51665"/>
    <cellStyle name="Normal 3 5 6 7" xfId="51666"/>
    <cellStyle name="Normal 3 5 7" xfId="51667"/>
    <cellStyle name="Normal 3 5 7 2" xfId="51668"/>
    <cellStyle name="Normal 3 5 7 2 2" xfId="51669"/>
    <cellStyle name="Normal 3 5 7 3" xfId="51670"/>
    <cellStyle name="Normal 3 5 7 3 2" xfId="51671"/>
    <cellStyle name="Normal 3 5 7 4" xfId="51672"/>
    <cellStyle name="Normal 3 5 7 5" xfId="51673"/>
    <cellStyle name="Normal 3 5 7 6" xfId="51674"/>
    <cellStyle name="Normal 3 5 7 7" xfId="51675"/>
    <cellStyle name="Normal 3 5 8" xfId="51676"/>
    <cellStyle name="Normal 3 5 8 2" xfId="51677"/>
    <cellStyle name="Normal 3 5 9" xfId="51678"/>
    <cellStyle name="Normal 3 5 9 2" xfId="51679"/>
    <cellStyle name="Normal 3 6" xfId="524"/>
    <cellStyle name="Normal 3 6 10" xfId="51680"/>
    <cellStyle name="Normal 3 6 11" xfId="51681"/>
    <cellStyle name="Normal 3 6 12" xfId="51682"/>
    <cellStyle name="Normal 3 6 13" xfId="51683"/>
    <cellStyle name="Normal 3 6 2" xfId="51684"/>
    <cellStyle name="Normal 3 6 2 10" xfId="51685"/>
    <cellStyle name="Normal 3 6 2 11" xfId="51686"/>
    <cellStyle name="Normal 3 6 2 2" xfId="51687"/>
    <cellStyle name="Normal 3 6 2 2 10" xfId="51688"/>
    <cellStyle name="Normal 3 6 2 2 2" xfId="51689"/>
    <cellStyle name="Normal 3 6 2 2 2 2" xfId="51690"/>
    <cellStyle name="Normal 3 6 2 2 2 2 2" xfId="51691"/>
    <cellStyle name="Normal 3 6 2 2 2 3" xfId="51692"/>
    <cellStyle name="Normal 3 6 2 2 2 3 2" xfId="51693"/>
    <cellStyle name="Normal 3 6 2 2 2 4" xfId="51694"/>
    <cellStyle name="Normal 3 6 2 2 2 5" xfId="51695"/>
    <cellStyle name="Normal 3 6 2 2 2 6" xfId="51696"/>
    <cellStyle name="Normal 3 6 2 2 2 7" xfId="51697"/>
    <cellStyle name="Normal 3 6 2 2 3" xfId="51698"/>
    <cellStyle name="Normal 3 6 2 2 3 2" xfId="51699"/>
    <cellStyle name="Normal 3 6 2 2 3 2 2" xfId="51700"/>
    <cellStyle name="Normal 3 6 2 2 3 3" xfId="51701"/>
    <cellStyle name="Normal 3 6 2 2 3 3 2" xfId="51702"/>
    <cellStyle name="Normal 3 6 2 2 3 4" xfId="51703"/>
    <cellStyle name="Normal 3 6 2 2 3 5" xfId="51704"/>
    <cellStyle name="Normal 3 6 2 2 3 6" xfId="51705"/>
    <cellStyle name="Normal 3 6 2 2 3 7" xfId="51706"/>
    <cellStyle name="Normal 3 6 2 2 4" xfId="51707"/>
    <cellStyle name="Normal 3 6 2 2 4 2" xfId="51708"/>
    <cellStyle name="Normal 3 6 2 2 4 2 2" xfId="51709"/>
    <cellStyle name="Normal 3 6 2 2 4 3" xfId="51710"/>
    <cellStyle name="Normal 3 6 2 2 4 3 2" xfId="51711"/>
    <cellStyle name="Normal 3 6 2 2 4 4" xfId="51712"/>
    <cellStyle name="Normal 3 6 2 2 4 5" xfId="51713"/>
    <cellStyle name="Normal 3 6 2 2 4 6" xfId="51714"/>
    <cellStyle name="Normal 3 6 2 2 4 7" xfId="51715"/>
    <cellStyle name="Normal 3 6 2 2 5" xfId="51716"/>
    <cellStyle name="Normal 3 6 2 2 5 2" xfId="51717"/>
    <cellStyle name="Normal 3 6 2 2 6" xfId="51718"/>
    <cellStyle name="Normal 3 6 2 2 6 2" xfId="51719"/>
    <cellStyle name="Normal 3 6 2 2 7" xfId="51720"/>
    <cellStyle name="Normal 3 6 2 2 8" xfId="51721"/>
    <cellStyle name="Normal 3 6 2 2 9" xfId="51722"/>
    <cellStyle name="Normal 3 6 2 3" xfId="51723"/>
    <cellStyle name="Normal 3 6 2 3 2" xfId="51724"/>
    <cellStyle name="Normal 3 6 2 3 2 2" xfId="51725"/>
    <cellStyle name="Normal 3 6 2 3 3" xfId="51726"/>
    <cellStyle name="Normal 3 6 2 3 3 2" xfId="51727"/>
    <cellStyle name="Normal 3 6 2 3 4" xfId="51728"/>
    <cellStyle name="Normal 3 6 2 3 5" xfId="51729"/>
    <cellStyle name="Normal 3 6 2 3 6" xfId="51730"/>
    <cellStyle name="Normal 3 6 2 3 7" xfId="51731"/>
    <cellStyle name="Normal 3 6 2 4" xfId="51732"/>
    <cellStyle name="Normal 3 6 2 4 2" xfId="51733"/>
    <cellStyle name="Normal 3 6 2 4 2 2" xfId="51734"/>
    <cellStyle name="Normal 3 6 2 4 3" xfId="51735"/>
    <cellStyle name="Normal 3 6 2 4 3 2" xfId="51736"/>
    <cellStyle name="Normal 3 6 2 4 4" xfId="51737"/>
    <cellStyle name="Normal 3 6 2 4 5" xfId="51738"/>
    <cellStyle name="Normal 3 6 2 4 6" xfId="51739"/>
    <cellStyle name="Normal 3 6 2 4 7" xfId="51740"/>
    <cellStyle name="Normal 3 6 2 5" xfId="51741"/>
    <cellStyle name="Normal 3 6 2 5 2" xfId="51742"/>
    <cellStyle name="Normal 3 6 2 5 2 2" xfId="51743"/>
    <cellStyle name="Normal 3 6 2 5 3" xfId="51744"/>
    <cellStyle name="Normal 3 6 2 5 3 2" xfId="51745"/>
    <cellStyle name="Normal 3 6 2 5 4" xfId="51746"/>
    <cellStyle name="Normal 3 6 2 5 5" xfId="51747"/>
    <cellStyle name="Normal 3 6 2 5 6" xfId="51748"/>
    <cellStyle name="Normal 3 6 2 5 7" xfId="51749"/>
    <cellStyle name="Normal 3 6 2 6" xfId="51750"/>
    <cellStyle name="Normal 3 6 2 6 2" xfId="51751"/>
    <cellStyle name="Normal 3 6 2 7" xfId="51752"/>
    <cellStyle name="Normal 3 6 2 7 2" xfId="51753"/>
    <cellStyle name="Normal 3 6 2 8" xfId="51754"/>
    <cellStyle name="Normal 3 6 2 9" xfId="51755"/>
    <cellStyle name="Normal 3 6 3" xfId="51756"/>
    <cellStyle name="Normal 3 6 3 10" xfId="51757"/>
    <cellStyle name="Normal 3 6 3 11" xfId="51758"/>
    <cellStyle name="Normal 3 6 3 2" xfId="51759"/>
    <cellStyle name="Normal 3 6 3 2 10" xfId="51760"/>
    <cellStyle name="Normal 3 6 3 2 2" xfId="51761"/>
    <cellStyle name="Normal 3 6 3 2 2 2" xfId="51762"/>
    <cellStyle name="Normal 3 6 3 2 2 2 2" xfId="51763"/>
    <cellStyle name="Normal 3 6 3 2 2 3" xfId="51764"/>
    <cellStyle name="Normal 3 6 3 2 2 3 2" xfId="51765"/>
    <cellStyle name="Normal 3 6 3 2 2 4" xfId="51766"/>
    <cellStyle name="Normal 3 6 3 2 2 5" xfId="51767"/>
    <cellStyle name="Normal 3 6 3 2 2 6" xfId="51768"/>
    <cellStyle name="Normal 3 6 3 2 2 7" xfId="51769"/>
    <cellStyle name="Normal 3 6 3 2 3" xfId="51770"/>
    <cellStyle name="Normal 3 6 3 2 3 2" xfId="51771"/>
    <cellStyle name="Normal 3 6 3 2 3 2 2" xfId="51772"/>
    <cellStyle name="Normal 3 6 3 2 3 3" xfId="51773"/>
    <cellStyle name="Normal 3 6 3 2 3 3 2" xfId="51774"/>
    <cellStyle name="Normal 3 6 3 2 3 4" xfId="51775"/>
    <cellStyle name="Normal 3 6 3 2 3 5" xfId="51776"/>
    <cellStyle name="Normal 3 6 3 2 3 6" xfId="51777"/>
    <cellStyle name="Normal 3 6 3 2 3 7" xfId="51778"/>
    <cellStyle name="Normal 3 6 3 2 4" xfId="51779"/>
    <cellStyle name="Normal 3 6 3 2 4 2" xfId="51780"/>
    <cellStyle name="Normal 3 6 3 2 4 2 2" xfId="51781"/>
    <cellStyle name="Normal 3 6 3 2 4 3" xfId="51782"/>
    <cellStyle name="Normal 3 6 3 2 4 3 2" xfId="51783"/>
    <cellStyle name="Normal 3 6 3 2 4 4" xfId="51784"/>
    <cellStyle name="Normal 3 6 3 2 4 5" xfId="51785"/>
    <cellStyle name="Normal 3 6 3 2 4 6" xfId="51786"/>
    <cellStyle name="Normal 3 6 3 2 4 7" xfId="51787"/>
    <cellStyle name="Normal 3 6 3 2 5" xfId="51788"/>
    <cellStyle name="Normal 3 6 3 2 5 2" xfId="51789"/>
    <cellStyle name="Normal 3 6 3 2 6" xfId="51790"/>
    <cellStyle name="Normal 3 6 3 2 6 2" xfId="51791"/>
    <cellStyle name="Normal 3 6 3 2 7" xfId="51792"/>
    <cellStyle name="Normal 3 6 3 2 8" xfId="51793"/>
    <cellStyle name="Normal 3 6 3 2 9" xfId="51794"/>
    <cellStyle name="Normal 3 6 3 3" xfId="51795"/>
    <cellStyle name="Normal 3 6 3 3 2" xfId="51796"/>
    <cellStyle name="Normal 3 6 3 3 2 2" xfId="51797"/>
    <cellStyle name="Normal 3 6 3 3 3" xfId="51798"/>
    <cellStyle name="Normal 3 6 3 3 3 2" xfId="51799"/>
    <cellStyle name="Normal 3 6 3 3 4" xfId="51800"/>
    <cellStyle name="Normal 3 6 3 3 5" xfId="51801"/>
    <cellStyle name="Normal 3 6 3 3 6" xfId="51802"/>
    <cellStyle name="Normal 3 6 3 3 7" xfId="51803"/>
    <cellStyle name="Normal 3 6 3 4" xfId="51804"/>
    <cellStyle name="Normal 3 6 3 4 2" xfId="51805"/>
    <cellStyle name="Normal 3 6 3 4 2 2" xfId="51806"/>
    <cellStyle name="Normal 3 6 3 4 3" xfId="51807"/>
    <cellStyle name="Normal 3 6 3 4 3 2" xfId="51808"/>
    <cellStyle name="Normal 3 6 3 4 4" xfId="51809"/>
    <cellStyle name="Normal 3 6 3 4 5" xfId="51810"/>
    <cellStyle name="Normal 3 6 3 4 6" xfId="51811"/>
    <cellStyle name="Normal 3 6 3 4 7" xfId="51812"/>
    <cellStyle name="Normal 3 6 3 5" xfId="51813"/>
    <cellStyle name="Normal 3 6 3 5 2" xfId="51814"/>
    <cellStyle name="Normal 3 6 3 5 2 2" xfId="51815"/>
    <cellStyle name="Normal 3 6 3 5 3" xfId="51816"/>
    <cellStyle name="Normal 3 6 3 5 3 2" xfId="51817"/>
    <cellStyle name="Normal 3 6 3 5 4" xfId="51818"/>
    <cellStyle name="Normal 3 6 3 5 5" xfId="51819"/>
    <cellStyle name="Normal 3 6 3 5 6" xfId="51820"/>
    <cellStyle name="Normal 3 6 3 5 7" xfId="51821"/>
    <cellStyle name="Normal 3 6 3 6" xfId="51822"/>
    <cellStyle name="Normal 3 6 3 6 2" xfId="51823"/>
    <cellStyle name="Normal 3 6 3 7" xfId="51824"/>
    <cellStyle name="Normal 3 6 3 7 2" xfId="51825"/>
    <cellStyle name="Normal 3 6 3 8" xfId="51826"/>
    <cellStyle name="Normal 3 6 3 9" xfId="51827"/>
    <cellStyle name="Normal 3 6 4" xfId="51828"/>
    <cellStyle name="Normal 3 6 4 10" xfId="51829"/>
    <cellStyle name="Normal 3 6 4 2" xfId="51830"/>
    <cellStyle name="Normal 3 6 4 2 2" xfId="51831"/>
    <cellStyle name="Normal 3 6 4 2 2 2" xfId="51832"/>
    <cellStyle name="Normal 3 6 4 2 3" xfId="51833"/>
    <cellStyle name="Normal 3 6 4 2 3 2" xfId="51834"/>
    <cellStyle name="Normal 3 6 4 2 4" xfId="51835"/>
    <cellStyle name="Normal 3 6 4 2 5" xfId="51836"/>
    <cellStyle name="Normal 3 6 4 2 6" xfId="51837"/>
    <cellStyle name="Normal 3 6 4 2 7" xfId="51838"/>
    <cellStyle name="Normal 3 6 4 3" xfId="51839"/>
    <cellStyle name="Normal 3 6 4 3 2" xfId="51840"/>
    <cellStyle name="Normal 3 6 4 3 2 2" xfId="51841"/>
    <cellStyle name="Normal 3 6 4 3 3" xfId="51842"/>
    <cellStyle name="Normal 3 6 4 3 3 2" xfId="51843"/>
    <cellStyle name="Normal 3 6 4 3 4" xfId="51844"/>
    <cellStyle name="Normal 3 6 4 3 5" xfId="51845"/>
    <cellStyle name="Normal 3 6 4 3 6" xfId="51846"/>
    <cellStyle name="Normal 3 6 4 3 7" xfId="51847"/>
    <cellStyle name="Normal 3 6 4 4" xfId="51848"/>
    <cellStyle name="Normal 3 6 4 4 2" xfId="51849"/>
    <cellStyle name="Normal 3 6 4 4 2 2" xfId="51850"/>
    <cellStyle name="Normal 3 6 4 4 3" xfId="51851"/>
    <cellStyle name="Normal 3 6 4 4 3 2" xfId="51852"/>
    <cellStyle name="Normal 3 6 4 4 4" xfId="51853"/>
    <cellStyle name="Normal 3 6 4 4 5" xfId="51854"/>
    <cellStyle name="Normal 3 6 4 4 6" xfId="51855"/>
    <cellStyle name="Normal 3 6 4 4 7" xfId="51856"/>
    <cellStyle name="Normal 3 6 4 5" xfId="51857"/>
    <cellStyle name="Normal 3 6 4 5 2" xfId="51858"/>
    <cellStyle name="Normal 3 6 4 6" xfId="51859"/>
    <cellStyle name="Normal 3 6 4 6 2" xfId="51860"/>
    <cellStyle name="Normal 3 6 4 7" xfId="51861"/>
    <cellStyle name="Normal 3 6 4 8" xfId="51862"/>
    <cellStyle name="Normal 3 6 4 9" xfId="51863"/>
    <cellStyle name="Normal 3 6 5" xfId="51864"/>
    <cellStyle name="Normal 3 6 5 2" xfId="51865"/>
    <cellStyle name="Normal 3 6 5 2 2" xfId="51866"/>
    <cellStyle name="Normal 3 6 5 3" xfId="51867"/>
    <cellStyle name="Normal 3 6 5 3 2" xfId="51868"/>
    <cellStyle name="Normal 3 6 5 4" xfId="51869"/>
    <cellStyle name="Normal 3 6 5 5" xfId="51870"/>
    <cellStyle name="Normal 3 6 5 6" xfId="51871"/>
    <cellStyle name="Normal 3 6 5 7" xfId="51872"/>
    <cellStyle name="Normal 3 6 6" xfId="51873"/>
    <cellStyle name="Normal 3 6 6 2" xfId="51874"/>
    <cellStyle name="Normal 3 6 6 2 2" xfId="51875"/>
    <cellStyle name="Normal 3 6 6 3" xfId="51876"/>
    <cellStyle name="Normal 3 6 6 3 2" xfId="51877"/>
    <cellStyle name="Normal 3 6 6 4" xfId="51878"/>
    <cellStyle name="Normal 3 6 6 5" xfId="51879"/>
    <cellStyle name="Normal 3 6 6 6" xfId="51880"/>
    <cellStyle name="Normal 3 6 6 7" xfId="51881"/>
    <cellStyle name="Normal 3 6 7" xfId="51882"/>
    <cellStyle name="Normal 3 6 7 2" xfId="51883"/>
    <cellStyle name="Normal 3 6 7 2 2" xfId="51884"/>
    <cellStyle name="Normal 3 6 7 3" xfId="51885"/>
    <cellStyle name="Normal 3 6 7 3 2" xfId="51886"/>
    <cellStyle name="Normal 3 6 7 4" xfId="51887"/>
    <cellStyle name="Normal 3 6 7 5" xfId="51888"/>
    <cellStyle name="Normal 3 6 7 6" xfId="51889"/>
    <cellStyle name="Normal 3 6 7 7" xfId="51890"/>
    <cellStyle name="Normal 3 6 8" xfId="51891"/>
    <cellStyle name="Normal 3 6 8 2" xfId="51892"/>
    <cellStyle name="Normal 3 6 9" xfId="51893"/>
    <cellStyle name="Normal 3 6 9 2" xfId="51894"/>
    <cellStyle name="Normal 3 7" xfId="51895"/>
    <cellStyle name="Normal 3 7 10" xfId="51896"/>
    <cellStyle name="Normal 3 7 11" xfId="51897"/>
    <cellStyle name="Normal 3 7 2" xfId="51898"/>
    <cellStyle name="Normal 3 7 2 10" xfId="51899"/>
    <cellStyle name="Normal 3 7 2 2" xfId="51900"/>
    <cellStyle name="Normal 3 7 2 2 2" xfId="51901"/>
    <cellStyle name="Normal 3 7 2 2 2 2" xfId="51902"/>
    <cellStyle name="Normal 3 7 2 2 3" xfId="51903"/>
    <cellStyle name="Normal 3 7 2 2 3 2" xfId="51904"/>
    <cellStyle name="Normal 3 7 2 2 4" xfId="51905"/>
    <cellStyle name="Normal 3 7 2 2 5" xfId="51906"/>
    <cellStyle name="Normal 3 7 2 2 6" xfId="51907"/>
    <cellStyle name="Normal 3 7 2 2 7" xfId="51908"/>
    <cellStyle name="Normal 3 7 2 3" xfId="51909"/>
    <cellStyle name="Normal 3 7 2 3 2" xfId="51910"/>
    <cellStyle name="Normal 3 7 2 3 2 2" xfId="51911"/>
    <cellStyle name="Normal 3 7 2 3 3" xfId="51912"/>
    <cellStyle name="Normal 3 7 2 3 3 2" xfId="51913"/>
    <cellStyle name="Normal 3 7 2 3 4" xfId="51914"/>
    <cellStyle name="Normal 3 7 2 3 5" xfId="51915"/>
    <cellStyle name="Normal 3 7 2 3 6" xfId="51916"/>
    <cellStyle name="Normal 3 7 2 3 7" xfId="51917"/>
    <cellStyle name="Normal 3 7 2 4" xfId="51918"/>
    <cellStyle name="Normal 3 7 2 4 2" xfId="51919"/>
    <cellStyle name="Normal 3 7 2 4 2 2" xfId="51920"/>
    <cellStyle name="Normal 3 7 2 4 3" xfId="51921"/>
    <cellStyle name="Normal 3 7 2 4 3 2" xfId="51922"/>
    <cellStyle name="Normal 3 7 2 4 4" xfId="51923"/>
    <cellStyle name="Normal 3 7 2 4 5" xfId="51924"/>
    <cellStyle name="Normal 3 7 2 4 6" xfId="51925"/>
    <cellStyle name="Normal 3 7 2 4 7" xfId="51926"/>
    <cellStyle name="Normal 3 7 2 5" xfId="51927"/>
    <cellStyle name="Normal 3 7 2 5 2" xfId="51928"/>
    <cellStyle name="Normal 3 7 2 6" xfId="51929"/>
    <cellStyle name="Normal 3 7 2 6 2" xfId="51930"/>
    <cellStyle name="Normal 3 7 2 7" xfId="51931"/>
    <cellStyle name="Normal 3 7 2 8" xfId="51932"/>
    <cellStyle name="Normal 3 7 2 9" xfId="51933"/>
    <cellStyle name="Normal 3 7 3" xfId="51934"/>
    <cellStyle name="Normal 3 7 3 2" xfId="51935"/>
    <cellStyle name="Normal 3 7 3 2 2" xfId="51936"/>
    <cellStyle name="Normal 3 7 3 3" xfId="51937"/>
    <cellStyle name="Normal 3 7 3 3 2" xfId="51938"/>
    <cellStyle name="Normal 3 7 3 4" xfId="51939"/>
    <cellStyle name="Normal 3 7 3 5" xfId="51940"/>
    <cellStyle name="Normal 3 7 3 6" xfId="51941"/>
    <cellStyle name="Normal 3 7 3 7" xfId="51942"/>
    <cellStyle name="Normal 3 7 4" xfId="51943"/>
    <cellStyle name="Normal 3 7 4 2" xfId="51944"/>
    <cellStyle name="Normal 3 7 4 2 2" xfId="51945"/>
    <cellStyle name="Normal 3 7 4 3" xfId="51946"/>
    <cellStyle name="Normal 3 7 4 3 2" xfId="51947"/>
    <cellStyle name="Normal 3 7 4 4" xfId="51948"/>
    <cellStyle name="Normal 3 7 4 5" xfId="51949"/>
    <cellStyle name="Normal 3 7 4 6" xfId="51950"/>
    <cellStyle name="Normal 3 7 4 7" xfId="51951"/>
    <cellStyle name="Normal 3 7 5" xfId="51952"/>
    <cellStyle name="Normal 3 7 5 2" xfId="51953"/>
    <cellStyle name="Normal 3 7 5 2 2" xfId="51954"/>
    <cellStyle name="Normal 3 7 5 3" xfId="51955"/>
    <cellStyle name="Normal 3 7 5 3 2" xfId="51956"/>
    <cellStyle name="Normal 3 7 5 4" xfId="51957"/>
    <cellStyle name="Normal 3 7 5 5" xfId="51958"/>
    <cellStyle name="Normal 3 7 5 6" xfId="51959"/>
    <cellStyle name="Normal 3 7 5 7" xfId="51960"/>
    <cellStyle name="Normal 3 7 6" xfId="51961"/>
    <cellStyle name="Normal 3 7 6 2" xfId="51962"/>
    <cellStyle name="Normal 3 7 7" xfId="51963"/>
    <cellStyle name="Normal 3 7 7 2" xfId="51964"/>
    <cellStyle name="Normal 3 7 8" xfId="51965"/>
    <cellStyle name="Normal 3 7 9" xfId="51966"/>
    <cellStyle name="Normal 3 8" xfId="51967"/>
    <cellStyle name="Normal 3 8 10" xfId="51968"/>
    <cellStyle name="Normal 3 8 11" xfId="51969"/>
    <cellStyle name="Normal 3 8 2" xfId="51970"/>
    <cellStyle name="Normal 3 8 2 10" xfId="51971"/>
    <cellStyle name="Normal 3 8 2 2" xfId="51972"/>
    <cellStyle name="Normal 3 8 2 2 2" xfId="51973"/>
    <cellStyle name="Normal 3 8 2 2 2 2" xfId="51974"/>
    <cellStyle name="Normal 3 8 2 2 3" xfId="51975"/>
    <cellStyle name="Normal 3 8 2 2 3 2" xfId="51976"/>
    <cellStyle name="Normal 3 8 2 2 4" xfId="51977"/>
    <cellStyle name="Normal 3 8 2 2 5" xfId="51978"/>
    <cellStyle name="Normal 3 8 2 2 6" xfId="51979"/>
    <cellStyle name="Normal 3 8 2 2 7" xfId="51980"/>
    <cellStyle name="Normal 3 8 2 3" xfId="51981"/>
    <cellStyle name="Normal 3 8 2 3 2" xfId="51982"/>
    <cellStyle name="Normal 3 8 2 3 2 2" xfId="51983"/>
    <cellStyle name="Normal 3 8 2 3 3" xfId="51984"/>
    <cellStyle name="Normal 3 8 2 3 3 2" xfId="51985"/>
    <cellStyle name="Normal 3 8 2 3 4" xfId="51986"/>
    <cellStyle name="Normal 3 8 2 3 5" xfId="51987"/>
    <cellStyle name="Normal 3 8 2 3 6" xfId="51988"/>
    <cellStyle name="Normal 3 8 2 3 7" xfId="51989"/>
    <cellStyle name="Normal 3 8 2 4" xfId="51990"/>
    <cellStyle name="Normal 3 8 2 4 2" xfId="51991"/>
    <cellStyle name="Normal 3 8 2 4 2 2" xfId="51992"/>
    <cellStyle name="Normal 3 8 2 4 3" xfId="51993"/>
    <cellStyle name="Normal 3 8 2 4 3 2" xfId="51994"/>
    <cellStyle name="Normal 3 8 2 4 4" xfId="51995"/>
    <cellStyle name="Normal 3 8 2 4 5" xfId="51996"/>
    <cellStyle name="Normal 3 8 2 4 6" xfId="51997"/>
    <cellStyle name="Normal 3 8 2 4 7" xfId="51998"/>
    <cellStyle name="Normal 3 8 2 5" xfId="51999"/>
    <cellStyle name="Normal 3 8 2 5 2" xfId="52000"/>
    <cellStyle name="Normal 3 8 2 6" xfId="52001"/>
    <cellStyle name="Normal 3 8 2 6 2" xfId="52002"/>
    <cellStyle name="Normal 3 8 2 7" xfId="52003"/>
    <cellStyle name="Normal 3 8 2 8" xfId="52004"/>
    <cellStyle name="Normal 3 8 2 9" xfId="52005"/>
    <cellStyle name="Normal 3 8 3" xfId="52006"/>
    <cellStyle name="Normal 3 8 3 2" xfId="52007"/>
    <cellStyle name="Normal 3 8 3 2 2" xfId="52008"/>
    <cellStyle name="Normal 3 8 3 3" xfId="52009"/>
    <cellStyle name="Normal 3 8 3 3 2" xfId="52010"/>
    <cellStyle name="Normal 3 8 3 4" xfId="52011"/>
    <cellStyle name="Normal 3 8 3 5" xfId="52012"/>
    <cellStyle name="Normal 3 8 3 6" xfId="52013"/>
    <cellStyle name="Normal 3 8 3 7" xfId="52014"/>
    <cellStyle name="Normal 3 8 4" xfId="52015"/>
    <cellStyle name="Normal 3 8 4 2" xfId="52016"/>
    <cellStyle name="Normal 3 8 4 2 2" xfId="52017"/>
    <cellStyle name="Normal 3 8 4 3" xfId="52018"/>
    <cellStyle name="Normal 3 8 4 3 2" xfId="52019"/>
    <cellStyle name="Normal 3 8 4 4" xfId="52020"/>
    <cellStyle name="Normal 3 8 4 5" xfId="52021"/>
    <cellStyle name="Normal 3 8 4 6" xfId="52022"/>
    <cellStyle name="Normal 3 8 4 7" xfId="52023"/>
    <cellStyle name="Normal 3 8 5" xfId="52024"/>
    <cellStyle name="Normal 3 8 5 2" xfId="52025"/>
    <cellStyle name="Normal 3 8 5 2 2" xfId="52026"/>
    <cellStyle name="Normal 3 8 5 3" xfId="52027"/>
    <cellStyle name="Normal 3 8 5 3 2" xfId="52028"/>
    <cellStyle name="Normal 3 8 5 4" xfId="52029"/>
    <cellStyle name="Normal 3 8 5 5" xfId="52030"/>
    <cellStyle name="Normal 3 8 5 6" xfId="52031"/>
    <cellStyle name="Normal 3 8 5 7" xfId="52032"/>
    <cellStyle name="Normal 3 8 6" xfId="52033"/>
    <cellStyle name="Normal 3 8 6 2" xfId="52034"/>
    <cellStyle name="Normal 3 8 7" xfId="52035"/>
    <cellStyle name="Normal 3 8 7 2" xfId="52036"/>
    <cellStyle name="Normal 3 8 8" xfId="52037"/>
    <cellStyle name="Normal 3 8 9" xfId="52038"/>
    <cellStyle name="Normal 3 9" xfId="52039"/>
    <cellStyle name="Normal 3 9 10" xfId="52040"/>
    <cellStyle name="Normal 3 9 2" xfId="52041"/>
    <cellStyle name="Normal 3 9 2 2" xfId="52042"/>
    <cellStyle name="Normal 3 9 2 2 2" xfId="52043"/>
    <cellStyle name="Normal 3 9 2 3" xfId="52044"/>
    <cellStyle name="Normal 3 9 2 3 2" xfId="52045"/>
    <cellStyle name="Normal 3 9 2 4" xfId="52046"/>
    <cellStyle name="Normal 3 9 2 5" xfId="52047"/>
    <cellStyle name="Normal 3 9 2 6" xfId="52048"/>
    <cellStyle name="Normal 3 9 2 7" xfId="52049"/>
    <cellStyle name="Normal 3 9 3" xfId="52050"/>
    <cellStyle name="Normal 3 9 3 2" xfId="52051"/>
    <cellStyle name="Normal 3 9 3 2 2" xfId="52052"/>
    <cellStyle name="Normal 3 9 3 3" xfId="52053"/>
    <cellStyle name="Normal 3 9 3 3 2" xfId="52054"/>
    <cellStyle name="Normal 3 9 3 4" xfId="52055"/>
    <cellStyle name="Normal 3 9 3 5" xfId="52056"/>
    <cellStyle name="Normal 3 9 3 6" xfId="52057"/>
    <cellStyle name="Normal 3 9 3 7" xfId="52058"/>
    <cellStyle name="Normal 3 9 4" xfId="52059"/>
    <cellStyle name="Normal 3 9 4 2" xfId="52060"/>
    <cellStyle name="Normal 3 9 4 2 2" xfId="52061"/>
    <cellStyle name="Normal 3 9 4 3" xfId="52062"/>
    <cellStyle name="Normal 3 9 4 3 2" xfId="52063"/>
    <cellStyle name="Normal 3 9 4 4" xfId="52064"/>
    <cellStyle name="Normal 3 9 4 5" xfId="52065"/>
    <cellStyle name="Normal 3 9 4 6" xfId="52066"/>
    <cellStyle name="Normal 3 9 4 7" xfId="52067"/>
    <cellStyle name="Normal 3 9 5" xfId="52068"/>
    <cellStyle name="Normal 3 9 5 2" xfId="52069"/>
    <cellStyle name="Normal 3 9 6" xfId="52070"/>
    <cellStyle name="Normal 3 9 6 2" xfId="52071"/>
    <cellStyle name="Normal 3 9 7" xfId="52072"/>
    <cellStyle name="Normal 3 9 8" xfId="52073"/>
    <cellStyle name="Normal 3 9 9" xfId="52074"/>
    <cellStyle name="Normal 3_10-15-10-Stmt AU - Period I - Working 1 0" xfId="525"/>
    <cellStyle name="Normal 30" xfId="52075"/>
    <cellStyle name="Normal 31" xfId="52076"/>
    <cellStyle name="Normal 32" xfId="52077"/>
    <cellStyle name="Normal 33" xfId="52078"/>
    <cellStyle name="Normal 34" xfId="52079"/>
    <cellStyle name="Normal 35" xfId="52080"/>
    <cellStyle name="Normal 36" xfId="52081"/>
    <cellStyle name="Normal 37" xfId="52082"/>
    <cellStyle name="Normal 38" xfId="52083"/>
    <cellStyle name="Normal 39" xfId="52084"/>
    <cellStyle name="Normal 4" xfId="26"/>
    <cellStyle name="Normal 4 2" xfId="47"/>
    <cellStyle name="Normal 4 2 2" xfId="526"/>
    <cellStyle name="Normal 4 3" xfId="527"/>
    <cellStyle name="Normal 40" xfId="52085"/>
    <cellStyle name="Normal 41" xfId="52086"/>
    <cellStyle name="Normal 42" xfId="52087"/>
    <cellStyle name="Normal 43" xfId="52088"/>
    <cellStyle name="Normal 44" xfId="52089"/>
    <cellStyle name="Normal 45" xfId="52090"/>
    <cellStyle name="Normal 46" xfId="52091"/>
    <cellStyle name="Normal 47" xfId="52092"/>
    <cellStyle name="Normal 48" xfId="52093"/>
    <cellStyle name="Normal 49" xfId="52094"/>
    <cellStyle name="Normal 5" xfId="22"/>
    <cellStyle name="Normal 5 2" xfId="528"/>
    <cellStyle name="Normal 5 2 2" xfId="529"/>
    <cellStyle name="Normal 5 2 2 2" xfId="530"/>
    <cellStyle name="Normal 5 2 3" xfId="531"/>
    <cellStyle name="Normal 5 3" xfId="532"/>
    <cellStyle name="Normal 5 3 2" xfId="533"/>
    <cellStyle name="Normal 5 3 2 2" xfId="534"/>
    <cellStyle name="Normal 5 3 3" xfId="535"/>
    <cellStyle name="Normal 5 4" xfId="536"/>
    <cellStyle name="Normal 5 4 2" xfId="537"/>
    <cellStyle name="Normal 5 5" xfId="538"/>
    <cellStyle name="Normal 5 6" xfId="539"/>
    <cellStyle name="Normal 5_10-15-10-Stmt AU - Period I - Working 1 0" xfId="540"/>
    <cellStyle name="Normal 50" xfId="52095"/>
    <cellStyle name="Normal 51" xfId="52096"/>
    <cellStyle name="Normal 52" xfId="52097"/>
    <cellStyle name="Normal 53" xfId="52098"/>
    <cellStyle name="Normal 54" xfId="52099"/>
    <cellStyle name="Normal 55" xfId="52100"/>
    <cellStyle name="Normal 56" xfId="52101"/>
    <cellStyle name="Normal 57" xfId="52102"/>
    <cellStyle name="Normal 58" xfId="52103"/>
    <cellStyle name="Normal 59" xfId="52104"/>
    <cellStyle name="Normal 6" xfId="27"/>
    <cellStyle name="Normal 6 2" xfId="541"/>
    <cellStyle name="Normal 6 2 2" xfId="542"/>
    <cellStyle name="Normal 6 2 2 2" xfId="543"/>
    <cellStyle name="Normal 6 2 3" xfId="544"/>
    <cellStyle name="Normal 6 3" xfId="545"/>
    <cellStyle name="Normal 6 3 2" xfId="546"/>
    <cellStyle name="Normal 6 3 2 2" xfId="547"/>
    <cellStyle name="Normal 6 3 3" xfId="548"/>
    <cellStyle name="Normal 6 4" xfId="549"/>
    <cellStyle name="Normal 6 4 2" xfId="550"/>
    <cellStyle name="Normal 6 5" xfId="551"/>
    <cellStyle name="Normal 6 6" xfId="552"/>
    <cellStyle name="Normal 6_10-15-10-Stmt AU - Period I - Working 1 0" xfId="553"/>
    <cellStyle name="Normal 60" xfId="52105"/>
    <cellStyle name="Normal 61" xfId="52106"/>
    <cellStyle name="Normal 62" xfId="52107"/>
    <cellStyle name="Normal 63" xfId="52108"/>
    <cellStyle name="Normal 64" xfId="52109"/>
    <cellStyle name="Normal 65" xfId="52110"/>
    <cellStyle name="Normal 66" xfId="52111"/>
    <cellStyle name="Normal 67" xfId="52112"/>
    <cellStyle name="Normal 68" xfId="52113"/>
    <cellStyle name="Normal 69" xfId="52114"/>
    <cellStyle name="Normal 7" xfId="28"/>
    <cellStyle name="Normal 7 10" xfId="3373"/>
    <cellStyle name="Normal 7 10 2" xfId="8652"/>
    <cellStyle name="Normal 7 10 2 2" xfId="54174"/>
    <cellStyle name="Normal 7 10 3" xfId="12400"/>
    <cellStyle name="Normal 7 11" xfId="1907"/>
    <cellStyle name="Normal 7 11 2" xfId="7186"/>
    <cellStyle name="Normal 7 11 3" xfId="12401"/>
    <cellStyle name="Normal 7 12" xfId="5836"/>
    <cellStyle name="Normal 7 13" xfId="12399"/>
    <cellStyle name="Normal 7 2" xfId="554"/>
    <cellStyle name="Normal 7 2 2" xfId="555"/>
    <cellStyle name="Normal 7 2 2 2" xfId="556"/>
    <cellStyle name="Normal 7 2 3" xfId="557"/>
    <cellStyle name="Normal 7 3" xfId="558"/>
    <cellStyle name="Normal 7 3 2" xfId="559"/>
    <cellStyle name="Normal 7 3 2 2" xfId="560"/>
    <cellStyle name="Normal 7 3 3" xfId="561"/>
    <cellStyle name="Normal 7 4" xfId="562"/>
    <cellStyle name="Normal 7 4 2" xfId="563"/>
    <cellStyle name="Normal 7 5" xfId="564"/>
    <cellStyle name="Normal 7 6" xfId="565"/>
    <cellStyle name="Normal 7 6 2" xfId="810"/>
    <cellStyle name="Normal 7 6 2 2" xfId="921"/>
    <cellStyle name="Normal 7 6 2 2 2" xfId="1540"/>
    <cellStyle name="Normal 7 6 2 2 2 2" xfId="2774"/>
    <cellStyle name="Normal 7 6 2 2 2 2 2" xfId="8053"/>
    <cellStyle name="Normal 7 6 2 2 2 2 3" xfId="12406"/>
    <cellStyle name="Normal 7 6 2 2 2 3" xfId="6819"/>
    <cellStyle name="Normal 7 6 2 2 2 4" xfId="12405"/>
    <cellStyle name="Normal 7 6 2 2 3" xfId="3374"/>
    <cellStyle name="Normal 7 6 2 2 3 2" xfId="8653"/>
    <cellStyle name="Normal 7 6 2 2 3 2 2" xfId="54175"/>
    <cellStyle name="Normal 7 6 2 2 3 3" xfId="12407"/>
    <cellStyle name="Normal 7 6 2 2 4" xfId="2161"/>
    <cellStyle name="Normal 7 6 2 2 4 2" xfId="7440"/>
    <cellStyle name="Normal 7 6 2 2 4 3" xfId="12408"/>
    <cellStyle name="Normal 7 6 2 2 5" xfId="6202"/>
    <cellStyle name="Normal 7 6 2 2 6" xfId="12404"/>
    <cellStyle name="Normal 7 6 2 3" xfId="1437"/>
    <cellStyle name="Normal 7 6 2 3 2" xfId="2671"/>
    <cellStyle name="Normal 7 6 2 3 2 2" xfId="7950"/>
    <cellStyle name="Normal 7 6 2 3 2 3" xfId="12410"/>
    <cellStyle name="Normal 7 6 2 3 3" xfId="6716"/>
    <cellStyle name="Normal 7 6 2 3 4" xfId="12409"/>
    <cellStyle name="Normal 7 6 2 4" xfId="3375"/>
    <cellStyle name="Normal 7 6 2 4 2" xfId="8654"/>
    <cellStyle name="Normal 7 6 2 4 2 2" xfId="54176"/>
    <cellStyle name="Normal 7 6 2 4 3" xfId="12411"/>
    <cellStyle name="Normal 7 6 2 5" xfId="2063"/>
    <cellStyle name="Normal 7 6 2 5 2" xfId="7342"/>
    <cellStyle name="Normal 7 6 2 5 3" xfId="12412"/>
    <cellStyle name="Normal 7 6 2 6" xfId="6099"/>
    <cellStyle name="Normal 7 6 2 7" xfId="12403"/>
    <cellStyle name="Normal 7 6 3" xfId="872"/>
    <cellStyle name="Normal 7 6 3 2" xfId="1491"/>
    <cellStyle name="Normal 7 6 3 2 2" xfId="2725"/>
    <cellStyle name="Normal 7 6 3 2 2 2" xfId="8004"/>
    <cellStyle name="Normal 7 6 3 2 2 3" xfId="12415"/>
    <cellStyle name="Normal 7 6 3 2 3" xfId="6770"/>
    <cellStyle name="Normal 7 6 3 2 4" xfId="12414"/>
    <cellStyle name="Normal 7 6 3 3" xfId="3376"/>
    <cellStyle name="Normal 7 6 3 3 2" xfId="8655"/>
    <cellStyle name="Normal 7 6 3 3 2 2" xfId="54177"/>
    <cellStyle name="Normal 7 6 3 3 3" xfId="12416"/>
    <cellStyle name="Normal 7 6 3 4" xfId="2112"/>
    <cellStyle name="Normal 7 6 3 4 2" xfId="7391"/>
    <cellStyle name="Normal 7 6 3 4 3" xfId="12417"/>
    <cellStyle name="Normal 7 6 3 5" xfId="6153"/>
    <cellStyle name="Normal 7 6 3 6" xfId="12413"/>
    <cellStyle name="Normal 7 6 4" xfId="1261"/>
    <cellStyle name="Normal 7 6 4 2" xfId="2495"/>
    <cellStyle name="Normal 7 6 4 2 2" xfId="7774"/>
    <cellStyle name="Normal 7 6 4 2 3" xfId="12419"/>
    <cellStyle name="Normal 7 6 4 3" xfId="6540"/>
    <cellStyle name="Normal 7 6 4 4" xfId="12418"/>
    <cellStyle name="Normal 7 6 5" xfId="3377"/>
    <cellStyle name="Normal 7 6 5 2" xfId="8656"/>
    <cellStyle name="Normal 7 6 5 2 2" xfId="54178"/>
    <cellStyle name="Normal 7 6 5 3" xfId="12420"/>
    <cellStyle name="Normal 7 6 6" xfId="1948"/>
    <cellStyle name="Normal 7 6 6 2" xfId="7227"/>
    <cellStyle name="Normal 7 6 6 3" xfId="12421"/>
    <cellStyle name="Normal 7 6 7" xfId="5923"/>
    <cellStyle name="Normal 7 6 8" xfId="12402"/>
    <cellStyle name="Normal 7 7" xfId="714"/>
    <cellStyle name="Normal 7 7 2" xfId="886"/>
    <cellStyle name="Normal 7 7 2 2" xfId="1505"/>
    <cellStyle name="Normal 7 7 2 2 2" xfId="2739"/>
    <cellStyle name="Normal 7 7 2 2 2 2" xfId="8018"/>
    <cellStyle name="Normal 7 7 2 2 2 3" xfId="12425"/>
    <cellStyle name="Normal 7 7 2 2 3" xfId="6784"/>
    <cellStyle name="Normal 7 7 2 2 4" xfId="12424"/>
    <cellStyle name="Normal 7 7 2 3" xfId="3378"/>
    <cellStyle name="Normal 7 7 2 3 2" xfId="8657"/>
    <cellStyle name="Normal 7 7 2 3 2 2" xfId="54179"/>
    <cellStyle name="Normal 7 7 2 3 3" xfId="12426"/>
    <cellStyle name="Normal 7 7 2 4" xfId="2126"/>
    <cellStyle name="Normal 7 7 2 4 2" xfId="7405"/>
    <cellStyle name="Normal 7 7 2 4 3" xfId="12427"/>
    <cellStyle name="Normal 7 7 2 5" xfId="6167"/>
    <cellStyle name="Normal 7 7 2 6" xfId="12423"/>
    <cellStyle name="Normal 7 7 3" xfId="1341"/>
    <cellStyle name="Normal 7 7 3 2" xfId="2575"/>
    <cellStyle name="Normal 7 7 3 2 2" xfId="7854"/>
    <cellStyle name="Normal 7 7 3 2 3" xfId="12429"/>
    <cellStyle name="Normal 7 7 3 3" xfId="6620"/>
    <cellStyle name="Normal 7 7 3 4" xfId="12428"/>
    <cellStyle name="Normal 7 7 4" xfId="3379"/>
    <cellStyle name="Normal 7 7 4 2" xfId="8658"/>
    <cellStyle name="Normal 7 7 4 2 2" xfId="54180"/>
    <cellStyle name="Normal 7 7 4 3" xfId="12430"/>
    <cellStyle name="Normal 7 7 5" xfId="2028"/>
    <cellStyle name="Normal 7 7 5 2" xfId="7307"/>
    <cellStyle name="Normal 7 7 5 3" xfId="12431"/>
    <cellStyle name="Normal 7 7 6" xfId="6003"/>
    <cellStyle name="Normal 7 7 7" xfId="12422"/>
    <cellStyle name="Normal 7 8" xfId="837"/>
    <cellStyle name="Normal 7 8 2" xfId="1456"/>
    <cellStyle name="Normal 7 8 2 2" xfId="2690"/>
    <cellStyle name="Normal 7 8 2 2 2" xfId="7969"/>
    <cellStyle name="Normal 7 8 2 2 3" xfId="12434"/>
    <cellStyle name="Normal 7 8 2 3" xfId="6735"/>
    <cellStyle name="Normal 7 8 2 4" xfId="12433"/>
    <cellStyle name="Normal 7 8 3" xfId="3380"/>
    <cellStyle name="Normal 7 8 3 2" xfId="8659"/>
    <cellStyle name="Normal 7 8 3 2 2" xfId="54181"/>
    <cellStyle name="Normal 7 8 3 3" xfId="12435"/>
    <cellStyle name="Normal 7 8 4" xfId="2077"/>
    <cellStyle name="Normal 7 8 4 2" xfId="7356"/>
    <cellStyle name="Normal 7 8 4 3" xfId="12436"/>
    <cellStyle name="Normal 7 8 5" xfId="6118"/>
    <cellStyle name="Normal 7 8 6" xfId="12432"/>
    <cellStyle name="Normal 7 9" xfId="1220"/>
    <cellStyle name="Normal 7 9 2" xfId="2454"/>
    <cellStyle name="Normal 7 9 2 2" xfId="7733"/>
    <cellStyle name="Normal 7 9 2 3" xfId="12438"/>
    <cellStyle name="Normal 7 9 3" xfId="6499"/>
    <cellStyle name="Normal 7 9 4" xfId="12437"/>
    <cellStyle name="Normal 7_10-15-10-Stmt AU - Period I - Working 1 0" xfId="566"/>
    <cellStyle name="Normal 70" xfId="52115"/>
    <cellStyle name="Normal 71" xfId="52116"/>
    <cellStyle name="Normal 72" xfId="52117"/>
    <cellStyle name="Normal 73" xfId="52118"/>
    <cellStyle name="Normal 74" xfId="52119"/>
    <cellStyle name="Normal 75" xfId="52120"/>
    <cellStyle name="Normal 76" xfId="52121"/>
    <cellStyle name="Normal 77" xfId="52122"/>
    <cellStyle name="Normal 78" xfId="52123"/>
    <cellStyle name="Normal 79" xfId="52850"/>
    <cellStyle name="Normal 8" xfId="29"/>
    <cellStyle name="Normal 8 10" xfId="5823"/>
    <cellStyle name="Normal 8 10 2" xfId="62581"/>
    <cellStyle name="Normal 8 11" xfId="5837"/>
    <cellStyle name="Normal 8 12" xfId="11203"/>
    <cellStyle name="Normal 8 12 2" xfId="62571"/>
    <cellStyle name="Normal 8 12 3" xfId="62577"/>
    <cellStyle name="Normal 8 2" xfId="50"/>
    <cellStyle name="Normal 8 2 10" xfId="12439"/>
    <cellStyle name="Normal 8 2 2" xfId="567"/>
    <cellStyle name="Normal 8 2 3" xfId="568"/>
    <cellStyle name="Normal 8 2 3 2" xfId="811"/>
    <cellStyle name="Normal 8 2 3 2 2" xfId="922"/>
    <cellStyle name="Normal 8 2 3 2 2 2" xfId="1541"/>
    <cellStyle name="Normal 8 2 3 2 2 2 2" xfId="2775"/>
    <cellStyle name="Normal 8 2 3 2 2 2 2 2" xfId="8054"/>
    <cellStyle name="Normal 8 2 3 2 2 2 2 3" xfId="12444"/>
    <cellStyle name="Normal 8 2 3 2 2 2 3" xfId="6820"/>
    <cellStyle name="Normal 8 2 3 2 2 2 4" xfId="12443"/>
    <cellStyle name="Normal 8 2 3 2 2 3" xfId="3381"/>
    <cellStyle name="Normal 8 2 3 2 2 3 2" xfId="8660"/>
    <cellStyle name="Normal 8 2 3 2 2 3 2 2" xfId="54182"/>
    <cellStyle name="Normal 8 2 3 2 2 3 3" xfId="12445"/>
    <cellStyle name="Normal 8 2 3 2 2 4" xfId="2162"/>
    <cellStyle name="Normal 8 2 3 2 2 4 2" xfId="7441"/>
    <cellStyle name="Normal 8 2 3 2 2 4 3" xfId="12446"/>
    <cellStyle name="Normal 8 2 3 2 2 5" xfId="6203"/>
    <cellStyle name="Normal 8 2 3 2 2 6" xfId="12442"/>
    <cellStyle name="Normal 8 2 3 2 3" xfId="1438"/>
    <cellStyle name="Normal 8 2 3 2 3 2" xfId="2672"/>
    <cellStyle name="Normal 8 2 3 2 3 2 2" xfId="7951"/>
    <cellStyle name="Normal 8 2 3 2 3 2 3" xfId="12448"/>
    <cellStyle name="Normal 8 2 3 2 3 3" xfId="6717"/>
    <cellStyle name="Normal 8 2 3 2 3 4" xfId="12447"/>
    <cellStyle name="Normal 8 2 3 2 4" xfId="3382"/>
    <cellStyle name="Normal 8 2 3 2 4 2" xfId="8661"/>
    <cellStyle name="Normal 8 2 3 2 4 2 2" xfId="54183"/>
    <cellStyle name="Normal 8 2 3 2 4 3" xfId="12449"/>
    <cellStyle name="Normal 8 2 3 2 5" xfId="2064"/>
    <cellStyle name="Normal 8 2 3 2 5 2" xfId="7343"/>
    <cellStyle name="Normal 8 2 3 2 5 3" xfId="12450"/>
    <cellStyle name="Normal 8 2 3 2 6" xfId="6100"/>
    <cellStyle name="Normal 8 2 3 2 7" xfId="12441"/>
    <cellStyle name="Normal 8 2 3 3" xfId="873"/>
    <cellStyle name="Normal 8 2 3 3 2" xfId="1492"/>
    <cellStyle name="Normal 8 2 3 3 2 2" xfId="2726"/>
    <cellStyle name="Normal 8 2 3 3 2 2 2" xfId="8005"/>
    <cellStyle name="Normal 8 2 3 3 2 2 3" xfId="12453"/>
    <cellStyle name="Normal 8 2 3 3 2 3" xfId="6771"/>
    <cellStyle name="Normal 8 2 3 3 2 4" xfId="12452"/>
    <cellStyle name="Normal 8 2 3 3 3" xfId="3383"/>
    <cellStyle name="Normal 8 2 3 3 3 2" xfId="8662"/>
    <cellStyle name="Normal 8 2 3 3 3 2 2" xfId="54184"/>
    <cellStyle name="Normal 8 2 3 3 3 3" xfId="12454"/>
    <cellStyle name="Normal 8 2 3 3 4" xfId="2113"/>
    <cellStyle name="Normal 8 2 3 3 4 2" xfId="7392"/>
    <cellStyle name="Normal 8 2 3 3 4 3" xfId="12455"/>
    <cellStyle name="Normal 8 2 3 3 5" xfId="6154"/>
    <cellStyle name="Normal 8 2 3 3 6" xfId="12451"/>
    <cellStyle name="Normal 8 2 3 4" xfId="1262"/>
    <cellStyle name="Normal 8 2 3 4 2" xfId="2496"/>
    <cellStyle name="Normal 8 2 3 4 2 2" xfId="7775"/>
    <cellStyle name="Normal 8 2 3 4 2 3" xfId="12457"/>
    <cellStyle name="Normal 8 2 3 4 3" xfId="6541"/>
    <cellStyle name="Normal 8 2 3 4 4" xfId="12456"/>
    <cellStyle name="Normal 8 2 3 5" xfId="3384"/>
    <cellStyle name="Normal 8 2 3 5 2" xfId="8663"/>
    <cellStyle name="Normal 8 2 3 5 2 2" xfId="54185"/>
    <cellStyle name="Normal 8 2 3 5 3" xfId="12458"/>
    <cellStyle name="Normal 8 2 3 6" xfId="1949"/>
    <cellStyle name="Normal 8 2 3 6 2" xfId="7228"/>
    <cellStyle name="Normal 8 2 3 6 3" xfId="12459"/>
    <cellStyle name="Normal 8 2 3 7" xfId="5924"/>
    <cellStyle name="Normal 8 2 3 8" xfId="12440"/>
    <cellStyle name="Normal 8 2 4" xfId="727"/>
    <cellStyle name="Normal 8 2 4 2" xfId="898"/>
    <cellStyle name="Normal 8 2 4 2 2" xfId="1517"/>
    <cellStyle name="Normal 8 2 4 2 2 2" xfId="2751"/>
    <cellStyle name="Normal 8 2 4 2 2 2 2" xfId="8030"/>
    <cellStyle name="Normal 8 2 4 2 2 2 3" xfId="12463"/>
    <cellStyle name="Normal 8 2 4 2 2 3" xfId="6796"/>
    <cellStyle name="Normal 8 2 4 2 2 4" xfId="12462"/>
    <cellStyle name="Normal 8 2 4 2 3" xfId="3385"/>
    <cellStyle name="Normal 8 2 4 2 3 2" xfId="8664"/>
    <cellStyle name="Normal 8 2 4 2 3 2 2" xfId="54186"/>
    <cellStyle name="Normal 8 2 4 2 3 3" xfId="12464"/>
    <cellStyle name="Normal 8 2 4 2 4" xfId="2138"/>
    <cellStyle name="Normal 8 2 4 2 4 2" xfId="7417"/>
    <cellStyle name="Normal 8 2 4 2 4 3" xfId="12465"/>
    <cellStyle name="Normal 8 2 4 2 5" xfId="6179"/>
    <cellStyle name="Normal 8 2 4 2 6" xfId="12461"/>
    <cellStyle name="Normal 8 2 4 3" xfId="1354"/>
    <cellStyle name="Normal 8 2 4 3 2" xfId="2588"/>
    <cellStyle name="Normal 8 2 4 3 2 2" xfId="7867"/>
    <cellStyle name="Normal 8 2 4 3 2 3" xfId="12467"/>
    <cellStyle name="Normal 8 2 4 3 3" xfId="6633"/>
    <cellStyle name="Normal 8 2 4 3 4" xfId="12466"/>
    <cellStyle name="Normal 8 2 4 4" xfId="3386"/>
    <cellStyle name="Normal 8 2 4 4 2" xfId="8665"/>
    <cellStyle name="Normal 8 2 4 4 2 2" xfId="54187"/>
    <cellStyle name="Normal 8 2 4 4 3" xfId="12468"/>
    <cellStyle name="Normal 8 2 4 5" xfId="2040"/>
    <cellStyle name="Normal 8 2 4 5 2" xfId="7319"/>
    <cellStyle name="Normal 8 2 4 5 3" xfId="12469"/>
    <cellStyle name="Normal 8 2 4 6" xfId="6016"/>
    <cellStyle name="Normal 8 2 4 7" xfId="12460"/>
    <cellStyle name="Normal 8 2 5" xfId="849"/>
    <cellStyle name="Normal 8 2 5 2" xfId="1468"/>
    <cellStyle name="Normal 8 2 5 2 2" xfId="2702"/>
    <cellStyle name="Normal 8 2 5 2 2 2" xfId="7981"/>
    <cellStyle name="Normal 8 2 5 2 2 3" xfId="12472"/>
    <cellStyle name="Normal 8 2 5 2 3" xfId="6747"/>
    <cellStyle name="Normal 8 2 5 2 4" xfId="12471"/>
    <cellStyle name="Normal 8 2 5 3" xfId="3387"/>
    <cellStyle name="Normal 8 2 5 3 2" xfId="8666"/>
    <cellStyle name="Normal 8 2 5 3 2 2" xfId="54188"/>
    <cellStyle name="Normal 8 2 5 3 3" xfId="12473"/>
    <cellStyle name="Normal 8 2 5 4" xfId="2089"/>
    <cellStyle name="Normal 8 2 5 4 2" xfId="7368"/>
    <cellStyle name="Normal 8 2 5 4 3" xfId="12474"/>
    <cellStyle name="Normal 8 2 5 5" xfId="6130"/>
    <cellStyle name="Normal 8 2 5 6" xfId="12470"/>
    <cellStyle name="Normal 8 2 6" xfId="1236"/>
    <cellStyle name="Normal 8 2 6 2" xfId="2470"/>
    <cellStyle name="Normal 8 2 6 2 2" xfId="7749"/>
    <cellStyle name="Normal 8 2 6 2 3" xfId="12476"/>
    <cellStyle name="Normal 8 2 6 3" xfId="6515"/>
    <cellStyle name="Normal 8 2 6 4" xfId="12475"/>
    <cellStyle name="Normal 8 2 7" xfId="3388"/>
    <cellStyle name="Normal 8 2 7 2" xfId="8667"/>
    <cellStyle name="Normal 8 2 7 2 2" xfId="54189"/>
    <cellStyle name="Normal 8 2 7 3" xfId="12477"/>
    <cellStyle name="Normal 8 2 8" xfId="1923"/>
    <cellStyle name="Normal 8 2 8 2" xfId="7202"/>
    <cellStyle name="Normal 8 2 8 3" xfId="12478"/>
    <cellStyle name="Normal 8 2 9" xfId="5855"/>
    <cellStyle name="Normal 8 3" xfId="569"/>
    <cellStyle name="Normal 8 3 2" xfId="52124"/>
    <cellStyle name="Normal 8 4" xfId="570"/>
    <cellStyle name="Normal 8 4 2" xfId="812"/>
    <cellStyle name="Normal 8 4 2 2" xfId="923"/>
    <cellStyle name="Normal 8 4 2 2 2" xfId="1542"/>
    <cellStyle name="Normal 8 4 2 2 2 2" xfId="2776"/>
    <cellStyle name="Normal 8 4 2 2 2 2 2" xfId="8055"/>
    <cellStyle name="Normal 8 4 2 2 2 2 3" xfId="12483"/>
    <cellStyle name="Normal 8 4 2 2 2 3" xfId="6821"/>
    <cellStyle name="Normal 8 4 2 2 2 4" xfId="12482"/>
    <cellStyle name="Normal 8 4 2 2 3" xfId="3389"/>
    <cellStyle name="Normal 8 4 2 2 3 2" xfId="8668"/>
    <cellStyle name="Normal 8 4 2 2 3 2 2" xfId="54190"/>
    <cellStyle name="Normal 8 4 2 2 3 3" xfId="12484"/>
    <cellStyle name="Normal 8 4 2 2 4" xfId="2163"/>
    <cellStyle name="Normal 8 4 2 2 4 2" xfId="7442"/>
    <cellStyle name="Normal 8 4 2 2 4 3" xfId="12485"/>
    <cellStyle name="Normal 8 4 2 2 5" xfId="6204"/>
    <cellStyle name="Normal 8 4 2 2 6" xfId="12481"/>
    <cellStyle name="Normal 8 4 2 3" xfId="1439"/>
    <cellStyle name="Normal 8 4 2 3 2" xfId="2673"/>
    <cellStyle name="Normal 8 4 2 3 2 2" xfId="7952"/>
    <cellStyle name="Normal 8 4 2 3 2 3" xfId="12487"/>
    <cellStyle name="Normal 8 4 2 3 3" xfId="6718"/>
    <cellStyle name="Normal 8 4 2 3 4" xfId="12486"/>
    <cellStyle name="Normal 8 4 2 4" xfId="3390"/>
    <cellStyle name="Normal 8 4 2 4 2" xfId="8669"/>
    <cellStyle name="Normal 8 4 2 4 2 2" xfId="54191"/>
    <cellStyle name="Normal 8 4 2 4 3" xfId="12488"/>
    <cellStyle name="Normal 8 4 2 5" xfId="2065"/>
    <cellStyle name="Normal 8 4 2 5 2" xfId="7344"/>
    <cellStyle name="Normal 8 4 2 5 3" xfId="12489"/>
    <cellStyle name="Normal 8 4 2 6" xfId="6101"/>
    <cellStyle name="Normal 8 4 2 7" xfId="12480"/>
    <cellStyle name="Normal 8 4 3" xfId="874"/>
    <cellStyle name="Normal 8 4 3 2" xfId="1493"/>
    <cellStyle name="Normal 8 4 3 2 2" xfId="2727"/>
    <cellStyle name="Normal 8 4 3 2 2 2" xfId="8006"/>
    <cellStyle name="Normal 8 4 3 2 2 3" xfId="12492"/>
    <cellStyle name="Normal 8 4 3 2 3" xfId="6772"/>
    <cellStyle name="Normal 8 4 3 2 4" xfId="12491"/>
    <cellStyle name="Normal 8 4 3 3" xfId="3391"/>
    <cellStyle name="Normal 8 4 3 3 2" xfId="8670"/>
    <cellStyle name="Normal 8 4 3 3 2 2" xfId="54192"/>
    <cellStyle name="Normal 8 4 3 3 3" xfId="12493"/>
    <cellStyle name="Normal 8 4 3 4" xfId="2114"/>
    <cellStyle name="Normal 8 4 3 4 2" xfId="7393"/>
    <cellStyle name="Normal 8 4 3 4 3" xfId="12494"/>
    <cellStyle name="Normal 8 4 3 5" xfId="6155"/>
    <cellStyle name="Normal 8 4 3 6" xfId="12490"/>
    <cellStyle name="Normal 8 4 4" xfId="1263"/>
    <cellStyle name="Normal 8 4 4 2" xfId="2497"/>
    <cellStyle name="Normal 8 4 4 2 2" xfId="7776"/>
    <cellStyle name="Normal 8 4 4 2 3" xfId="12496"/>
    <cellStyle name="Normal 8 4 4 3" xfId="6542"/>
    <cellStyle name="Normal 8 4 4 4" xfId="12495"/>
    <cellStyle name="Normal 8 4 5" xfId="3392"/>
    <cellStyle name="Normal 8 4 5 2" xfId="8671"/>
    <cellStyle name="Normal 8 4 5 2 2" xfId="54193"/>
    <cellStyle name="Normal 8 4 5 3" xfId="12497"/>
    <cellStyle name="Normal 8 4 6" xfId="1950"/>
    <cellStyle name="Normal 8 4 6 2" xfId="7229"/>
    <cellStyle name="Normal 8 4 6 3" xfId="12498"/>
    <cellStyle name="Normal 8 4 7" xfId="5925"/>
    <cellStyle name="Normal 8 4 8" xfId="12479"/>
    <cellStyle name="Normal 8 5" xfId="715"/>
    <cellStyle name="Normal 8 5 2" xfId="887"/>
    <cellStyle name="Normal 8 5 2 2" xfId="1506"/>
    <cellStyle name="Normal 8 5 2 2 2" xfId="2740"/>
    <cellStyle name="Normal 8 5 2 2 2 2" xfId="8019"/>
    <cellStyle name="Normal 8 5 2 2 2 3" xfId="12502"/>
    <cellStyle name="Normal 8 5 2 2 3" xfId="6785"/>
    <cellStyle name="Normal 8 5 2 2 4" xfId="12501"/>
    <cellStyle name="Normal 8 5 2 3" xfId="3393"/>
    <cellStyle name="Normal 8 5 2 3 2" xfId="8672"/>
    <cellStyle name="Normal 8 5 2 3 2 2" xfId="54194"/>
    <cellStyle name="Normal 8 5 2 3 3" xfId="12503"/>
    <cellStyle name="Normal 8 5 2 4" xfId="2127"/>
    <cellStyle name="Normal 8 5 2 4 2" xfId="7406"/>
    <cellStyle name="Normal 8 5 2 4 3" xfId="12504"/>
    <cellStyle name="Normal 8 5 2 5" xfId="6168"/>
    <cellStyle name="Normal 8 5 2 6" xfId="12500"/>
    <cellStyle name="Normal 8 5 3" xfId="1342"/>
    <cellStyle name="Normal 8 5 3 2" xfId="2576"/>
    <cellStyle name="Normal 8 5 3 2 2" xfId="7855"/>
    <cellStyle name="Normal 8 5 3 2 3" xfId="12506"/>
    <cellStyle name="Normal 8 5 3 3" xfId="6621"/>
    <cellStyle name="Normal 8 5 3 4" xfId="12505"/>
    <cellStyle name="Normal 8 5 4" xfId="3394"/>
    <cellStyle name="Normal 8 5 4 2" xfId="8673"/>
    <cellStyle name="Normal 8 5 4 2 2" xfId="54195"/>
    <cellStyle name="Normal 8 5 4 3" xfId="12507"/>
    <cellStyle name="Normal 8 5 5" xfId="2029"/>
    <cellStyle name="Normal 8 5 5 2" xfId="7308"/>
    <cellStyle name="Normal 8 5 5 3" xfId="12508"/>
    <cellStyle name="Normal 8 5 6" xfId="6004"/>
    <cellStyle name="Normal 8 5 7" xfId="12499"/>
    <cellStyle name="Normal 8 6" xfId="838"/>
    <cellStyle name="Normal 8 6 2" xfId="1457"/>
    <cellStyle name="Normal 8 6 2 2" xfId="2691"/>
    <cellStyle name="Normal 8 6 2 2 2" xfId="7970"/>
    <cellStyle name="Normal 8 6 2 2 3" xfId="12511"/>
    <cellStyle name="Normal 8 6 2 3" xfId="6736"/>
    <cellStyle name="Normal 8 6 2 4" xfId="12510"/>
    <cellStyle name="Normal 8 6 3" xfId="3395"/>
    <cellStyle name="Normal 8 6 3 2" xfId="8674"/>
    <cellStyle name="Normal 8 6 3 2 2" xfId="54196"/>
    <cellStyle name="Normal 8 6 3 3" xfId="12512"/>
    <cellStyle name="Normal 8 6 4" xfId="2078"/>
    <cellStyle name="Normal 8 6 4 2" xfId="7357"/>
    <cellStyle name="Normal 8 6 4 3" xfId="12513"/>
    <cellStyle name="Normal 8 6 5" xfId="6119"/>
    <cellStyle name="Normal 8 6 6" xfId="12509"/>
    <cellStyle name="Normal 8 7" xfId="1221"/>
    <cellStyle name="Normal 8 7 2" xfId="2455"/>
    <cellStyle name="Normal 8 7 2 2" xfId="7734"/>
    <cellStyle name="Normal 8 7 2 3" xfId="12515"/>
    <cellStyle name="Normal 8 7 3" xfId="6500"/>
    <cellStyle name="Normal 8 7 4" xfId="12514"/>
    <cellStyle name="Normal 8 8" xfId="3396"/>
    <cellStyle name="Normal 8 8 2" xfId="8675"/>
    <cellStyle name="Normal 8 8 2 2" xfId="54197"/>
    <cellStyle name="Normal 8 8 3" xfId="12516"/>
    <cellStyle name="Normal 8 9" xfId="1908"/>
    <cellStyle name="Normal 8 9 2" xfId="7187"/>
    <cellStyle name="Normal 8 9 3" xfId="12517"/>
    <cellStyle name="Normal 8_10-15-10-Stmt AU - Period I - Working 1 0" xfId="571"/>
    <cellStyle name="Normal 80" xfId="62575"/>
    <cellStyle name="Normal 9" xfId="38"/>
    <cellStyle name="Normal 9 10" xfId="5846"/>
    <cellStyle name="Normal 9 11" xfId="12518"/>
    <cellStyle name="Normal 9 2" xfId="51"/>
    <cellStyle name="Normal 9 2 10" xfId="5856"/>
    <cellStyle name="Normal 9 2 11" xfId="12519"/>
    <cellStyle name="Normal 9 2 11 2" xfId="52847"/>
    <cellStyle name="Normal 9 2 2" xfId="572"/>
    <cellStyle name="Normal 9 2 3" xfId="573"/>
    <cellStyle name="Normal 9 2 3 2" xfId="813"/>
    <cellStyle name="Normal 9 2 3 2 2" xfId="924"/>
    <cellStyle name="Normal 9 2 3 2 2 2" xfId="1543"/>
    <cellStyle name="Normal 9 2 3 2 2 2 2" xfId="2777"/>
    <cellStyle name="Normal 9 2 3 2 2 2 2 2" xfId="8056"/>
    <cellStyle name="Normal 9 2 3 2 2 2 2 3" xfId="12524"/>
    <cellStyle name="Normal 9 2 3 2 2 2 3" xfId="6822"/>
    <cellStyle name="Normal 9 2 3 2 2 2 4" xfId="12523"/>
    <cellStyle name="Normal 9 2 3 2 2 3" xfId="3397"/>
    <cellStyle name="Normal 9 2 3 2 2 3 2" xfId="8676"/>
    <cellStyle name="Normal 9 2 3 2 2 3 2 2" xfId="54198"/>
    <cellStyle name="Normal 9 2 3 2 2 3 3" xfId="12525"/>
    <cellStyle name="Normal 9 2 3 2 2 4" xfId="2164"/>
    <cellStyle name="Normal 9 2 3 2 2 4 2" xfId="7443"/>
    <cellStyle name="Normal 9 2 3 2 2 4 3" xfId="12526"/>
    <cellStyle name="Normal 9 2 3 2 2 5" xfId="6205"/>
    <cellStyle name="Normal 9 2 3 2 2 6" xfId="12522"/>
    <cellStyle name="Normal 9 2 3 2 3" xfId="1440"/>
    <cellStyle name="Normal 9 2 3 2 3 2" xfId="2674"/>
    <cellStyle name="Normal 9 2 3 2 3 2 2" xfId="7953"/>
    <cellStyle name="Normal 9 2 3 2 3 2 3" xfId="12528"/>
    <cellStyle name="Normal 9 2 3 2 3 3" xfId="6719"/>
    <cellStyle name="Normal 9 2 3 2 3 4" xfId="12527"/>
    <cellStyle name="Normal 9 2 3 2 4" xfId="3398"/>
    <cellStyle name="Normal 9 2 3 2 4 2" xfId="8677"/>
    <cellStyle name="Normal 9 2 3 2 4 2 2" xfId="54199"/>
    <cellStyle name="Normal 9 2 3 2 4 3" xfId="12529"/>
    <cellStyle name="Normal 9 2 3 2 5" xfId="2066"/>
    <cellStyle name="Normal 9 2 3 2 5 2" xfId="7345"/>
    <cellStyle name="Normal 9 2 3 2 5 3" xfId="12530"/>
    <cellStyle name="Normal 9 2 3 2 6" xfId="6102"/>
    <cellStyle name="Normal 9 2 3 2 7" xfId="12521"/>
    <cellStyle name="Normal 9 2 3 3" xfId="875"/>
    <cellStyle name="Normal 9 2 3 3 2" xfId="1494"/>
    <cellStyle name="Normal 9 2 3 3 2 2" xfId="2728"/>
    <cellStyle name="Normal 9 2 3 3 2 2 2" xfId="8007"/>
    <cellStyle name="Normal 9 2 3 3 2 2 3" xfId="12533"/>
    <cellStyle name="Normal 9 2 3 3 2 3" xfId="6773"/>
    <cellStyle name="Normal 9 2 3 3 2 4" xfId="12532"/>
    <cellStyle name="Normal 9 2 3 3 3" xfId="3399"/>
    <cellStyle name="Normal 9 2 3 3 3 2" xfId="8678"/>
    <cellStyle name="Normal 9 2 3 3 3 2 2" xfId="54200"/>
    <cellStyle name="Normal 9 2 3 3 3 3" xfId="12534"/>
    <cellStyle name="Normal 9 2 3 3 4" xfId="2115"/>
    <cellStyle name="Normal 9 2 3 3 4 2" xfId="7394"/>
    <cellStyle name="Normal 9 2 3 3 4 3" xfId="12535"/>
    <cellStyle name="Normal 9 2 3 3 5" xfId="6156"/>
    <cellStyle name="Normal 9 2 3 3 6" xfId="12531"/>
    <cellStyle name="Normal 9 2 3 4" xfId="1264"/>
    <cellStyle name="Normal 9 2 3 4 2" xfId="2498"/>
    <cellStyle name="Normal 9 2 3 4 2 2" xfId="7777"/>
    <cellStyle name="Normal 9 2 3 4 2 3" xfId="12537"/>
    <cellStyle name="Normal 9 2 3 4 3" xfId="6543"/>
    <cellStyle name="Normal 9 2 3 4 4" xfId="12536"/>
    <cellStyle name="Normal 9 2 3 5" xfId="3400"/>
    <cellStyle name="Normal 9 2 3 5 2" xfId="8679"/>
    <cellStyle name="Normal 9 2 3 5 2 2" xfId="54201"/>
    <cellStyle name="Normal 9 2 3 5 3" xfId="12538"/>
    <cellStyle name="Normal 9 2 3 6" xfId="1951"/>
    <cellStyle name="Normal 9 2 3 6 2" xfId="7230"/>
    <cellStyle name="Normal 9 2 3 6 3" xfId="12539"/>
    <cellStyle name="Normal 9 2 3 7" xfId="5926"/>
    <cellStyle name="Normal 9 2 3 8" xfId="12520"/>
    <cellStyle name="Normal 9 2 4" xfId="728"/>
    <cellStyle name="Normal 9 2 4 2" xfId="899"/>
    <cellStyle name="Normal 9 2 4 2 2" xfId="1518"/>
    <cellStyle name="Normal 9 2 4 2 2 2" xfId="2752"/>
    <cellStyle name="Normal 9 2 4 2 2 2 2" xfId="8031"/>
    <cellStyle name="Normal 9 2 4 2 2 2 3" xfId="12543"/>
    <cellStyle name="Normal 9 2 4 2 2 3" xfId="6797"/>
    <cellStyle name="Normal 9 2 4 2 2 4" xfId="12542"/>
    <cellStyle name="Normal 9 2 4 2 3" xfId="3401"/>
    <cellStyle name="Normal 9 2 4 2 3 2" xfId="8680"/>
    <cellStyle name="Normal 9 2 4 2 3 2 2" xfId="54202"/>
    <cellStyle name="Normal 9 2 4 2 3 3" xfId="12544"/>
    <cellStyle name="Normal 9 2 4 2 4" xfId="2139"/>
    <cellStyle name="Normal 9 2 4 2 4 2" xfId="7418"/>
    <cellStyle name="Normal 9 2 4 2 4 3" xfId="12545"/>
    <cellStyle name="Normal 9 2 4 2 5" xfId="6180"/>
    <cellStyle name="Normal 9 2 4 2 6" xfId="12541"/>
    <cellStyle name="Normal 9 2 4 3" xfId="1355"/>
    <cellStyle name="Normal 9 2 4 3 2" xfId="2589"/>
    <cellStyle name="Normal 9 2 4 3 2 2" xfId="7868"/>
    <cellStyle name="Normal 9 2 4 3 2 3" xfId="12547"/>
    <cellStyle name="Normal 9 2 4 3 3" xfId="6634"/>
    <cellStyle name="Normal 9 2 4 3 4" xfId="12546"/>
    <cellStyle name="Normal 9 2 4 4" xfId="3402"/>
    <cellStyle name="Normal 9 2 4 4 2" xfId="8681"/>
    <cellStyle name="Normal 9 2 4 4 2 2" xfId="54203"/>
    <cellStyle name="Normal 9 2 4 4 3" xfId="12548"/>
    <cellStyle name="Normal 9 2 4 5" xfId="2041"/>
    <cellStyle name="Normal 9 2 4 5 2" xfId="7320"/>
    <cellStyle name="Normal 9 2 4 5 3" xfId="12549"/>
    <cellStyle name="Normal 9 2 4 6" xfId="6017"/>
    <cellStyle name="Normal 9 2 4 7" xfId="12540"/>
    <cellStyle name="Normal 9 2 5" xfId="1217"/>
    <cellStyle name="Normal 9 2 5 2" xfId="1834"/>
    <cellStyle name="Normal 9 2 5 2 2" xfId="3068"/>
    <cellStyle name="Normal 9 2 5 2 2 2" xfId="8347"/>
    <cellStyle name="Normal 9 2 5 2 2 3" xfId="12552"/>
    <cellStyle name="Normal 9 2 5 2 3" xfId="7113"/>
    <cellStyle name="Normal 9 2 5 2 4" xfId="12551"/>
    <cellStyle name="Normal 9 2 5 3" xfId="3403"/>
    <cellStyle name="Normal 9 2 5 3 2" xfId="8682"/>
    <cellStyle name="Normal 9 2 5 3 2 2" xfId="54204"/>
    <cellStyle name="Normal 9 2 5 3 3" xfId="12553"/>
    <cellStyle name="Normal 9 2 5 4" xfId="2451"/>
    <cellStyle name="Normal 9 2 5 4 2" xfId="7730"/>
    <cellStyle name="Normal 9 2 5 4 3" xfId="12554"/>
    <cellStyle name="Normal 9 2 5 5" xfId="6496"/>
    <cellStyle name="Normal 9 2 5 6" xfId="12550"/>
    <cellStyle name="Normal 9 2 6" xfId="850"/>
    <cellStyle name="Normal 9 2 6 2" xfId="1469"/>
    <cellStyle name="Normal 9 2 6 2 2" xfId="2703"/>
    <cellStyle name="Normal 9 2 6 2 2 2" xfId="7982"/>
    <cellStyle name="Normal 9 2 6 2 2 3" xfId="12557"/>
    <cellStyle name="Normal 9 2 6 2 3" xfId="6748"/>
    <cellStyle name="Normal 9 2 6 2 4" xfId="12556"/>
    <cellStyle name="Normal 9 2 6 3" xfId="3404"/>
    <cellStyle name="Normal 9 2 6 3 2" xfId="8683"/>
    <cellStyle name="Normal 9 2 6 3 2 2" xfId="54205"/>
    <cellStyle name="Normal 9 2 6 3 3" xfId="12558"/>
    <cellStyle name="Normal 9 2 6 4" xfId="2090"/>
    <cellStyle name="Normal 9 2 6 4 2" xfId="7369"/>
    <cellStyle name="Normal 9 2 6 4 3" xfId="12559"/>
    <cellStyle name="Normal 9 2 6 5" xfId="6131"/>
    <cellStyle name="Normal 9 2 6 6" xfId="12555"/>
    <cellStyle name="Normal 9 2 7" xfId="1237"/>
    <cellStyle name="Normal 9 2 7 2" xfId="2471"/>
    <cellStyle name="Normal 9 2 7 2 2" xfId="7750"/>
    <cellStyle name="Normal 9 2 7 2 3" xfId="12561"/>
    <cellStyle name="Normal 9 2 7 3" xfId="6516"/>
    <cellStyle name="Normal 9 2 7 4" xfId="12560"/>
    <cellStyle name="Normal 9 2 8" xfId="3405"/>
    <cellStyle name="Normal 9 2 8 2" xfId="8684"/>
    <cellStyle name="Normal 9 2 8 2 2" xfId="54206"/>
    <cellStyle name="Normal 9 2 8 3" xfId="12562"/>
    <cellStyle name="Normal 9 2 9" xfId="1924"/>
    <cellStyle name="Normal 9 2 9 2" xfId="7203"/>
    <cellStyle name="Normal 9 2 9 3" xfId="12563"/>
    <cellStyle name="Normal 9 3" xfId="574"/>
    <cellStyle name="Normal 9 3 2" xfId="52125"/>
    <cellStyle name="Normal 9 4" xfId="575"/>
    <cellStyle name="Normal 9 4 2" xfId="814"/>
    <cellStyle name="Normal 9 4 2 2" xfId="925"/>
    <cellStyle name="Normal 9 4 2 2 2" xfId="1544"/>
    <cellStyle name="Normal 9 4 2 2 2 2" xfId="2778"/>
    <cellStyle name="Normal 9 4 2 2 2 2 2" xfId="8057"/>
    <cellStyle name="Normal 9 4 2 2 2 2 3" xfId="12568"/>
    <cellStyle name="Normal 9 4 2 2 2 3" xfId="6823"/>
    <cellStyle name="Normal 9 4 2 2 2 4" xfId="12567"/>
    <cellStyle name="Normal 9 4 2 2 3" xfId="3406"/>
    <cellStyle name="Normal 9 4 2 2 3 2" xfId="8685"/>
    <cellStyle name="Normal 9 4 2 2 3 2 2" xfId="54207"/>
    <cellStyle name="Normal 9 4 2 2 3 3" xfId="12569"/>
    <cellStyle name="Normal 9 4 2 2 4" xfId="2165"/>
    <cellStyle name="Normal 9 4 2 2 4 2" xfId="7444"/>
    <cellStyle name="Normal 9 4 2 2 4 3" xfId="12570"/>
    <cellStyle name="Normal 9 4 2 2 5" xfId="6206"/>
    <cellStyle name="Normal 9 4 2 2 6" xfId="12566"/>
    <cellStyle name="Normal 9 4 2 3" xfId="1441"/>
    <cellStyle name="Normal 9 4 2 3 2" xfId="2675"/>
    <cellStyle name="Normal 9 4 2 3 2 2" xfId="7954"/>
    <cellStyle name="Normal 9 4 2 3 2 3" xfId="12572"/>
    <cellStyle name="Normal 9 4 2 3 3" xfId="6720"/>
    <cellStyle name="Normal 9 4 2 3 4" xfId="12571"/>
    <cellStyle name="Normal 9 4 2 4" xfId="3407"/>
    <cellStyle name="Normal 9 4 2 4 2" xfId="8686"/>
    <cellStyle name="Normal 9 4 2 4 2 2" xfId="54208"/>
    <cellStyle name="Normal 9 4 2 4 3" xfId="12573"/>
    <cellStyle name="Normal 9 4 2 5" xfId="2067"/>
    <cellStyle name="Normal 9 4 2 5 2" xfId="7346"/>
    <cellStyle name="Normal 9 4 2 5 3" xfId="12574"/>
    <cellStyle name="Normal 9 4 2 6" xfId="6103"/>
    <cellStyle name="Normal 9 4 2 7" xfId="12565"/>
    <cellStyle name="Normal 9 4 3" xfId="876"/>
    <cellStyle name="Normal 9 4 3 2" xfId="1495"/>
    <cellStyle name="Normal 9 4 3 2 2" xfId="2729"/>
    <cellStyle name="Normal 9 4 3 2 2 2" xfId="8008"/>
    <cellStyle name="Normal 9 4 3 2 2 3" xfId="12577"/>
    <cellStyle name="Normal 9 4 3 2 3" xfId="6774"/>
    <cellStyle name="Normal 9 4 3 2 4" xfId="12576"/>
    <cellStyle name="Normal 9 4 3 3" xfId="3408"/>
    <cellStyle name="Normal 9 4 3 3 2" xfId="8687"/>
    <cellStyle name="Normal 9 4 3 3 2 2" xfId="54209"/>
    <cellStyle name="Normal 9 4 3 3 3" xfId="12578"/>
    <cellStyle name="Normal 9 4 3 4" xfId="2116"/>
    <cellStyle name="Normal 9 4 3 4 2" xfId="7395"/>
    <cellStyle name="Normal 9 4 3 4 3" xfId="12579"/>
    <cellStyle name="Normal 9 4 3 5" xfId="6157"/>
    <cellStyle name="Normal 9 4 3 6" xfId="12575"/>
    <cellStyle name="Normal 9 4 4" xfId="1265"/>
    <cellStyle name="Normal 9 4 4 2" xfId="2499"/>
    <cellStyle name="Normal 9 4 4 2 2" xfId="7778"/>
    <cellStyle name="Normal 9 4 4 2 3" xfId="12581"/>
    <cellStyle name="Normal 9 4 4 3" xfId="6544"/>
    <cellStyle name="Normal 9 4 4 4" xfId="12580"/>
    <cellStyle name="Normal 9 4 5" xfId="3409"/>
    <cellStyle name="Normal 9 4 5 2" xfId="8688"/>
    <cellStyle name="Normal 9 4 5 2 2" xfId="54210"/>
    <cellStyle name="Normal 9 4 5 3" xfId="12582"/>
    <cellStyle name="Normal 9 4 6" xfId="1952"/>
    <cellStyle name="Normal 9 4 6 2" xfId="7231"/>
    <cellStyle name="Normal 9 4 6 3" xfId="12583"/>
    <cellStyle name="Normal 9 4 7" xfId="5927"/>
    <cellStyle name="Normal 9 4 8" xfId="12564"/>
    <cellStyle name="Normal 9 5" xfId="720"/>
    <cellStyle name="Normal 9 5 2" xfId="891"/>
    <cellStyle name="Normal 9 5 2 2" xfId="1510"/>
    <cellStyle name="Normal 9 5 2 2 2" xfId="2744"/>
    <cellStyle name="Normal 9 5 2 2 2 2" xfId="8023"/>
    <cellStyle name="Normal 9 5 2 2 2 3" xfId="12587"/>
    <cellStyle name="Normal 9 5 2 2 3" xfId="6789"/>
    <cellStyle name="Normal 9 5 2 2 4" xfId="12586"/>
    <cellStyle name="Normal 9 5 2 3" xfId="3410"/>
    <cellStyle name="Normal 9 5 2 3 2" xfId="8689"/>
    <cellStyle name="Normal 9 5 2 3 2 2" xfId="54211"/>
    <cellStyle name="Normal 9 5 2 3 3" xfId="12588"/>
    <cellStyle name="Normal 9 5 2 4" xfId="2131"/>
    <cellStyle name="Normal 9 5 2 4 2" xfId="7410"/>
    <cellStyle name="Normal 9 5 2 4 3" xfId="12589"/>
    <cellStyle name="Normal 9 5 2 5" xfId="6172"/>
    <cellStyle name="Normal 9 5 2 6" xfId="12585"/>
    <cellStyle name="Normal 9 5 3" xfId="1347"/>
    <cellStyle name="Normal 9 5 3 2" xfId="2581"/>
    <cellStyle name="Normal 9 5 3 2 2" xfId="7860"/>
    <cellStyle name="Normal 9 5 3 2 3" xfId="12591"/>
    <cellStyle name="Normal 9 5 3 3" xfId="6626"/>
    <cellStyle name="Normal 9 5 3 4" xfId="12590"/>
    <cellStyle name="Normal 9 5 4" xfId="3411"/>
    <cellStyle name="Normal 9 5 4 2" xfId="8690"/>
    <cellStyle name="Normal 9 5 4 2 2" xfId="54212"/>
    <cellStyle name="Normal 9 5 4 3" xfId="12592"/>
    <cellStyle name="Normal 9 5 5" xfId="2033"/>
    <cellStyle name="Normal 9 5 5 2" xfId="7312"/>
    <cellStyle name="Normal 9 5 5 3" xfId="12593"/>
    <cellStyle name="Normal 9 5 6" xfId="6009"/>
    <cellStyle name="Normal 9 5 7" xfId="12584"/>
    <cellStyle name="Normal 9 6" xfId="842"/>
    <cellStyle name="Normal 9 6 2" xfId="1461"/>
    <cellStyle name="Normal 9 6 2 2" xfId="2695"/>
    <cellStyle name="Normal 9 6 2 2 2" xfId="7974"/>
    <cellStyle name="Normal 9 6 2 2 3" xfId="12596"/>
    <cellStyle name="Normal 9 6 2 3" xfId="6740"/>
    <cellStyle name="Normal 9 6 2 4" xfId="12595"/>
    <cellStyle name="Normal 9 6 3" xfId="3412"/>
    <cellStyle name="Normal 9 6 3 2" xfId="8691"/>
    <cellStyle name="Normal 9 6 3 2 2" xfId="54213"/>
    <cellStyle name="Normal 9 6 3 3" xfId="12597"/>
    <cellStyle name="Normal 9 6 4" xfId="2082"/>
    <cellStyle name="Normal 9 6 4 2" xfId="7361"/>
    <cellStyle name="Normal 9 6 4 3" xfId="12598"/>
    <cellStyle name="Normal 9 6 5" xfId="6123"/>
    <cellStyle name="Normal 9 6 6" xfId="12594"/>
    <cellStyle name="Normal 9 7" xfId="1229"/>
    <cellStyle name="Normal 9 7 2" xfId="2463"/>
    <cellStyle name="Normal 9 7 2 2" xfId="7742"/>
    <cellStyle name="Normal 9 7 2 3" xfId="12600"/>
    <cellStyle name="Normal 9 7 3" xfId="6508"/>
    <cellStyle name="Normal 9 7 4" xfId="12599"/>
    <cellStyle name="Normal 9 8" xfId="3413"/>
    <cellStyle name="Normal 9 8 2" xfId="8692"/>
    <cellStyle name="Normal 9 8 2 2" xfId="54214"/>
    <cellStyle name="Normal 9 8 3" xfId="12601"/>
    <cellStyle name="Normal 9 9" xfId="1916"/>
    <cellStyle name="Normal 9 9 2" xfId="7195"/>
    <cellStyle name="Normal 9 9 3" xfId="12602"/>
    <cellStyle name="Normal 9_10-15-10-Stmt AU - Period I - Working 1 0" xfId="576"/>
    <cellStyle name="Normal(0)" xfId="52126"/>
    <cellStyle name="Normal_2002 Sch M Adds and Deducts 8-14-03" xfId="10"/>
    <cellStyle name="Normal_AR workpaper --2002 Def Tax Exp by Account 8-14-02" xfId="11"/>
    <cellStyle name="Normal_FERC 283 by M Item" xfId="52849"/>
    <cellStyle name="Normal_FERC 283 by M Item 2" xfId="62582"/>
    <cellStyle name="Normal_TrAILCo attach 6 &amp; 7 and Appendix A" xfId="12"/>
    <cellStyle name="Normal_TrAILCo attach 6 &amp; 7 and Appendix A 2" xfId="11130"/>
    <cellStyle name="Note 10" xfId="577"/>
    <cellStyle name="Note 10 10" xfId="1266"/>
    <cellStyle name="Note 10 10 2" xfId="2500"/>
    <cellStyle name="Note 10 10 2 2" xfId="7779"/>
    <cellStyle name="Note 10 10 2 2 2" xfId="54215"/>
    <cellStyle name="Note 10 10 2 2 3" xfId="54216"/>
    <cellStyle name="Note 10 10 2 2 4" xfId="54217"/>
    <cellStyle name="Note 10 10 2 2 5" xfId="54218"/>
    <cellStyle name="Note 10 10 2 3" xfId="12604"/>
    <cellStyle name="Note 10 10 2 4" xfId="54219"/>
    <cellStyle name="Note 10 10 2 5" xfId="54220"/>
    <cellStyle name="Note 10 10 2 6" xfId="54221"/>
    <cellStyle name="Note 10 10 2 7" xfId="54222"/>
    <cellStyle name="Note 10 10 3" xfId="6545"/>
    <cellStyle name="Note 10 10 3 2" xfId="54223"/>
    <cellStyle name="Note 10 10 3 3" xfId="54224"/>
    <cellStyle name="Note 10 10 3 4" xfId="54225"/>
    <cellStyle name="Note 10 10 3 5" xfId="54226"/>
    <cellStyle name="Note 10 10 3 6" xfId="54227"/>
    <cellStyle name="Note 10 10 4" xfId="12603"/>
    <cellStyle name="Note 10 10 5" xfId="54228"/>
    <cellStyle name="Note 10 11" xfId="3414"/>
    <cellStyle name="Note 10 11 2" xfId="8693"/>
    <cellStyle name="Note 10 11 2 2" xfId="54229"/>
    <cellStyle name="Note 10 11 2 3" xfId="54230"/>
    <cellStyle name="Note 10 11 2 4" xfId="54231"/>
    <cellStyle name="Note 10 11 2 5" xfId="54232"/>
    <cellStyle name="Note 10 11 2 6" xfId="54233"/>
    <cellStyle name="Note 10 11 3" xfId="12605"/>
    <cellStyle name="Note 10 11 4" xfId="54234"/>
    <cellStyle name="Note 10 11 5" xfId="54235"/>
    <cellStyle name="Note 10 11 6" xfId="54236"/>
    <cellStyle name="Note 10 11 7" xfId="54237"/>
    <cellStyle name="Note 10 11 8" xfId="54238"/>
    <cellStyle name="Note 10 12" xfId="3415"/>
    <cellStyle name="Note 10 12 2" xfId="8694"/>
    <cellStyle name="Note 10 12 2 2" xfId="54239"/>
    <cellStyle name="Note 10 12 2 3" xfId="54240"/>
    <cellStyle name="Note 10 12 2 4" xfId="54241"/>
    <cellStyle name="Note 10 12 2 5" xfId="54242"/>
    <cellStyle name="Note 10 12 2 6" xfId="54243"/>
    <cellStyle name="Note 10 12 3" xfId="12606"/>
    <cellStyle name="Note 10 12 4" xfId="54244"/>
    <cellStyle name="Note 10 12 5" xfId="54245"/>
    <cellStyle name="Note 10 12 6" xfId="54246"/>
    <cellStyle name="Note 10 12 7" xfId="54247"/>
    <cellStyle name="Note 10 12 8" xfId="54248"/>
    <cellStyle name="Note 10 13" xfId="3416"/>
    <cellStyle name="Note 10 13 2" xfId="8695"/>
    <cellStyle name="Note 10 13 2 2" xfId="54249"/>
    <cellStyle name="Note 10 13 2 3" xfId="54250"/>
    <cellStyle name="Note 10 13 2 4" xfId="54251"/>
    <cellStyle name="Note 10 13 2 5" xfId="54252"/>
    <cellStyle name="Note 10 13 2 6" xfId="54253"/>
    <cellStyle name="Note 10 13 3" xfId="12607"/>
    <cellStyle name="Note 10 13 4" xfId="54254"/>
    <cellStyle name="Note 10 13 5" xfId="54255"/>
    <cellStyle name="Note 10 13 6" xfId="54256"/>
    <cellStyle name="Note 10 13 7" xfId="54257"/>
    <cellStyle name="Note 10 13 8" xfId="54258"/>
    <cellStyle name="Note 10 14" xfId="3417"/>
    <cellStyle name="Note 10 14 2" xfId="8696"/>
    <cellStyle name="Note 10 14 2 2" xfId="54259"/>
    <cellStyle name="Note 10 14 2 3" xfId="54260"/>
    <cellStyle name="Note 10 14 2 4" xfId="54261"/>
    <cellStyle name="Note 10 14 2 5" xfId="54262"/>
    <cellStyle name="Note 10 14 2 6" xfId="54263"/>
    <cellStyle name="Note 10 14 3" xfId="12608"/>
    <cellStyle name="Note 10 14 4" xfId="54264"/>
    <cellStyle name="Note 10 14 5" xfId="54265"/>
    <cellStyle name="Note 10 14 6" xfId="54266"/>
    <cellStyle name="Note 10 14 7" xfId="54267"/>
    <cellStyle name="Note 10 14 8" xfId="54268"/>
    <cellStyle name="Note 10 15" xfId="1953"/>
    <cellStyle name="Note 10 15 2" xfId="7232"/>
    <cellStyle name="Note 10 15 2 2" xfId="54269"/>
    <cellStyle name="Note 10 15 2 3" xfId="54270"/>
    <cellStyle name="Note 10 15 2 4" xfId="54271"/>
    <cellStyle name="Note 10 15 2 5" xfId="54272"/>
    <cellStyle name="Note 10 15 3" xfId="11216"/>
    <cellStyle name="Note 10 15 4" xfId="54273"/>
    <cellStyle name="Note 10 15 5" xfId="54274"/>
    <cellStyle name="Note 10 15 6" xfId="54275"/>
    <cellStyle name="Note 10 16" xfId="5928"/>
    <cellStyle name="Note 10 16 2" xfId="54276"/>
    <cellStyle name="Note 10 16 3" xfId="54277"/>
    <cellStyle name="Note 10 16 4" xfId="54278"/>
    <cellStyle name="Note 10 16 5" xfId="54279"/>
    <cellStyle name="Note 10 17" xfId="54280"/>
    <cellStyle name="Note 10 18" xfId="54281"/>
    <cellStyle name="Note 10 2" xfId="578"/>
    <cellStyle name="Note 10 2 10" xfId="3418"/>
    <cellStyle name="Note 10 2 10 2" xfId="8697"/>
    <cellStyle name="Note 10 2 10 2 2" xfId="54282"/>
    <cellStyle name="Note 10 2 10 2 3" xfId="54283"/>
    <cellStyle name="Note 10 2 10 2 4" xfId="54284"/>
    <cellStyle name="Note 10 2 10 2 5" xfId="54285"/>
    <cellStyle name="Note 10 2 10 2 6" xfId="54286"/>
    <cellStyle name="Note 10 2 10 3" xfId="12609"/>
    <cellStyle name="Note 10 2 10 4" xfId="54287"/>
    <cellStyle name="Note 10 2 10 5" xfId="54288"/>
    <cellStyle name="Note 10 2 10 6" xfId="54289"/>
    <cellStyle name="Note 10 2 10 7" xfId="54290"/>
    <cellStyle name="Note 10 2 10 8" xfId="54291"/>
    <cellStyle name="Note 10 2 11" xfId="3419"/>
    <cellStyle name="Note 10 2 11 2" xfId="8698"/>
    <cellStyle name="Note 10 2 11 2 2" xfId="54292"/>
    <cellStyle name="Note 10 2 11 2 3" xfId="54293"/>
    <cellStyle name="Note 10 2 11 2 4" xfId="54294"/>
    <cellStyle name="Note 10 2 11 2 5" xfId="54295"/>
    <cellStyle name="Note 10 2 11 2 6" xfId="54296"/>
    <cellStyle name="Note 10 2 11 3" xfId="12610"/>
    <cellStyle name="Note 10 2 11 4" xfId="54297"/>
    <cellStyle name="Note 10 2 11 5" xfId="54298"/>
    <cellStyle name="Note 10 2 11 6" xfId="54299"/>
    <cellStyle name="Note 10 2 11 7" xfId="54300"/>
    <cellStyle name="Note 10 2 11 8" xfId="54301"/>
    <cellStyle name="Note 10 2 12" xfId="3420"/>
    <cellStyle name="Note 10 2 12 2" xfId="8699"/>
    <cellStyle name="Note 10 2 12 2 2" xfId="54302"/>
    <cellStyle name="Note 10 2 12 2 3" xfId="54303"/>
    <cellStyle name="Note 10 2 12 2 4" xfId="54304"/>
    <cellStyle name="Note 10 2 12 2 5" xfId="54305"/>
    <cellStyle name="Note 10 2 12 2 6" xfId="54306"/>
    <cellStyle name="Note 10 2 12 3" xfId="12611"/>
    <cellStyle name="Note 10 2 12 4" xfId="54307"/>
    <cellStyle name="Note 10 2 12 5" xfId="54308"/>
    <cellStyle name="Note 10 2 12 6" xfId="54309"/>
    <cellStyle name="Note 10 2 12 7" xfId="54310"/>
    <cellStyle name="Note 10 2 12 8" xfId="54311"/>
    <cellStyle name="Note 10 2 13" xfId="1954"/>
    <cellStyle name="Note 10 2 13 2" xfId="7233"/>
    <cellStyle name="Note 10 2 13 2 2" xfId="54312"/>
    <cellStyle name="Note 10 2 13 2 3" xfId="54313"/>
    <cellStyle name="Note 10 2 13 2 4" xfId="54314"/>
    <cellStyle name="Note 10 2 13 2 5" xfId="54315"/>
    <cellStyle name="Note 10 2 13 3" xfId="11217"/>
    <cellStyle name="Note 10 2 13 4" xfId="54316"/>
    <cellStyle name="Note 10 2 13 5" xfId="54317"/>
    <cellStyle name="Note 10 2 13 6" xfId="54318"/>
    <cellStyle name="Note 10 2 14" xfId="5929"/>
    <cellStyle name="Note 10 2 14 2" xfId="54319"/>
    <cellStyle name="Note 10 2 14 3" xfId="54320"/>
    <cellStyle name="Note 10 2 14 4" xfId="54321"/>
    <cellStyle name="Note 10 2 14 5" xfId="54322"/>
    <cellStyle name="Note 10 2 15" xfId="54323"/>
    <cellStyle name="Note 10 2 16" xfId="54324"/>
    <cellStyle name="Note 10 2 2" xfId="579"/>
    <cellStyle name="Note 10 2 2 10" xfId="3421"/>
    <cellStyle name="Note 10 2 2 10 2" xfId="8700"/>
    <cellStyle name="Note 10 2 2 10 2 2" xfId="54325"/>
    <cellStyle name="Note 10 2 2 10 2 3" xfId="54326"/>
    <cellStyle name="Note 10 2 2 10 2 4" xfId="54327"/>
    <cellStyle name="Note 10 2 2 10 2 5" xfId="54328"/>
    <cellStyle name="Note 10 2 2 10 2 6" xfId="54329"/>
    <cellStyle name="Note 10 2 2 10 3" xfId="12612"/>
    <cellStyle name="Note 10 2 2 10 4" xfId="54330"/>
    <cellStyle name="Note 10 2 2 10 5" xfId="54331"/>
    <cellStyle name="Note 10 2 2 10 6" xfId="54332"/>
    <cellStyle name="Note 10 2 2 10 7" xfId="54333"/>
    <cellStyle name="Note 10 2 2 10 8" xfId="54334"/>
    <cellStyle name="Note 10 2 2 11" xfId="3422"/>
    <cellStyle name="Note 10 2 2 11 2" xfId="8701"/>
    <cellStyle name="Note 10 2 2 11 2 2" xfId="54335"/>
    <cellStyle name="Note 10 2 2 11 2 3" xfId="54336"/>
    <cellStyle name="Note 10 2 2 11 2 4" xfId="54337"/>
    <cellStyle name="Note 10 2 2 11 2 5" xfId="54338"/>
    <cellStyle name="Note 10 2 2 11 2 6" xfId="54339"/>
    <cellStyle name="Note 10 2 2 11 3" xfId="12613"/>
    <cellStyle name="Note 10 2 2 11 4" xfId="54340"/>
    <cellStyle name="Note 10 2 2 11 5" xfId="54341"/>
    <cellStyle name="Note 10 2 2 11 6" xfId="54342"/>
    <cellStyle name="Note 10 2 2 11 7" xfId="54343"/>
    <cellStyle name="Note 10 2 2 11 8" xfId="54344"/>
    <cellStyle name="Note 10 2 2 12" xfId="1955"/>
    <cellStyle name="Note 10 2 2 12 2" xfId="7234"/>
    <cellStyle name="Note 10 2 2 12 2 2" xfId="54345"/>
    <cellStyle name="Note 10 2 2 12 2 3" xfId="54346"/>
    <cellStyle name="Note 10 2 2 12 2 4" xfId="54347"/>
    <cellStyle name="Note 10 2 2 12 2 5" xfId="54348"/>
    <cellStyle name="Note 10 2 2 12 3" xfId="11218"/>
    <cellStyle name="Note 10 2 2 12 4" xfId="54349"/>
    <cellStyle name="Note 10 2 2 12 5" xfId="54350"/>
    <cellStyle name="Note 10 2 2 12 6" xfId="54351"/>
    <cellStyle name="Note 10 2 2 13" xfId="5930"/>
    <cellStyle name="Note 10 2 2 13 2" xfId="54352"/>
    <cellStyle name="Note 10 2 2 13 3" xfId="54353"/>
    <cellStyle name="Note 10 2 2 13 4" xfId="54354"/>
    <cellStyle name="Note 10 2 2 13 5" xfId="54355"/>
    <cellStyle name="Note 10 2 2 14" xfId="54356"/>
    <cellStyle name="Note 10 2 2 15" xfId="54357"/>
    <cellStyle name="Note 10 2 2 2" xfId="791"/>
    <cellStyle name="Note 10 2 2 2 10" xfId="54358"/>
    <cellStyle name="Note 10 2 2 2 11" xfId="54359"/>
    <cellStyle name="Note 10 2 2 2 2" xfId="1418"/>
    <cellStyle name="Note 10 2 2 2 2 2" xfId="2652"/>
    <cellStyle name="Note 10 2 2 2 2 2 2" xfId="7931"/>
    <cellStyle name="Note 10 2 2 2 2 2 2 2" xfId="54360"/>
    <cellStyle name="Note 10 2 2 2 2 2 2 3" xfId="54361"/>
    <cellStyle name="Note 10 2 2 2 2 2 2 4" xfId="54362"/>
    <cellStyle name="Note 10 2 2 2 2 2 2 5" xfId="54363"/>
    <cellStyle name="Note 10 2 2 2 2 2 3" xfId="12616"/>
    <cellStyle name="Note 10 2 2 2 2 2 4" xfId="54364"/>
    <cellStyle name="Note 10 2 2 2 2 2 5" xfId="54365"/>
    <cellStyle name="Note 10 2 2 2 2 2 6" xfId="54366"/>
    <cellStyle name="Note 10 2 2 2 2 2 7" xfId="54367"/>
    <cellStyle name="Note 10 2 2 2 2 3" xfId="6697"/>
    <cellStyle name="Note 10 2 2 2 2 3 2" xfId="54368"/>
    <cellStyle name="Note 10 2 2 2 2 3 3" xfId="54369"/>
    <cellStyle name="Note 10 2 2 2 2 3 4" xfId="54370"/>
    <cellStyle name="Note 10 2 2 2 2 3 5" xfId="54371"/>
    <cellStyle name="Note 10 2 2 2 2 3 6" xfId="54372"/>
    <cellStyle name="Note 10 2 2 2 2 4" xfId="12615"/>
    <cellStyle name="Note 10 2 2 2 2 5" xfId="54373"/>
    <cellStyle name="Note 10 2 2 2 3" xfId="1895"/>
    <cellStyle name="Note 10 2 2 2 3 2" xfId="3129"/>
    <cellStyle name="Note 10 2 2 2 3 2 2" xfId="8408"/>
    <cellStyle name="Note 10 2 2 2 3 2 2 2" xfId="54374"/>
    <cellStyle name="Note 10 2 2 2 3 2 2 3" xfId="54375"/>
    <cellStyle name="Note 10 2 2 2 3 2 2 4" xfId="54376"/>
    <cellStyle name="Note 10 2 2 2 3 2 2 5" xfId="54377"/>
    <cellStyle name="Note 10 2 2 2 3 2 3" xfId="12618"/>
    <cellStyle name="Note 10 2 2 2 3 2 4" xfId="54378"/>
    <cellStyle name="Note 10 2 2 2 3 2 5" xfId="54379"/>
    <cellStyle name="Note 10 2 2 2 3 2 6" xfId="54380"/>
    <cellStyle name="Note 10 2 2 2 3 2 7" xfId="54381"/>
    <cellStyle name="Note 10 2 2 2 3 3" xfId="7174"/>
    <cellStyle name="Note 10 2 2 2 3 3 2" xfId="54382"/>
    <cellStyle name="Note 10 2 2 2 3 3 3" xfId="54383"/>
    <cellStyle name="Note 10 2 2 2 3 3 4" xfId="54384"/>
    <cellStyle name="Note 10 2 2 2 3 3 5" xfId="54385"/>
    <cellStyle name="Note 10 2 2 2 3 3 6" xfId="54386"/>
    <cellStyle name="Note 10 2 2 2 3 4" xfId="12617"/>
    <cellStyle name="Note 10 2 2 2 3 5" xfId="54387"/>
    <cellStyle name="Note 10 2 2 2 4" xfId="3423"/>
    <cellStyle name="Note 10 2 2 2 4 2" xfId="8702"/>
    <cellStyle name="Note 10 2 2 2 4 2 2" xfId="54388"/>
    <cellStyle name="Note 10 2 2 2 4 2 3" xfId="54389"/>
    <cellStyle name="Note 10 2 2 2 4 2 4" xfId="54390"/>
    <cellStyle name="Note 10 2 2 2 4 2 5" xfId="54391"/>
    <cellStyle name="Note 10 2 2 2 4 2 6" xfId="54392"/>
    <cellStyle name="Note 10 2 2 2 4 3" xfId="12619"/>
    <cellStyle name="Note 10 2 2 2 4 4" xfId="54393"/>
    <cellStyle name="Note 10 2 2 2 4 5" xfId="54394"/>
    <cellStyle name="Note 10 2 2 2 4 6" xfId="54395"/>
    <cellStyle name="Note 10 2 2 2 4 7" xfId="54396"/>
    <cellStyle name="Note 10 2 2 2 4 8" xfId="54397"/>
    <cellStyle name="Note 10 2 2 2 5" xfId="3424"/>
    <cellStyle name="Note 10 2 2 2 5 2" xfId="8703"/>
    <cellStyle name="Note 10 2 2 2 5 2 2" xfId="54398"/>
    <cellStyle name="Note 10 2 2 2 5 2 3" xfId="54399"/>
    <cellStyle name="Note 10 2 2 2 5 2 4" xfId="54400"/>
    <cellStyle name="Note 10 2 2 2 5 2 5" xfId="54401"/>
    <cellStyle name="Note 10 2 2 2 5 2 6" xfId="54402"/>
    <cellStyle name="Note 10 2 2 2 5 3" xfId="12620"/>
    <cellStyle name="Note 10 2 2 2 5 4" xfId="54403"/>
    <cellStyle name="Note 10 2 2 2 5 5" xfId="54404"/>
    <cellStyle name="Note 10 2 2 2 5 6" xfId="54405"/>
    <cellStyle name="Note 10 2 2 2 5 7" xfId="54406"/>
    <cellStyle name="Note 10 2 2 2 5 8" xfId="54407"/>
    <cellStyle name="Note 10 2 2 2 6" xfId="3425"/>
    <cellStyle name="Note 10 2 2 2 6 2" xfId="8704"/>
    <cellStyle name="Note 10 2 2 2 6 2 2" xfId="54408"/>
    <cellStyle name="Note 10 2 2 2 6 2 3" xfId="54409"/>
    <cellStyle name="Note 10 2 2 2 6 2 4" xfId="54410"/>
    <cellStyle name="Note 10 2 2 2 6 2 5" xfId="54411"/>
    <cellStyle name="Note 10 2 2 2 6 2 6" xfId="54412"/>
    <cellStyle name="Note 10 2 2 2 6 3" xfId="12621"/>
    <cellStyle name="Note 10 2 2 2 6 4" xfId="54413"/>
    <cellStyle name="Note 10 2 2 2 6 5" xfId="54414"/>
    <cellStyle name="Note 10 2 2 2 6 6" xfId="54415"/>
    <cellStyle name="Note 10 2 2 2 6 7" xfId="54416"/>
    <cellStyle name="Note 10 2 2 2 6 8" xfId="54417"/>
    <cellStyle name="Note 10 2 2 2 7" xfId="3426"/>
    <cellStyle name="Note 10 2 2 2 7 2" xfId="8705"/>
    <cellStyle name="Note 10 2 2 2 7 2 2" xfId="54418"/>
    <cellStyle name="Note 10 2 2 2 7 2 3" xfId="54419"/>
    <cellStyle name="Note 10 2 2 2 7 2 4" xfId="54420"/>
    <cellStyle name="Note 10 2 2 2 7 2 5" xfId="54421"/>
    <cellStyle name="Note 10 2 2 2 7 2 6" xfId="54422"/>
    <cellStyle name="Note 10 2 2 2 7 3" xfId="12622"/>
    <cellStyle name="Note 10 2 2 2 7 4" xfId="54423"/>
    <cellStyle name="Note 10 2 2 2 7 5" xfId="54424"/>
    <cellStyle name="Note 10 2 2 2 7 6" xfId="54425"/>
    <cellStyle name="Note 10 2 2 2 7 7" xfId="54426"/>
    <cellStyle name="Note 10 2 2 2 7 8" xfId="54427"/>
    <cellStyle name="Note 10 2 2 2 8" xfId="6080"/>
    <cellStyle name="Note 10 2 2 2 8 2" xfId="54428"/>
    <cellStyle name="Note 10 2 2 2 8 3" xfId="54429"/>
    <cellStyle name="Note 10 2 2 2 8 4" xfId="54430"/>
    <cellStyle name="Note 10 2 2 2 8 5" xfId="54431"/>
    <cellStyle name="Note 10 2 2 2 8 6" xfId="54432"/>
    <cellStyle name="Note 10 2 2 2 9" xfId="12614"/>
    <cellStyle name="Note 10 2 2 2 9 2" xfId="54433"/>
    <cellStyle name="Note 10 2 2 3" xfId="950"/>
    <cellStyle name="Note 10 2 2 3 10" xfId="2187"/>
    <cellStyle name="Note 10 2 2 3 10 2" xfId="7466"/>
    <cellStyle name="Note 10 2 2 3 10 2 2" xfId="54434"/>
    <cellStyle name="Note 10 2 2 3 10 2 3" xfId="54435"/>
    <cellStyle name="Note 10 2 2 3 10 2 4" xfId="54436"/>
    <cellStyle name="Note 10 2 2 3 10 2 5" xfId="54437"/>
    <cellStyle name="Note 10 2 2 3 10 3" xfId="11219"/>
    <cellStyle name="Note 10 2 2 3 10 4" xfId="54438"/>
    <cellStyle name="Note 10 2 2 3 10 5" xfId="54439"/>
    <cellStyle name="Note 10 2 2 3 10 6" xfId="54440"/>
    <cellStyle name="Note 10 2 2 3 10 7" xfId="54441"/>
    <cellStyle name="Note 10 2 2 3 11" xfId="6229"/>
    <cellStyle name="Note 10 2 2 3 11 2" xfId="54442"/>
    <cellStyle name="Note 10 2 2 3 11 3" xfId="54443"/>
    <cellStyle name="Note 10 2 2 3 11 4" xfId="54444"/>
    <cellStyle name="Note 10 2 2 3 11 5" xfId="54445"/>
    <cellStyle name="Note 10 2 2 3 12" xfId="54446"/>
    <cellStyle name="Note 10 2 2 3 13" xfId="54447"/>
    <cellStyle name="Note 10 2 2 3 2" xfId="1567"/>
    <cellStyle name="Note 10 2 2 3 2 2" xfId="2801"/>
    <cellStyle name="Note 10 2 2 3 2 2 2" xfId="8080"/>
    <cellStyle name="Note 10 2 2 3 2 2 2 2" xfId="54448"/>
    <cellStyle name="Note 10 2 2 3 2 2 2 3" xfId="54449"/>
    <cellStyle name="Note 10 2 2 3 2 2 2 4" xfId="54450"/>
    <cellStyle name="Note 10 2 2 3 2 2 2 5" xfId="54451"/>
    <cellStyle name="Note 10 2 2 3 2 2 3" xfId="12624"/>
    <cellStyle name="Note 10 2 2 3 2 2 4" xfId="54452"/>
    <cellStyle name="Note 10 2 2 3 2 2 5" xfId="54453"/>
    <cellStyle name="Note 10 2 2 3 2 2 6" xfId="54454"/>
    <cellStyle name="Note 10 2 2 3 2 2 7" xfId="54455"/>
    <cellStyle name="Note 10 2 2 3 2 3" xfId="6846"/>
    <cellStyle name="Note 10 2 2 3 2 3 2" xfId="54456"/>
    <cellStyle name="Note 10 2 2 3 2 3 3" xfId="54457"/>
    <cellStyle name="Note 10 2 2 3 2 3 4" xfId="54458"/>
    <cellStyle name="Note 10 2 2 3 2 3 5" xfId="54459"/>
    <cellStyle name="Note 10 2 2 3 2 3 6" xfId="54460"/>
    <cellStyle name="Note 10 2 2 3 2 4" xfId="12623"/>
    <cellStyle name="Note 10 2 2 3 2 5" xfId="54461"/>
    <cellStyle name="Note 10 2 2 3 3" xfId="3427"/>
    <cellStyle name="Note 10 2 2 3 3 2" xfId="8706"/>
    <cellStyle name="Note 10 2 2 3 3 2 2" xfId="54462"/>
    <cellStyle name="Note 10 2 2 3 3 2 3" xfId="54463"/>
    <cellStyle name="Note 10 2 2 3 3 2 4" xfId="54464"/>
    <cellStyle name="Note 10 2 2 3 3 2 5" xfId="54465"/>
    <cellStyle name="Note 10 2 2 3 3 2 6" xfId="54466"/>
    <cellStyle name="Note 10 2 2 3 3 3" xfId="12625"/>
    <cellStyle name="Note 10 2 2 3 3 4" xfId="54467"/>
    <cellStyle name="Note 10 2 2 3 3 5" xfId="54468"/>
    <cellStyle name="Note 10 2 2 3 3 6" xfId="54469"/>
    <cellStyle name="Note 10 2 2 3 3 7" xfId="54470"/>
    <cellStyle name="Note 10 2 2 3 3 8" xfId="54471"/>
    <cellStyle name="Note 10 2 2 3 4" xfId="3428"/>
    <cellStyle name="Note 10 2 2 3 4 2" xfId="8707"/>
    <cellStyle name="Note 10 2 2 3 4 2 2" xfId="54472"/>
    <cellStyle name="Note 10 2 2 3 4 2 3" xfId="54473"/>
    <cellStyle name="Note 10 2 2 3 4 2 4" xfId="54474"/>
    <cellStyle name="Note 10 2 2 3 4 2 5" xfId="54475"/>
    <cellStyle name="Note 10 2 2 3 4 2 6" xfId="54476"/>
    <cellStyle name="Note 10 2 2 3 4 3" xfId="12626"/>
    <cellStyle name="Note 10 2 2 3 4 4" xfId="54477"/>
    <cellStyle name="Note 10 2 2 3 4 5" xfId="54478"/>
    <cellStyle name="Note 10 2 2 3 4 6" xfId="54479"/>
    <cellStyle name="Note 10 2 2 3 4 7" xfId="54480"/>
    <cellStyle name="Note 10 2 2 3 4 8" xfId="54481"/>
    <cellStyle name="Note 10 2 2 3 5" xfId="3429"/>
    <cellStyle name="Note 10 2 2 3 5 2" xfId="8708"/>
    <cellStyle name="Note 10 2 2 3 5 2 2" xfId="54482"/>
    <cellStyle name="Note 10 2 2 3 5 2 3" xfId="54483"/>
    <cellStyle name="Note 10 2 2 3 5 2 4" xfId="54484"/>
    <cellStyle name="Note 10 2 2 3 5 2 5" xfId="54485"/>
    <cellStyle name="Note 10 2 2 3 5 2 6" xfId="54486"/>
    <cellStyle name="Note 10 2 2 3 5 3" xfId="12627"/>
    <cellStyle name="Note 10 2 2 3 5 4" xfId="54487"/>
    <cellStyle name="Note 10 2 2 3 5 5" xfId="54488"/>
    <cellStyle name="Note 10 2 2 3 5 6" xfId="54489"/>
    <cellStyle name="Note 10 2 2 3 5 7" xfId="54490"/>
    <cellStyle name="Note 10 2 2 3 5 8" xfId="54491"/>
    <cellStyle name="Note 10 2 2 3 6" xfId="3430"/>
    <cellStyle name="Note 10 2 2 3 6 2" xfId="8709"/>
    <cellStyle name="Note 10 2 2 3 6 2 2" xfId="54492"/>
    <cellStyle name="Note 10 2 2 3 6 2 3" xfId="54493"/>
    <cellStyle name="Note 10 2 2 3 6 2 4" xfId="54494"/>
    <cellStyle name="Note 10 2 2 3 6 2 5" xfId="54495"/>
    <cellStyle name="Note 10 2 2 3 6 2 6" xfId="54496"/>
    <cellStyle name="Note 10 2 2 3 6 3" xfId="12628"/>
    <cellStyle name="Note 10 2 2 3 6 4" xfId="54497"/>
    <cellStyle name="Note 10 2 2 3 6 5" xfId="54498"/>
    <cellStyle name="Note 10 2 2 3 6 6" xfId="54499"/>
    <cellStyle name="Note 10 2 2 3 6 7" xfId="54500"/>
    <cellStyle name="Note 10 2 2 3 6 8" xfId="54501"/>
    <cellStyle name="Note 10 2 2 3 7" xfId="3431"/>
    <cellStyle name="Note 10 2 2 3 7 2" xfId="8710"/>
    <cellStyle name="Note 10 2 2 3 7 2 2" xfId="54502"/>
    <cellStyle name="Note 10 2 2 3 7 2 3" xfId="54503"/>
    <cellStyle name="Note 10 2 2 3 7 2 4" xfId="54504"/>
    <cellStyle name="Note 10 2 2 3 7 2 5" xfId="54505"/>
    <cellStyle name="Note 10 2 2 3 7 2 6" xfId="54506"/>
    <cellStyle name="Note 10 2 2 3 7 3" xfId="12629"/>
    <cellStyle name="Note 10 2 2 3 7 4" xfId="54507"/>
    <cellStyle name="Note 10 2 2 3 7 5" xfId="54508"/>
    <cellStyle name="Note 10 2 2 3 7 6" xfId="54509"/>
    <cellStyle name="Note 10 2 2 3 7 7" xfId="54510"/>
    <cellStyle name="Note 10 2 2 3 7 8" xfId="54511"/>
    <cellStyle name="Note 10 2 2 3 8" xfId="3432"/>
    <cellStyle name="Note 10 2 2 3 8 2" xfId="8711"/>
    <cellStyle name="Note 10 2 2 3 8 2 2" xfId="54512"/>
    <cellStyle name="Note 10 2 2 3 8 2 3" xfId="54513"/>
    <cellStyle name="Note 10 2 2 3 8 2 4" xfId="54514"/>
    <cellStyle name="Note 10 2 2 3 8 2 5" xfId="54515"/>
    <cellStyle name="Note 10 2 2 3 8 2 6" xfId="54516"/>
    <cellStyle name="Note 10 2 2 3 8 3" xfId="12630"/>
    <cellStyle name="Note 10 2 2 3 8 4" xfId="54517"/>
    <cellStyle name="Note 10 2 2 3 8 5" xfId="54518"/>
    <cellStyle name="Note 10 2 2 3 8 6" xfId="54519"/>
    <cellStyle name="Note 10 2 2 3 8 7" xfId="54520"/>
    <cellStyle name="Note 10 2 2 3 8 8" xfId="54521"/>
    <cellStyle name="Note 10 2 2 3 9" xfId="3433"/>
    <cellStyle name="Note 10 2 2 3 9 2" xfId="8712"/>
    <cellStyle name="Note 10 2 2 3 9 2 2" xfId="54522"/>
    <cellStyle name="Note 10 2 2 3 9 2 3" xfId="54523"/>
    <cellStyle name="Note 10 2 2 3 9 2 4" xfId="54524"/>
    <cellStyle name="Note 10 2 2 3 9 2 5" xfId="54525"/>
    <cellStyle name="Note 10 2 2 3 9 2 6" xfId="54526"/>
    <cellStyle name="Note 10 2 2 3 9 3" xfId="12631"/>
    <cellStyle name="Note 10 2 2 3 9 4" xfId="54527"/>
    <cellStyle name="Note 10 2 2 3 9 5" xfId="54528"/>
    <cellStyle name="Note 10 2 2 3 9 6" xfId="54529"/>
    <cellStyle name="Note 10 2 2 3 9 7" xfId="54530"/>
    <cellStyle name="Note 10 2 2 3 9 8" xfId="54531"/>
    <cellStyle name="Note 10 2 2 4" xfId="951"/>
    <cellStyle name="Note 10 2 2 4 10" xfId="2188"/>
    <cellStyle name="Note 10 2 2 4 10 2" xfId="7467"/>
    <cellStyle name="Note 10 2 2 4 10 2 2" xfId="54532"/>
    <cellStyle name="Note 10 2 2 4 10 2 3" xfId="54533"/>
    <cellStyle name="Note 10 2 2 4 10 2 4" xfId="54534"/>
    <cellStyle name="Note 10 2 2 4 10 2 5" xfId="54535"/>
    <cellStyle name="Note 10 2 2 4 10 3" xfId="11220"/>
    <cellStyle name="Note 10 2 2 4 10 4" xfId="54536"/>
    <cellStyle name="Note 10 2 2 4 10 5" xfId="54537"/>
    <cellStyle name="Note 10 2 2 4 10 6" xfId="54538"/>
    <cellStyle name="Note 10 2 2 4 10 7" xfId="54539"/>
    <cellStyle name="Note 10 2 2 4 11" xfId="6230"/>
    <cellStyle name="Note 10 2 2 4 11 2" xfId="54540"/>
    <cellStyle name="Note 10 2 2 4 11 3" xfId="54541"/>
    <cellStyle name="Note 10 2 2 4 11 4" xfId="54542"/>
    <cellStyle name="Note 10 2 2 4 11 5" xfId="54543"/>
    <cellStyle name="Note 10 2 2 4 12" xfId="54544"/>
    <cellStyle name="Note 10 2 2 4 13" xfId="54545"/>
    <cellStyle name="Note 10 2 2 4 2" xfId="1568"/>
    <cellStyle name="Note 10 2 2 4 2 2" xfId="2802"/>
    <cellStyle name="Note 10 2 2 4 2 2 2" xfId="8081"/>
    <cellStyle name="Note 10 2 2 4 2 2 2 2" xfId="54546"/>
    <cellStyle name="Note 10 2 2 4 2 2 2 3" xfId="54547"/>
    <cellStyle name="Note 10 2 2 4 2 2 2 4" xfId="54548"/>
    <cellStyle name="Note 10 2 2 4 2 2 2 5" xfId="54549"/>
    <cellStyle name="Note 10 2 2 4 2 2 3" xfId="12633"/>
    <cellStyle name="Note 10 2 2 4 2 2 4" xfId="54550"/>
    <cellStyle name="Note 10 2 2 4 2 2 5" xfId="54551"/>
    <cellStyle name="Note 10 2 2 4 2 2 6" xfId="54552"/>
    <cellStyle name="Note 10 2 2 4 2 2 7" xfId="54553"/>
    <cellStyle name="Note 10 2 2 4 2 3" xfId="6847"/>
    <cellStyle name="Note 10 2 2 4 2 3 2" xfId="54554"/>
    <cellStyle name="Note 10 2 2 4 2 3 3" xfId="54555"/>
    <cellStyle name="Note 10 2 2 4 2 3 4" xfId="54556"/>
    <cellStyle name="Note 10 2 2 4 2 3 5" xfId="54557"/>
    <cellStyle name="Note 10 2 2 4 2 3 6" xfId="54558"/>
    <cellStyle name="Note 10 2 2 4 2 4" xfId="12632"/>
    <cellStyle name="Note 10 2 2 4 2 5" xfId="54559"/>
    <cellStyle name="Note 10 2 2 4 3" xfId="3434"/>
    <cellStyle name="Note 10 2 2 4 3 2" xfId="8713"/>
    <cellStyle name="Note 10 2 2 4 3 2 2" xfId="54560"/>
    <cellStyle name="Note 10 2 2 4 3 2 3" xfId="54561"/>
    <cellStyle name="Note 10 2 2 4 3 2 4" xfId="54562"/>
    <cellStyle name="Note 10 2 2 4 3 2 5" xfId="54563"/>
    <cellStyle name="Note 10 2 2 4 3 2 6" xfId="54564"/>
    <cellStyle name="Note 10 2 2 4 3 3" xfId="12634"/>
    <cellStyle name="Note 10 2 2 4 3 4" xfId="54565"/>
    <cellStyle name="Note 10 2 2 4 3 5" xfId="54566"/>
    <cellStyle name="Note 10 2 2 4 3 6" xfId="54567"/>
    <cellStyle name="Note 10 2 2 4 3 7" xfId="54568"/>
    <cellStyle name="Note 10 2 2 4 3 8" xfId="54569"/>
    <cellStyle name="Note 10 2 2 4 4" xfId="3435"/>
    <cellStyle name="Note 10 2 2 4 4 2" xfId="8714"/>
    <cellStyle name="Note 10 2 2 4 4 2 2" xfId="54570"/>
    <cellStyle name="Note 10 2 2 4 4 2 3" xfId="54571"/>
    <cellStyle name="Note 10 2 2 4 4 2 4" xfId="54572"/>
    <cellStyle name="Note 10 2 2 4 4 2 5" xfId="54573"/>
    <cellStyle name="Note 10 2 2 4 4 2 6" xfId="54574"/>
    <cellStyle name="Note 10 2 2 4 4 3" xfId="12635"/>
    <cellStyle name="Note 10 2 2 4 4 4" xfId="54575"/>
    <cellStyle name="Note 10 2 2 4 4 5" xfId="54576"/>
    <cellStyle name="Note 10 2 2 4 4 6" xfId="54577"/>
    <cellStyle name="Note 10 2 2 4 4 7" xfId="54578"/>
    <cellStyle name="Note 10 2 2 4 4 8" xfId="54579"/>
    <cellStyle name="Note 10 2 2 4 5" xfId="3436"/>
    <cellStyle name="Note 10 2 2 4 5 2" xfId="8715"/>
    <cellStyle name="Note 10 2 2 4 5 2 2" xfId="54580"/>
    <cellStyle name="Note 10 2 2 4 5 2 3" xfId="54581"/>
    <cellStyle name="Note 10 2 2 4 5 2 4" xfId="54582"/>
    <cellStyle name="Note 10 2 2 4 5 2 5" xfId="54583"/>
    <cellStyle name="Note 10 2 2 4 5 2 6" xfId="54584"/>
    <cellStyle name="Note 10 2 2 4 5 3" xfId="12636"/>
    <cellStyle name="Note 10 2 2 4 5 4" xfId="54585"/>
    <cellStyle name="Note 10 2 2 4 5 5" xfId="54586"/>
    <cellStyle name="Note 10 2 2 4 5 6" xfId="54587"/>
    <cellStyle name="Note 10 2 2 4 5 7" xfId="54588"/>
    <cellStyle name="Note 10 2 2 4 5 8" xfId="54589"/>
    <cellStyle name="Note 10 2 2 4 6" xfId="3437"/>
    <cellStyle name="Note 10 2 2 4 6 2" xfId="8716"/>
    <cellStyle name="Note 10 2 2 4 6 2 2" xfId="54590"/>
    <cellStyle name="Note 10 2 2 4 6 2 3" xfId="54591"/>
    <cellStyle name="Note 10 2 2 4 6 2 4" xfId="54592"/>
    <cellStyle name="Note 10 2 2 4 6 2 5" xfId="54593"/>
    <cellStyle name="Note 10 2 2 4 6 2 6" xfId="54594"/>
    <cellStyle name="Note 10 2 2 4 6 3" xfId="12637"/>
    <cellStyle name="Note 10 2 2 4 6 4" xfId="54595"/>
    <cellStyle name="Note 10 2 2 4 6 5" xfId="54596"/>
    <cellStyle name="Note 10 2 2 4 6 6" xfId="54597"/>
    <cellStyle name="Note 10 2 2 4 6 7" xfId="54598"/>
    <cellStyle name="Note 10 2 2 4 6 8" xfId="54599"/>
    <cellStyle name="Note 10 2 2 4 7" xfId="3438"/>
    <cellStyle name="Note 10 2 2 4 7 2" xfId="8717"/>
    <cellStyle name="Note 10 2 2 4 7 2 2" xfId="54600"/>
    <cellStyle name="Note 10 2 2 4 7 2 3" xfId="54601"/>
    <cellStyle name="Note 10 2 2 4 7 2 4" xfId="54602"/>
    <cellStyle name="Note 10 2 2 4 7 2 5" xfId="54603"/>
    <cellStyle name="Note 10 2 2 4 7 2 6" xfId="54604"/>
    <cellStyle name="Note 10 2 2 4 7 3" xfId="12638"/>
    <cellStyle name="Note 10 2 2 4 7 4" xfId="54605"/>
    <cellStyle name="Note 10 2 2 4 7 5" xfId="54606"/>
    <cellStyle name="Note 10 2 2 4 7 6" xfId="54607"/>
    <cellStyle name="Note 10 2 2 4 7 7" xfId="54608"/>
    <cellStyle name="Note 10 2 2 4 7 8" xfId="54609"/>
    <cellStyle name="Note 10 2 2 4 8" xfId="3439"/>
    <cellStyle name="Note 10 2 2 4 8 2" xfId="8718"/>
    <cellStyle name="Note 10 2 2 4 8 2 2" xfId="54610"/>
    <cellStyle name="Note 10 2 2 4 8 2 3" xfId="54611"/>
    <cellStyle name="Note 10 2 2 4 8 2 4" xfId="54612"/>
    <cellStyle name="Note 10 2 2 4 8 2 5" xfId="54613"/>
    <cellStyle name="Note 10 2 2 4 8 2 6" xfId="54614"/>
    <cellStyle name="Note 10 2 2 4 8 3" xfId="12639"/>
    <cellStyle name="Note 10 2 2 4 8 4" xfId="54615"/>
    <cellStyle name="Note 10 2 2 4 8 5" xfId="54616"/>
    <cellStyle name="Note 10 2 2 4 8 6" xfId="54617"/>
    <cellStyle name="Note 10 2 2 4 8 7" xfId="54618"/>
    <cellStyle name="Note 10 2 2 4 8 8" xfId="54619"/>
    <cellStyle name="Note 10 2 2 4 9" xfId="3440"/>
    <cellStyle name="Note 10 2 2 4 9 2" xfId="8719"/>
    <cellStyle name="Note 10 2 2 4 9 2 2" xfId="54620"/>
    <cellStyle name="Note 10 2 2 4 9 2 3" xfId="54621"/>
    <cellStyle name="Note 10 2 2 4 9 2 4" xfId="54622"/>
    <cellStyle name="Note 10 2 2 4 9 2 5" xfId="54623"/>
    <cellStyle name="Note 10 2 2 4 9 2 6" xfId="54624"/>
    <cellStyle name="Note 10 2 2 4 9 3" xfId="12640"/>
    <cellStyle name="Note 10 2 2 4 9 4" xfId="54625"/>
    <cellStyle name="Note 10 2 2 4 9 5" xfId="54626"/>
    <cellStyle name="Note 10 2 2 4 9 6" xfId="54627"/>
    <cellStyle name="Note 10 2 2 4 9 7" xfId="54628"/>
    <cellStyle name="Note 10 2 2 4 9 8" xfId="54629"/>
    <cellStyle name="Note 10 2 2 5" xfId="952"/>
    <cellStyle name="Note 10 2 2 5 10" xfId="2189"/>
    <cellStyle name="Note 10 2 2 5 10 2" xfId="7468"/>
    <cellStyle name="Note 10 2 2 5 10 2 2" xfId="54630"/>
    <cellStyle name="Note 10 2 2 5 10 2 3" xfId="54631"/>
    <cellStyle name="Note 10 2 2 5 10 2 4" xfId="54632"/>
    <cellStyle name="Note 10 2 2 5 10 2 5" xfId="54633"/>
    <cellStyle name="Note 10 2 2 5 10 3" xfId="11221"/>
    <cellStyle name="Note 10 2 2 5 10 4" xfId="54634"/>
    <cellStyle name="Note 10 2 2 5 10 5" xfId="54635"/>
    <cellStyle name="Note 10 2 2 5 10 6" xfId="54636"/>
    <cellStyle name="Note 10 2 2 5 10 7" xfId="54637"/>
    <cellStyle name="Note 10 2 2 5 11" xfId="6231"/>
    <cellStyle name="Note 10 2 2 5 11 2" xfId="54638"/>
    <cellStyle name="Note 10 2 2 5 11 3" xfId="54639"/>
    <cellStyle name="Note 10 2 2 5 11 4" xfId="54640"/>
    <cellStyle name="Note 10 2 2 5 11 5" xfId="54641"/>
    <cellStyle name="Note 10 2 2 5 12" xfId="54642"/>
    <cellStyle name="Note 10 2 2 5 13" xfId="54643"/>
    <cellStyle name="Note 10 2 2 5 2" xfId="1569"/>
    <cellStyle name="Note 10 2 2 5 2 2" xfId="2803"/>
    <cellStyle name="Note 10 2 2 5 2 2 2" xfId="8082"/>
    <cellStyle name="Note 10 2 2 5 2 2 2 2" xfId="54644"/>
    <cellStyle name="Note 10 2 2 5 2 2 2 3" xfId="54645"/>
    <cellStyle name="Note 10 2 2 5 2 2 2 4" xfId="54646"/>
    <cellStyle name="Note 10 2 2 5 2 2 2 5" xfId="54647"/>
    <cellStyle name="Note 10 2 2 5 2 2 3" xfId="12642"/>
    <cellStyle name="Note 10 2 2 5 2 2 4" xfId="54648"/>
    <cellStyle name="Note 10 2 2 5 2 2 5" xfId="54649"/>
    <cellStyle name="Note 10 2 2 5 2 2 6" xfId="54650"/>
    <cellStyle name="Note 10 2 2 5 2 2 7" xfId="54651"/>
    <cellStyle name="Note 10 2 2 5 2 3" xfId="6848"/>
    <cellStyle name="Note 10 2 2 5 2 3 2" xfId="54652"/>
    <cellStyle name="Note 10 2 2 5 2 3 3" xfId="54653"/>
    <cellStyle name="Note 10 2 2 5 2 3 4" xfId="54654"/>
    <cellStyle name="Note 10 2 2 5 2 3 5" xfId="54655"/>
    <cellStyle name="Note 10 2 2 5 2 3 6" xfId="54656"/>
    <cellStyle name="Note 10 2 2 5 2 4" xfId="12641"/>
    <cellStyle name="Note 10 2 2 5 2 5" xfId="54657"/>
    <cellStyle name="Note 10 2 2 5 3" xfId="3441"/>
    <cellStyle name="Note 10 2 2 5 3 2" xfId="8720"/>
    <cellStyle name="Note 10 2 2 5 3 2 2" xfId="54658"/>
    <cellStyle name="Note 10 2 2 5 3 2 3" xfId="54659"/>
    <cellStyle name="Note 10 2 2 5 3 2 4" xfId="54660"/>
    <cellStyle name="Note 10 2 2 5 3 2 5" xfId="54661"/>
    <cellStyle name="Note 10 2 2 5 3 2 6" xfId="54662"/>
    <cellStyle name="Note 10 2 2 5 3 3" xfId="12643"/>
    <cellStyle name="Note 10 2 2 5 3 4" xfId="54663"/>
    <cellStyle name="Note 10 2 2 5 3 5" xfId="54664"/>
    <cellStyle name="Note 10 2 2 5 3 6" xfId="54665"/>
    <cellStyle name="Note 10 2 2 5 3 7" xfId="54666"/>
    <cellStyle name="Note 10 2 2 5 3 8" xfId="54667"/>
    <cellStyle name="Note 10 2 2 5 4" xfId="3442"/>
    <cellStyle name="Note 10 2 2 5 4 2" xfId="8721"/>
    <cellStyle name="Note 10 2 2 5 4 2 2" xfId="54668"/>
    <cellStyle name="Note 10 2 2 5 4 2 3" xfId="54669"/>
    <cellStyle name="Note 10 2 2 5 4 2 4" xfId="54670"/>
    <cellStyle name="Note 10 2 2 5 4 2 5" xfId="54671"/>
    <cellStyle name="Note 10 2 2 5 4 2 6" xfId="54672"/>
    <cellStyle name="Note 10 2 2 5 4 3" xfId="12644"/>
    <cellStyle name="Note 10 2 2 5 4 4" xfId="54673"/>
    <cellStyle name="Note 10 2 2 5 4 5" xfId="54674"/>
    <cellStyle name="Note 10 2 2 5 4 6" xfId="54675"/>
    <cellStyle name="Note 10 2 2 5 4 7" xfId="54676"/>
    <cellStyle name="Note 10 2 2 5 4 8" xfId="54677"/>
    <cellStyle name="Note 10 2 2 5 5" xfId="3443"/>
    <cellStyle name="Note 10 2 2 5 5 2" xfId="8722"/>
    <cellStyle name="Note 10 2 2 5 5 2 2" xfId="54678"/>
    <cellStyle name="Note 10 2 2 5 5 2 3" xfId="54679"/>
    <cellStyle name="Note 10 2 2 5 5 2 4" xfId="54680"/>
    <cellStyle name="Note 10 2 2 5 5 2 5" xfId="54681"/>
    <cellStyle name="Note 10 2 2 5 5 2 6" xfId="54682"/>
    <cellStyle name="Note 10 2 2 5 5 3" xfId="12645"/>
    <cellStyle name="Note 10 2 2 5 5 4" xfId="54683"/>
    <cellStyle name="Note 10 2 2 5 5 5" xfId="54684"/>
    <cellStyle name="Note 10 2 2 5 5 6" xfId="54685"/>
    <cellStyle name="Note 10 2 2 5 5 7" xfId="54686"/>
    <cellStyle name="Note 10 2 2 5 5 8" xfId="54687"/>
    <cellStyle name="Note 10 2 2 5 6" xfId="3444"/>
    <cellStyle name="Note 10 2 2 5 6 2" xfId="8723"/>
    <cellStyle name="Note 10 2 2 5 6 2 2" xfId="54688"/>
    <cellStyle name="Note 10 2 2 5 6 2 3" xfId="54689"/>
    <cellStyle name="Note 10 2 2 5 6 2 4" xfId="54690"/>
    <cellStyle name="Note 10 2 2 5 6 2 5" xfId="54691"/>
    <cellStyle name="Note 10 2 2 5 6 2 6" xfId="54692"/>
    <cellStyle name="Note 10 2 2 5 6 3" xfId="12646"/>
    <cellStyle name="Note 10 2 2 5 6 4" xfId="54693"/>
    <cellStyle name="Note 10 2 2 5 6 5" xfId="54694"/>
    <cellStyle name="Note 10 2 2 5 6 6" xfId="54695"/>
    <cellStyle name="Note 10 2 2 5 6 7" xfId="54696"/>
    <cellStyle name="Note 10 2 2 5 6 8" xfId="54697"/>
    <cellStyle name="Note 10 2 2 5 7" xfId="3445"/>
    <cellStyle name="Note 10 2 2 5 7 2" xfId="8724"/>
    <cellStyle name="Note 10 2 2 5 7 2 2" xfId="54698"/>
    <cellStyle name="Note 10 2 2 5 7 2 3" xfId="54699"/>
    <cellStyle name="Note 10 2 2 5 7 2 4" xfId="54700"/>
    <cellStyle name="Note 10 2 2 5 7 2 5" xfId="54701"/>
    <cellStyle name="Note 10 2 2 5 7 2 6" xfId="54702"/>
    <cellStyle name="Note 10 2 2 5 7 3" xfId="12647"/>
    <cellStyle name="Note 10 2 2 5 7 4" xfId="54703"/>
    <cellStyle name="Note 10 2 2 5 7 5" xfId="54704"/>
    <cellStyle name="Note 10 2 2 5 7 6" xfId="54705"/>
    <cellStyle name="Note 10 2 2 5 7 7" xfId="54706"/>
    <cellStyle name="Note 10 2 2 5 7 8" xfId="54707"/>
    <cellStyle name="Note 10 2 2 5 8" xfId="3446"/>
    <cellStyle name="Note 10 2 2 5 8 2" xfId="8725"/>
    <cellStyle name="Note 10 2 2 5 8 2 2" xfId="54708"/>
    <cellStyle name="Note 10 2 2 5 8 2 3" xfId="54709"/>
    <cellStyle name="Note 10 2 2 5 8 2 4" xfId="54710"/>
    <cellStyle name="Note 10 2 2 5 8 2 5" xfId="54711"/>
    <cellStyle name="Note 10 2 2 5 8 2 6" xfId="54712"/>
    <cellStyle name="Note 10 2 2 5 8 3" xfId="12648"/>
    <cellStyle name="Note 10 2 2 5 8 4" xfId="54713"/>
    <cellStyle name="Note 10 2 2 5 8 5" xfId="54714"/>
    <cellStyle name="Note 10 2 2 5 8 6" xfId="54715"/>
    <cellStyle name="Note 10 2 2 5 8 7" xfId="54716"/>
    <cellStyle name="Note 10 2 2 5 8 8" xfId="54717"/>
    <cellStyle name="Note 10 2 2 5 9" xfId="3447"/>
    <cellStyle name="Note 10 2 2 5 9 2" xfId="8726"/>
    <cellStyle name="Note 10 2 2 5 9 2 2" xfId="54718"/>
    <cellStyle name="Note 10 2 2 5 9 2 3" xfId="54719"/>
    <cellStyle name="Note 10 2 2 5 9 2 4" xfId="54720"/>
    <cellStyle name="Note 10 2 2 5 9 2 5" xfId="54721"/>
    <cellStyle name="Note 10 2 2 5 9 2 6" xfId="54722"/>
    <cellStyle name="Note 10 2 2 5 9 3" xfId="12649"/>
    <cellStyle name="Note 10 2 2 5 9 4" xfId="54723"/>
    <cellStyle name="Note 10 2 2 5 9 5" xfId="54724"/>
    <cellStyle name="Note 10 2 2 5 9 6" xfId="54725"/>
    <cellStyle name="Note 10 2 2 5 9 7" xfId="54726"/>
    <cellStyle name="Note 10 2 2 5 9 8" xfId="54727"/>
    <cellStyle name="Note 10 2 2 6" xfId="953"/>
    <cellStyle name="Note 10 2 2 6 10" xfId="2190"/>
    <cellStyle name="Note 10 2 2 6 10 2" xfId="7469"/>
    <cellStyle name="Note 10 2 2 6 10 2 2" xfId="54728"/>
    <cellStyle name="Note 10 2 2 6 10 2 3" xfId="54729"/>
    <cellStyle name="Note 10 2 2 6 10 2 4" xfId="54730"/>
    <cellStyle name="Note 10 2 2 6 10 2 5" xfId="54731"/>
    <cellStyle name="Note 10 2 2 6 10 3" xfId="11222"/>
    <cellStyle name="Note 10 2 2 6 10 4" xfId="54732"/>
    <cellStyle name="Note 10 2 2 6 10 5" xfId="54733"/>
    <cellStyle name="Note 10 2 2 6 10 6" xfId="54734"/>
    <cellStyle name="Note 10 2 2 6 10 7" xfId="54735"/>
    <cellStyle name="Note 10 2 2 6 11" xfId="6232"/>
    <cellStyle name="Note 10 2 2 6 11 2" xfId="54736"/>
    <cellStyle name="Note 10 2 2 6 11 3" xfId="54737"/>
    <cellStyle name="Note 10 2 2 6 11 4" xfId="54738"/>
    <cellStyle name="Note 10 2 2 6 11 5" xfId="54739"/>
    <cellStyle name="Note 10 2 2 6 12" xfId="54740"/>
    <cellStyle name="Note 10 2 2 6 13" xfId="54741"/>
    <cellStyle name="Note 10 2 2 6 2" xfId="1570"/>
    <cellStyle name="Note 10 2 2 6 2 2" xfId="2804"/>
    <cellStyle name="Note 10 2 2 6 2 2 2" xfId="8083"/>
    <cellStyle name="Note 10 2 2 6 2 2 2 2" xfId="54742"/>
    <cellStyle name="Note 10 2 2 6 2 2 2 3" xfId="54743"/>
    <cellStyle name="Note 10 2 2 6 2 2 2 4" xfId="54744"/>
    <cellStyle name="Note 10 2 2 6 2 2 2 5" xfId="54745"/>
    <cellStyle name="Note 10 2 2 6 2 2 3" xfId="12651"/>
    <cellStyle name="Note 10 2 2 6 2 2 4" xfId="54746"/>
    <cellStyle name="Note 10 2 2 6 2 2 5" xfId="54747"/>
    <cellStyle name="Note 10 2 2 6 2 2 6" xfId="54748"/>
    <cellStyle name="Note 10 2 2 6 2 2 7" xfId="54749"/>
    <cellStyle name="Note 10 2 2 6 2 3" xfId="6849"/>
    <cellStyle name="Note 10 2 2 6 2 3 2" xfId="54750"/>
    <cellStyle name="Note 10 2 2 6 2 3 3" xfId="54751"/>
    <cellStyle name="Note 10 2 2 6 2 3 4" xfId="54752"/>
    <cellStyle name="Note 10 2 2 6 2 3 5" xfId="54753"/>
    <cellStyle name="Note 10 2 2 6 2 3 6" xfId="54754"/>
    <cellStyle name="Note 10 2 2 6 2 4" xfId="12650"/>
    <cellStyle name="Note 10 2 2 6 2 5" xfId="54755"/>
    <cellStyle name="Note 10 2 2 6 3" xfId="3448"/>
    <cellStyle name="Note 10 2 2 6 3 2" xfId="8727"/>
    <cellStyle name="Note 10 2 2 6 3 2 2" xfId="54756"/>
    <cellStyle name="Note 10 2 2 6 3 2 3" xfId="54757"/>
    <cellStyle name="Note 10 2 2 6 3 2 4" xfId="54758"/>
    <cellStyle name="Note 10 2 2 6 3 2 5" xfId="54759"/>
    <cellStyle name="Note 10 2 2 6 3 2 6" xfId="54760"/>
    <cellStyle name="Note 10 2 2 6 3 3" xfId="12652"/>
    <cellStyle name="Note 10 2 2 6 3 4" xfId="54761"/>
    <cellStyle name="Note 10 2 2 6 3 5" xfId="54762"/>
    <cellStyle name="Note 10 2 2 6 3 6" xfId="54763"/>
    <cellStyle name="Note 10 2 2 6 3 7" xfId="54764"/>
    <cellStyle name="Note 10 2 2 6 3 8" xfId="54765"/>
    <cellStyle name="Note 10 2 2 6 4" xfId="3449"/>
    <cellStyle name="Note 10 2 2 6 4 2" xfId="8728"/>
    <cellStyle name="Note 10 2 2 6 4 2 2" xfId="54766"/>
    <cellStyle name="Note 10 2 2 6 4 2 3" xfId="54767"/>
    <cellStyle name="Note 10 2 2 6 4 2 4" xfId="54768"/>
    <cellStyle name="Note 10 2 2 6 4 2 5" xfId="54769"/>
    <cellStyle name="Note 10 2 2 6 4 2 6" xfId="54770"/>
    <cellStyle name="Note 10 2 2 6 4 3" xfId="12653"/>
    <cellStyle name="Note 10 2 2 6 4 4" xfId="54771"/>
    <cellStyle name="Note 10 2 2 6 4 5" xfId="54772"/>
    <cellStyle name="Note 10 2 2 6 4 6" xfId="54773"/>
    <cellStyle name="Note 10 2 2 6 4 7" xfId="54774"/>
    <cellStyle name="Note 10 2 2 6 4 8" xfId="54775"/>
    <cellStyle name="Note 10 2 2 6 5" xfId="3450"/>
    <cellStyle name="Note 10 2 2 6 5 2" xfId="8729"/>
    <cellStyle name="Note 10 2 2 6 5 2 2" xfId="54776"/>
    <cellStyle name="Note 10 2 2 6 5 2 3" xfId="54777"/>
    <cellStyle name="Note 10 2 2 6 5 2 4" xfId="54778"/>
    <cellStyle name="Note 10 2 2 6 5 2 5" xfId="54779"/>
    <cellStyle name="Note 10 2 2 6 5 2 6" xfId="54780"/>
    <cellStyle name="Note 10 2 2 6 5 3" xfId="12654"/>
    <cellStyle name="Note 10 2 2 6 5 4" xfId="54781"/>
    <cellStyle name="Note 10 2 2 6 5 5" xfId="54782"/>
    <cellStyle name="Note 10 2 2 6 5 6" xfId="54783"/>
    <cellStyle name="Note 10 2 2 6 5 7" xfId="54784"/>
    <cellStyle name="Note 10 2 2 6 5 8" xfId="54785"/>
    <cellStyle name="Note 10 2 2 6 6" xfId="3451"/>
    <cellStyle name="Note 10 2 2 6 6 2" xfId="8730"/>
    <cellStyle name="Note 10 2 2 6 6 2 2" xfId="54786"/>
    <cellStyle name="Note 10 2 2 6 6 2 3" xfId="54787"/>
    <cellStyle name="Note 10 2 2 6 6 2 4" xfId="54788"/>
    <cellStyle name="Note 10 2 2 6 6 2 5" xfId="54789"/>
    <cellStyle name="Note 10 2 2 6 6 2 6" xfId="54790"/>
    <cellStyle name="Note 10 2 2 6 6 3" xfId="12655"/>
    <cellStyle name="Note 10 2 2 6 6 4" xfId="54791"/>
    <cellStyle name="Note 10 2 2 6 6 5" xfId="54792"/>
    <cellStyle name="Note 10 2 2 6 6 6" xfId="54793"/>
    <cellStyle name="Note 10 2 2 6 6 7" xfId="54794"/>
    <cellStyle name="Note 10 2 2 6 6 8" xfId="54795"/>
    <cellStyle name="Note 10 2 2 6 7" xfId="3452"/>
    <cellStyle name="Note 10 2 2 6 7 2" xfId="8731"/>
    <cellStyle name="Note 10 2 2 6 7 2 2" xfId="54796"/>
    <cellStyle name="Note 10 2 2 6 7 2 3" xfId="54797"/>
    <cellStyle name="Note 10 2 2 6 7 2 4" xfId="54798"/>
    <cellStyle name="Note 10 2 2 6 7 2 5" xfId="54799"/>
    <cellStyle name="Note 10 2 2 6 7 2 6" xfId="54800"/>
    <cellStyle name="Note 10 2 2 6 7 3" xfId="12656"/>
    <cellStyle name="Note 10 2 2 6 7 4" xfId="54801"/>
    <cellStyle name="Note 10 2 2 6 7 5" xfId="54802"/>
    <cellStyle name="Note 10 2 2 6 7 6" xfId="54803"/>
    <cellStyle name="Note 10 2 2 6 7 7" xfId="54804"/>
    <cellStyle name="Note 10 2 2 6 7 8" xfId="54805"/>
    <cellStyle name="Note 10 2 2 6 8" xfId="3453"/>
    <cellStyle name="Note 10 2 2 6 8 2" xfId="8732"/>
    <cellStyle name="Note 10 2 2 6 8 2 2" xfId="54806"/>
    <cellStyle name="Note 10 2 2 6 8 2 3" xfId="54807"/>
    <cellStyle name="Note 10 2 2 6 8 2 4" xfId="54808"/>
    <cellStyle name="Note 10 2 2 6 8 2 5" xfId="54809"/>
    <cellStyle name="Note 10 2 2 6 8 2 6" xfId="54810"/>
    <cellStyle name="Note 10 2 2 6 8 3" xfId="12657"/>
    <cellStyle name="Note 10 2 2 6 8 4" xfId="54811"/>
    <cellStyle name="Note 10 2 2 6 8 5" xfId="54812"/>
    <cellStyle name="Note 10 2 2 6 8 6" xfId="54813"/>
    <cellStyle name="Note 10 2 2 6 8 7" xfId="54814"/>
    <cellStyle name="Note 10 2 2 6 8 8" xfId="54815"/>
    <cellStyle name="Note 10 2 2 6 9" xfId="3454"/>
    <cellStyle name="Note 10 2 2 6 9 2" xfId="8733"/>
    <cellStyle name="Note 10 2 2 6 9 2 2" xfId="54816"/>
    <cellStyle name="Note 10 2 2 6 9 2 3" xfId="54817"/>
    <cellStyle name="Note 10 2 2 6 9 2 4" xfId="54818"/>
    <cellStyle name="Note 10 2 2 6 9 2 5" xfId="54819"/>
    <cellStyle name="Note 10 2 2 6 9 2 6" xfId="54820"/>
    <cellStyle name="Note 10 2 2 6 9 3" xfId="12658"/>
    <cellStyle name="Note 10 2 2 6 9 4" xfId="54821"/>
    <cellStyle name="Note 10 2 2 6 9 5" xfId="54822"/>
    <cellStyle name="Note 10 2 2 6 9 6" xfId="54823"/>
    <cellStyle name="Note 10 2 2 6 9 7" xfId="54824"/>
    <cellStyle name="Note 10 2 2 6 9 8" xfId="54825"/>
    <cellStyle name="Note 10 2 2 7" xfId="1268"/>
    <cellStyle name="Note 10 2 2 7 2" xfId="2502"/>
    <cellStyle name="Note 10 2 2 7 2 2" xfId="7781"/>
    <cellStyle name="Note 10 2 2 7 2 2 2" xfId="54826"/>
    <cellStyle name="Note 10 2 2 7 2 2 3" xfId="54827"/>
    <cellStyle name="Note 10 2 2 7 2 2 4" xfId="54828"/>
    <cellStyle name="Note 10 2 2 7 2 2 5" xfId="54829"/>
    <cellStyle name="Note 10 2 2 7 2 3" xfId="12660"/>
    <cellStyle name="Note 10 2 2 7 2 4" xfId="54830"/>
    <cellStyle name="Note 10 2 2 7 2 5" xfId="54831"/>
    <cellStyle name="Note 10 2 2 7 2 6" xfId="54832"/>
    <cellStyle name="Note 10 2 2 7 2 7" xfId="54833"/>
    <cellStyle name="Note 10 2 2 7 3" xfId="6547"/>
    <cellStyle name="Note 10 2 2 7 3 2" xfId="54834"/>
    <cellStyle name="Note 10 2 2 7 3 3" xfId="54835"/>
    <cellStyle name="Note 10 2 2 7 3 4" xfId="54836"/>
    <cellStyle name="Note 10 2 2 7 3 5" xfId="54837"/>
    <cellStyle name="Note 10 2 2 7 3 6" xfId="54838"/>
    <cellStyle name="Note 10 2 2 7 4" xfId="12659"/>
    <cellStyle name="Note 10 2 2 7 5" xfId="54839"/>
    <cellStyle name="Note 10 2 2 8" xfId="3455"/>
    <cellStyle name="Note 10 2 2 8 2" xfId="8734"/>
    <cellStyle name="Note 10 2 2 8 2 2" xfId="54840"/>
    <cellStyle name="Note 10 2 2 8 2 3" xfId="54841"/>
    <cellStyle name="Note 10 2 2 8 2 4" xfId="54842"/>
    <cellStyle name="Note 10 2 2 8 2 5" xfId="54843"/>
    <cellStyle name="Note 10 2 2 8 2 6" xfId="54844"/>
    <cellStyle name="Note 10 2 2 8 3" xfId="12661"/>
    <cellStyle name="Note 10 2 2 8 4" xfId="54845"/>
    <cellStyle name="Note 10 2 2 8 5" xfId="54846"/>
    <cellStyle name="Note 10 2 2 8 6" xfId="54847"/>
    <cellStyle name="Note 10 2 2 8 7" xfId="54848"/>
    <cellStyle name="Note 10 2 2 8 8" xfId="54849"/>
    <cellStyle name="Note 10 2 2 9" xfId="3456"/>
    <cellStyle name="Note 10 2 2 9 2" xfId="8735"/>
    <cellStyle name="Note 10 2 2 9 2 2" xfId="54850"/>
    <cellStyle name="Note 10 2 2 9 2 3" xfId="54851"/>
    <cellStyle name="Note 10 2 2 9 2 4" xfId="54852"/>
    <cellStyle name="Note 10 2 2 9 2 5" xfId="54853"/>
    <cellStyle name="Note 10 2 2 9 2 6" xfId="54854"/>
    <cellStyle name="Note 10 2 2 9 3" xfId="12662"/>
    <cellStyle name="Note 10 2 2 9 4" xfId="54855"/>
    <cellStyle name="Note 10 2 2 9 5" xfId="54856"/>
    <cellStyle name="Note 10 2 2 9 6" xfId="54857"/>
    <cellStyle name="Note 10 2 2 9 7" xfId="54858"/>
    <cellStyle name="Note 10 2 2 9 8" xfId="54859"/>
    <cellStyle name="Note 10 2 3" xfId="792"/>
    <cellStyle name="Note 10 2 3 10" xfId="54860"/>
    <cellStyle name="Note 10 2 3 11" xfId="54861"/>
    <cellStyle name="Note 10 2 3 2" xfId="1419"/>
    <cellStyle name="Note 10 2 3 2 2" xfId="2653"/>
    <cellStyle name="Note 10 2 3 2 2 2" xfId="7932"/>
    <cellStyle name="Note 10 2 3 2 2 2 2" xfId="54862"/>
    <cellStyle name="Note 10 2 3 2 2 2 3" xfId="54863"/>
    <cellStyle name="Note 10 2 3 2 2 2 4" xfId="54864"/>
    <cellStyle name="Note 10 2 3 2 2 2 5" xfId="54865"/>
    <cellStyle name="Note 10 2 3 2 2 3" xfId="12665"/>
    <cellStyle name="Note 10 2 3 2 2 4" xfId="54866"/>
    <cellStyle name="Note 10 2 3 2 2 5" xfId="54867"/>
    <cellStyle name="Note 10 2 3 2 2 6" xfId="54868"/>
    <cellStyle name="Note 10 2 3 2 2 7" xfId="54869"/>
    <cellStyle name="Note 10 2 3 2 3" xfId="6698"/>
    <cellStyle name="Note 10 2 3 2 3 2" xfId="54870"/>
    <cellStyle name="Note 10 2 3 2 3 3" xfId="54871"/>
    <cellStyle name="Note 10 2 3 2 3 4" xfId="54872"/>
    <cellStyle name="Note 10 2 3 2 3 5" xfId="54873"/>
    <cellStyle name="Note 10 2 3 2 3 6" xfId="54874"/>
    <cellStyle name="Note 10 2 3 2 4" xfId="12664"/>
    <cellStyle name="Note 10 2 3 2 5" xfId="54875"/>
    <cellStyle name="Note 10 2 3 3" xfId="1896"/>
    <cellStyle name="Note 10 2 3 3 2" xfId="3130"/>
    <cellStyle name="Note 10 2 3 3 2 2" xfId="8409"/>
    <cellStyle name="Note 10 2 3 3 2 2 2" xfId="54876"/>
    <cellStyle name="Note 10 2 3 3 2 2 3" xfId="54877"/>
    <cellStyle name="Note 10 2 3 3 2 2 4" xfId="54878"/>
    <cellStyle name="Note 10 2 3 3 2 2 5" xfId="54879"/>
    <cellStyle name="Note 10 2 3 3 2 3" xfId="12667"/>
    <cellStyle name="Note 10 2 3 3 2 4" xfId="54880"/>
    <cellStyle name="Note 10 2 3 3 2 5" xfId="54881"/>
    <cellStyle name="Note 10 2 3 3 2 6" xfId="54882"/>
    <cellStyle name="Note 10 2 3 3 2 7" xfId="54883"/>
    <cellStyle name="Note 10 2 3 3 3" xfId="7175"/>
    <cellStyle name="Note 10 2 3 3 3 2" xfId="54884"/>
    <cellStyle name="Note 10 2 3 3 3 3" xfId="54885"/>
    <cellStyle name="Note 10 2 3 3 3 4" xfId="54886"/>
    <cellStyle name="Note 10 2 3 3 3 5" xfId="54887"/>
    <cellStyle name="Note 10 2 3 3 3 6" xfId="54888"/>
    <cellStyle name="Note 10 2 3 3 4" xfId="12666"/>
    <cellStyle name="Note 10 2 3 3 5" xfId="54889"/>
    <cellStyle name="Note 10 2 3 4" xfId="3457"/>
    <cellStyle name="Note 10 2 3 4 2" xfId="8736"/>
    <cellStyle name="Note 10 2 3 4 2 2" xfId="54890"/>
    <cellStyle name="Note 10 2 3 4 2 3" xfId="54891"/>
    <cellStyle name="Note 10 2 3 4 2 4" xfId="54892"/>
    <cellStyle name="Note 10 2 3 4 2 5" xfId="54893"/>
    <cellStyle name="Note 10 2 3 4 2 6" xfId="54894"/>
    <cellStyle name="Note 10 2 3 4 3" xfId="12668"/>
    <cellStyle name="Note 10 2 3 4 4" xfId="54895"/>
    <cellStyle name="Note 10 2 3 4 5" xfId="54896"/>
    <cellStyle name="Note 10 2 3 4 6" xfId="54897"/>
    <cellStyle name="Note 10 2 3 4 7" xfId="54898"/>
    <cellStyle name="Note 10 2 3 4 8" xfId="54899"/>
    <cellStyle name="Note 10 2 3 5" xfId="3458"/>
    <cellStyle name="Note 10 2 3 5 2" xfId="8737"/>
    <cellStyle name="Note 10 2 3 5 2 2" xfId="54900"/>
    <cellStyle name="Note 10 2 3 5 2 3" xfId="54901"/>
    <cellStyle name="Note 10 2 3 5 2 4" xfId="54902"/>
    <cellStyle name="Note 10 2 3 5 2 5" xfId="54903"/>
    <cellStyle name="Note 10 2 3 5 2 6" xfId="54904"/>
    <cellStyle name="Note 10 2 3 5 3" xfId="12669"/>
    <cellStyle name="Note 10 2 3 5 4" xfId="54905"/>
    <cellStyle name="Note 10 2 3 5 5" xfId="54906"/>
    <cellStyle name="Note 10 2 3 5 6" xfId="54907"/>
    <cellStyle name="Note 10 2 3 5 7" xfId="54908"/>
    <cellStyle name="Note 10 2 3 5 8" xfId="54909"/>
    <cellStyle name="Note 10 2 3 6" xfId="3459"/>
    <cellStyle name="Note 10 2 3 6 2" xfId="8738"/>
    <cellStyle name="Note 10 2 3 6 2 2" xfId="54910"/>
    <cellStyle name="Note 10 2 3 6 2 3" xfId="54911"/>
    <cellStyle name="Note 10 2 3 6 2 4" xfId="54912"/>
    <cellStyle name="Note 10 2 3 6 2 5" xfId="54913"/>
    <cellStyle name="Note 10 2 3 6 2 6" xfId="54914"/>
    <cellStyle name="Note 10 2 3 6 3" xfId="12670"/>
    <cellStyle name="Note 10 2 3 6 4" xfId="54915"/>
    <cellStyle name="Note 10 2 3 6 5" xfId="54916"/>
    <cellStyle name="Note 10 2 3 6 6" xfId="54917"/>
    <cellStyle name="Note 10 2 3 6 7" xfId="54918"/>
    <cellStyle name="Note 10 2 3 6 8" xfId="54919"/>
    <cellStyle name="Note 10 2 3 7" xfId="3460"/>
    <cellStyle name="Note 10 2 3 7 2" xfId="8739"/>
    <cellStyle name="Note 10 2 3 7 2 2" xfId="54920"/>
    <cellStyle name="Note 10 2 3 7 2 3" xfId="54921"/>
    <cellStyle name="Note 10 2 3 7 2 4" xfId="54922"/>
    <cellStyle name="Note 10 2 3 7 2 5" xfId="54923"/>
    <cellStyle name="Note 10 2 3 7 2 6" xfId="54924"/>
    <cellStyle name="Note 10 2 3 7 3" xfId="12671"/>
    <cellStyle name="Note 10 2 3 7 4" xfId="54925"/>
    <cellStyle name="Note 10 2 3 7 5" xfId="54926"/>
    <cellStyle name="Note 10 2 3 7 6" xfId="54927"/>
    <cellStyle name="Note 10 2 3 7 7" xfId="54928"/>
    <cellStyle name="Note 10 2 3 7 8" xfId="54929"/>
    <cellStyle name="Note 10 2 3 8" xfId="6081"/>
    <cellStyle name="Note 10 2 3 8 2" xfId="54930"/>
    <cellStyle name="Note 10 2 3 8 3" xfId="54931"/>
    <cellStyle name="Note 10 2 3 8 4" xfId="54932"/>
    <cellStyle name="Note 10 2 3 8 5" xfId="54933"/>
    <cellStyle name="Note 10 2 3 8 6" xfId="54934"/>
    <cellStyle name="Note 10 2 3 9" xfId="12663"/>
    <cellStyle name="Note 10 2 3 9 2" xfId="54935"/>
    <cellStyle name="Note 10 2 4" xfId="954"/>
    <cellStyle name="Note 10 2 4 10" xfId="2191"/>
    <cellStyle name="Note 10 2 4 10 2" xfId="7470"/>
    <cellStyle name="Note 10 2 4 10 2 2" xfId="54936"/>
    <cellStyle name="Note 10 2 4 10 2 3" xfId="54937"/>
    <cellStyle name="Note 10 2 4 10 2 4" xfId="54938"/>
    <cellStyle name="Note 10 2 4 10 2 5" xfId="54939"/>
    <cellStyle name="Note 10 2 4 10 3" xfId="11223"/>
    <cellStyle name="Note 10 2 4 10 4" xfId="54940"/>
    <cellStyle name="Note 10 2 4 10 5" xfId="54941"/>
    <cellStyle name="Note 10 2 4 10 6" xfId="54942"/>
    <cellStyle name="Note 10 2 4 10 7" xfId="54943"/>
    <cellStyle name="Note 10 2 4 11" xfId="6233"/>
    <cellStyle name="Note 10 2 4 11 2" xfId="54944"/>
    <cellStyle name="Note 10 2 4 11 3" xfId="54945"/>
    <cellStyle name="Note 10 2 4 11 4" xfId="54946"/>
    <cellStyle name="Note 10 2 4 11 5" xfId="54947"/>
    <cellStyle name="Note 10 2 4 12" xfId="54948"/>
    <cellStyle name="Note 10 2 4 13" xfId="54949"/>
    <cellStyle name="Note 10 2 4 2" xfId="1571"/>
    <cellStyle name="Note 10 2 4 2 2" xfId="2805"/>
    <cellStyle name="Note 10 2 4 2 2 2" xfId="8084"/>
    <cellStyle name="Note 10 2 4 2 2 2 2" xfId="54950"/>
    <cellStyle name="Note 10 2 4 2 2 2 3" xfId="54951"/>
    <cellStyle name="Note 10 2 4 2 2 2 4" xfId="54952"/>
    <cellStyle name="Note 10 2 4 2 2 2 5" xfId="54953"/>
    <cellStyle name="Note 10 2 4 2 2 3" xfId="12673"/>
    <cellStyle name="Note 10 2 4 2 2 4" xfId="54954"/>
    <cellStyle name="Note 10 2 4 2 2 5" xfId="54955"/>
    <cellStyle name="Note 10 2 4 2 2 6" xfId="54956"/>
    <cellStyle name="Note 10 2 4 2 2 7" xfId="54957"/>
    <cellStyle name="Note 10 2 4 2 3" xfId="6850"/>
    <cellStyle name="Note 10 2 4 2 3 2" xfId="54958"/>
    <cellStyle name="Note 10 2 4 2 3 3" xfId="54959"/>
    <cellStyle name="Note 10 2 4 2 3 4" xfId="54960"/>
    <cellStyle name="Note 10 2 4 2 3 5" xfId="54961"/>
    <cellStyle name="Note 10 2 4 2 3 6" xfId="54962"/>
    <cellStyle name="Note 10 2 4 2 4" xfId="12672"/>
    <cellStyle name="Note 10 2 4 2 5" xfId="54963"/>
    <cellStyle name="Note 10 2 4 3" xfId="3461"/>
    <cellStyle name="Note 10 2 4 3 2" xfId="8740"/>
    <cellStyle name="Note 10 2 4 3 2 2" xfId="54964"/>
    <cellStyle name="Note 10 2 4 3 2 3" xfId="54965"/>
    <cellStyle name="Note 10 2 4 3 2 4" xfId="54966"/>
    <cellStyle name="Note 10 2 4 3 2 5" xfId="54967"/>
    <cellStyle name="Note 10 2 4 3 2 6" xfId="54968"/>
    <cellStyle name="Note 10 2 4 3 3" xfId="12674"/>
    <cellStyle name="Note 10 2 4 3 4" xfId="54969"/>
    <cellStyle name="Note 10 2 4 3 5" xfId="54970"/>
    <cellStyle name="Note 10 2 4 3 6" xfId="54971"/>
    <cellStyle name="Note 10 2 4 3 7" xfId="54972"/>
    <cellStyle name="Note 10 2 4 3 8" xfId="54973"/>
    <cellStyle name="Note 10 2 4 4" xfId="3462"/>
    <cellStyle name="Note 10 2 4 4 2" xfId="8741"/>
    <cellStyle name="Note 10 2 4 4 2 2" xfId="54974"/>
    <cellStyle name="Note 10 2 4 4 2 3" xfId="54975"/>
    <cellStyle name="Note 10 2 4 4 2 4" xfId="54976"/>
    <cellStyle name="Note 10 2 4 4 2 5" xfId="54977"/>
    <cellStyle name="Note 10 2 4 4 2 6" xfId="54978"/>
    <cellStyle name="Note 10 2 4 4 3" xfId="12675"/>
    <cellStyle name="Note 10 2 4 4 4" xfId="54979"/>
    <cellStyle name="Note 10 2 4 4 5" xfId="54980"/>
    <cellStyle name="Note 10 2 4 4 6" xfId="54981"/>
    <cellStyle name="Note 10 2 4 4 7" xfId="54982"/>
    <cellStyle name="Note 10 2 4 4 8" xfId="54983"/>
    <cellStyle name="Note 10 2 4 5" xfId="3463"/>
    <cellStyle name="Note 10 2 4 5 2" xfId="8742"/>
    <cellStyle name="Note 10 2 4 5 2 2" xfId="54984"/>
    <cellStyle name="Note 10 2 4 5 2 3" xfId="54985"/>
    <cellStyle name="Note 10 2 4 5 2 4" xfId="54986"/>
    <cellStyle name="Note 10 2 4 5 2 5" xfId="54987"/>
    <cellStyle name="Note 10 2 4 5 2 6" xfId="54988"/>
    <cellStyle name="Note 10 2 4 5 3" xfId="12676"/>
    <cellStyle name="Note 10 2 4 5 4" xfId="54989"/>
    <cellStyle name="Note 10 2 4 5 5" xfId="54990"/>
    <cellStyle name="Note 10 2 4 5 6" xfId="54991"/>
    <cellStyle name="Note 10 2 4 5 7" xfId="54992"/>
    <cellStyle name="Note 10 2 4 5 8" xfId="54993"/>
    <cellStyle name="Note 10 2 4 6" xfId="3464"/>
    <cellStyle name="Note 10 2 4 6 2" xfId="8743"/>
    <cellStyle name="Note 10 2 4 6 2 2" xfId="54994"/>
    <cellStyle name="Note 10 2 4 6 2 3" xfId="54995"/>
    <cellStyle name="Note 10 2 4 6 2 4" xfId="54996"/>
    <cellStyle name="Note 10 2 4 6 2 5" xfId="54997"/>
    <cellStyle name="Note 10 2 4 6 2 6" xfId="54998"/>
    <cellStyle name="Note 10 2 4 6 3" xfId="12677"/>
    <cellStyle name="Note 10 2 4 6 4" xfId="54999"/>
    <cellStyle name="Note 10 2 4 6 5" xfId="55000"/>
    <cellStyle name="Note 10 2 4 6 6" xfId="55001"/>
    <cellStyle name="Note 10 2 4 6 7" xfId="55002"/>
    <cellStyle name="Note 10 2 4 6 8" xfId="55003"/>
    <cellStyle name="Note 10 2 4 7" xfId="3465"/>
    <cellStyle name="Note 10 2 4 7 2" xfId="8744"/>
    <cellStyle name="Note 10 2 4 7 2 2" xfId="55004"/>
    <cellStyle name="Note 10 2 4 7 2 3" xfId="55005"/>
    <cellStyle name="Note 10 2 4 7 2 4" xfId="55006"/>
    <cellStyle name="Note 10 2 4 7 2 5" xfId="55007"/>
    <cellStyle name="Note 10 2 4 7 2 6" xfId="55008"/>
    <cellStyle name="Note 10 2 4 7 3" xfId="12678"/>
    <cellStyle name="Note 10 2 4 7 4" xfId="55009"/>
    <cellStyle name="Note 10 2 4 7 5" xfId="55010"/>
    <cellStyle name="Note 10 2 4 7 6" xfId="55011"/>
    <cellStyle name="Note 10 2 4 7 7" xfId="55012"/>
    <cellStyle name="Note 10 2 4 7 8" xfId="55013"/>
    <cellStyle name="Note 10 2 4 8" xfId="3466"/>
    <cellStyle name="Note 10 2 4 8 2" xfId="8745"/>
    <cellStyle name="Note 10 2 4 8 2 2" xfId="55014"/>
    <cellStyle name="Note 10 2 4 8 2 3" xfId="55015"/>
    <cellStyle name="Note 10 2 4 8 2 4" xfId="55016"/>
    <cellStyle name="Note 10 2 4 8 2 5" xfId="55017"/>
    <cellStyle name="Note 10 2 4 8 2 6" xfId="55018"/>
    <cellStyle name="Note 10 2 4 8 3" xfId="12679"/>
    <cellStyle name="Note 10 2 4 8 4" xfId="55019"/>
    <cellStyle name="Note 10 2 4 8 5" xfId="55020"/>
    <cellStyle name="Note 10 2 4 8 6" xfId="55021"/>
    <cellStyle name="Note 10 2 4 8 7" xfId="55022"/>
    <cellStyle name="Note 10 2 4 8 8" xfId="55023"/>
    <cellStyle name="Note 10 2 4 9" xfId="3467"/>
    <cellStyle name="Note 10 2 4 9 2" xfId="8746"/>
    <cellStyle name="Note 10 2 4 9 2 2" xfId="55024"/>
    <cellStyle name="Note 10 2 4 9 2 3" xfId="55025"/>
    <cellStyle name="Note 10 2 4 9 2 4" xfId="55026"/>
    <cellStyle name="Note 10 2 4 9 2 5" xfId="55027"/>
    <cellStyle name="Note 10 2 4 9 2 6" xfId="55028"/>
    <cellStyle name="Note 10 2 4 9 3" xfId="12680"/>
    <cellStyle name="Note 10 2 4 9 4" xfId="55029"/>
    <cellStyle name="Note 10 2 4 9 5" xfId="55030"/>
    <cellStyle name="Note 10 2 4 9 6" xfId="55031"/>
    <cellStyle name="Note 10 2 4 9 7" xfId="55032"/>
    <cellStyle name="Note 10 2 4 9 8" xfId="55033"/>
    <cellStyle name="Note 10 2 5" xfId="955"/>
    <cellStyle name="Note 10 2 5 10" xfId="2192"/>
    <cellStyle name="Note 10 2 5 10 2" xfId="7471"/>
    <cellStyle name="Note 10 2 5 10 2 2" xfId="55034"/>
    <cellStyle name="Note 10 2 5 10 2 3" xfId="55035"/>
    <cellStyle name="Note 10 2 5 10 2 4" xfId="55036"/>
    <cellStyle name="Note 10 2 5 10 2 5" xfId="55037"/>
    <cellStyle name="Note 10 2 5 10 3" xfId="11224"/>
    <cellStyle name="Note 10 2 5 10 4" xfId="55038"/>
    <cellStyle name="Note 10 2 5 10 5" xfId="55039"/>
    <cellStyle name="Note 10 2 5 10 6" xfId="55040"/>
    <cellStyle name="Note 10 2 5 10 7" xfId="55041"/>
    <cellStyle name="Note 10 2 5 11" xfId="6234"/>
    <cellStyle name="Note 10 2 5 11 2" xfId="55042"/>
    <cellStyle name="Note 10 2 5 11 3" xfId="55043"/>
    <cellStyle name="Note 10 2 5 11 4" xfId="55044"/>
    <cellStyle name="Note 10 2 5 11 5" xfId="55045"/>
    <cellStyle name="Note 10 2 5 12" xfId="55046"/>
    <cellStyle name="Note 10 2 5 13" xfId="55047"/>
    <cellStyle name="Note 10 2 5 2" xfId="1572"/>
    <cellStyle name="Note 10 2 5 2 2" xfId="2806"/>
    <cellStyle name="Note 10 2 5 2 2 2" xfId="8085"/>
    <cellStyle name="Note 10 2 5 2 2 2 2" xfId="55048"/>
    <cellStyle name="Note 10 2 5 2 2 2 3" xfId="55049"/>
    <cellStyle name="Note 10 2 5 2 2 2 4" xfId="55050"/>
    <cellStyle name="Note 10 2 5 2 2 2 5" xfId="55051"/>
    <cellStyle name="Note 10 2 5 2 2 3" xfId="12682"/>
    <cellStyle name="Note 10 2 5 2 2 4" xfId="55052"/>
    <cellStyle name="Note 10 2 5 2 2 5" xfId="55053"/>
    <cellStyle name="Note 10 2 5 2 2 6" xfId="55054"/>
    <cellStyle name="Note 10 2 5 2 2 7" xfId="55055"/>
    <cellStyle name="Note 10 2 5 2 3" xfId="6851"/>
    <cellStyle name="Note 10 2 5 2 3 2" xfId="55056"/>
    <cellStyle name="Note 10 2 5 2 3 3" xfId="55057"/>
    <cellStyle name="Note 10 2 5 2 3 4" xfId="55058"/>
    <cellStyle name="Note 10 2 5 2 3 5" xfId="55059"/>
    <cellStyle name="Note 10 2 5 2 3 6" xfId="55060"/>
    <cellStyle name="Note 10 2 5 2 4" xfId="12681"/>
    <cellStyle name="Note 10 2 5 2 5" xfId="55061"/>
    <cellStyle name="Note 10 2 5 3" xfId="3468"/>
    <cellStyle name="Note 10 2 5 3 2" xfId="8747"/>
    <cellStyle name="Note 10 2 5 3 2 2" xfId="55062"/>
    <cellStyle name="Note 10 2 5 3 2 3" xfId="55063"/>
    <cellStyle name="Note 10 2 5 3 2 4" xfId="55064"/>
    <cellStyle name="Note 10 2 5 3 2 5" xfId="55065"/>
    <cellStyle name="Note 10 2 5 3 2 6" xfId="55066"/>
    <cellStyle name="Note 10 2 5 3 3" xfId="12683"/>
    <cellStyle name="Note 10 2 5 3 4" xfId="55067"/>
    <cellStyle name="Note 10 2 5 3 5" xfId="55068"/>
    <cellStyle name="Note 10 2 5 3 6" xfId="55069"/>
    <cellStyle name="Note 10 2 5 3 7" xfId="55070"/>
    <cellStyle name="Note 10 2 5 3 8" xfId="55071"/>
    <cellStyle name="Note 10 2 5 4" xfId="3469"/>
    <cellStyle name="Note 10 2 5 4 2" xfId="8748"/>
    <cellStyle name="Note 10 2 5 4 2 2" xfId="55072"/>
    <cellStyle name="Note 10 2 5 4 2 3" xfId="55073"/>
    <cellStyle name="Note 10 2 5 4 2 4" xfId="55074"/>
    <cellStyle name="Note 10 2 5 4 2 5" xfId="55075"/>
    <cellStyle name="Note 10 2 5 4 2 6" xfId="55076"/>
    <cellStyle name="Note 10 2 5 4 3" xfId="12684"/>
    <cellStyle name="Note 10 2 5 4 4" xfId="55077"/>
    <cellStyle name="Note 10 2 5 4 5" xfId="55078"/>
    <cellStyle name="Note 10 2 5 4 6" xfId="55079"/>
    <cellStyle name="Note 10 2 5 4 7" xfId="55080"/>
    <cellStyle name="Note 10 2 5 4 8" xfId="55081"/>
    <cellStyle name="Note 10 2 5 5" xfId="3470"/>
    <cellStyle name="Note 10 2 5 5 2" xfId="8749"/>
    <cellStyle name="Note 10 2 5 5 2 2" xfId="55082"/>
    <cellStyle name="Note 10 2 5 5 2 3" xfId="55083"/>
    <cellStyle name="Note 10 2 5 5 2 4" xfId="55084"/>
    <cellStyle name="Note 10 2 5 5 2 5" xfId="55085"/>
    <cellStyle name="Note 10 2 5 5 2 6" xfId="55086"/>
    <cellStyle name="Note 10 2 5 5 3" xfId="12685"/>
    <cellStyle name="Note 10 2 5 5 4" xfId="55087"/>
    <cellStyle name="Note 10 2 5 5 5" xfId="55088"/>
    <cellStyle name="Note 10 2 5 5 6" xfId="55089"/>
    <cellStyle name="Note 10 2 5 5 7" xfId="55090"/>
    <cellStyle name="Note 10 2 5 5 8" xfId="55091"/>
    <cellStyle name="Note 10 2 5 6" xfId="3471"/>
    <cellStyle name="Note 10 2 5 6 2" xfId="8750"/>
    <cellStyle name="Note 10 2 5 6 2 2" xfId="55092"/>
    <cellStyle name="Note 10 2 5 6 2 3" xfId="55093"/>
    <cellStyle name="Note 10 2 5 6 2 4" xfId="55094"/>
    <cellStyle name="Note 10 2 5 6 2 5" xfId="55095"/>
    <cellStyle name="Note 10 2 5 6 2 6" xfId="55096"/>
    <cellStyle name="Note 10 2 5 6 3" xfId="12686"/>
    <cellStyle name="Note 10 2 5 6 4" xfId="55097"/>
    <cellStyle name="Note 10 2 5 6 5" xfId="55098"/>
    <cellStyle name="Note 10 2 5 6 6" xfId="55099"/>
    <cellStyle name="Note 10 2 5 6 7" xfId="55100"/>
    <cellStyle name="Note 10 2 5 6 8" xfId="55101"/>
    <cellStyle name="Note 10 2 5 7" xfId="3472"/>
    <cellStyle name="Note 10 2 5 7 2" xfId="8751"/>
    <cellStyle name="Note 10 2 5 7 2 2" xfId="55102"/>
    <cellStyle name="Note 10 2 5 7 2 3" xfId="55103"/>
    <cellStyle name="Note 10 2 5 7 2 4" xfId="55104"/>
    <cellStyle name="Note 10 2 5 7 2 5" xfId="55105"/>
    <cellStyle name="Note 10 2 5 7 2 6" xfId="55106"/>
    <cellStyle name="Note 10 2 5 7 3" xfId="12687"/>
    <cellStyle name="Note 10 2 5 7 4" xfId="55107"/>
    <cellStyle name="Note 10 2 5 7 5" xfId="55108"/>
    <cellStyle name="Note 10 2 5 7 6" xfId="55109"/>
    <cellStyle name="Note 10 2 5 7 7" xfId="55110"/>
    <cellStyle name="Note 10 2 5 7 8" xfId="55111"/>
    <cellStyle name="Note 10 2 5 8" xfId="3473"/>
    <cellStyle name="Note 10 2 5 8 2" xfId="8752"/>
    <cellStyle name="Note 10 2 5 8 2 2" xfId="55112"/>
    <cellStyle name="Note 10 2 5 8 2 3" xfId="55113"/>
    <cellStyle name="Note 10 2 5 8 2 4" xfId="55114"/>
    <cellStyle name="Note 10 2 5 8 2 5" xfId="55115"/>
    <cellStyle name="Note 10 2 5 8 2 6" xfId="55116"/>
    <cellStyle name="Note 10 2 5 8 3" xfId="12688"/>
    <cellStyle name="Note 10 2 5 8 4" xfId="55117"/>
    <cellStyle name="Note 10 2 5 8 5" xfId="55118"/>
    <cellStyle name="Note 10 2 5 8 6" xfId="55119"/>
    <cellStyle name="Note 10 2 5 8 7" xfId="55120"/>
    <cellStyle name="Note 10 2 5 8 8" xfId="55121"/>
    <cellStyle name="Note 10 2 5 9" xfId="3474"/>
    <cellStyle name="Note 10 2 5 9 2" xfId="8753"/>
    <cellStyle name="Note 10 2 5 9 2 2" xfId="55122"/>
    <cellStyle name="Note 10 2 5 9 2 3" xfId="55123"/>
    <cellStyle name="Note 10 2 5 9 2 4" xfId="55124"/>
    <cellStyle name="Note 10 2 5 9 2 5" xfId="55125"/>
    <cellStyle name="Note 10 2 5 9 2 6" xfId="55126"/>
    <cellStyle name="Note 10 2 5 9 3" xfId="12689"/>
    <cellStyle name="Note 10 2 5 9 4" xfId="55127"/>
    <cellStyle name="Note 10 2 5 9 5" xfId="55128"/>
    <cellStyle name="Note 10 2 5 9 6" xfId="55129"/>
    <cellStyle name="Note 10 2 5 9 7" xfId="55130"/>
    <cellStyle name="Note 10 2 5 9 8" xfId="55131"/>
    <cellStyle name="Note 10 2 6" xfId="956"/>
    <cellStyle name="Note 10 2 6 10" xfId="2193"/>
    <cellStyle name="Note 10 2 6 10 2" xfId="7472"/>
    <cellStyle name="Note 10 2 6 10 2 2" xfId="55132"/>
    <cellStyle name="Note 10 2 6 10 2 3" xfId="55133"/>
    <cellStyle name="Note 10 2 6 10 2 4" xfId="55134"/>
    <cellStyle name="Note 10 2 6 10 2 5" xfId="55135"/>
    <cellStyle name="Note 10 2 6 10 3" xfId="11225"/>
    <cellStyle name="Note 10 2 6 10 4" xfId="55136"/>
    <cellStyle name="Note 10 2 6 10 5" xfId="55137"/>
    <cellStyle name="Note 10 2 6 10 6" xfId="55138"/>
    <cellStyle name="Note 10 2 6 10 7" xfId="55139"/>
    <cellStyle name="Note 10 2 6 11" xfId="6235"/>
    <cellStyle name="Note 10 2 6 11 2" xfId="55140"/>
    <cellStyle name="Note 10 2 6 11 3" xfId="55141"/>
    <cellStyle name="Note 10 2 6 11 4" xfId="55142"/>
    <cellStyle name="Note 10 2 6 11 5" xfId="55143"/>
    <cellStyle name="Note 10 2 6 12" xfId="55144"/>
    <cellStyle name="Note 10 2 6 13" xfId="55145"/>
    <cellStyle name="Note 10 2 6 2" xfId="1573"/>
    <cellStyle name="Note 10 2 6 2 2" xfId="2807"/>
    <cellStyle name="Note 10 2 6 2 2 2" xfId="8086"/>
    <cellStyle name="Note 10 2 6 2 2 2 2" xfId="55146"/>
    <cellStyle name="Note 10 2 6 2 2 2 3" xfId="55147"/>
    <cellStyle name="Note 10 2 6 2 2 2 4" xfId="55148"/>
    <cellStyle name="Note 10 2 6 2 2 2 5" xfId="55149"/>
    <cellStyle name="Note 10 2 6 2 2 3" xfId="12691"/>
    <cellStyle name="Note 10 2 6 2 2 4" xfId="55150"/>
    <cellStyle name="Note 10 2 6 2 2 5" xfId="55151"/>
    <cellStyle name="Note 10 2 6 2 2 6" xfId="55152"/>
    <cellStyle name="Note 10 2 6 2 2 7" xfId="55153"/>
    <cellStyle name="Note 10 2 6 2 3" xfId="6852"/>
    <cellStyle name="Note 10 2 6 2 3 2" xfId="55154"/>
    <cellStyle name="Note 10 2 6 2 3 3" xfId="55155"/>
    <cellStyle name="Note 10 2 6 2 3 4" xfId="55156"/>
    <cellStyle name="Note 10 2 6 2 3 5" xfId="55157"/>
    <cellStyle name="Note 10 2 6 2 3 6" xfId="55158"/>
    <cellStyle name="Note 10 2 6 2 4" xfId="12690"/>
    <cellStyle name="Note 10 2 6 2 5" xfId="55159"/>
    <cellStyle name="Note 10 2 6 3" xfId="3475"/>
    <cellStyle name="Note 10 2 6 3 2" xfId="8754"/>
    <cellStyle name="Note 10 2 6 3 2 2" xfId="55160"/>
    <cellStyle name="Note 10 2 6 3 2 3" xfId="55161"/>
    <cellStyle name="Note 10 2 6 3 2 4" xfId="55162"/>
    <cellStyle name="Note 10 2 6 3 2 5" xfId="55163"/>
    <cellStyle name="Note 10 2 6 3 2 6" xfId="55164"/>
    <cellStyle name="Note 10 2 6 3 3" xfId="12692"/>
    <cellStyle name="Note 10 2 6 3 4" xfId="55165"/>
    <cellStyle name="Note 10 2 6 3 5" xfId="55166"/>
    <cellStyle name="Note 10 2 6 3 6" xfId="55167"/>
    <cellStyle name="Note 10 2 6 3 7" xfId="55168"/>
    <cellStyle name="Note 10 2 6 3 8" xfId="55169"/>
    <cellStyle name="Note 10 2 6 4" xfId="3476"/>
    <cellStyle name="Note 10 2 6 4 2" xfId="8755"/>
    <cellStyle name="Note 10 2 6 4 2 2" xfId="55170"/>
    <cellStyle name="Note 10 2 6 4 2 3" xfId="55171"/>
    <cellStyle name="Note 10 2 6 4 2 4" xfId="55172"/>
    <cellStyle name="Note 10 2 6 4 2 5" xfId="55173"/>
    <cellStyle name="Note 10 2 6 4 2 6" xfId="55174"/>
    <cellStyle name="Note 10 2 6 4 3" xfId="12693"/>
    <cellStyle name="Note 10 2 6 4 4" xfId="55175"/>
    <cellStyle name="Note 10 2 6 4 5" xfId="55176"/>
    <cellStyle name="Note 10 2 6 4 6" xfId="55177"/>
    <cellStyle name="Note 10 2 6 4 7" xfId="55178"/>
    <cellStyle name="Note 10 2 6 4 8" xfId="55179"/>
    <cellStyle name="Note 10 2 6 5" xfId="3477"/>
    <cellStyle name="Note 10 2 6 5 2" xfId="8756"/>
    <cellStyle name="Note 10 2 6 5 2 2" xfId="55180"/>
    <cellStyle name="Note 10 2 6 5 2 3" xfId="55181"/>
    <cellStyle name="Note 10 2 6 5 2 4" xfId="55182"/>
    <cellStyle name="Note 10 2 6 5 2 5" xfId="55183"/>
    <cellStyle name="Note 10 2 6 5 2 6" xfId="55184"/>
    <cellStyle name="Note 10 2 6 5 3" xfId="12694"/>
    <cellStyle name="Note 10 2 6 5 4" xfId="55185"/>
    <cellStyle name="Note 10 2 6 5 5" xfId="55186"/>
    <cellStyle name="Note 10 2 6 5 6" xfId="55187"/>
    <cellStyle name="Note 10 2 6 5 7" xfId="55188"/>
    <cellStyle name="Note 10 2 6 5 8" xfId="55189"/>
    <cellStyle name="Note 10 2 6 6" xfId="3478"/>
    <cellStyle name="Note 10 2 6 6 2" xfId="8757"/>
    <cellStyle name="Note 10 2 6 6 2 2" xfId="55190"/>
    <cellStyle name="Note 10 2 6 6 2 3" xfId="55191"/>
    <cellStyle name="Note 10 2 6 6 2 4" xfId="55192"/>
    <cellStyle name="Note 10 2 6 6 2 5" xfId="55193"/>
    <cellStyle name="Note 10 2 6 6 2 6" xfId="55194"/>
    <cellStyle name="Note 10 2 6 6 3" xfId="12695"/>
    <cellStyle name="Note 10 2 6 6 4" xfId="55195"/>
    <cellStyle name="Note 10 2 6 6 5" xfId="55196"/>
    <cellStyle name="Note 10 2 6 6 6" xfId="55197"/>
    <cellStyle name="Note 10 2 6 6 7" xfId="55198"/>
    <cellStyle name="Note 10 2 6 6 8" xfId="55199"/>
    <cellStyle name="Note 10 2 6 7" xfId="3479"/>
    <cellStyle name="Note 10 2 6 7 2" xfId="8758"/>
    <cellStyle name="Note 10 2 6 7 2 2" xfId="55200"/>
    <cellStyle name="Note 10 2 6 7 2 3" xfId="55201"/>
    <cellStyle name="Note 10 2 6 7 2 4" xfId="55202"/>
    <cellStyle name="Note 10 2 6 7 2 5" xfId="55203"/>
    <cellStyle name="Note 10 2 6 7 2 6" xfId="55204"/>
    <cellStyle name="Note 10 2 6 7 3" xfId="12696"/>
    <cellStyle name="Note 10 2 6 7 4" xfId="55205"/>
    <cellStyle name="Note 10 2 6 7 5" xfId="55206"/>
    <cellStyle name="Note 10 2 6 7 6" xfId="55207"/>
    <cellStyle name="Note 10 2 6 7 7" xfId="55208"/>
    <cellStyle name="Note 10 2 6 7 8" xfId="55209"/>
    <cellStyle name="Note 10 2 6 8" xfId="3480"/>
    <cellStyle name="Note 10 2 6 8 2" xfId="8759"/>
    <cellStyle name="Note 10 2 6 8 2 2" xfId="55210"/>
    <cellStyle name="Note 10 2 6 8 2 3" xfId="55211"/>
    <cellStyle name="Note 10 2 6 8 2 4" xfId="55212"/>
    <cellStyle name="Note 10 2 6 8 2 5" xfId="55213"/>
    <cellStyle name="Note 10 2 6 8 2 6" xfId="55214"/>
    <cellStyle name="Note 10 2 6 8 3" xfId="12697"/>
    <cellStyle name="Note 10 2 6 8 4" xfId="55215"/>
    <cellStyle name="Note 10 2 6 8 5" xfId="55216"/>
    <cellStyle name="Note 10 2 6 8 6" xfId="55217"/>
    <cellStyle name="Note 10 2 6 8 7" xfId="55218"/>
    <cellStyle name="Note 10 2 6 8 8" xfId="55219"/>
    <cellStyle name="Note 10 2 6 9" xfId="3481"/>
    <cellStyle name="Note 10 2 6 9 2" xfId="8760"/>
    <cellStyle name="Note 10 2 6 9 2 2" xfId="55220"/>
    <cellStyle name="Note 10 2 6 9 2 3" xfId="55221"/>
    <cellStyle name="Note 10 2 6 9 2 4" xfId="55222"/>
    <cellStyle name="Note 10 2 6 9 2 5" xfId="55223"/>
    <cellStyle name="Note 10 2 6 9 2 6" xfId="55224"/>
    <cellStyle name="Note 10 2 6 9 3" xfId="12698"/>
    <cellStyle name="Note 10 2 6 9 4" xfId="55225"/>
    <cellStyle name="Note 10 2 6 9 5" xfId="55226"/>
    <cellStyle name="Note 10 2 6 9 6" xfId="55227"/>
    <cellStyle name="Note 10 2 6 9 7" xfId="55228"/>
    <cellStyle name="Note 10 2 6 9 8" xfId="55229"/>
    <cellStyle name="Note 10 2 7" xfId="957"/>
    <cellStyle name="Note 10 2 7 10" xfId="2194"/>
    <cellStyle name="Note 10 2 7 10 2" xfId="7473"/>
    <cellStyle name="Note 10 2 7 10 2 2" xfId="55230"/>
    <cellStyle name="Note 10 2 7 10 2 3" xfId="55231"/>
    <cellStyle name="Note 10 2 7 10 2 4" xfId="55232"/>
    <cellStyle name="Note 10 2 7 10 2 5" xfId="55233"/>
    <cellStyle name="Note 10 2 7 10 3" xfId="11226"/>
    <cellStyle name="Note 10 2 7 10 4" xfId="55234"/>
    <cellStyle name="Note 10 2 7 10 5" xfId="55235"/>
    <cellStyle name="Note 10 2 7 10 6" xfId="55236"/>
    <cellStyle name="Note 10 2 7 10 7" xfId="55237"/>
    <cellStyle name="Note 10 2 7 11" xfId="6236"/>
    <cellStyle name="Note 10 2 7 11 2" xfId="55238"/>
    <cellStyle name="Note 10 2 7 11 3" xfId="55239"/>
    <cellStyle name="Note 10 2 7 11 4" xfId="55240"/>
    <cellStyle name="Note 10 2 7 11 5" xfId="55241"/>
    <cellStyle name="Note 10 2 7 12" xfId="55242"/>
    <cellStyle name="Note 10 2 7 13" xfId="55243"/>
    <cellStyle name="Note 10 2 7 2" xfId="1574"/>
    <cellStyle name="Note 10 2 7 2 2" xfId="2808"/>
    <cellStyle name="Note 10 2 7 2 2 2" xfId="8087"/>
    <cellStyle name="Note 10 2 7 2 2 2 2" xfId="55244"/>
    <cellStyle name="Note 10 2 7 2 2 2 3" xfId="55245"/>
    <cellStyle name="Note 10 2 7 2 2 2 4" xfId="55246"/>
    <cellStyle name="Note 10 2 7 2 2 2 5" xfId="55247"/>
    <cellStyle name="Note 10 2 7 2 2 3" xfId="12700"/>
    <cellStyle name="Note 10 2 7 2 2 4" xfId="55248"/>
    <cellStyle name="Note 10 2 7 2 2 5" xfId="55249"/>
    <cellStyle name="Note 10 2 7 2 2 6" xfId="55250"/>
    <cellStyle name="Note 10 2 7 2 2 7" xfId="55251"/>
    <cellStyle name="Note 10 2 7 2 3" xfId="6853"/>
    <cellStyle name="Note 10 2 7 2 3 2" xfId="55252"/>
    <cellStyle name="Note 10 2 7 2 3 3" xfId="55253"/>
    <cellStyle name="Note 10 2 7 2 3 4" xfId="55254"/>
    <cellStyle name="Note 10 2 7 2 3 5" xfId="55255"/>
    <cellStyle name="Note 10 2 7 2 3 6" xfId="55256"/>
    <cellStyle name="Note 10 2 7 2 4" xfId="12699"/>
    <cellStyle name="Note 10 2 7 2 5" xfId="55257"/>
    <cellStyle name="Note 10 2 7 3" xfId="3482"/>
    <cellStyle name="Note 10 2 7 3 2" xfId="8761"/>
    <cellStyle name="Note 10 2 7 3 2 2" xfId="55258"/>
    <cellStyle name="Note 10 2 7 3 2 3" xfId="55259"/>
    <cellStyle name="Note 10 2 7 3 2 4" xfId="55260"/>
    <cellStyle name="Note 10 2 7 3 2 5" xfId="55261"/>
    <cellStyle name="Note 10 2 7 3 2 6" xfId="55262"/>
    <cellStyle name="Note 10 2 7 3 3" xfId="12701"/>
    <cellStyle name="Note 10 2 7 3 4" xfId="55263"/>
    <cellStyle name="Note 10 2 7 3 5" xfId="55264"/>
    <cellStyle name="Note 10 2 7 3 6" xfId="55265"/>
    <cellStyle name="Note 10 2 7 3 7" xfId="55266"/>
    <cellStyle name="Note 10 2 7 3 8" xfId="55267"/>
    <cellStyle name="Note 10 2 7 4" xfId="3483"/>
    <cellStyle name="Note 10 2 7 4 2" xfId="8762"/>
    <cellStyle name="Note 10 2 7 4 2 2" xfId="55268"/>
    <cellStyle name="Note 10 2 7 4 2 3" xfId="55269"/>
    <cellStyle name="Note 10 2 7 4 2 4" xfId="55270"/>
    <cellStyle name="Note 10 2 7 4 2 5" xfId="55271"/>
    <cellStyle name="Note 10 2 7 4 2 6" xfId="55272"/>
    <cellStyle name="Note 10 2 7 4 3" xfId="12702"/>
    <cellStyle name="Note 10 2 7 4 4" xfId="55273"/>
    <cellStyle name="Note 10 2 7 4 5" xfId="55274"/>
    <cellStyle name="Note 10 2 7 4 6" xfId="55275"/>
    <cellStyle name="Note 10 2 7 4 7" xfId="55276"/>
    <cellStyle name="Note 10 2 7 4 8" xfId="55277"/>
    <cellStyle name="Note 10 2 7 5" xfId="3484"/>
    <cellStyle name="Note 10 2 7 5 2" xfId="8763"/>
    <cellStyle name="Note 10 2 7 5 2 2" xfId="55278"/>
    <cellStyle name="Note 10 2 7 5 2 3" xfId="55279"/>
    <cellStyle name="Note 10 2 7 5 2 4" xfId="55280"/>
    <cellStyle name="Note 10 2 7 5 2 5" xfId="55281"/>
    <cellStyle name="Note 10 2 7 5 2 6" xfId="55282"/>
    <cellStyle name="Note 10 2 7 5 3" xfId="12703"/>
    <cellStyle name="Note 10 2 7 5 4" xfId="55283"/>
    <cellStyle name="Note 10 2 7 5 5" xfId="55284"/>
    <cellStyle name="Note 10 2 7 5 6" xfId="55285"/>
    <cellStyle name="Note 10 2 7 5 7" xfId="55286"/>
    <cellStyle name="Note 10 2 7 5 8" xfId="55287"/>
    <cellStyle name="Note 10 2 7 6" xfId="3485"/>
    <cellStyle name="Note 10 2 7 6 2" xfId="8764"/>
    <cellStyle name="Note 10 2 7 6 2 2" xfId="55288"/>
    <cellStyle name="Note 10 2 7 6 2 3" xfId="55289"/>
    <cellStyle name="Note 10 2 7 6 2 4" xfId="55290"/>
    <cellStyle name="Note 10 2 7 6 2 5" xfId="55291"/>
    <cellStyle name="Note 10 2 7 6 2 6" xfId="55292"/>
    <cellStyle name="Note 10 2 7 6 3" xfId="12704"/>
    <cellStyle name="Note 10 2 7 6 4" xfId="55293"/>
    <cellStyle name="Note 10 2 7 6 5" xfId="55294"/>
    <cellStyle name="Note 10 2 7 6 6" xfId="55295"/>
    <cellStyle name="Note 10 2 7 6 7" xfId="55296"/>
    <cellStyle name="Note 10 2 7 6 8" xfId="55297"/>
    <cellStyle name="Note 10 2 7 7" xfId="3486"/>
    <cellStyle name="Note 10 2 7 7 2" xfId="8765"/>
    <cellStyle name="Note 10 2 7 7 2 2" xfId="55298"/>
    <cellStyle name="Note 10 2 7 7 2 3" xfId="55299"/>
    <cellStyle name="Note 10 2 7 7 2 4" xfId="55300"/>
    <cellStyle name="Note 10 2 7 7 2 5" xfId="55301"/>
    <cellStyle name="Note 10 2 7 7 2 6" xfId="55302"/>
    <cellStyle name="Note 10 2 7 7 3" xfId="12705"/>
    <cellStyle name="Note 10 2 7 7 4" xfId="55303"/>
    <cellStyle name="Note 10 2 7 7 5" xfId="55304"/>
    <cellStyle name="Note 10 2 7 7 6" xfId="55305"/>
    <cellStyle name="Note 10 2 7 7 7" xfId="55306"/>
    <cellStyle name="Note 10 2 7 7 8" xfId="55307"/>
    <cellStyle name="Note 10 2 7 8" xfId="3487"/>
    <cellStyle name="Note 10 2 7 8 2" xfId="8766"/>
    <cellStyle name="Note 10 2 7 8 2 2" xfId="55308"/>
    <cellStyle name="Note 10 2 7 8 2 3" xfId="55309"/>
    <cellStyle name="Note 10 2 7 8 2 4" xfId="55310"/>
    <cellStyle name="Note 10 2 7 8 2 5" xfId="55311"/>
    <cellStyle name="Note 10 2 7 8 2 6" xfId="55312"/>
    <cellStyle name="Note 10 2 7 8 3" xfId="12706"/>
    <cellStyle name="Note 10 2 7 8 4" xfId="55313"/>
    <cellStyle name="Note 10 2 7 8 5" xfId="55314"/>
    <cellStyle name="Note 10 2 7 8 6" xfId="55315"/>
    <cellStyle name="Note 10 2 7 8 7" xfId="55316"/>
    <cellStyle name="Note 10 2 7 8 8" xfId="55317"/>
    <cellStyle name="Note 10 2 7 9" xfId="3488"/>
    <cellStyle name="Note 10 2 7 9 2" xfId="8767"/>
    <cellStyle name="Note 10 2 7 9 2 2" xfId="55318"/>
    <cellStyle name="Note 10 2 7 9 2 3" xfId="55319"/>
    <cellStyle name="Note 10 2 7 9 2 4" xfId="55320"/>
    <cellStyle name="Note 10 2 7 9 2 5" xfId="55321"/>
    <cellStyle name="Note 10 2 7 9 2 6" xfId="55322"/>
    <cellStyle name="Note 10 2 7 9 3" xfId="12707"/>
    <cellStyle name="Note 10 2 7 9 4" xfId="55323"/>
    <cellStyle name="Note 10 2 7 9 5" xfId="55324"/>
    <cellStyle name="Note 10 2 7 9 6" xfId="55325"/>
    <cellStyle name="Note 10 2 7 9 7" xfId="55326"/>
    <cellStyle name="Note 10 2 7 9 8" xfId="55327"/>
    <cellStyle name="Note 10 2 8" xfId="1267"/>
    <cellStyle name="Note 10 2 8 2" xfId="2501"/>
    <cellStyle name="Note 10 2 8 2 2" xfId="7780"/>
    <cellStyle name="Note 10 2 8 2 2 2" xfId="55328"/>
    <cellStyle name="Note 10 2 8 2 2 3" xfId="55329"/>
    <cellStyle name="Note 10 2 8 2 2 4" xfId="55330"/>
    <cellStyle name="Note 10 2 8 2 2 5" xfId="55331"/>
    <cellStyle name="Note 10 2 8 2 3" xfId="12709"/>
    <cellStyle name="Note 10 2 8 2 4" xfId="55332"/>
    <cellStyle name="Note 10 2 8 2 5" xfId="55333"/>
    <cellStyle name="Note 10 2 8 2 6" xfId="55334"/>
    <cellStyle name="Note 10 2 8 2 7" xfId="55335"/>
    <cellStyle name="Note 10 2 8 3" xfId="6546"/>
    <cellStyle name="Note 10 2 8 3 2" xfId="55336"/>
    <cellStyle name="Note 10 2 8 3 3" xfId="55337"/>
    <cellStyle name="Note 10 2 8 3 4" xfId="55338"/>
    <cellStyle name="Note 10 2 8 3 5" xfId="55339"/>
    <cellStyle name="Note 10 2 8 3 6" xfId="55340"/>
    <cellStyle name="Note 10 2 8 4" xfId="12708"/>
    <cellStyle name="Note 10 2 8 5" xfId="55341"/>
    <cellStyle name="Note 10 2 9" xfId="3489"/>
    <cellStyle name="Note 10 2 9 2" xfId="8768"/>
    <cellStyle name="Note 10 2 9 2 2" xfId="55342"/>
    <cellStyle name="Note 10 2 9 2 3" xfId="55343"/>
    <cellStyle name="Note 10 2 9 2 4" xfId="55344"/>
    <cellStyle name="Note 10 2 9 2 5" xfId="55345"/>
    <cellStyle name="Note 10 2 9 2 6" xfId="55346"/>
    <cellStyle name="Note 10 2 9 3" xfId="12710"/>
    <cellStyle name="Note 10 2 9 4" xfId="55347"/>
    <cellStyle name="Note 10 2 9 5" xfId="55348"/>
    <cellStyle name="Note 10 2 9 6" xfId="55349"/>
    <cellStyle name="Note 10 2 9 7" xfId="55350"/>
    <cellStyle name="Note 10 2 9 8" xfId="55351"/>
    <cellStyle name="Note 10 3" xfId="580"/>
    <cellStyle name="Note 10 3 10" xfId="3490"/>
    <cellStyle name="Note 10 3 10 2" xfId="8769"/>
    <cellStyle name="Note 10 3 10 2 2" xfId="55352"/>
    <cellStyle name="Note 10 3 10 2 3" xfId="55353"/>
    <cellStyle name="Note 10 3 10 2 4" xfId="55354"/>
    <cellStyle name="Note 10 3 10 2 5" xfId="55355"/>
    <cellStyle name="Note 10 3 10 2 6" xfId="55356"/>
    <cellStyle name="Note 10 3 10 3" xfId="12711"/>
    <cellStyle name="Note 10 3 10 4" xfId="55357"/>
    <cellStyle name="Note 10 3 10 5" xfId="55358"/>
    <cellStyle name="Note 10 3 10 6" xfId="55359"/>
    <cellStyle name="Note 10 3 10 7" xfId="55360"/>
    <cellStyle name="Note 10 3 10 8" xfId="55361"/>
    <cellStyle name="Note 10 3 11" xfId="3491"/>
    <cellStyle name="Note 10 3 11 2" xfId="8770"/>
    <cellStyle name="Note 10 3 11 2 2" xfId="55362"/>
    <cellStyle name="Note 10 3 11 2 3" xfId="55363"/>
    <cellStyle name="Note 10 3 11 2 4" xfId="55364"/>
    <cellStyle name="Note 10 3 11 2 5" xfId="55365"/>
    <cellStyle name="Note 10 3 11 2 6" xfId="55366"/>
    <cellStyle name="Note 10 3 11 3" xfId="12712"/>
    <cellStyle name="Note 10 3 11 4" xfId="55367"/>
    <cellStyle name="Note 10 3 11 5" xfId="55368"/>
    <cellStyle name="Note 10 3 11 6" xfId="55369"/>
    <cellStyle name="Note 10 3 11 7" xfId="55370"/>
    <cellStyle name="Note 10 3 11 8" xfId="55371"/>
    <cellStyle name="Note 10 3 12" xfId="3492"/>
    <cellStyle name="Note 10 3 12 2" xfId="8771"/>
    <cellStyle name="Note 10 3 12 2 2" xfId="55372"/>
    <cellStyle name="Note 10 3 12 2 3" xfId="55373"/>
    <cellStyle name="Note 10 3 12 2 4" xfId="55374"/>
    <cellStyle name="Note 10 3 12 2 5" xfId="55375"/>
    <cellStyle name="Note 10 3 12 2 6" xfId="55376"/>
    <cellStyle name="Note 10 3 12 3" xfId="12713"/>
    <cellStyle name="Note 10 3 12 4" xfId="55377"/>
    <cellStyle name="Note 10 3 12 5" xfId="55378"/>
    <cellStyle name="Note 10 3 12 6" xfId="55379"/>
    <cellStyle name="Note 10 3 12 7" xfId="55380"/>
    <cellStyle name="Note 10 3 12 8" xfId="55381"/>
    <cellStyle name="Note 10 3 13" xfId="1956"/>
    <cellStyle name="Note 10 3 13 2" xfId="7235"/>
    <cellStyle name="Note 10 3 13 2 2" xfId="55382"/>
    <cellStyle name="Note 10 3 13 2 3" xfId="55383"/>
    <cellStyle name="Note 10 3 13 2 4" xfId="55384"/>
    <cellStyle name="Note 10 3 13 2 5" xfId="55385"/>
    <cellStyle name="Note 10 3 13 3" xfId="11227"/>
    <cellStyle name="Note 10 3 13 4" xfId="55386"/>
    <cellStyle name="Note 10 3 13 5" xfId="55387"/>
    <cellStyle name="Note 10 3 13 6" xfId="55388"/>
    <cellStyle name="Note 10 3 14" xfId="5931"/>
    <cellStyle name="Note 10 3 14 2" xfId="55389"/>
    <cellStyle name="Note 10 3 14 3" xfId="55390"/>
    <cellStyle name="Note 10 3 14 4" xfId="55391"/>
    <cellStyle name="Note 10 3 14 5" xfId="55392"/>
    <cellStyle name="Note 10 3 15" xfId="55393"/>
    <cellStyle name="Note 10 3 16" xfId="55394"/>
    <cellStyle name="Note 10 3 2" xfId="581"/>
    <cellStyle name="Note 10 3 2 10" xfId="3493"/>
    <cellStyle name="Note 10 3 2 10 2" xfId="8772"/>
    <cellStyle name="Note 10 3 2 10 2 2" xfId="55395"/>
    <cellStyle name="Note 10 3 2 10 2 3" xfId="55396"/>
    <cellStyle name="Note 10 3 2 10 2 4" xfId="55397"/>
    <cellStyle name="Note 10 3 2 10 2 5" xfId="55398"/>
    <cellStyle name="Note 10 3 2 10 2 6" xfId="55399"/>
    <cellStyle name="Note 10 3 2 10 3" xfId="12714"/>
    <cellStyle name="Note 10 3 2 10 4" xfId="55400"/>
    <cellStyle name="Note 10 3 2 10 5" xfId="55401"/>
    <cellStyle name="Note 10 3 2 10 6" xfId="55402"/>
    <cellStyle name="Note 10 3 2 10 7" xfId="55403"/>
    <cellStyle name="Note 10 3 2 10 8" xfId="55404"/>
    <cellStyle name="Note 10 3 2 11" xfId="3494"/>
    <cellStyle name="Note 10 3 2 11 2" xfId="8773"/>
    <cellStyle name="Note 10 3 2 11 2 2" xfId="55405"/>
    <cellStyle name="Note 10 3 2 11 2 3" xfId="55406"/>
    <cellStyle name="Note 10 3 2 11 2 4" xfId="55407"/>
    <cellStyle name="Note 10 3 2 11 2 5" xfId="55408"/>
    <cellStyle name="Note 10 3 2 11 2 6" xfId="55409"/>
    <cellStyle name="Note 10 3 2 11 3" xfId="12715"/>
    <cellStyle name="Note 10 3 2 11 4" xfId="55410"/>
    <cellStyle name="Note 10 3 2 11 5" xfId="55411"/>
    <cellStyle name="Note 10 3 2 11 6" xfId="55412"/>
    <cellStyle name="Note 10 3 2 11 7" xfId="55413"/>
    <cellStyle name="Note 10 3 2 11 8" xfId="55414"/>
    <cellStyle name="Note 10 3 2 12" xfId="1957"/>
    <cellStyle name="Note 10 3 2 12 2" xfId="7236"/>
    <cellStyle name="Note 10 3 2 12 2 2" xfId="55415"/>
    <cellStyle name="Note 10 3 2 12 2 3" xfId="55416"/>
    <cellStyle name="Note 10 3 2 12 2 4" xfId="55417"/>
    <cellStyle name="Note 10 3 2 12 2 5" xfId="55418"/>
    <cellStyle name="Note 10 3 2 12 3" xfId="11228"/>
    <cellStyle name="Note 10 3 2 12 4" xfId="55419"/>
    <cellStyle name="Note 10 3 2 12 5" xfId="55420"/>
    <cellStyle name="Note 10 3 2 12 6" xfId="55421"/>
    <cellStyle name="Note 10 3 2 13" xfId="5932"/>
    <cellStyle name="Note 10 3 2 13 2" xfId="55422"/>
    <cellStyle name="Note 10 3 2 13 3" xfId="55423"/>
    <cellStyle name="Note 10 3 2 13 4" xfId="55424"/>
    <cellStyle name="Note 10 3 2 13 5" xfId="55425"/>
    <cellStyle name="Note 10 3 2 14" xfId="55426"/>
    <cellStyle name="Note 10 3 2 15" xfId="55427"/>
    <cellStyle name="Note 10 3 2 2" xfId="789"/>
    <cellStyle name="Note 10 3 2 2 10" xfId="55428"/>
    <cellStyle name="Note 10 3 2 2 11" xfId="55429"/>
    <cellStyle name="Note 10 3 2 2 2" xfId="1416"/>
    <cellStyle name="Note 10 3 2 2 2 2" xfId="2650"/>
    <cellStyle name="Note 10 3 2 2 2 2 2" xfId="7929"/>
    <cellStyle name="Note 10 3 2 2 2 2 2 2" xfId="55430"/>
    <cellStyle name="Note 10 3 2 2 2 2 2 3" xfId="55431"/>
    <cellStyle name="Note 10 3 2 2 2 2 2 4" xfId="55432"/>
    <cellStyle name="Note 10 3 2 2 2 2 2 5" xfId="55433"/>
    <cellStyle name="Note 10 3 2 2 2 2 3" xfId="12718"/>
    <cellStyle name="Note 10 3 2 2 2 2 4" xfId="55434"/>
    <cellStyle name="Note 10 3 2 2 2 2 5" xfId="55435"/>
    <cellStyle name="Note 10 3 2 2 2 2 6" xfId="55436"/>
    <cellStyle name="Note 10 3 2 2 2 2 7" xfId="55437"/>
    <cellStyle name="Note 10 3 2 2 2 3" xfId="6695"/>
    <cellStyle name="Note 10 3 2 2 2 3 2" xfId="55438"/>
    <cellStyle name="Note 10 3 2 2 2 3 3" xfId="55439"/>
    <cellStyle name="Note 10 3 2 2 2 3 4" xfId="55440"/>
    <cellStyle name="Note 10 3 2 2 2 3 5" xfId="55441"/>
    <cellStyle name="Note 10 3 2 2 2 3 6" xfId="55442"/>
    <cellStyle name="Note 10 3 2 2 2 4" xfId="12717"/>
    <cellStyle name="Note 10 3 2 2 2 5" xfId="55443"/>
    <cellStyle name="Note 10 3 2 2 3" xfId="1893"/>
    <cellStyle name="Note 10 3 2 2 3 2" xfId="3127"/>
    <cellStyle name="Note 10 3 2 2 3 2 2" xfId="8406"/>
    <cellStyle name="Note 10 3 2 2 3 2 2 2" xfId="55444"/>
    <cellStyle name="Note 10 3 2 2 3 2 2 3" xfId="55445"/>
    <cellStyle name="Note 10 3 2 2 3 2 2 4" xfId="55446"/>
    <cellStyle name="Note 10 3 2 2 3 2 2 5" xfId="55447"/>
    <cellStyle name="Note 10 3 2 2 3 2 3" xfId="12720"/>
    <cellStyle name="Note 10 3 2 2 3 2 4" xfId="55448"/>
    <cellStyle name="Note 10 3 2 2 3 2 5" xfId="55449"/>
    <cellStyle name="Note 10 3 2 2 3 2 6" xfId="55450"/>
    <cellStyle name="Note 10 3 2 2 3 2 7" xfId="55451"/>
    <cellStyle name="Note 10 3 2 2 3 3" xfId="7172"/>
    <cellStyle name="Note 10 3 2 2 3 3 2" xfId="55452"/>
    <cellStyle name="Note 10 3 2 2 3 3 3" xfId="55453"/>
    <cellStyle name="Note 10 3 2 2 3 3 4" xfId="55454"/>
    <cellStyle name="Note 10 3 2 2 3 3 5" xfId="55455"/>
    <cellStyle name="Note 10 3 2 2 3 3 6" xfId="55456"/>
    <cellStyle name="Note 10 3 2 2 3 4" xfId="12719"/>
    <cellStyle name="Note 10 3 2 2 3 5" xfId="55457"/>
    <cellStyle name="Note 10 3 2 2 4" xfId="3495"/>
    <cellStyle name="Note 10 3 2 2 4 2" xfId="8774"/>
    <cellStyle name="Note 10 3 2 2 4 2 2" xfId="55458"/>
    <cellStyle name="Note 10 3 2 2 4 2 3" xfId="55459"/>
    <cellStyle name="Note 10 3 2 2 4 2 4" xfId="55460"/>
    <cellStyle name="Note 10 3 2 2 4 2 5" xfId="55461"/>
    <cellStyle name="Note 10 3 2 2 4 2 6" xfId="55462"/>
    <cellStyle name="Note 10 3 2 2 4 3" xfId="12721"/>
    <cellStyle name="Note 10 3 2 2 4 4" xfId="55463"/>
    <cellStyle name="Note 10 3 2 2 4 5" xfId="55464"/>
    <cellStyle name="Note 10 3 2 2 4 6" xfId="55465"/>
    <cellStyle name="Note 10 3 2 2 4 7" xfId="55466"/>
    <cellStyle name="Note 10 3 2 2 4 8" xfId="55467"/>
    <cellStyle name="Note 10 3 2 2 5" xfId="3496"/>
    <cellStyle name="Note 10 3 2 2 5 2" xfId="8775"/>
    <cellStyle name="Note 10 3 2 2 5 2 2" xfId="55468"/>
    <cellStyle name="Note 10 3 2 2 5 2 3" xfId="55469"/>
    <cellStyle name="Note 10 3 2 2 5 2 4" xfId="55470"/>
    <cellStyle name="Note 10 3 2 2 5 2 5" xfId="55471"/>
    <cellStyle name="Note 10 3 2 2 5 2 6" xfId="55472"/>
    <cellStyle name="Note 10 3 2 2 5 3" xfId="12722"/>
    <cellStyle name="Note 10 3 2 2 5 4" xfId="55473"/>
    <cellStyle name="Note 10 3 2 2 5 5" xfId="55474"/>
    <cellStyle name="Note 10 3 2 2 5 6" xfId="55475"/>
    <cellStyle name="Note 10 3 2 2 5 7" xfId="55476"/>
    <cellStyle name="Note 10 3 2 2 5 8" xfId="55477"/>
    <cellStyle name="Note 10 3 2 2 6" xfId="3497"/>
    <cellStyle name="Note 10 3 2 2 6 2" xfId="8776"/>
    <cellStyle name="Note 10 3 2 2 6 2 2" xfId="55478"/>
    <cellStyle name="Note 10 3 2 2 6 2 3" xfId="55479"/>
    <cellStyle name="Note 10 3 2 2 6 2 4" xfId="55480"/>
    <cellStyle name="Note 10 3 2 2 6 2 5" xfId="55481"/>
    <cellStyle name="Note 10 3 2 2 6 2 6" xfId="55482"/>
    <cellStyle name="Note 10 3 2 2 6 3" xfId="12723"/>
    <cellStyle name="Note 10 3 2 2 6 4" xfId="55483"/>
    <cellStyle name="Note 10 3 2 2 6 5" xfId="55484"/>
    <cellStyle name="Note 10 3 2 2 6 6" xfId="55485"/>
    <cellStyle name="Note 10 3 2 2 6 7" xfId="55486"/>
    <cellStyle name="Note 10 3 2 2 6 8" xfId="55487"/>
    <cellStyle name="Note 10 3 2 2 7" xfId="3498"/>
    <cellStyle name="Note 10 3 2 2 7 2" xfId="8777"/>
    <cellStyle name="Note 10 3 2 2 7 2 2" xfId="55488"/>
    <cellStyle name="Note 10 3 2 2 7 2 3" xfId="55489"/>
    <cellStyle name="Note 10 3 2 2 7 2 4" xfId="55490"/>
    <cellStyle name="Note 10 3 2 2 7 2 5" xfId="55491"/>
    <cellStyle name="Note 10 3 2 2 7 2 6" xfId="55492"/>
    <cellStyle name="Note 10 3 2 2 7 3" xfId="12724"/>
    <cellStyle name="Note 10 3 2 2 7 4" xfId="55493"/>
    <cellStyle name="Note 10 3 2 2 7 5" xfId="55494"/>
    <cellStyle name="Note 10 3 2 2 7 6" xfId="55495"/>
    <cellStyle name="Note 10 3 2 2 7 7" xfId="55496"/>
    <cellStyle name="Note 10 3 2 2 7 8" xfId="55497"/>
    <cellStyle name="Note 10 3 2 2 8" xfId="6078"/>
    <cellStyle name="Note 10 3 2 2 8 2" xfId="55498"/>
    <cellStyle name="Note 10 3 2 2 8 3" xfId="55499"/>
    <cellStyle name="Note 10 3 2 2 8 4" xfId="55500"/>
    <cellStyle name="Note 10 3 2 2 8 5" xfId="55501"/>
    <cellStyle name="Note 10 3 2 2 8 6" xfId="55502"/>
    <cellStyle name="Note 10 3 2 2 9" xfId="12716"/>
    <cellStyle name="Note 10 3 2 2 9 2" xfId="55503"/>
    <cellStyle name="Note 10 3 2 3" xfId="958"/>
    <cellStyle name="Note 10 3 2 3 10" xfId="2195"/>
    <cellStyle name="Note 10 3 2 3 10 2" xfId="7474"/>
    <cellStyle name="Note 10 3 2 3 10 2 2" xfId="55504"/>
    <cellStyle name="Note 10 3 2 3 10 2 3" xfId="55505"/>
    <cellStyle name="Note 10 3 2 3 10 2 4" xfId="55506"/>
    <cellStyle name="Note 10 3 2 3 10 2 5" xfId="55507"/>
    <cellStyle name="Note 10 3 2 3 10 3" xfId="11229"/>
    <cellStyle name="Note 10 3 2 3 10 4" xfId="55508"/>
    <cellStyle name="Note 10 3 2 3 10 5" xfId="55509"/>
    <cellStyle name="Note 10 3 2 3 10 6" xfId="55510"/>
    <cellStyle name="Note 10 3 2 3 10 7" xfId="55511"/>
    <cellStyle name="Note 10 3 2 3 11" xfId="6237"/>
    <cellStyle name="Note 10 3 2 3 11 2" xfId="55512"/>
    <cellStyle name="Note 10 3 2 3 11 3" xfId="55513"/>
    <cellStyle name="Note 10 3 2 3 11 4" xfId="55514"/>
    <cellStyle name="Note 10 3 2 3 11 5" xfId="55515"/>
    <cellStyle name="Note 10 3 2 3 12" xfId="55516"/>
    <cellStyle name="Note 10 3 2 3 13" xfId="55517"/>
    <cellStyle name="Note 10 3 2 3 2" xfId="1575"/>
    <cellStyle name="Note 10 3 2 3 2 2" xfId="2809"/>
    <cellStyle name="Note 10 3 2 3 2 2 2" xfId="8088"/>
    <cellStyle name="Note 10 3 2 3 2 2 2 2" xfId="55518"/>
    <cellStyle name="Note 10 3 2 3 2 2 2 3" xfId="55519"/>
    <cellStyle name="Note 10 3 2 3 2 2 2 4" xfId="55520"/>
    <cellStyle name="Note 10 3 2 3 2 2 2 5" xfId="55521"/>
    <cellStyle name="Note 10 3 2 3 2 2 3" xfId="12726"/>
    <cellStyle name="Note 10 3 2 3 2 2 4" xfId="55522"/>
    <cellStyle name="Note 10 3 2 3 2 2 5" xfId="55523"/>
    <cellStyle name="Note 10 3 2 3 2 2 6" xfId="55524"/>
    <cellStyle name="Note 10 3 2 3 2 2 7" xfId="55525"/>
    <cellStyle name="Note 10 3 2 3 2 3" xfId="6854"/>
    <cellStyle name="Note 10 3 2 3 2 3 2" xfId="55526"/>
    <cellStyle name="Note 10 3 2 3 2 3 3" xfId="55527"/>
    <cellStyle name="Note 10 3 2 3 2 3 4" xfId="55528"/>
    <cellStyle name="Note 10 3 2 3 2 3 5" xfId="55529"/>
    <cellStyle name="Note 10 3 2 3 2 3 6" xfId="55530"/>
    <cellStyle name="Note 10 3 2 3 2 4" xfId="12725"/>
    <cellStyle name="Note 10 3 2 3 2 5" xfId="55531"/>
    <cellStyle name="Note 10 3 2 3 3" xfId="3499"/>
    <cellStyle name="Note 10 3 2 3 3 2" xfId="8778"/>
    <cellStyle name="Note 10 3 2 3 3 2 2" xfId="55532"/>
    <cellStyle name="Note 10 3 2 3 3 2 3" xfId="55533"/>
    <cellStyle name="Note 10 3 2 3 3 2 4" xfId="55534"/>
    <cellStyle name="Note 10 3 2 3 3 2 5" xfId="55535"/>
    <cellStyle name="Note 10 3 2 3 3 2 6" xfId="55536"/>
    <cellStyle name="Note 10 3 2 3 3 3" xfId="12727"/>
    <cellStyle name="Note 10 3 2 3 3 4" xfId="55537"/>
    <cellStyle name="Note 10 3 2 3 3 5" xfId="55538"/>
    <cellStyle name="Note 10 3 2 3 3 6" xfId="55539"/>
    <cellStyle name="Note 10 3 2 3 3 7" xfId="55540"/>
    <cellStyle name="Note 10 3 2 3 3 8" xfId="55541"/>
    <cellStyle name="Note 10 3 2 3 4" xfId="3500"/>
    <cellStyle name="Note 10 3 2 3 4 2" xfId="8779"/>
    <cellStyle name="Note 10 3 2 3 4 2 2" xfId="55542"/>
    <cellStyle name="Note 10 3 2 3 4 2 3" xfId="55543"/>
    <cellStyle name="Note 10 3 2 3 4 2 4" xfId="55544"/>
    <cellStyle name="Note 10 3 2 3 4 2 5" xfId="55545"/>
    <cellStyle name="Note 10 3 2 3 4 2 6" xfId="55546"/>
    <cellStyle name="Note 10 3 2 3 4 3" xfId="12728"/>
    <cellStyle name="Note 10 3 2 3 4 4" xfId="55547"/>
    <cellStyle name="Note 10 3 2 3 4 5" xfId="55548"/>
    <cellStyle name="Note 10 3 2 3 4 6" xfId="55549"/>
    <cellStyle name="Note 10 3 2 3 4 7" xfId="55550"/>
    <cellStyle name="Note 10 3 2 3 4 8" xfId="55551"/>
    <cellStyle name="Note 10 3 2 3 5" xfId="3501"/>
    <cellStyle name="Note 10 3 2 3 5 2" xfId="8780"/>
    <cellStyle name="Note 10 3 2 3 5 2 2" xfId="55552"/>
    <cellStyle name="Note 10 3 2 3 5 2 3" xfId="55553"/>
    <cellStyle name="Note 10 3 2 3 5 2 4" xfId="55554"/>
    <cellStyle name="Note 10 3 2 3 5 2 5" xfId="55555"/>
    <cellStyle name="Note 10 3 2 3 5 2 6" xfId="55556"/>
    <cellStyle name="Note 10 3 2 3 5 3" xfId="12729"/>
    <cellStyle name="Note 10 3 2 3 5 4" xfId="55557"/>
    <cellStyle name="Note 10 3 2 3 5 5" xfId="55558"/>
    <cellStyle name="Note 10 3 2 3 5 6" xfId="55559"/>
    <cellStyle name="Note 10 3 2 3 5 7" xfId="55560"/>
    <cellStyle name="Note 10 3 2 3 5 8" xfId="55561"/>
    <cellStyle name="Note 10 3 2 3 6" xfId="3502"/>
    <cellStyle name="Note 10 3 2 3 6 2" xfId="8781"/>
    <cellStyle name="Note 10 3 2 3 6 2 2" xfId="55562"/>
    <cellStyle name="Note 10 3 2 3 6 2 3" xfId="55563"/>
    <cellStyle name="Note 10 3 2 3 6 2 4" xfId="55564"/>
    <cellStyle name="Note 10 3 2 3 6 2 5" xfId="55565"/>
    <cellStyle name="Note 10 3 2 3 6 2 6" xfId="55566"/>
    <cellStyle name="Note 10 3 2 3 6 3" xfId="12730"/>
    <cellStyle name="Note 10 3 2 3 6 4" xfId="55567"/>
    <cellStyle name="Note 10 3 2 3 6 5" xfId="55568"/>
    <cellStyle name="Note 10 3 2 3 6 6" xfId="55569"/>
    <cellStyle name="Note 10 3 2 3 6 7" xfId="55570"/>
    <cellStyle name="Note 10 3 2 3 6 8" xfId="55571"/>
    <cellStyle name="Note 10 3 2 3 7" xfId="3503"/>
    <cellStyle name="Note 10 3 2 3 7 2" xfId="8782"/>
    <cellStyle name="Note 10 3 2 3 7 2 2" xfId="55572"/>
    <cellStyle name="Note 10 3 2 3 7 2 3" xfId="55573"/>
    <cellStyle name="Note 10 3 2 3 7 2 4" xfId="55574"/>
    <cellStyle name="Note 10 3 2 3 7 2 5" xfId="55575"/>
    <cellStyle name="Note 10 3 2 3 7 2 6" xfId="55576"/>
    <cellStyle name="Note 10 3 2 3 7 3" xfId="12731"/>
    <cellStyle name="Note 10 3 2 3 7 4" xfId="55577"/>
    <cellStyle name="Note 10 3 2 3 7 5" xfId="55578"/>
    <cellStyle name="Note 10 3 2 3 7 6" xfId="55579"/>
    <cellStyle name="Note 10 3 2 3 7 7" xfId="55580"/>
    <cellStyle name="Note 10 3 2 3 7 8" xfId="55581"/>
    <cellStyle name="Note 10 3 2 3 8" xfId="3504"/>
    <cellStyle name="Note 10 3 2 3 8 2" xfId="8783"/>
    <cellStyle name="Note 10 3 2 3 8 2 2" xfId="55582"/>
    <cellStyle name="Note 10 3 2 3 8 2 3" xfId="55583"/>
    <cellStyle name="Note 10 3 2 3 8 2 4" xfId="55584"/>
    <cellStyle name="Note 10 3 2 3 8 2 5" xfId="55585"/>
    <cellStyle name="Note 10 3 2 3 8 2 6" xfId="55586"/>
    <cellStyle name="Note 10 3 2 3 8 3" xfId="12732"/>
    <cellStyle name="Note 10 3 2 3 8 4" xfId="55587"/>
    <cellStyle name="Note 10 3 2 3 8 5" xfId="55588"/>
    <cellStyle name="Note 10 3 2 3 8 6" xfId="55589"/>
    <cellStyle name="Note 10 3 2 3 8 7" xfId="55590"/>
    <cellStyle name="Note 10 3 2 3 8 8" xfId="55591"/>
    <cellStyle name="Note 10 3 2 3 9" xfId="3505"/>
    <cellStyle name="Note 10 3 2 3 9 2" xfId="8784"/>
    <cellStyle name="Note 10 3 2 3 9 2 2" xfId="55592"/>
    <cellStyle name="Note 10 3 2 3 9 2 3" xfId="55593"/>
    <cellStyle name="Note 10 3 2 3 9 2 4" xfId="55594"/>
    <cellStyle name="Note 10 3 2 3 9 2 5" xfId="55595"/>
    <cellStyle name="Note 10 3 2 3 9 2 6" xfId="55596"/>
    <cellStyle name="Note 10 3 2 3 9 3" xfId="12733"/>
    <cellStyle name="Note 10 3 2 3 9 4" xfId="55597"/>
    <cellStyle name="Note 10 3 2 3 9 5" xfId="55598"/>
    <cellStyle name="Note 10 3 2 3 9 6" xfId="55599"/>
    <cellStyle name="Note 10 3 2 3 9 7" xfId="55600"/>
    <cellStyle name="Note 10 3 2 3 9 8" xfId="55601"/>
    <cellStyle name="Note 10 3 2 4" xfId="959"/>
    <cellStyle name="Note 10 3 2 4 10" xfId="2196"/>
    <cellStyle name="Note 10 3 2 4 10 2" xfId="7475"/>
    <cellStyle name="Note 10 3 2 4 10 2 2" xfId="55602"/>
    <cellStyle name="Note 10 3 2 4 10 2 3" xfId="55603"/>
    <cellStyle name="Note 10 3 2 4 10 2 4" xfId="55604"/>
    <cellStyle name="Note 10 3 2 4 10 2 5" xfId="55605"/>
    <cellStyle name="Note 10 3 2 4 10 3" xfId="11230"/>
    <cellStyle name="Note 10 3 2 4 10 4" xfId="55606"/>
    <cellStyle name="Note 10 3 2 4 10 5" xfId="55607"/>
    <cellStyle name="Note 10 3 2 4 10 6" xfId="55608"/>
    <cellStyle name="Note 10 3 2 4 10 7" xfId="55609"/>
    <cellStyle name="Note 10 3 2 4 11" xfId="6238"/>
    <cellStyle name="Note 10 3 2 4 11 2" xfId="55610"/>
    <cellStyle name="Note 10 3 2 4 11 3" xfId="55611"/>
    <cellStyle name="Note 10 3 2 4 11 4" xfId="55612"/>
    <cellStyle name="Note 10 3 2 4 11 5" xfId="55613"/>
    <cellStyle name="Note 10 3 2 4 12" xfId="55614"/>
    <cellStyle name="Note 10 3 2 4 13" xfId="55615"/>
    <cellStyle name="Note 10 3 2 4 2" xfId="1576"/>
    <cellStyle name="Note 10 3 2 4 2 2" xfId="2810"/>
    <cellStyle name="Note 10 3 2 4 2 2 2" xfId="8089"/>
    <cellStyle name="Note 10 3 2 4 2 2 2 2" xfId="55616"/>
    <cellStyle name="Note 10 3 2 4 2 2 2 3" xfId="55617"/>
    <cellStyle name="Note 10 3 2 4 2 2 2 4" xfId="55618"/>
    <cellStyle name="Note 10 3 2 4 2 2 2 5" xfId="55619"/>
    <cellStyle name="Note 10 3 2 4 2 2 3" xfId="12735"/>
    <cellStyle name="Note 10 3 2 4 2 2 4" xfId="55620"/>
    <cellStyle name="Note 10 3 2 4 2 2 5" xfId="55621"/>
    <cellStyle name="Note 10 3 2 4 2 2 6" xfId="55622"/>
    <cellStyle name="Note 10 3 2 4 2 2 7" xfId="55623"/>
    <cellStyle name="Note 10 3 2 4 2 3" xfId="6855"/>
    <cellStyle name="Note 10 3 2 4 2 3 2" xfId="55624"/>
    <cellStyle name="Note 10 3 2 4 2 3 3" xfId="55625"/>
    <cellStyle name="Note 10 3 2 4 2 3 4" xfId="55626"/>
    <cellStyle name="Note 10 3 2 4 2 3 5" xfId="55627"/>
    <cellStyle name="Note 10 3 2 4 2 3 6" xfId="55628"/>
    <cellStyle name="Note 10 3 2 4 2 4" xfId="12734"/>
    <cellStyle name="Note 10 3 2 4 2 5" xfId="55629"/>
    <cellStyle name="Note 10 3 2 4 3" xfId="3506"/>
    <cellStyle name="Note 10 3 2 4 3 2" xfId="8785"/>
    <cellStyle name="Note 10 3 2 4 3 2 2" xfId="55630"/>
    <cellStyle name="Note 10 3 2 4 3 2 3" xfId="55631"/>
    <cellStyle name="Note 10 3 2 4 3 2 4" xfId="55632"/>
    <cellStyle name="Note 10 3 2 4 3 2 5" xfId="55633"/>
    <cellStyle name="Note 10 3 2 4 3 2 6" xfId="55634"/>
    <cellStyle name="Note 10 3 2 4 3 3" xfId="12736"/>
    <cellStyle name="Note 10 3 2 4 3 4" xfId="55635"/>
    <cellStyle name="Note 10 3 2 4 3 5" xfId="55636"/>
    <cellStyle name="Note 10 3 2 4 3 6" xfId="55637"/>
    <cellStyle name="Note 10 3 2 4 3 7" xfId="55638"/>
    <cellStyle name="Note 10 3 2 4 3 8" xfId="55639"/>
    <cellStyle name="Note 10 3 2 4 4" xfId="3507"/>
    <cellStyle name="Note 10 3 2 4 4 2" xfId="8786"/>
    <cellStyle name="Note 10 3 2 4 4 2 2" xfId="55640"/>
    <cellStyle name="Note 10 3 2 4 4 2 3" xfId="55641"/>
    <cellStyle name="Note 10 3 2 4 4 2 4" xfId="55642"/>
    <cellStyle name="Note 10 3 2 4 4 2 5" xfId="55643"/>
    <cellStyle name="Note 10 3 2 4 4 2 6" xfId="55644"/>
    <cellStyle name="Note 10 3 2 4 4 3" xfId="12737"/>
    <cellStyle name="Note 10 3 2 4 4 4" xfId="55645"/>
    <cellStyle name="Note 10 3 2 4 4 5" xfId="55646"/>
    <cellStyle name="Note 10 3 2 4 4 6" xfId="55647"/>
    <cellStyle name="Note 10 3 2 4 4 7" xfId="55648"/>
    <cellStyle name="Note 10 3 2 4 4 8" xfId="55649"/>
    <cellStyle name="Note 10 3 2 4 5" xfId="3508"/>
    <cellStyle name="Note 10 3 2 4 5 2" xfId="8787"/>
    <cellStyle name="Note 10 3 2 4 5 2 2" xfId="55650"/>
    <cellStyle name="Note 10 3 2 4 5 2 3" xfId="55651"/>
    <cellStyle name="Note 10 3 2 4 5 2 4" xfId="55652"/>
    <cellStyle name="Note 10 3 2 4 5 2 5" xfId="55653"/>
    <cellStyle name="Note 10 3 2 4 5 2 6" xfId="55654"/>
    <cellStyle name="Note 10 3 2 4 5 3" xfId="12738"/>
    <cellStyle name="Note 10 3 2 4 5 4" xfId="55655"/>
    <cellStyle name="Note 10 3 2 4 5 5" xfId="55656"/>
    <cellStyle name="Note 10 3 2 4 5 6" xfId="55657"/>
    <cellStyle name="Note 10 3 2 4 5 7" xfId="55658"/>
    <cellStyle name="Note 10 3 2 4 5 8" xfId="55659"/>
    <cellStyle name="Note 10 3 2 4 6" xfId="3509"/>
    <cellStyle name="Note 10 3 2 4 6 2" xfId="8788"/>
    <cellStyle name="Note 10 3 2 4 6 2 2" xfId="55660"/>
    <cellStyle name="Note 10 3 2 4 6 2 3" xfId="55661"/>
    <cellStyle name="Note 10 3 2 4 6 2 4" xfId="55662"/>
    <cellStyle name="Note 10 3 2 4 6 2 5" xfId="55663"/>
    <cellStyle name="Note 10 3 2 4 6 2 6" xfId="55664"/>
    <cellStyle name="Note 10 3 2 4 6 3" xfId="12739"/>
    <cellStyle name="Note 10 3 2 4 6 4" xfId="55665"/>
    <cellStyle name="Note 10 3 2 4 6 5" xfId="55666"/>
    <cellStyle name="Note 10 3 2 4 6 6" xfId="55667"/>
    <cellStyle name="Note 10 3 2 4 6 7" xfId="55668"/>
    <cellStyle name="Note 10 3 2 4 6 8" xfId="55669"/>
    <cellStyle name="Note 10 3 2 4 7" xfId="3510"/>
    <cellStyle name="Note 10 3 2 4 7 2" xfId="8789"/>
    <cellStyle name="Note 10 3 2 4 7 2 2" xfId="55670"/>
    <cellStyle name="Note 10 3 2 4 7 2 3" xfId="55671"/>
    <cellStyle name="Note 10 3 2 4 7 2 4" xfId="55672"/>
    <cellStyle name="Note 10 3 2 4 7 2 5" xfId="55673"/>
    <cellStyle name="Note 10 3 2 4 7 2 6" xfId="55674"/>
    <cellStyle name="Note 10 3 2 4 7 3" xfId="12740"/>
    <cellStyle name="Note 10 3 2 4 7 4" xfId="55675"/>
    <cellStyle name="Note 10 3 2 4 7 5" xfId="55676"/>
    <cellStyle name="Note 10 3 2 4 7 6" xfId="55677"/>
    <cellStyle name="Note 10 3 2 4 7 7" xfId="55678"/>
    <cellStyle name="Note 10 3 2 4 7 8" xfId="55679"/>
    <cellStyle name="Note 10 3 2 4 8" xfId="3511"/>
    <cellStyle name="Note 10 3 2 4 8 2" xfId="8790"/>
    <cellStyle name="Note 10 3 2 4 8 2 2" xfId="55680"/>
    <cellStyle name="Note 10 3 2 4 8 2 3" xfId="55681"/>
    <cellStyle name="Note 10 3 2 4 8 2 4" xfId="55682"/>
    <cellStyle name="Note 10 3 2 4 8 2 5" xfId="55683"/>
    <cellStyle name="Note 10 3 2 4 8 2 6" xfId="55684"/>
    <cellStyle name="Note 10 3 2 4 8 3" xfId="12741"/>
    <cellStyle name="Note 10 3 2 4 8 4" xfId="55685"/>
    <cellStyle name="Note 10 3 2 4 8 5" xfId="55686"/>
    <cellStyle name="Note 10 3 2 4 8 6" xfId="55687"/>
    <cellStyle name="Note 10 3 2 4 8 7" xfId="55688"/>
    <cellStyle name="Note 10 3 2 4 8 8" xfId="55689"/>
    <cellStyle name="Note 10 3 2 4 9" xfId="3512"/>
    <cellStyle name="Note 10 3 2 4 9 2" xfId="8791"/>
    <cellStyle name="Note 10 3 2 4 9 2 2" xfId="55690"/>
    <cellStyle name="Note 10 3 2 4 9 2 3" xfId="55691"/>
    <cellStyle name="Note 10 3 2 4 9 2 4" xfId="55692"/>
    <cellStyle name="Note 10 3 2 4 9 2 5" xfId="55693"/>
    <cellStyle name="Note 10 3 2 4 9 2 6" xfId="55694"/>
    <cellStyle name="Note 10 3 2 4 9 3" xfId="12742"/>
    <cellStyle name="Note 10 3 2 4 9 4" xfId="55695"/>
    <cellStyle name="Note 10 3 2 4 9 5" xfId="55696"/>
    <cellStyle name="Note 10 3 2 4 9 6" xfId="55697"/>
    <cellStyle name="Note 10 3 2 4 9 7" xfId="55698"/>
    <cellStyle name="Note 10 3 2 4 9 8" xfId="55699"/>
    <cellStyle name="Note 10 3 2 5" xfId="960"/>
    <cellStyle name="Note 10 3 2 5 10" xfId="2197"/>
    <cellStyle name="Note 10 3 2 5 10 2" xfId="7476"/>
    <cellStyle name="Note 10 3 2 5 10 2 2" xfId="55700"/>
    <cellStyle name="Note 10 3 2 5 10 2 3" xfId="55701"/>
    <cellStyle name="Note 10 3 2 5 10 2 4" xfId="55702"/>
    <cellStyle name="Note 10 3 2 5 10 2 5" xfId="55703"/>
    <cellStyle name="Note 10 3 2 5 10 3" xfId="11231"/>
    <cellStyle name="Note 10 3 2 5 10 4" xfId="55704"/>
    <cellStyle name="Note 10 3 2 5 10 5" xfId="55705"/>
    <cellStyle name="Note 10 3 2 5 10 6" xfId="55706"/>
    <cellStyle name="Note 10 3 2 5 10 7" xfId="55707"/>
    <cellStyle name="Note 10 3 2 5 11" xfId="6239"/>
    <cellStyle name="Note 10 3 2 5 11 2" xfId="55708"/>
    <cellStyle name="Note 10 3 2 5 11 3" xfId="55709"/>
    <cellStyle name="Note 10 3 2 5 11 4" xfId="55710"/>
    <cellStyle name="Note 10 3 2 5 11 5" xfId="55711"/>
    <cellStyle name="Note 10 3 2 5 12" xfId="55712"/>
    <cellStyle name="Note 10 3 2 5 13" xfId="55713"/>
    <cellStyle name="Note 10 3 2 5 2" xfId="1577"/>
    <cellStyle name="Note 10 3 2 5 2 2" xfId="2811"/>
    <cellStyle name="Note 10 3 2 5 2 2 2" xfId="8090"/>
    <cellStyle name="Note 10 3 2 5 2 2 2 2" xfId="55714"/>
    <cellStyle name="Note 10 3 2 5 2 2 2 3" xfId="55715"/>
    <cellStyle name="Note 10 3 2 5 2 2 2 4" xfId="55716"/>
    <cellStyle name="Note 10 3 2 5 2 2 2 5" xfId="55717"/>
    <cellStyle name="Note 10 3 2 5 2 2 3" xfId="12744"/>
    <cellStyle name="Note 10 3 2 5 2 2 4" xfId="55718"/>
    <cellStyle name="Note 10 3 2 5 2 2 5" xfId="55719"/>
    <cellStyle name="Note 10 3 2 5 2 2 6" xfId="55720"/>
    <cellStyle name="Note 10 3 2 5 2 2 7" xfId="55721"/>
    <cellStyle name="Note 10 3 2 5 2 3" xfId="6856"/>
    <cellStyle name="Note 10 3 2 5 2 3 2" xfId="55722"/>
    <cellStyle name="Note 10 3 2 5 2 3 3" xfId="55723"/>
    <cellStyle name="Note 10 3 2 5 2 3 4" xfId="55724"/>
    <cellStyle name="Note 10 3 2 5 2 3 5" xfId="55725"/>
    <cellStyle name="Note 10 3 2 5 2 3 6" xfId="55726"/>
    <cellStyle name="Note 10 3 2 5 2 4" xfId="12743"/>
    <cellStyle name="Note 10 3 2 5 2 5" xfId="55727"/>
    <cellStyle name="Note 10 3 2 5 3" xfId="3513"/>
    <cellStyle name="Note 10 3 2 5 3 2" xfId="8792"/>
    <cellStyle name="Note 10 3 2 5 3 2 2" xfId="55728"/>
    <cellStyle name="Note 10 3 2 5 3 2 3" xfId="55729"/>
    <cellStyle name="Note 10 3 2 5 3 2 4" xfId="55730"/>
    <cellStyle name="Note 10 3 2 5 3 2 5" xfId="55731"/>
    <cellStyle name="Note 10 3 2 5 3 2 6" xfId="55732"/>
    <cellStyle name="Note 10 3 2 5 3 3" xfId="12745"/>
    <cellStyle name="Note 10 3 2 5 3 4" xfId="55733"/>
    <cellStyle name="Note 10 3 2 5 3 5" xfId="55734"/>
    <cellStyle name="Note 10 3 2 5 3 6" xfId="55735"/>
    <cellStyle name="Note 10 3 2 5 3 7" xfId="55736"/>
    <cellStyle name="Note 10 3 2 5 3 8" xfId="55737"/>
    <cellStyle name="Note 10 3 2 5 4" xfId="3514"/>
    <cellStyle name="Note 10 3 2 5 4 2" xfId="8793"/>
    <cellStyle name="Note 10 3 2 5 4 2 2" xfId="55738"/>
    <cellStyle name="Note 10 3 2 5 4 2 3" xfId="55739"/>
    <cellStyle name="Note 10 3 2 5 4 2 4" xfId="55740"/>
    <cellStyle name="Note 10 3 2 5 4 2 5" xfId="55741"/>
    <cellStyle name="Note 10 3 2 5 4 2 6" xfId="55742"/>
    <cellStyle name="Note 10 3 2 5 4 3" xfId="12746"/>
    <cellStyle name="Note 10 3 2 5 4 4" xfId="55743"/>
    <cellStyle name="Note 10 3 2 5 4 5" xfId="55744"/>
    <cellStyle name="Note 10 3 2 5 4 6" xfId="55745"/>
    <cellStyle name="Note 10 3 2 5 4 7" xfId="55746"/>
    <cellStyle name="Note 10 3 2 5 4 8" xfId="55747"/>
    <cellStyle name="Note 10 3 2 5 5" xfId="3515"/>
    <cellStyle name="Note 10 3 2 5 5 2" xfId="8794"/>
    <cellStyle name="Note 10 3 2 5 5 2 2" xfId="55748"/>
    <cellStyle name="Note 10 3 2 5 5 2 3" xfId="55749"/>
    <cellStyle name="Note 10 3 2 5 5 2 4" xfId="55750"/>
    <cellStyle name="Note 10 3 2 5 5 2 5" xfId="55751"/>
    <cellStyle name="Note 10 3 2 5 5 2 6" xfId="55752"/>
    <cellStyle name="Note 10 3 2 5 5 3" xfId="12747"/>
    <cellStyle name="Note 10 3 2 5 5 4" xfId="55753"/>
    <cellStyle name="Note 10 3 2 5 5 5" xfId="55754"/>
    <cellStyle name="Note 10 3 2 5 5 6" xfId="55755"/>
    <cellStyle name="Note 10 3 2 5 5 7" xfId="55756"/>
    <cellStyle name="Note 10 3 2 5 5 8" xfId="55757"/>
    <cellStyle name="Note 10 3 2 5 6" xfId="3516"/>
    <cellStyle name="Note 10 3 2 5 6 2" xfId="8795"/>
    <cellStyle name="Note 10 3 2 5 6 2 2" xfId="55758"/>
    <cellStyle name="Note 10 3 2 5 6 2 3" xfId="55759"/>
    <cellStyle name="Note 10 3 2 5 6 2 4" xfId="55760"/>
    <cellStyle name="Note 10 3 2 5 6 2 5" xfId="55761"/>
    <cellStyle name="Note 10 3 2 5 6 2 6" xfId="55762"/>
    <cellStyle name="Note 10 3 2 5 6 3" xfId="12748"/>
    <cellStyle name="Note 10 3 2 5 6 4" xfId="55763"/>
    <cellStyle name="Note 10 3 2 5 6 5" xfId="55764"/>
    <cellStyle name="Note 10 3 2 5 6 6" xfId="55765"/>
    <cellStyle name="Note 10 3 2 5 6 7" xfId="55766"/>
    <cellStyle name="Note 10 3 2 5 6 8" xfId="55767"/>
    <cellStyle name="Note 10 3 2 5 7" xfId="3517"/>
    <cellStyle name="Note 10 3 2 5 7 2" xfId="8796"/>
    <cellStyle name="Note 10 3 2 5 7 2 2" xfId="55768"/>
    <cellStyle name="Note 10 3 2 5 7 2 3" xfId="55769"/>
    <cellStyle name="Note 10 3 2 5 7 2 4" xfId="55770"/>
    <cellStyle name="Note 10 3 2 5 7 2 5" xfId="55771"/>
    <cellStyle name="Note 10 3 2 5 7 2 6" xfId="55772"/>
    <cellStyle name="Note 10 3 2 5 7 3" xfId="12749"/>
    <cellStyle name="Note 10 3 2 5 7 4" xfId="55773"/>
    <cellStyle name="Note 10 3 2 5 7 5" xfId="55774"/>
    <cellStyle name="Note 10 3 2 5 7 6" xfId="55775"/>
    <cellStyle name="Note 10 3 2 5 7 7" xfId="55776"/>
    <cellStyle name="Note 10 3 2 5 7 8" xfId="55777"/>
    <cellStyle name="Note 10 3 2 5 8" xfId="3518"/>
    <cellStyle name="Note 10 3 2 5 8 2" xfId="8797"/>
    <cellStyle name="Note 10 3 2 5 8 2 2" xfId="55778"/>
    <cellStyle name="Note 10 3 2 5 8 2 3" xfId="55779"/>
    <cellStyle name="Note 10 3 2 5 8 2 4" xfId="55780"/>
    <cellStyle name="Note 10 3 2 5 8 2 5" xfId="55781"/>
    <cellStyle name="Note 10 3 2 5 8 2 6" xfId="55782"/>
    <cellStyle name="Note 10 3 2 5 8 3" xfId="12750"/>
    <cellStyle name="Note 10 3 2 5 8 4" xfId="55783"/>
    <cellStyle name="Note 10 3 2 5 8 5" xfId="55784"/>
    <cellStyle name="Note 10 3 2 5 8 6" xfId="55785"/>
    <cellStyle name="Note 10 3 2 5 8 7" xfId="55786"/>
    <cellStyle name="Note 10 3 2 5 8 8" xfId="55787"/>
    <cellStyle name="Note 10 3 2 5 9" xfId="3519"/>
    <cellStyle name="Note 10 3 2 5 9 2" xfId="8798"/>
    <cellStyle name="Note 10 3 2 5 9 2 2" xfId="55788"/>
    <cellStyle name="Note 10 3 2 5 9 2 3" xfId="55789"/>
    <cellStyle name="Note 10 3 2 5 9 2 4" xfId="55790"/>
    <cellStyle name="Note 10 3 2 5 9 2 5" xfId="55791"/>
    <cellStyle name="Note 10 3 2 5 9 2 6" xfId="55792"/>
    <cellStyle name="Note 10 3 2 5 9 3" xfId="12751"/>
    <cellStyle name="Note 10 3 2 5 9 4" xfId="55793"/>
    <cellStyle name="Note 10 3 2 5 9 5" xfId="55794"/>
    <cellStyle name="Note 10 3 2 5 9 6" xfId="55795"/>
    <cellStyle name="Note 10 3 2 5 9 7" xfId="55796"/>
    <cellStyle name="Note 10 3 2 5 9 8" xfId="55797"/>
    <cellStyle name="Note 10 3 2 6" xfId="961"/>
    <cellStyle name="Note 10 3 2 6 10" xfId="2198"/>
    <cellStyle name="Note 10 3 2 6 10 2" xfId="7477"/>
    <cellStyle name="Note 10 3 2 6 10 2 2" xfId="55798"/>
    <cellStyle name="Note 10 3 2 6 10 2 3" xfId="55799"/>
    <cellStyle name="Note 10 3 2 6 10 2 4" xfId="55800"/>
    <cellStyle name="Note 10 3 2 6 10 2 5" xfId="55801"/>
    <cellStyle name="Note 10 3 2 6 10 3" xfId="11232"/>
    <cellStyle name="Note 10 3 2 6 10 4" xfId="55802"/>
    <cellStyle name="Note 10 3 2 6 10 5" xfId="55803"/>
    <cellStyle name="Note 10 3 2 6 10 6" xfId="55804"/>
    <cellStyle name="Note 10 3 2 6 10 7" xfId="55805"/>
    <cellStyle name="Note 10 3 2 6 11" xfId="6240"/>
    <cellStyle name="Note 10 3 2 6 11 2" xfId="55806"/>
    <cellStyle name="Note 10 3 2 6 11 3" xfId="55807"/>
    <cellStyle name="Note 10 3 2 6 11 4" xfId="55808"/>
    <cellStyle name="Note 10 3 2 6 11 5" xfId="55809"/>
    <cellStyle name="Note 10 3 2 6 12" xfId="55810"/>
    <cellStyle name="Note 10 3 2 6 13" xfId="55811"/>
    <cellStyle name="Note 10 3 2 6 2" xfId="1578"/>
    <cellStyle name="Note 10 3 2 6 2 2" xfId="2812"/>
    <cellStyle name="Note 10 3 2 6 2 2 2" xfId="8091"/>
    <cellStyle name="Note 10 3 2 6 2 2 2 2" xfId="55812"/>
    <cellStyle name="Note 10 3 2 6 2 2 2 3" xfId="55813"/>
    <cellStyle name="Note 10 3 2 6 2 2 2 4" xfId="55814"/>
    <cellStyle name="Note 10 3 2 6 2 2 2 5" xfId="55815"/>
    <cellStyle name="Note 10 3 2 6 2 2 3" xfId="12753"/>
    <cellStyle name="Note 10 3 2 6 2 2 4" xfId="55816"/>
    <cellStyle name="Note 10 3 2 6 2 2 5" xfId="55817"/>
    <cellStyle name="Note 10 3 2 6 2 2 6" xfId="55818"/>
    <cellStyle name="Note 10 3 2 6 2 2 7" xfId="55819"/>
    <cellStyle name="Note 10 3 2 6 2 3" xfId="6857"/>
    <cellStyle name="Note 10 3 2 6 2 3 2" xfId="55820"/>
    <cellStyle name="Note 10 3 2 6 2 3 3" xfId="55821"/>
    <cellStyle name="Note 10 3 2 6 2 3 4" xfId="55822"/>
    <cellStyle name="Note 10 3 2 6 2 3 5" xfId="55823"/>
    <cellStyle name="Note 10 3 2 6 2 3 6" xfId="55824"/>
    <cellStyle name="Note 10 3 2 6 2 4" xfId="12752"/>
    <cellStyle name="Note 10 3 2 6 2 5" xfId="55825"/>
    <cellStyle name="Note 10 3 2 6 3" xfId="3520"/>
    <cellStyle name="Note 10 3 2 6 3 2" xfId="8799"/>
    <cellStyle name="Note 10 3 2 6 3 2 2" xfId="55826"/>
    <cellStyle name="Note 10 3 2 6 3 2 3" xfId="55827"/>
    <cellStyle name="Note 10 3 2 6 3 2 4" xfId="55828"/>
    <cellStyle name="Note 10 3 2 6 3 2 5" xfId="55829"/>
    <cellStyle name="Note 10 3 2 6 3 2 6" xfId="55830"/>
    <cellStyle name="Note 10 3 2 6 3 3" xfId="12754"/>
    <cellStyle name="Note 10 3 2 6 3 4" xfId="55831"/>
    <cellStyle name="Note 10 3 2 6 3 5" xfId="55832"/>
    <cellStyle name="Note 10 3 2 6 3 6" xfId="55833"/>
    <cellStyle name="Note 10 3 2 6 3 7" xfId="55834"/>
    <cellStyle name="Note 10 3 2 6 3 8" xfId="55835"/>
    <cellStyle name="Note 10 3 2 6 4" xfId="3521"/>
    <cellStyle name="Note 10 3 2 6 4 2" xfId="8800"/>
    <cellStyle name="Note 10 3 2 6 4 2 2" xfId="55836"/>
    <cellStyle name="Note 10 3 2 6 4 2 3" xfId="55837"/>
    <cellStyle name="Note 10 3 2 6 4 2 4" xfId="55838"/>
    <cellStyle name="Note 10 3 2 6 4 2 5" xfId="55839"/>
    <cellStyle name="Note 10 3 2 6 4 2 6" xfId="55840"/>
    <cellStyle name="Note 10 3 2 6 4 3" xfId="12755"/>
    <cellStyle name="Note 10 3 2 6 4 4" xfId="55841"/>
    <cellStyle name="Note 10 3 2 6 4 5" xfId="55842"/>
    <cellStyle name="Note 10 3 2 6 4 6" xfId="55843"/>
    <cellStyle name="Note 10 3 2 6 4 7" xfId="55844"/>
    <cellStyle name="Note 10 3 2 6 4 8" xfId="55845"/>
    <cellStyle name="Note 10 3 2 6 5" xfId="3522"/>
    <cellStyle name="Note 10 3 2 6 5 2" xfId="8801"/>
    <cellStyle name="Note 10 3 2 6 5 2 2" xfId="55846"/>
    <cellStyle name="Note 10 3 2 6 5 2 3" xfId="55847"/>
    <cellStyle name="Note 10 3 2 6 5 2 4" xfId="55848"/>
    <cellStyle name="Note 10 3 2 6 5 2 5" xfId="55849"/>
    <cellStyle name="Note 10 3 2 6 5 2 6" xfId="55850"/>
    <cellStyle name="Note 10 3 2 6 5 3" xfId="12756"/>
    <cellStyle name="Note 10 3 2 6 5 4" xfId="55851"/>
    <cellStyle name="Note 10 3 2 6 5 5" xfId="55852"/>
    <cellStyle name="Note 10 3 2 6 5 6" xfId="55853"/>
    <cellStyle name="Note 10 3 2 6 5 7" xfId="55854"/>
    <cellStyle name="Note 10 3 2 6 5 8" xfId="55855"/>
    <cellStyle name="Note 10 3 2 6 6" xfId="3523"/>
    <cellStyle name="Note 10 3 2 6 6 2" xfId="8802"/>
    <cellStyle name="Note 10 3 2 6 6 2 2" xfId="55856"/>
    <cellStyle name="Note 10 3 2 6 6 2 3" xfId="55857"/>
    <cellStyle name="Note 10 3 2 6 6 2 4" xfId="55858"/>
    <cellStyle name="Note 10 3 2 6 6 2 5" xfId="55859"/>
    <cellStyle name="Note 10 3 2 6 6 2 6" xfId="55860"/>
    <cellStyle name="Note 10 3 2 6 6 3" xfId="12757"/>
    <cellStyle name="Note 10 3 2 6 6 4" xfId="55861"/>
    <cellStyle name="Note 10 3 2 6 6 5" xfId="55862"/>
    <cellStyle name="Note 10 3 2 6 6 6" xfId="55863"/>
    <cellStyle name="Note 10 3 2 6 6 7" xfId="55864"/>
    <cellStyle name="Note 10 3 2 6 6 8" xfId="55865"/>
    <cellStyle name="Note 10 3 2 6 7" xfId="3524"/>
    <cellStyle name="Note 10 3 2 6 7 2" xfId="8803"/>
    <cellStyle name="Note 10 3 2 6 7 2 2" xfId="55866"/>
    <cellStyle name="Note 10 3 2 6 7 2 3" xfId="55867"/>
    <cellStyle name="Note 10 3 2 6 7 2 4" xfId="55868"/>
    <cellStyle name="Note 10 3 2 6 7 2 5" xfId="55869"/>
    <cellStyle name="Note 10 3 2 6 7 2 6" xfId="55870"/>
    <cellStyle name="Note 10 3 2 6 7 3" xfId="12758"/>
    <cellStyle name="Note 10 3 2 6 7 4" xfId="55871"/>
    <cellStyle name="Note 10 3 2 6 7 5" xfId="55872"/>
    <cellStyle name="Note 10 3 2 6 7 6" xfId="55873"/>
    <cellStyle name="Note 10 3 2 6 7 7" xfId="55874"/>
    <cellStyle name="Note 10 3 2 6 7 8" xfId="55875"/>
    <cellStyle name="Note 10 3 2 6 8" xfId="3525"/>
    <cellStyle name="Note 10 3 2 6 8 2" xfId="8804"/>
    <cellStyle name="Note 10 3 2 6 8 2 2" xfId="55876"/>
    <cellStyle name="Note 10 3 2 6 8 2 3" xfId="55877"/>
    <cellStyle name="Note 10 3 2 6 8 2 4" xfId="55878"/>
    <cellStyle name="Note 10 3 2 6 8 2 5" xfId="55879"/>
    <cellStyle name="Note 10 3 2 6 8 2 6" xfId="55880"/>
    <cellStyle name="Note 10 3 2 6 8 3" xfId="12759"/>
    <cellStyle name="Note 10 3 2 6 8 4" xfId="55881"/>
    <cellStyle name="Note 10 3 2 6 8 5" xfId="55882"/>
    <cellStyle name="Note 10 3 2 6 8 6" xfId="55883"/>
    <cellStyle name="Note 10 3 2 6 8 7" xfId="55884"/>
    <cellStyle name="Note 10 3 2 6 8 8" xfId="55885"/>
    <cellStyle name="Note 10 3 2 6 9" xfId="3526"/>
    <cellStyle name="Note 10 3 2 6 9 2" xfId="8805"/>
    <cellStyle name="Note 10 3 2 6 9 2 2" xfId="55886"/>
    <cellStyle name="Note 10 3 2 6 9 2 3" xfId="55887"/>
    <cellStyle name="Note 10 3 2 6 9 2 4" xfId="55888"/>
    <cellStyle name="Note 10 3 2 6 9 2 5" xfId="55889"/>
    <cellStyle name="Note 10 3 2 6 9 2 6" xfId="55890"/>
    <cellStyle name="Note 10 3 2 6 9 3" xfId="12760"/>
    <cellStyle name="Note 10 3 2 6 9 4" xfId="55891"/>
    <cellStyle name="Note 10 3 2 6 9 5" xfId="55892"/>
    <cellStyle name="Note 10 3 2 6 9 6" xfId="55893"/>
    <cellStyle name="Note 10 3 2 6 9 7" xfId="55894"/>
    <cellStyle name="Note 10 3 2 6 9 8" xfId="55895"/>
    <cellStyle name="Note 10 3 2 7" xfId="1270"/>
    <cellStyle name="Note 10 3 2 7 2" xfId="2504"/>
    <cellStyle name="Note 10 3 2 7 2 2" xfId="7783"/>
    <cellStyle name="Note 10 3 2 7 2 2 2" xfId="55896"/>
    <cellStyle name="Note 10 3 2 7 2 2 3" xfId="55897"/>
    <cellStyle name="Note 10 3 2 7 2 2 4" xfId="55898"/>
    <cellStyle name="Note 10 3 2 7 2 2 5" xfId="55899"/>
    <cellStyle name="Note 10 3 2 7 2 3" xfId="12762"/>
    <cellStyle name="Note 10 3 2 7 2 4" xfId="55900"/>
    <cellStyle name="Note 10 3 2 7 2 5" xfId="55901"/>
    <cellStyle name="Note 10 3 2 7 2 6" xfId="55902"/>
    <cellStyle name="Note 10 3 2 7 2 7" xfId="55903"/>
    <cellStyle name="Note 10 3 2 7 3" xfId="6549"/>
    <cellStyle name="Note 10 3 2 7 3 2" xfId="55904"/>
    <cellStyle name="Note 10 3 2 7 3 3" xfId="55905"/>
    <cellStyle name="Note 10 3 2 7 3 4" xfId="55906"/>
    <cellStyle name="Note 10 3 2 7 3 5" xfId="55907"/>
    <cellStyle name="Note 10 3 2 7 3 6" xfId="55908"/>
    <cellStyle name="Note 10 3 2 7 4" xfId="12761"/>
    <cellStyle name="Note 10 3 2 7 5" xfId="55909"/>
    <cellStyle name="Note 10 3 2 8" xfId="3527"/>
    <cellStyle name="Note 10 3 2 8 2" xfId="8806"/>
    <cellStyle name="Note 10 3 2 8 2 2" xfId="55910"/>
    <cellStyle name="Note 10 3 2 8 2 3" xfId="55911"/>
    <cellStyle name="Note 10 3 2 8 2 4" xfId="55912"/>
    <cellStyle name="Note 10 3 2 8 2 5" xfId="55913"/>
    <cellStyle name="Note 10 3 2 8 2 6" xfId="55914"/>
    <cellStyle name="Note 10 3 2 8 3" xfId="12763"/>
    <cellStyle name="Note 10 3 2 8 4" xfId="55915"/>
    <cellStyle name="Note 10 3 2 8 5" xfId="55916"/>
    <cellStyle name="Note 10 3 2 8 6" xfId="55917"/>
    <cellStyle name="Note 10 3 2 8 7" xfId="55918"/>
    <cellStyle name="Note 10 3 2 8 8" xfId="55919"/>
    <cellStyle name="Note 10 3 2 9" xfId="3528"/>
    <cellStyle name="Note 10 3 2 9 2" xfId="8807"/>
    <cellStyle name="Note 10 3 2 9 2 2" xfId="55920"/>
    <cellStyle name="Note 10 3 2 9 2 3" xfId="55921"/>
    <cellStyle name="Note 10 3 2 9 2 4" xfId="55922"/>
    <cellStyle name="Note 10 3 2 9 2 5" xfId="55923"/>
    <cellStyle name="Note 10 3 2 9 2 6" xfId="55924"/>
    <cellStyle name="Note 10 3 2 9 3" xfId="12764"/>
    <cellStyle name="Note 10 3 2 9 4" xfId="55925"/>
    <cellStyle name="Note 10 3 2 9 5" xfId="55926"/>
    <cellStyle name="Note 10 3 2 9 6" xfId="55927"/>
    <cellStyle name="Note 10 3 2 9 7" xfId="55928"/>
    <cellStyle name="Note 10 3 2 9 8" xfId="55929"/>
    <cellStyle name="Note 10 3 3" xfId="790"/>
    <cellStyle name="Note 10 3 3 10" xfId="55930"/>
    <cellStyle name="Note 10 3 3 11" xfId="55931"/>
    <cellStyle name="Note 10 3 3 2" xfId="1417"/>
    <cellStyle name="Note 10 3 3 2 2" xfId="2651"/>
    <cellStyle name="Note 10 3 3 2 2 2" xfId="7930"/>
    <cellStyle name="Note 10 3 3 2 2 2 2" xfId="55932"/>
    <cellStyle name="Note 10 3 3 2 2 2 3" xfId="55933"/>
    <cellStyle name="Note 10 3 3 2 2 2 4" xfId="55934"/>
    <cellStyle name="Note 10 3 3 2 2 2 5" xfId="55935"/>
    <cellStyle name="Note 10 3 3 2 2 3" xfId="12767"/>
    <cellStyle name="Note 10 3 3 2 2 4" xfId="55936"/>
    <cellStyle name="Note 10 3 3 2 2 5" xfId="55937"/>
    <cellStyle name="Note 10 3 3 2 2 6" xfId="55938"/>
    <cellStyle name="Note 10 3 3 2 2 7" xfId="55939"/>
    <cellStyle name="Note 10 3 3 2 3" xfId="6696"/>
    <cellStyle name="Note 10 3 3 2 3 2" xfId="55940"/>
    <cellStyle name="Note 10 3 3 2 3 3" xfId="55941"/>
    <cellStyle name="Note 10 3 3 2 3 4" xfId="55942"/>
    <cellStyle name="Note 10 3 3 2 3 5" xfId="55943"/>
    <cellStyle name="Note 10 3 3 2 3 6" xfId="55944"/>
    <cellStyle name="Note 10 3 3 2 4" xfId="12766"/>
    <cellStyle name="Note 10 3 3 2 5" xfId="55945"/>
    <cellStyle name="Note 10 3 3 3" xfId="1894"/>
    <cellStyle name="Note 10 3 3 3 2" xfId="3128"/>
    <cellStyle name="Note 10 3 3 3 2 2" xfId="8407"/>
    <cellStyle name="Note 10 3 3 3 2 2 2" xfId="55946"/>
    <cellStyle name="Note 10 3 3 3 2 2 3" xfId="55947"/>
    <cellStyle name="Note 10 3 3 3 2 2 4" xfId="55948"/>
    <cellStyle name="Note 10 3 3 3 2 2 5" xfId="55949"/>
    <cellStyle name="Note 10 3 3 3 2 3" xfId="12769"/>
    <cellStyle name="Note 10 3 3 3 2 4" xfId="55950"/>
    <cellStyle name="Note 10 3 3 3 2 5" xfId="55951"/>
    <cellStyle name="Note 10 3 3 3 2 6" xfId="55952"/>
    <cellStyle name="Note 10 3 3 3 2 7" xfId="55953"/>
    <cellStyle name="Note 10 3 3 3 3" xfId="7173"/>
    <cellStyle name="Note 10 3 3 3 3 2" xfId="55954"/>
    <cellStyle name="Note 10 3 3 3 3 3" xfId="55955"/>
    <cellStyle name="Note 10 3 3 3 3 4" xfId="55956"/>
    <cellStyle name="Note 10 3 3 3 3 5" xfId="55957"/>
    <cellStyle name="Note 10 3 3 3 3 6" xfId="55958"/>
    <cellStyle name="Note 10 3 3 3 4" xfId="12768"/>
    <cellStyle name="Note 10 3 3 3 5" xfId="55959"/>
    <cellStyle name="Note 10 3 3 4" xfId="3529"/>
    <cellStyle name="Note 10 3 3 4 2" xfId="8808"/>
    <cellStyle name="Note 10 3 3 4 2 2" xfId="55960"/>
    <cellStyle name="Note 10 3 3 4 2 3" xfId="55961"/>
    <cellStyle name="Note 10 3 3 4 2 4" xfId="55962"/>
    <cellStyle name="Note 10 3 3 4 2 5" xfId="55963"/>
    <cellStyle name="Note 10 3 3 4 2 6" xfId="55964"/>
    <cellStyle name="Note 10 3 3 4 3" xfId="12770"/>
    <cellStyle name="Note 10 3 3 4 4" xfId="55965"/>
    <cellStyle name="Note 10 3 3 4 5" xfId="55966"/>
    <cellStyle name="Note 10 3 3 4 6" xfId="55967"/>
    <cellStyle name="Note 10 3 3 4 7" xfId="55968"/>
    <cellStyle name="Note 10 3 3 4 8" xfId="55969"/>
    <cellStyle name="Note 10 3 3 5" xfId="3530"/>
    <cellStyle name="Note 10 3 3 5 2" xfId="8809"/>
    <cellStyle name="Note 10 3 3 5 2 2" xfId="55970"/>
    <cellStyle name="Note 10 3 3 5 2 3" xfId="55971"/>
    <cellStyle name="Note 10 3 3 5 2 4" xfId="55972"/>
    <cellStyle name="Note 10 3 3 5 2 5" xfId="55973"/>
    <cellStyle name="Note 10 3 3 5 2 6" xfId="55974"/>
    <cellStyle name="Note 10 3 3 5 3" xfId="12771"/>
    <cellStyle name="Note 10 3 3 5 4" xfId="55975"/>
    <cellStyle name="Note 10 3 3 5 5" xfId="55976"/>
    <cellStyle name="Note 10 3 3 5 6" xfId="55977"/>
    <cellStyle name="Note 10 3 3 5 7" xfId="55978"/>
    <cellStyle name="Note 10 3 3 5 8" xfId="55979"/>
    <cellStyle name="Note 10 3 3 6" xfId="3531"/>
    <cellStyle name="Note 10 3 3 6 2" xfId="8810"/>
    <cellStyle name="Note 10 3 3 6 2 2" xfId="55980"/>
    <cellStyle name="Note 10 3 3 6 2 3" xfId="55981"/>
    <cellStyle name="Note 10 3 3 6 2 4" xfId="55982"/>
    <cellStyle name="Note 10 3 3 6 2 5" xfId="55983"/>
    <cellStyle name="Note 10 3 3 6 2 6" xfId="55984"/>
    <cellStyle name="Note 10 3 3 6 3" xfId="12772"/>
    <cellStyle name="Note 10 3 3 6 4" xfId="55985"/>
    <cellStyle name="Note 10 3 3 6 5" xfId="55986"/>
    <cellStyle name="Note 10 3 3 6 6" xfId="55987"/>
    <cellStyle name="Note 10 3 3 6 7" xfId="55988"/>
    <cellStyle name="Note 10 3 3 6 8" xfId="55989"/>
    <cellStyle name="Note 10 3 3 7" xfId="3532"/>
    <cellStyle name="Note 10 3 3 7 2" xfId="8811"/>
    <cellStyle name="Note 10 3 3 7 2 2" xfId="55990"/>
    <cellStyle name="Note 10 3 3 7 2 3" xfId="55991"/>
    <cellStyle name="Note 10 3 3 7 2 4" xfId="55992"/>
    <cellStyle name="Note 10 3 3 7 2 5" xfId="55993"/>
    <cellStyle name="Note 10 3 3 7 2 6" xfId="55994"/>
    <cellStyle name="Note 10 3 3 7 3" xfId="12773"/>
    <cellStyle name="Note 10 3 3 7 4" xfId="55995"/>
    <cellStyle name="Note 10 3 3 7 5" xfId="55996"/>
    <cellStyle name="Note 10 3 3 7 6" xfId="55997"/>
    <cellStyle name="Note 10 3 3 7 7" xfId="55998"/>
    <cellStyle name="Note 10 3 3 7 8" xfId="55999"/>
    <cellStyle name="Note 10 3 3 8" xfId="6079"/>
    <cellStyle name="Note 10 3 3 8 2" xfId="56000"/>
    <cellStyle name="Note 10 3 3 8 3" xfId="56001"/>
    <cellStyle name="Note 10 3 3 8 4" xfId="56002"/>
    <cellStyle name="Note 10 3 3 8 5" xfId="56003"/>
    <cellStyle name="Note 10 3 3 8 6" xfId="56004"/>
    <cellStyle name="Note 10 3 3 9" xfId="12765"/>
    <cellStyle name="Note 10 3 3 9 2" xfId="56005"/>
    <cellStyle name="Note 10 3 4" xfId="962"/>
    <cellStyle name="Note 10 3 4 10" xfId="2199"/>
    <cellStyle name="Note 10 3 4 10 2" xfId="7478"/>
    <cellStyle name="Note 10 3 4 10 2 2" xfId="56006"/>
    <cellStyle name="Note 10 3 4 10 2 3" xfId="56007"/>
    <cellStyle name="Note 10 3 4 10 2 4" xfId="56008"/>
    <cellStyle name="Note 10 3 4 10 2 5" xfId="56009"/>
    <cellStyle name="Note 10 3 4 10 3" xfId="11233"/>
    <cellStyle name="Note 10 3 4 10 4" xfId="56010"/>
    <cellStyle name="Note 10 3 4 10 5" xfId="56011"/>
    <cellStyle name="Note 10 3 4 10 6" xfId="56012"/>
    <cellStyle name="Note 10 3 4 10 7" xfId="56013"/>
    <cellStyle name="Note 10 3 4 11" xfId="6241"/>
    <cellStyle name="Note 10 3 4 11 2" xfId="56014"/>
    <cellStyle name="Note 10 3 4 11 3" xfId="56015"/>
    <cellStyle name="Note 10 3 4 11 4" xfId="56016"/>
    <cellStyle name="Note 10 3 4 11 5" xfId="56017"/>
    <cellStyle name="Note 10 3 4 12" xfId="56018"/>
    <cellStyle name="Note 10 3 4 13" xfId="56019"/>
    <cellStyle name="Note 10 3 4 2" xfId="1579"/>
    <cellStyle name="Note 10 3 4 2 2" xfId="2813"/>
    <cellStyle name="Note 10 3 4 2 2 2" xfId="8092"/>
    <cellStyle name="Note 10 3 4 2 2 2 2" xfId="56020"/>
    <cellStyle name="Note 10 3 4 2 2 2 3" xfId="56021"/>
    <cellStyle name="Note 10 3 4 2 2 2 4" xfId="56022"/>
    <cellStyle name="Note 10 3 4 2 2 2 5" xfId="56023"/>
    <cellStyle name="Note 10 3 4 2 2 3" xfId="12775"/>
    <cellStyle name="Note 10 3 4 2 2 4" xfId="56024"/>
    <cellStyle name="Note 10 3 4 2 2 5" xfId="56025"/>
    <cellStyle name="Note 10 3 4 2 2 6" xfId="56026"/>
    <cellStyle name="Note 10 3 4 2 2 7" xfId="56027"/>
    <cellStyle name="Note 10 3 4 2 3" xfId="6858"/>
    <cellStyle name="Note 10 3 4 2 3 2" xfId="56028"/>
    <cellStyle name="Note 10 3 4 2 3 3" xfId="56029"/>
    <cellStyle name="Note 10 3 4 2 3 4" xfId="56030"/>
    <cellStyle name="Note 10 3 4 2 3 5" xfId="56031"/>
    <cellStyle name="Note 10 3 4 2 3 6" xfId="56032"/>
    <cellStyle name="Note 10 3 4 2 4" xfId="12774"/>
    <cellStyle name="Note 10 3 4 2 5" xfId="56033"/>
    <cellStyle name="Note 10 3 4 3" xfId="3533"/>
    <cellStyle name="Note 10 3 4 3 2" xfId="8812"/>
    <cellStyle name="Note 10 3 4 3 2 2" xfId="56034"/>
    <cellStyle name="Note 10 3 4 3 2 3" xfId="56035"/>
    <cellStyle name="Note 10 3 4 3 2 4" xfId="56036"/>
    <cellStyle name="Note 10 3 4 3 2 5" xfId="56037"/>
    <cellStyle name="Note 10 3 4 3 2 6" xfId="56038"/>
    <cellStyle name="Note 10 3 4 3 3" xfId="12776"/>
    <cellStyle name="Note 10 3 4 3 4" xfId="56039"/>
    <cellStyle name="Note 10 3 4 3 5" xfId="56040"/>
    <cellStyle name="Note 10 3 4 3 6" xfId="56041"/>
    <cellStyle name="Note 10 3 4 3 7" xfId="56042"/>
    <cellStyle name="Note 10 3 4 3 8" xfId="56043"/>
    <cellStyle name="Note 10 3 4 4" xfId="3534"/>
    <cellStyle name="Note 10 3 4 4 2" xfId="8813"/>
    <cellStyle name="Note 10 3 4 4 2 2" xfId="56044"/>
    <cellStyle name="Note 10 3 4 4 2 3" xfId="56045"/>
    <cellStyle name="Note 10 3 4 4 2 4" xfId="56046"/>
    <cellStyle name="Note 10 3 4 4 2 5" xfId="56047"/>
    <cellStyle name="Note 10 3 4 4 2 6" xfId="56048"/>
    <cellStyle name="Note 10 3 4 4 3" xfId="12777"/>
    <cellStyle name="Note 10 3 4 4 4" xfId="56049"/>
    <cellStyle name="Note 10 3 4 4 5" xfId="56050"/>
    <cellStyle name="Note 10 3 4 4 6" xfId="56051"/>
    <cellStyle name="Note 10 3 4 4 7" xfId="56052"/>
    <cellStyle name="Note 10 3 4 4 8" xfId="56053"/>
    <cellStyle name="Note 10 3 4 5" xfId="3535"/>
    <cellStyle name="Note 10 3 4 5 2" xfId="8814"/>
    <cellStyle name="Note 10 3 4 5 2 2" xfId="56054"/>
    <cellStyle name="Note 10 3 4 5 2 3" xfId="56055"/>
    <cellStyle name="Note 10 3 4 5 2 4" xfId="56056"/>
    <cellStyle name="Note 10 3 4 5 2 5" xfId="56057"/>
    <cellStyle name="Note 10 3 4 5 2 6" xfId="56058"/>
    <cellStyle name="Note 10 3 4 5 3" xfId="12778"/>
    <cellStyle name="Note 10 3 4 5 4" xfId="56059"/>
    <cellStyle name="Note 10 3 4 5 5" xfId="56060"/>
    <cellStyle name="Note 10 3 4 5 6" xfId="56061"/>
    <cellStyle name="Note 10 3 4 5 7" xfId="56062"/>
    <cellStyle name="Note 10 3 4 5 8" xfId="56063"/>
    <cellStyle name="Note 10 3 4 6" xfId="3536"/>
    <cellStyle name="Note 10 3 4 6 2" xfId="8815"/>
    <cellStyle name="Note 10 3 4 6 2 2" xfId="56064"/>
    <cellStyle name="Note 10 3 4 6 2 3" xfId="56065"/>
    <cellStyle name="Note 10 3 4 6 2 4" xfId="56066"/>
    <cellStyle name="Note 10 3 4 6 2 5" xfId="56067"/>
    <cellStyle name="Note 10 3 4 6 2 6" xfId="56068"/>
    <cellStyle name="Note 10 3 4 6 3" xfId="12779"/>
    <cellStyle name="Note 10 3 4 6 4" xfId="56069"/>
    <cellStyle name="Note 10 3 4 6 5" xfId="56070"/>
    <cellStyle name="Note 10 3 4 6 6" xfId="56071"/>
    <cellStyle name="Note 10 3 4 6 7" xfId="56072"/>
    <cellStyle name="Note 10 3 4 6 8" xfId="56073"/>
    <cellStyle name="Note 10 3 4 7" xfId="3537"/>
    <cellStyle name="Note 10 3 4 7 2" xfId="8816"/>
    <cellStyle name="Note 10 3 4 7 2 2" xfId="56074"/>
    <cellStyle name="Note 10 3 4 7 2 3" xfId="56075"/>
    <cellStyle name="Note 10 3 4 7 2 4" xfId="56076"/>
    <cellStyle name="Note 10 3 4 7 2 5" xfId="56077"/>
    <cellStyle name="Note 10 3 4 7 2 6" xfId="56078"/>
    <cellStyle name="Note 10 3 4 7 3" xfId="12780"/>
    <cellStyle name="Note 10 3 4 7 4" xfId="56079"/>
    <cellStyle name="Note 10 3 4 7 5" xfId="56080"/>
    <cellStyle name="Note 10 3 4 7 6" xfId="56081"/>
    <cellStyle name="Note 10 3 4 7 7" xfId="56082"/>
    <cellStyle name="Note 10 3 4 7 8" xfId="56083"/>
    <cellStyle name="Note 10 3 4 8" xfId="3538"/>
    <cellStyle name="Note 10 3 4 8 2" xfId="8817"/>
    <cellStyle name="Note 10 3 4 8 2 2" xfId="56084"/>
    <cellStyle name="Note 10 3 4 8 2 3" xfId="56085"/>
    <cellStyle name="Note 10 3 4 8 2 4" xfId="56086"/>
    <cellStyle name="Note 10 3 4 8 2 5" xfId="56087"/>
    <cellStyle name="Note 10 3 4 8 2 6" xfId="56088"/>
    <cellStyle name="Note 10 3 4 8 3" xfId="12781"/>
    <cellStyle name="Note 10 3 4 8 4" xfId="56089"/>
    <cellStyle name="Note 10 3 4 8 5" xfId="56090"/>
    <cellStyle name="Note 10 3 4 8 6" xfId="56091"/>
    <cellStyle name="Note 10 3 4 8 7" xfId="56092"/>
    <cellStyle name="Note 10 3 4 8 8" xfId="56093"/>
    <cellStyle name="Note 10 3 4 9" xfId="3539"/>
    <cellStyle name="Note 10 3 4 9 2" xfId="8818"/>
    <cellStyle name="Note 10 3 4 9 2 2" xfId="56094"/>
    <cellStyle name="Note 10 3 4 9 2 3" xfId="56095"/>
    <cellStyle name="Note 10 3 4 9 2 4" xfId="56096"/>
    <cellStyle name="Note 10 3 4 9 2 5" xfId="56097"/>
    <cellStyle name="Note 10 3 4 9 2 6" xfId="56098"/>
    <cellStyle name="Note 10 3 4 9 3" xfId="12782"/>
    <cellStyle name="Note 10 3 4 9 4" xfId="56099"/>
    <cellStyle name="Note 10 3 4 9 5" xfId="56100"/>
    <cellStyle name="Note 10 3 4 9 6" xfId="56101"/>
    <cellStyle name="Note 10 3 4 9 7" xfId="56102"/>
    <cellStyle name="Note 10 3 4 9 8" xfId="56103"/>
    <cellStyle name="Note 10 3 5" xfId="963"/>
    <cellStyle name="Note 10 3 5 10" xfId="2200"/>
    <cellStyle name="Note 10 3 5 10 2" xfId="7479"/>
    <cellStyle name="Note 10 3 5 10 2 2" xfId="56104"/>
    <cellStyle name="Note 10 3 5 10 2 3" xfId="56105"/>
    <cellStyle name="Note 10 3 5 10 2 4" xfId="56106"/>
    <cellStyle name="Note 10 3 5 10 2 5" xfId="56107"/>
    <cellStyle name="Note 10 3 5 10 3" xfId="11234"/>
    <cellStyle name="Note 10 3 5 10 4" xfId="56108"/>
    <cellStyle name="Note 10 3 5 10 5" xfId="56109"/>
    <cellStyle name="Note 10 3 5 10 6" xfId="56110"/>
    <cellStyle name="Note 10 3 5 10 7" xfId="56111"/>
    <cellStyle name="Note 10 3 5 11" xfId="6242"/>
    <cellStyle name="Note 10 3 5 11 2" xfId="56112"/>
    <cellStyle name="Note 10 3 5 11 3" xfId="56113"/>
    <cellStyle name="Note 10 3 5 11 4" xfId="56114"/>
    <cellStyle name="Note 10 3 5 11 5" xfId="56115"/>
    <cellStyle name="Note 10 3 5 12" xfId="56116"/>
    <cellStyle name="Note 10 3 5 13" xfId="56117"/>
    <cellStyle name="Note 10 3 5 2" xfId="1580"/>
    <cellStyle name="Note 10 3 5 2 2" xfId="2814"/>
    <cellStyle name="Note 10 3 5 2 2 2" xfId="8093"/>
    <cellStyle name="Note 10 3 5 2 2 2 2" xfId="56118"/>
    <cellStyle name="Note 10 3 5 2 2 2 3" xfId="56119"/>
    <cellStyle name="Note 10 3 5 2 2 2 4" xfId="56120"/>
    <cellStyle name="Note 10 3 5 2 2 2 5" xfId="56121"/>
    <cellStyle name="Note 10 3 5 2 2 3" xfId="12784"/>
    <cellStyle name="Note 10 3 5 2 2 4" xfId="56122"/>
    <cellStyle name="Note 10 3 5 2 2 5" xfId="56123"/>
    <cellStyle name="Note 10 3 5 2 2 6" xfId="56124"/>
    <cellStyle name="Note 10 3 5 2 2 7" xfId="56125"/>
    <cellStyle name="Note 10 3 5 2 3" xfId="6859"/>
    <cellStyle name="Note 10 3 5 2 3 2" xfId="56126"/>
    <cellStyle name="Note 10 3 5 2 3 3" xfId="56127"/>
    <cellStyle name="Note 10 3 5 2 3 4" xfId="56128"/>
    <cellStyle name="Note 10 3 5 2 3 5" xfId="56129"/>
    <cellStyle name="Note 10 3 5 2 3 6" xfId="56130"/>
    <cellStyle name="Note 10 3 5 2 4" xfId="12783"/>
    <cellStyle name="Note 10 3 5 2 5" xfId="56131"/>
    <cellStyle name="Note 10 3 5 3" xfId="3540"/>
    <cellStyle name="Note 10 3 5 3 2" xfId="8819"/>
    <cellStyle name="Note 10 3 5 3 2 2" xfId="56132"/>
    <cellStyle name="Note 10 3 5 3 2 3" xfId="56133"/>
    <cellStyle name="Note 10 3 5 3 2 4" xfId="56134"/>
    <cellStyle name="Note 10 3 5 3 2 5" xfId="56135"/>
    <cellStyle name="Note 10 3 5 3 2 6" xfId="56136"/>
    <cellStyle name="Note 10 3 5 3 3" xfId="12785"/>
    <cellStyle name="Note 10 3 5 3 4" xfId="56137"/>
    <cellStyle name="Note 10 3 5 3 5" xfId="56138"/>
    <cellStyle name="Note 10 3 5 3 6" xfId="56139"/>
    <cellStyle name="Note 10 3 5 3 7" xfId="56140"/>
    <cellStyle name="Note 10 3 5 3 8" xfId="56141"/>
    <cellStyle name="Note 10 3 5 4" xfId="3541"/>
    <cellStyle name="Note 10 3 5 4 2" xfId="8820"/>
    <cellStyle name="Note 10 3 5 4 2 2" xfId="56142"/>
    <cellStyle name="Note 10 3 5 4 2 3" xfId="56143"/>
    <cellStyle name="Note 10 3 5 4 2 4" xfId="56144"/>
    <cellStyle name="Note 10 3 5 4 2 5" xfId="56145"/>
    <cellStyle name="Note 10 3 5 4 2 6" xfId="56146"/>
    <cellStyle name="Note 10 3 5 4 3" xfId="12786"/>
    <cellStyle name="Note 10 3 5 4 4" xfId="56147"/>
    <cellStyle name="Note 10 3 5 4 5" xfId="56148"/>
    <cellStyle name="Note 10 3 5 4 6" xfId="56149"/>
    <cellStyle name="Note 10 3 5 4 7" xfId="56150"/>
    <cellStyle name="Note 10 3 5 4 8" xfId="56151"/>
    <cellStyle name="Note 10 3 5 5" xfId="3542"/>
    <cellStyle name="Note 10 3 5 5 2" xfId="8821"/>
    <cellStyle name="Note 10 3 5 5 2 2" xfId="56152"/>
    <cellStyle name="Note 10 3 5 5 2 3" xfId="56153"/>
    <cellStyle name="Note 10 3 5 5 2 4" xfId="56154"/>
    <cellStyle name="Note 10 3 5 5 2 5" xfId="56155"/>
    <cellStyle name="Note 10 3 5 5 2 6" xfId="56156"/>
    <cellStyle name="Note 10 3 5 5 3" xfId="12787"/>
    <cellStyle name="Note 10 3 5 5 4" xfId="56157"/>
    <cellStyle name="Note 10 3 5 5 5" xfId="56158"/>
    <cellStyle name="Note 10 3 5 5 6" xfId="56159"/>
    <cellStyle name="Note 10 3 5 5 7" xfId="56160"/>
    <cellStyle name="Note 10 3 5 5 8" xfId="56161"/>
    <cellStyle name="Note 10 3 5 6" xfId="3543"/>
    <cellStyle name="Note 10 3 5 6 2" xfId="8822"/>
    <cellStyle name="Note 10 3 5 6 2 2" xfId="56162"/>
    <cellStyle name="Note 10 3 5 6 2 3" xfId="56163"/>
    <cellStyle name="Note 10 3 5 6 2 4" xfId="56164"/>
    <cellStyle name="Note 10 3 5 6 2 5" xfId="56165"/>
    <cellStyle name="Note 10 3 5 6 2 6" xfId="56166"/>
    <cellStyle name="Note 10 3 5 6 3" xfId="12788"/>
    <cellStyle name="Note 10 3 5 6 4" xfId="56167"/>
    <cellStyle name="Note 10 3 5 6 5" xfId="56168"/>
    <cellStyle name="Note 10 3 5 6 6" xfId="56169"/>
    <cellStyle name="Note 10 3 5 6 7" xfId="56170"/>
    <cellStyle name="Note 10 3 5 6 8" xfId="56171"/>
    <cellStyle name="Note 10 3 5 7" xfId="3544"/>
    <cellStyle name="Note 10 3 5 7 2" xfId="8823"/>
    <cellStyle name="Note 10 3 5 7 2 2" xfId="56172"/>
    <cellStyle name="Note 10 3 5 7 2 3" xfId="56173"/>
    <cellStyle name="Note 10 3 5 7 2 4" xfId="56174"/>
    <cellStyle name="Note 10 3 5 7 2 5" xfId="56175"/>
    <cellStyle name="Note 10 3 5 7 2 6" xfId="56176"/>
    <cellStyle name="Note 10 3 5 7 3" xfId="12789"/>
    <cellStyle name="Note 10 3 5 7 4" xfId="56177"/>
    <cellStyle name="Note 10 3 5 7 5" xfId="56178"/>
    <cellStyle name="Note 10 3 5 7 6" xfId="56179"/>
    <cellStyle name="Note 10 3 5 7 7" xfId="56180"/>
    <cellStyle name="Note 10 3 5 7 8" xfId="56181"/>
    <cellStyle name="Note 10 3 5 8" xfId="3545"/>
    <cellStyle name="Note 10 3 5 8 2" xfId="8824"/>
    <cellStyle name="Note 10 3 5 8 2 2" xfId="56182"/>
    <cellStyle name="Note 10 3 5 8 2 3" xfId="56183"/>
    <cellStyle name="Note 10 3 5 8 2 4" xfId="56184"/>
    <cellStyle name="Note 10 3 5 8 2 5" xfId="56185"/>
    <cellStyle name="Note 10 3 5 8 2 6" xfId="56186"/>
    <cellStyle name="Note 10 3 5 8 3" xfId="12790"/>
    <cellStyle name="Note 10 3 5 8 4" xfId="56187"/>
    <cellStyle name="Note 10 3 5 8 5" xfId="56188"/>
    <cellStyle name="Note 10 3 5 8 6" xfId="56189"/>
    <cellStyle name="Note 10 3 5 8 7" xfId="56190"/>
    <cellStyle name="Note 10 3 5 8 8" xfId="56191"/>
    <cellStyle name="Note 10 3 5 9" xfId="3546"/>
    <cellStyle name="Note 10 3 5 9 2" xfId="8825"/>
    <cellStyle name="Note 10 3 5 9 2 2" xfId="56192"/>
    <cellStyle name="Note 10 3 5 9 2 3" xfId="56193"/>
    <cellStyle name="Note 10 3 5 9 2 4" xfId="56194"/>
    <cellStyle name="Note 10 3 5 9 2 5" xfId="56195"/>
    <cellStyle name="Note 10 3 5 9 2 6" xfId="56196"/>
    <cellStyle name="Note 10 3 5 9 3" xfId="12791"/>
    <cellStyle name="Note 10 3 5 9 4" xfId="56197"/>
    <cellStyle name="Note 10 3 5 9 5" xfId="56198"/>
    <cellStyle name="Note 10 3 5 9 6" xfId="56199"/>
    <cellStyle name="Note 10 3 5 9 7" xfId="56200"/>
    <cellStyle name="Note 10 3 5 9 8" xfId="56201"/>
    <cellStyle name="Note 10 3 6" xfId="964"/>
    <cellStyle name="Note 10 3 6 10" xfId="2201"/>
    <cellStyle name="Note 10 3 6 10 2" xfId="7480"/>
    <cellStyle name="Note 10 3 6 10 2 2" xfId="56202"/>
    <cellStyle name="Note 10 3 6 10 2 3" xfId="56203"/>
    <cellStyle name="Note 10 3 6 10 2 4" xfId="56204"/>
    <cellStyle name="Note 10 3 6 10 2 5" xfId="56205"/>
    <cellStyle name="Note 10 3 6 10 3" xfId="11235"/>
    <cellStyle name="Note 10 3 6 10 4" xfId="56206"/>
    <cellStyle name="Note 10 3 6 10 5" xfId="56207"/>
    <cellStyle name="Note 10 3 6 10 6" xfId="56208"/>
    <cellStyle name="Note 10 3 6 10 7" xfId="56209"/>
    <cellStyle name="Note 10 3 6 11" xfId="6243"/>
    <cellStyle name="Note 10 3 6 11 2" xfId="56210"/>
    <cellStyle name="Note 10 3 6 11 3" xfId="56211"/>
    <cellStyle name="Note 10 3 6 11 4" xfId="56212"/>
    <cellStyle name="Note 10 3 6 11 5" xfId="56213"/>
    <cellStyle name="Note 10 3 6 12" xfId="56214"/>
    <cellStyle name="Note 10 3 6 13" xfId="56215"/>
    <cellStyle name="Note 10 3 6 2" xfId="1581"/>
    <cellStyle name="Note 10 3 6 2 2" xfId="2815"/>
    <cellStyle name="Note 10 3 6 2 2 2" xfId="8094"/>
    <cellStyle name="Note 10 3 6 2 2 2 2" xfId="56216"/>
    <cellStyle name="Note 10 3 6 2 2 2 3" xfId="56217"/>
    <cellStyle name="Note 10 3 6 2 2 2 4" xfId="56218"/>
    <cellStyle name="Note 10 3 6 2 2 2 5" xfId="56219"/>
    <cellStyle name="Note 10 3 6 2 2 3" xfId="12793"/>
    <cellStyle name="Note 10 3 6 2 2 4" xfId="56220"/>
    <cellStyle name="Note 10 3 6 2 2 5" xfId="56221"/>
    <cellStyle name="Note 10 3 6 2 2 6" xfId="56222"/>
    <cellStyle name="Note 10 3 6 2 2 7" xfId="56223"/>
    <cellStyle name="Note 10 3 6 2 3" xfId="6860"/>
    <cellStyle name="Note 10 3 6 2 3 2" xfId="56224"/>
    <cellStyle name="Note 10 3 6 2 3 3" xfId="56225"/>
    <cellStyle name="Note 10 3 6 2 3 4" xfId="56226"/>
    <cellStyle name="Note 10 3 6 2 3 5" xfId="56227"/>
    <cellStyle name="Note 10 3 6 2 3 6" xfId="56228"/>
    <cellStyle name="Note 10 3 6 2 4" xfId="12792"/>
    <cellStyle name="Note 10 3 6 2 5" xfId="56229"/>
    <cellStyle name="Note 10 3 6 3" xfId="3547"/>
    <cellStyle name="Note 10 3 6 3 2" xfId="8826"/>
    <cellStyle name="Note 10 3 6 3 2 2" xfId="56230"/>
    <cellStyle name="Note 10 3 6 3 2 3" xfId="56231"/>
    <cellStyle name="Note 10 3 6 3 2 4" xfId="56232"/>
    <cellStyle name="Note 10 3 6 3 2 5" xfId="56233"/>
    <cellStyle name="Note 10 3 6 3 2 6" xfId="56234"/>
    <cellStyle name="Note 10 3 6 3 3" xfId="12794"/>
    <cellStyle name="Note 10 3 6 3 4" xfId="56235"/>
    <cellStyle name="Note 10 3 6 3 5" xfId="56236"/>
    <cellStyle name="Note 10 3 6 3 6" xfId="56237"/>
    <cellStyle name="Note 10 3 6 3 7" xfId="56238"/>
    <cellStyle name="Note 10 3 6 3 8" xfId="56239"/>
    <cellStyle name="Note 10 3 6 4" xfId="3548"/>
    <cellStyle name="Note 10 3 6 4 2" xfId="8827"/>
    <cellStyle name="Note 10 3 6 4 2 2" xfId="56240"/>
    <cellStyle name="Note 10 3 6 4 2 3" xfId="56241"/>
    <cellStyle name="Note 10 3 6 4 2 4" xfId="56242"/>
    <cellStyle name="Note 10 3 6 4 2 5" xfId="56243"/>
    <cellStyle name="Note 10 3 6 4 2 6" xfId="56244"/>
    <cellStyle name="Note 10 3 6 4 3" xfId="12795"/>
    <cellStyle name="Note 10 3 6 4 4" xfId="56245"/>
    <cellStyle name="Note 10 3 6 4 5" xfId="56246"/>
    <cellStyle name="Note 10 3 6 4 6" xfId="56247"/>
    <cellStyle name="Note 10 3 6 4 7" xfId="56248"/>
    <cellStyle name="Note 10 3 6 4 8" xfId="56249"/>
    <cellStyle name="Note 10 3 6 5" xfId="3549"/>
    <cellStyle name="Note 10 3 6 5 2" xfId="8828"/>
    <cellStyle name="Note 10 3 6 5 2 2" xfId="56250"/>
    <cellStyle name="Note 10 3 6 5 2 3" xfId="56251"/>
    <cellStyle name="Note 10 3 6 5 2 4" xfId="56252"/>
    <cellStyle name="Note 10 3 6 5 2 5" xfId="56253"/>
    <cellStyle name="Note 10 3 6 5 2 6" xfId="56254"/>
    <cellStyle name="Note 10 3 6 5 3" xfId="12796"/>
    <cellStyle name="Note 10 3 6 5 4" xfId="56255"/>
    <cellStyle name="Note 10 3 6 5 5" xfId="56256"/>
    <cellStyle name="Note 10 3 6 5 6" xfId="56257"/>
    <cellStyle name="Note 10 3 6 5 7" xfId="56258"/>
    <cellStyle name="Note 10 3 6 5 8" xfId="56259"/>
    <cellStyle name="Note 10 3 6 6" xfId="3550"/>
    <cellStyle name="Note 10 3 6 6 2" xfId="8829"/>
    <cellStyle name="Note 10 3 6 6 2 2" xfId="56260"/>
    <cellStyle name="Note 10 3 6 6 2 3" xfId="56261"/>
    <cellStyle name="Note 10 3 6 6 2 4" xfId="56262"/>
    <cellStyle name="Note 10 3 6 6 2 5" xfId="56263"/>
    <cellStyle name="Note 10 3 6 6 2 6" xfId="56264"/>
    <cellStyle name="Note 10 3 6 6 3" xfId="12797"/>
    <cellStyle name="Note 10 3 6 6 4" xfId="56265"/>
    <cellStyle name="Note 10 3 6 6 5" xfId="56266"/>
    <cellStyle name="Note 10 3 6 6 6" xfId="56267"/>
    <cellStyle name="Note 10 3 6 6 7" xfId="56268"/>
    <cellStyle name="Note 10 3 6 6 8" xfId="56269"/>
    <cellStyle name="Note 10 3 6 7" xfId="3551"/>
    <cellStyle name="Note 10 3 6 7 2" xfId="8830"/>
    <cellStyle name="Note 10 3 6 7 2 2" xfId="56270"/>
    <cellStyle name="Note 10 3 6 7 2 3" xfId="56271"/>
    <cellStyle name="Note 10 3 6 7 2 4" xfId="56272"/>
    <cellStyle name="Note 10 3 6 7 2 5" xfId="56273"/>
    <cellStyle name="Note 10 3 6 7 2 6" xfId="56274"/>
    <cellStyle name="Note 10 3 6 7 3" xfId="12798"/>
    <cellStyle name="Note 10 3 6 7 4" xfId="56275"/>
    <cellStyle name="Note 10 3 6 7 5" xfId="56276"/>
    <cellStyle name="Note 10 3 6 7 6" xfId="56277"/>
    <cellStyle name="Note 10 3 6 7 7" xfId="56278"/>
    <cellStyle name="Note 10 3 6 7 8" xfId="56279"/>
    <cellStyle name="Note 10 3 6 8" xfId="3552"/>
    <cellStyle name="Note 10 3 6 8 2" xfId="8831"/>
    <cellStyle name="Note 10 3 6 8 2 2" xfId="56280"/>
    <cellStyle name="Note 10 3 6 8 2 3" xfId="56281"/>
    <cellStyle name="Note 10 3 6 8 2 4" xfId="56282"/>
    <cellStyle name="Note 10 3 6 8 2 5" xfId="56283"/>
    <cellStyle name="Note 10 3 6 8 2 6" xfId="56284"/>
    <cellStyle name="Note 10 3 6 8 3" xfId="12799"/>
    <cellStyle name="Note 10 3 6 8 4" xfId="56285"/>
    <cellStyle name="Note 10 3 6 8 5" xfId="56286"/>
    <cellStyle name="Note 10 3 6 8 6" xfId="56287"/>
    <cellStyle name="Note 10 3 6 8 7" xfId="56288"/>
    <cellStyle name="Note 10 3 6 8 8" xfId="56289"/>
    <cellStyle name="Note 10 3 6 9" xfId="3553"/>
    <cellStyle name="Note 10 3 6 9 2" xfId="8832"/>
    <cellStyle name="Note 10 3 6 9 2 2" xfId="56290"/>
    <cellStyle name="Note 10 3 6 9 2 3" xfId="56291"/>
    <cellStyle name="Note 10 3 6 9 2 4" xfId="56292"/>
    <cellStyle name="Note 10 3 6 9 2 5" xfId="56293"/>
    <cellStyle name="Note 10 3 6 9 2 6" xfId="56294"/>
    <cellStyle name="Note 10 3 6 9 3" xfId="12800"/>
    <cellStyle name="Note 10 3 6 9 4" xfId="56295"/>
    <cellStyle name="Note 10 3 6 9 5" xfId="56296"/>
    <cellStyle name="Note 10 3 6 9 6" xfId="56297"/>
    <cellStyle name="Note 10 3 6 9 7" xfId="56298"/>
    <cellStyle name="Note 10 3 6 9 8" xfId="56299"/>
    <cellStyle name="Note 10 3 7" xfId="965"/>
    <cellStyle name="Note 10 3 7 10" xfId="2202"/>
    <cellStyle name="Note 10 3 7 10 2" xfId="7481"/>
    <cellStyle name="Note 10 3 7 10 2 2" xfId="56300"/>
    <cellStyle name="Note 10 3 7 10 2 3" xfId="56301"/>
    <cellStyle name="Note 10 3 7 10 2 4" xfId="56302"/>
    <cellStyle name="Note 10 3 7 10 2 5" xfId="56303"/>
    <cellStyle name="Note 10 3 7 10 3" xfId="11236"/>
    <cellStyle name="Note 10 3 7 10 4" xfId="56304"/>
    <cellStyle name="Note 10 3 7 10 5" xfId="56305"/>
    <cellStyle name="Note 10 3 7 10 6" xfId="56306"/>
    <cellStyle name="Note 10 3 7 10 7" xfId="56307"/>
    <cellStyle name="Note 10 3 7 11" xfId="6244"/>
    <cellStyle name="Note 10 3 7 11 2" xfId="56308"/>
    <cellStyle name="Note 10 3 7 11 3" xfId="56309"/>
    <cellStyle name="Note 10 3 7 11 4" xfId="56310"/>
    <cellStyle name="Note 10 3 7 11 5" xfId="56311"/>
    <cellStyle name="Note 10 3 7 12" xfId="56312"/>
    <cellStyle name="Note 10 3 7 13" xfId="56313"/>
    <cellStyle name="Note 10 3 7 2" xfId="1582"/>
    <cellStyle name="Note 10 3 7 2 2" xfId="2816"/>
    <cellStyle name="Note 10 3 7 2 2 2" xfId="8095"/>
    <cellStyle name="Note 10 3 7 2 2 2 2" xfId="56314"/>
    <cellStyle name="Note 10 3 7 2 2 2 3" xfId="56315"/>
    <cellStyle name="Note 10 3 7 2 2 2 4" xfId="56316"/>
    <cellStyle name="Note 10 3 7 2 2 2 5" xfId="56317"/>
    <cellStyle name="Note 10 3 7 2 2 3" xfId="12802"/>
    <cellStyle name="Note 10 3 7 2 2 4" xfId="56318"/>
    <cellStyle name="Note 10 3 7 2 2 5" xfId="56319"/>
    <cellStyle name="Note 10 3 7 2 2 6" xfId="56320"/>
    <cellStyle name="Note 10 3 7 2 2 7" xfId="56321"/>
    <cellStyle name="Note 10 3 7 2 3" xfId="6861"/>
    <cellStyle name="Note 10 3 7 2 3 2" xfId="56322"/>
    <cellStyle name="Note 10 3 7 2 3 3" xfId="56323"/>
    <cellStyle name="Note 10 3 7 2 3 4" xfId="56324"/>
    <cellStyle name="Note 10 3 7 2 3 5" xfId="56325"/>
    <cellStyle name="Note 10 3 7 2 3 6" xfId="56326"/>
    <cellStyle name="Note 10 3 7 2 4" xfId="12801"/>
    <cellStyle name="Note 10 3 7 2 5" xfId="56327"/>
    <cellStyle name="Note 10 3 7 3" xfId="3554"/>
    <cellStyle name="Note 10 3 7 3 2" xfId="8833"/>
    <cellStyle name="Note 10 3 7 3 2 2" xfId="56328"/>
    <cellStyle name="Note 10 3 7 3 2 3" xfId="56329"/>
    <cellStyle name="Note 10 3 7 3 2 4" xfId="56330"/>
    <cellStyle name="Note 10 3 7 3 2 5" xfId="56331"/>
    <cellStyle name="Note 10 3 7 3 2 6" xfId="56332"/>
    <cellStyle name="Note 10 3 7 3 3" xfId="12803"/>
    <cellStyle name="Note 10 3 7 3 4" xfId="56333"/>
    <cellStyle name="Note 10 3 7 3 5" xfId="56334"/>
    <cellStyle name="Note 10 3 7 3 6" xfId="56335"/>
    <cellStyle name="Note 10 3 7 3 7" xfId="56336"/>
    <cellStyle name="Note 10 3 7 3 8" xfId="56337"/>
    <cellStyle name="Note 10 3 7 4" xfId="3555"/>
    <cellStyle name="Note 10 3 7 4 2" xfId="8834"/>
    <cellStyle name="Note 10 3 7 4 2 2" xfId="56338"/>
    <cellStyle name="Note 10 3 7 4 2 3" xfId="56339"/>
    <cellStyle name="Note 10 3 7 4 2 4" xfId="56340"/>
    <cellStyle name="Note 10 3 7 4 2 5" xfId="56341"/>
    <cellStyle name="Note 10 3 7 4 2 6" xfId="56342"/>
    <cellStyle name="Note 10 3 7 4 3" xfId="12804"/>
    <cellStyle name="Note 10 3 7 4 4" xfId="56343"/>
    <cellStyle name="Note 10 3 7 4 5" xfId="56344"/>
    <cellStyle name="Note 10 3 7 4 6" xfId="56345"/>
    <cellStyle name="Note 10 3 7 4 7" xfId="56346"/>
    <cellStyle name="Note 10 3 7 4 8" xfId="56347"/>
    <cellStyle name="Note 10 3 7 5" xfId="3556"/>
    <cellStyle name="Note 10 3 7 5 2" xfId="8835"/>
    <cellStyle name="Note 10 3 7 5 2 2" xfId="56348"/>
    <cellStyle name="Note 10 3 7 5 2 3" xfId="56349"/>
    <cellStyle name="Note 10 3 7 5 2 4" xfId="56350"/>
    <cellStyle name="Note 10 3 7 5 2 5" xfId="56351"/>
    <cellStyle name="Note 10 3 7 5 2 6" xfId="56352"/>
    <cellStyle name="Note 10 3 7 5 3" xfId="12805"/>
    <cellStyle name="Note 10 3 7 5 4" xfId="56353"/>
    <cellStyle name="Note 10 3 7 5 5" xfId="56354"/>
    <cellStyle name="Note 10 3 7 5 6" xfId="56355"/>
    <cellStyle name="Note 10 3 7 5 7" xfId="56356"/>
    <cellStyle name="Note 10 3 7 5 8" xfId="56357"/>
    <cellStyle name="Note 10 3 7 6" xfId="3557"/>
    <cellStyle name="Note 10 3 7 6 2" xfId="8836"/>
    <cellStyle name="Note 10 3 7 6 2 2" xfId="56358"/>
    <cellStyle name="Note 10 3 7 6 2 3" xfId="56359"/>
    <cellStyle name="Note 10 3 7 6 2 4" xfId="56360"/>
    <cellStyle name="Note 10 3 7 6 2 5" xfId="56361"/>
    <cellStyle name="Note 10 3 7 6 2 6" xfId="56362"/>
    <cellStyle name="Note 10 3 7 6 3" xfId="12806"/>
    <cellStyle name="Note 10 3 7 6 4" xfId="56363"/>
    <cellStyle name="Note 10 3 7 6 5" xfId="56364"/>
    <cellStyle name="Note 10 3 7 6 6" xfId="56365"/>
    <cellStyle name="Note 10 3 7 6 7" xfId="56366"/>
    <cellStyle name="Note 10 3 7 6 8" xfId="56367"/>
    <cellStyle name="Note 10 3 7 7" xfId="3558"/>
    <cellStyle name="Note 10 3 7 7 2" xfId="8837"/>
    <cellStyle name="Note 10 3 7 7 2 2" xfId="56368"/>
    <cellStyle name="Note 10 3 7 7 2 3" xfId="56369"/>
    <cellStyle name="Note 10 3 7 7 2 4" xfId="56370"/>
    <cellStyle name="Note 10 3 7 7 2 5" xfId="56371"/>
    <cellStyle name="Note 10 3 7 7 2 6" xfId="56372"/>
    <cellStyle name="Note 10 3 7 7 3" xfId="12807"/>
    <cellStyle name="Note 10 3 7 7 4" xfId="56373"/>
    <cellStyle name="Note 10 3 7 7 5" xfId="56374"/>
    <cellStyle name="Note 10 3 7 7 6" xfId="56375"/>
    <cellStyle name="Note 10 3 7 7 7" xfId="56376"/>
    <cellStyle name="Note 10 3 7 7 8" xfId="56377"/>
    <cellStyle name="Note 10 3 7 8" xfId="3559"/>
    <cellStyle name="Note 10 3 7 8 2" xfId="8838"/>
    <cellStyle name="Note 10 3 7 8 2 2" xfId="56378"/>
    <cellStyle name="Note 10 3 7 8 2 3" xfId="56379"/>
    <cellStyle name="Note 10 3 7 8 2 4" xfId="56380"/>
    <cellStyle name="Note 10 3 7 8 2 5" xfId="56381"/>
    <cellStyle name="Note 10 3 7 8 2 6" xfId="56382"/>
    <cellStyle name="Note 10 3 7 8 3" xfId="12808"/>
    <cellStyle name="Note 10 3 7 8 4" xfId="56383"/>
    <cellStyle name="Note 10 3 7 8 5" xfId="56384"/>
    <cellStyle name="Note 10 3 7 8 6" xfId="56385"/>
    <cellStyle name="Note 10 3 7 8 7" xfId="56386"/>
    <cellStyle name="Note 10 3 7 8 8" xfId="56387"/>
    <cellStyle name="Note 10 3 7 9" xfId="3560"/>
    <cellStyle name="Note 10 3 7 9 2" xfId="8839"/>
    <cellStyle name="Note 10 3 7 9 2 2" xfId="56388"/>
    <cellStyle name="Note 10 3 7 9 2 3" xfId="56389"/>
    <cellStyle name="Note 10 3 7 9 2 4" xfId="56390"/>
    <cellStyle name="Note 10 3 7 9 2 5" xfId="56391"/>
    <cellStyle name="Note 10 3 7 9 2 6" xfId="56392"/>
    <cellStyle name="Note 10 3 7 9 3" xfId="12809"/>
    <cellStyle name="Note 10 3 7 9 4" xfId="56393"/>
    <cellStyle name="Note 10 3 7 9 5" xfId="56394"/>
    <cellStyle name="Note 10 3 7 9 6" xfId="56395"/>
    <cellStyle name="Note 10 3 7 9 7" xfId="56396"/>
    <cellStyle name="Note 10 3 7 9 8" xfId="56397"/>
    <cellStyle name="Note 10 3 8" xfId="1269"/>
    <cellStyle name="Note 10 3 8 2" xfId="2503"/>
    <cellStyle name="Note 10 3 8 2 2" xfId="7782"/>
    <cellStyle name="Note 10 3 8 2 2 2" xfId="56398"/>
    <cellStyle name="Note 10 3 8 2 2 3" xfId="56399"/>
    <cellStyle name="Note 10 3 8 2 2 4" xfId="56400"/>
    <cellStyle name="Note 10 3 8 2 2 5" xfId="56401"/>
    <cellStyle name="Note 10 3 8 2 3" xfId="12811"/>
    <cellStyle name="Note 10 3 8 2 4" xfId="56402"/>
    <cellStyle name="Note 10 3 8 2 5" xfId="56403"/>
    <cellStyle name="Note 10 3 8 2 6" xfId="56404"/>
    <cellStyle name="Note 10 3 8 2 7" xfId="56405"/>
    <cellStyle name="Note 10 3 8 3" xfId="6548"/>
    <cellStyle name="Note 10 3 8 3 2" xfId="56406"/>
    <cellStyle name="Note 10 3 8 3 3" xfId="56407"/>
    <cellStyle name="Note 10 3 8 3 4" xfId="56408"/>
    <cellStyle name="Note 10 3 8 3 5" xfId="56409"/>
    <cellStyle name="Note 10 3 8 3 6" xfId="56410"/>
    <cellStyle name="Note 10 3 8 4" xfId="12810"/>
    <cellStyle name="Note 10 3 8 5" xfId="56411"/>
    <cellStyle name="Note 10 3 9" xfId="3561"/>
    <cellStyle name="Note 10 3 9 2" xfId="8840"/>
    <cellStyle name="Note 10 3 9 2 2" xfId="56412"/>
    <cellStyle name="Note 10 3 9 2 3" xfId="56413"/>
    <cellStyle name="Note 10 3 9 2 4" xfId="56414"/>
    <cellStyle name="Note 10 3 9 2 5" xfId="56415"/>
    <cellStyle name="Note 10 3 9 2 6" xfId="56416"/>
    <cellStyle name="Note 10 3 9 3" xfId="12812"/>
    <cellStyle name="Note 10 3 9 4" xfId="56417"/>
    <cellStyle name="Note 10 3 9 5" xfId="56418"/>
    <cellStyle name="Note 10 3 9 6" xfId="56419"/>
    <cellStyle name="Note 10 3 9 7" xfId="56420"/>
    <cellStyle name="Note 10 3 9 8" xfId="56421"/>
    <cellStyle name="Note 10 4" xfId="582"/>
    <cellStyle name="Note 10 4 10" xfId="3562"/>
    <cellStyle name="Note 10 4 10 2" xfId="8841"/>
    <cellStyle name="Note 10 4 10 2 2" xfId="56422"/>
    <cellStyle name="Note 10 4 10 2 3" xfId="56423"/>
    <cellStyle name="Note 10 4 10 2 4" xfId="56424"/>
    <cellStyle name="Note 10 4 10 2 5" xfId="56425"/>
    <cellStyle name="Note 10 4 10 2 6" xfId="56426"/>
    <cellStyle name="Note 10 4 10 3" xfId="12813"/>
    <cellStyle name="Note 10 4 10 4" xfId="56427"/>
    <cellStyle name="Note 10 4 10 5" xfId="56428"/>
    <cellStyle name="Note 10 4 10 6" xfId="56429"/>
    <cellStyle name="Note 10 4 10 7" xfId="56430"/>
    <cellStyle name="Note 10 4 10 8" xfId="56431"/>
    <cellStyle name="Note 10 4 11" xfId="3563"/>
    <cellStyle name="Note 10 4 11 2" xfId="8842"/>
    <cellStyle name="Note 10 4 11 2 2" xfId="56432"/>
    <cellStyle name="Note 10 4 11 2 3" xfId="56433"/>
    <cellStyle name="Note 10 4 11 2 4" xfId="56434"/>
    <cellStyle name="Note 10 4 11 2 5" xfId="56435"/>
    <cellStyle name="Note 10 4 11 2 6" xfId="56436"/>
    <cellStyle name="Note 10 4 11 3" xfId="12814"/>
    <cellStyle name="Note 10 4 11 4" xfId="56437"/>
    <cellStyle name="Note 10 4 11 5" xfId="56438"/>
    <cellStyle name="Note 10 4 11 6" xfId="56439"/>
    <cellStyle name="Note 10 4 11 7" xfId="56440"/>
    <cellStyle name="Note 10 4 11 8" xfId="56441"/>
    <cellStyle name="Note 10 4 12" xfId="1958"/>
    <cellStyle name="Note 10 4 12 2" xfId="7237"/>
    <cellStyle name="Note 10 4 12 2 2" xfId="56442"/>
    <cellStyle name="Note 10 4 12 2 3" xfId="56443"/>
    <cellStyle name="Note 10 4 12 2 4" xfId="56444"/>
    <cellStyle name="Note 10 4 12 2 5" xfId="56445"/>
    <cellStyle name="Note 10 4 12 3" xfId="11237"/>
    <cellStyle name="Note 10 4 12 4" xfId="56446"/>
    <cellStyle name="Note 10 4 12 5" xfId="56447"/>
    <cellStyle name="Note 10 4 12 6" xfId="56448"/>
    <cellStyle name="Note 10 4 13" xfId="5933"/>
    <cellStyle name="Note 10 4 13 2" xfId="56449"/>
    <cellStyle name="Note 10 4 13 3" xfId="56450"/>
    <cellStyle name="Note 10 4 13 4" xfId="56451"/>
    <cellStyle name="Note 10 4 13 5" xfId="56452"/>
    <cellStyle name="Note 10 4 14" xfId="56453"/>
    <cellStyle name="Note 10 4 15" xfId="56454"/>
    <cellStyle name="Note 10 4 2" xfId="788"/>
    <cellStyle name="Note 10 4 2 10" xfId="56455"/>
    <cellStyle name="Note 10 4 2 11" xfId="56456"/>
    <cellStyle name="Note 10 4 2 2" xfId="1415"/>
    <cellStyle name="Note 10 4 2 2 2" xfId="2649"/>
    <cellStyle name="Note 10 4 2 2 2 2" xfId="7928"/>
    <cellStyle name="Note 10 4 2 2 2 2 2" xfId="56457"/>
    <cellStyle name="Note 10 4 2 2 2 2 3" xfId="56458"/>
    <cellStyle name="Note 10 4 2 2 2 2 4" xfId="56459"/>
    <cellStyle name="Note 10 4 2 2 2 2 5" xfId="56460"/>
    <cellStyle name="Note 10 4 2 2 2 3" xfId="12817"/>
    <cellStyle name="Note 10 4 2 2 2 4" xfId="56461"/>
    <cellStyle name="Note 10 4 2 2 2 5" xfId="56462"/>
    <cellStyle name="Note 10 4 2 2 2 6" xfId="56463"/>
    <cellStyle name="Note 10 4 2 2 2 7" xfId="56464"/>
    <cellStyle name="Note 10 4 2 2 3" xfId="6694"/>
    <cellStyle name="Note 10 4 2 2 3 2" xfId="56465"/>
    <cellStyle name="Note 10 4 2 2 3 3" xfId="56466"/>
    <cellStyle name="Note 10 4 2 2 3 4" xfId="56467"/>
    <cellStyle name="Note 10 4 2 2 3 5" xfId="56468"/>
    <cellStyle name="Note 10 4 2 2 3 6" xfId="56469"/>
    <cellStyle name="Note 10 4 2 2 4" xfId="12816"/>
    <cellStyle name="Note 10 4 2 2 5" xfId="56470"/>
    <cellStyle name="Note 10 4 2 3" xfId="1892"/>
    <cellStyle name="Note 10 4 2 3 2" xfId="3126"/>
    <cellStyle name="Note 10 4 2 3 2 2" xfId="8405"/>
    <cellStyle name="Note 10 4 2 3 2 2 2" xfId="56471"/>
    <cellStyle name="Note 10 4 2 3 2 2 3" xfId="56472"/>
    <cellStyle name="Note 10 4 2 3 2 2 4" xfId="56473"/>
    <cellStyle name="Note 10 4 2 3 2 2 5" xfId="56474"/>
    <cellStyle name="Note 10 4 2 3 2 3" xfId="12819"/>
    <cellStyle name="Note 10 4 2 3 2 4" xfId="56475"/>
    <cellStyle name="Note 10 4 2 3 2 5" xfId="56476"/>
    <cellStyle name="Note 10 4 2 3 2 6" xfId="56477"/>
    <cellStyle name="Note 10 4 2 3 2 7" xfId="56478"/>
    <cellStyle name="Note 10 4 2 3 3" xfId="7171"/>
    <cellStyle name="Note 10 4 2 3 3 2" xfId="56479"/>
    <cellStyle name="Note 10 4 2 3 3 3" xfId="56480"/>
    <cellStyle name="Note 10 4 2 3 3 4" xfId="56481"/>
    <cellStyle name="Note 10 4 2 3 3 5" xfId="56482"/>
    <cellStyle name="Note 10 4 2 3 3 6" xfId="56483"/>
    <cellStyle name="Note 10 4 2 3 4" xfId="12818"/>
    <cellStyle name="Note 10 4 2 3 5" xfId="56484"/>
    <cellStyle name="Note 10 4 2 4" xfId="3564"/>
    <cellStyle name="Note 10 4 2 4 2" xfId="8843"/>
    <cellStyle name="Note 10 4 2 4 2 2" xfId="56485"/>
    <cellStyle name="Note 10 4 2 4 2 3" xfId="56486"/>
    <cellStyle name="Note 10 4 2 4 2 4" xfId="56487"/>
    <cellStyle name="Note 10 4 2 4 2 5" xfId="56488"/>
    <cellStyle name="Note 10 4 2 4 2 6" xfId="56489"/>
    <cellStyle name="Note 10 4 2 4 3" xfId="12820"/>
    <cellStyle name="Note 10 4 2 4 4" xfId="56490"/>
    <cellStyle name="Note 10 4 2 4 5" xfId="56491"/>
    <cellStyle name="Note 10 4 2 4 6" xfId="56492"/>
    <cellStyle name="Note 10 4 2 4 7" xfId="56493"/>
    <cellStyle name="Note 10 4 2 4 8" xfId="56494"/>
    <cellStyle name="Note 10 4 2 5" xfId="3565"/>
    <cellStyle name="Note 10 4 2 5 2" xfId="8844"/>
    <cellStyle name="Note 10 4 2 5 2 2" xfId="56495"/>
    <cellStyle name="Note 10 4 2 5 2 3" xfId="56496"/>
    <cellStyle name="Note 10 4 2 5 2 4" xfId="56497"/>
    <cellStyle name="Note 10 4 2 5 2 5" xfId="56498"/>
    <cellStyle name="Note 10 4 2 5 2 6" xfId="56499"/>
    <cellStyle name="Note 10 4 2 5 3" xfId="12821"/>
    <cellStyle name="Note 10 4 2 5 4" xfId="56500"/>
    <cellStyle name="Note 10 4 2 5 5" xfId="56501"/>
    <cellStyle name="Note 10 4 2 5 6" xfId="56502"/>
    <cellStyle name="Note 10 4 2 5 7" xfId="56503"/>
    <cellStyle name="Note 10 4 2 5 8" xfId="56504"/>
    <cellStyle name="Note 10 4 2 6" xfId="3566"/>
    <cellStyle name="Note 10 4 2 6 2" xfId="8845"/>
    <cellStyle name="Note 10 4 2 6 2 2" xfId="56505"/>
    <cellStyle name="Note 10 4 2 6 2 3" xfId="56506"/>
    <cellStyle name="Note 10 4 2 6 2 4" xfId="56507"/>
    <cellStyle name="Note 10 4 2 6 2 5" xfId="56508"/>
    <cellStyle name="Note 10 4 2 6 2 6" xfId="56509"/>
    <cellStyle name="Note 10 4 2 6 3" xfId="12822"/>
    <cellStyle name="Note 10 4 2 6 4" xfId="56510"/>
    <cellStyle name="Note 10 4 2 6 5" xfId="56511"/>
    <cellStyle name="Note 10 4 2 6 6" xfId="56512"/>
    <cellStyle name="Note 10 4 2 6 7" xfId="56513"/>
    <cellStyle name="Note 10 4 2 6 8" xfId="56514"/>
    <cellStyle name="Note 10 4 2 7" xfId="3567"/>
    <cellStyle name="Note 10 4 2 7 2" xfId="8846"/>
    <cellStyle name="Note 10 4 2 7 2 2" xfId="56515"/>
    <cellStyle name="Note 10 4 2 7 2 3" xfId="56516"/>
    <cellStyle name="Note 10 4 2 7 2 4" xfId="56517"/>
    <cellStyle name="Note 10 4 2 7 2 5" xfId="56518"/>
    <cellStyle name="Note 10 4 2 7 2 6" xfId="56519"/>
    <cellStyle name="Note 10 4 2 7 3" xfId="12823"/>
    <cellStyle name="Note 10 4 2 7 4" xfId="56520"/>
    <cellStyle name="Note 10 4 2 7 5" xfId="56521"/>
    <cellStyle name="Note 10 4 2 7 6" xfId="56522"/>
    <cellStyle name="Note 10 4 2 7 7" xfId="56523"/>
    <cellStyle name="Note 10 4 2 7 8" xfId="56524"/>
    <cellStyle name="Note 10 4 2 8" xfId="6077"/>
    <cellStyle name="Note 10 4 2 8 2" xfId="56525"/>
    <cellStyle name="Note 10 4 2 8 3" xfId="56526"/>
    <cellStyle name="Note 10 4 2 8 4" xfId="56527"/>
    <cellStyle name="Note 10 4 2 8 5" xfId="56528"/>
    <cellStyle name="Note 10 4 2 8 6" xfId="56529"/>
    <cellStyle name="Note 10 4 2 9" xfId="12815"/>
    <cellStyle name="Note 10 4 2 9 2" xfId="56530"/>
    <cellStyle name="Note 10 4 3" xfId="966"/>
    <cellStyle name="Note 10 4 3 10" xfId="2203"/>
    <cellStyle name="Note 10 4 3 10 2" xfId="7482"/>
    <cellStyle name="Note 10 4 3 10 2 2" xfId="56531"/>
    <cellStyle name="Note 10 4 3 10 2 3" xfId="56532"/>
    <cellStyle name="Note 10 4 3 10 2 4" xfId="56533"/>
    <cellStyle name="Note 10 4 3 10 2 5" xfId="56534"/>
    <cellStyle name="Note 10 4 3 10 3" xfId="11238"/>
    <cellStyle name="Note 10 4 3 10 4" xfId="56535"/>
    <cellStyle name="Note 10 4 3 10 5" xfId="56536"/>
    <cellStyle name="Note 10 4 3 10 6" xfId="56537"/>
    <cellStyle name="Note 10 4 3 10 7" xfId="56538"/>
    <cellStyle name="Note 10 4 3 11" xfId="6245"/>
    <cellStyle name="Note 10 4 3 11 2" xfId="56539"/>
    <cellStyle name="Note 10 4 3 11 3" xfId="56540"/>
    <cellStyle name="Note 10 4 3 11 4" xfId="56541"/>
    <cellStyle name="Note 10 4 3 11 5" xfId="56542"/>
    <cellStyle name="Note 10 4 3 12" xfId="56543"/>
    <cellStyle name="Note 10 4 3 13" xfId="56544"/>
    <cellStyle name="Note 10 4 3 2" xfId="1583"/>
    <cellStyle name="Note 10 4 3 2 2" xfId="2817"/>
    <cellStyle name="Note 10 4 3 2 2 2" xfId="8096"/>
    <cellStyle name="Note 10 4 3 2 2 2 2" xfId="56545"/>
    <cellStyle name="Note 10 4 3 2 2 2 3" xfId="56546"/>
    <cellStyle name="Note 10 4 3 2 2 2 4" xfId="56547"/>
    <cellStyle name="Note 10 4 3 2 2 2 5" xfId="56548"/>
    <cellStyle name="Note 10 4 3 2 2 3" xfId="12825"/>
    <cellStyle name="Note 10 4 3 2 2 4" xfId="56549"/>
    <cellStyle name="Note 10 4 3 2 2 5" xfId="56550"/>
    <cellStyle name="Note 10 4 3 2 2 6" xfId="56551"/>
    <cellStyle name="Note 10 4 3 2 2 7" xfId="56552"/>
    <cellStyle name="Note 10 4 3 2 3" xfId="6862"/>
    <cellStyle name="Note 10 4 3 2 3 2" xfId="56553"/>
    <cellStyle name="Note 10 4 3 2 3 3" xfId="56554"/>
    <cellStyle name="Note 10 4 3 2 3 4" xfId="56555"/>
    <cellStyle name="Note 10 4 3 2 3 5" xfId="56556"/>
    <cellStyle name="Note 10 4 3 2 3 6" xfId="56557"/>
    <cellStyle name="Note 10 4 3 2 4" xfId="12824"/>
    <cellStyle name="Note 10 4 3 2 5" xfId="56558"/>
    <cellStyle name="Note 10 4 3 3" xfId="3568"/>
    <cellStyle name="Note 10 4 3 3 2" xfId="8847"/>
    <cellStyle name="Note 10 4 3 3 2 2" xfId="56559"/>
    <cellStyle name="Note 10 4 3 3 2 3" xfId="56560"/>
    <cellStyle name="Note 10 4 3 3 2 4" xfId="56561"/>
    <cellStyle name="Note 10 4 3 3 2 5" xfId="56562"/>
    <cellStyle name="Note 10 4 3 3 2 6" xfId="56563"/>
    <cellStyle name="Note 10 4 3 3 3" xfId="12826"/>
    <cellStyle name="Note 10 4 3 3 4" xfId="56564"/>
    <cellStyle name="Note 10 4 3 3 5" xfId="56565"/>
    <cellStyle name="Note 10 4 3 3 6" xfId="56566"/>
    <cellStyle name="Note 10 4 3 3 7" xfId="56567"/>
    <cellStyle name="Note 10 4 3 3 8" xfId="56568"/>
    <cellStyle name="Note 10 4 3 4" xfId="3569"/>
    <cellStyle name="Note 10 4 3 4 2" xfId="8848"/>
    <cellStyle name="Note 10 4 3 4 2 2" xfId="56569"/>
    <cellStyle name="Note 10 4 3 4 2 3" xfId="56570"/>
    <cellStyle name="Note 10 4 3 4 2 4" xfId="56571"/>
    <cellStyle name="Note 10 4 3 4 2 5" xfId="56572"/>
    <cellStyle name="Note 10 4 3 4 2 6" xfId="56573"/>
    <cellStyle name="Note 10 4 3 4 3" xfId="12827"/>
    <cellStyle name="Note 10 4 3 4 4" xfId="56574"/>
    <cellStyle name="Note 10 4 3 4 5" xfId="56575"/>
    <cellStyle name="Note 10 4 3 4 6" xfId="56576"/>
    <cellStyle name="Note 10 4 3 4 7" xfId="56577"/>
    <cellStyle name="Note 10 4 3 4 8" xfId="56578"/>
    <cellStyle name="Note 10 4 3 5" xfId="3570"/>
    <cellStyle name="Note 10 4 3 5 2" xfId="8849"/>
    <cellStyle name="Note 10 4 3 5 2 2" xfId="56579"/>
    <cellStyle name="Note 10 4 3 5 2 3" xfId="56580"/>
    <cellStyle name="Note 10 4 3 5 2 4" xfId="56581"/>
    <cellStyle name="Note 10 4 3 5 2 5" xfId="56582"/>
    <cellStyle name="Note 10 4 3 5 2 6" xfId="56583"/>
    <cellStyle name="Note 10 4 3 5 3" xfId="12828"/>
    <cellStyle name="Note 10 4 3 5 4" xfId="56584"/>
    <cellStyle name="Note 10 4 3 5 5" xfId="56585"/>
    <cellStyle name="Note 10 4 3 5 6" xfId="56586"/>
    <cellStyle name="Note 10 4 3 5 7" xfId="56587"/>
    <cellStyle name="Note 10 4 3 5 8" xfId="56588"/>
    <cellStyle name="Note 10 4 3 6" xfId="3571"/>
    <cellStyle name="Note 10 4 3 6 2" xfId="8850"/>
    <cellStyle name="Note 10 4 3 6 2 2" xfId="56589"/>
    <cellStyle name="Note 10 4 3 6 2 3" xfId="56590"/>
    <cellStyle name="Note 10 4 3 6 2 4" xfId="56591"/>
    <cellStyle name="Note 10 4 3 6 2 5" xfId="56592"/>
    <cellStyle name="Note 10 4 3 6 2 6" xfId="56593"/>
    <cellStyle name="Note 10 4 3 6 3" xfId="12829"/>
    <cellStyle name="Note 10 4 3 6 4" xfId="56594"/>
    <cellStyle name="Note 10 4 3 6 5" xfId="56595"/>
    <cellStyle name="Note 10 4 3 6 6" xfId="56596"/>
    <cellStyle name="Note 10 4 3 6 7" xfId="56597"/>
    <cellStyle name="Note 10 4 3 6 8" xfId="56598"/>
    <cellStyle name="Note 10 4 3 7" xfId="3572"/>
    <cellStyle name="Note 10 4 3 7 2" xfId="8851"/>
    <cellStyle name="Note 10 4 3 7 2 2" xfId="56599"/>
    <cellStyle name="Note 10 4 3 7 2 3" xfId="56600"/>
    <cellStyle name="Note 10 4 3 7 2 4" xfId="56601"/>
    <cellStyle name="Note 10 4 3 7 2 5" xfId="56602"/>
    <cellStyle name="Note 10 4 3 7 2 6" xfId="56603"/>
    <cellStyle name="Note 10 4 3 7 3" xfId="12830"/>
    <cellStyle name="Note 10 4 3 7 4" xfId="56604"/>
    <cellStyle name="Note 10 4 3 7 5" xfId="56605"/>
    <cellStyle name="Note 10 4 3 7 6" xfId="56606"/>
    <cellStyle name="Note 10 4 3 7 7" xfId="56607"/>
    <cellStyle name="Note 10 4 3 7 8" xfId="56608"/>
    <cellStyle name="Note 10 4 3 8" xfId="3573"/>
    <cellStyle name="Note 10 4 3 8 2" xfId="8852"/>
    <cellStyle name="Note 10 4 3 8 2 2" xfId="56609"/>
    <cellStyle name="Note 10 4 3 8 2 3" xfId="56610"/>
    <cellStyle name="Note 10 4 3 8 2 4" xfId="56611"/>
    <cellStyle name="Note 10 4 3 8 2 5" xfId="56612"/>
    <cellStyle name="Note 10 4 3 8 2 6" xfId="56613"/>
    <cellStyle name="Note 10 4 3 8 3" xfId="12831"/>
    <cellStyle name="Note 10 4 3 8 4" xfId="56614"/>
    <cellStyle name="Note 10 4 3 8 5" xfId="56615"/>
    <cellStyle name="Note 10 4 3 8 6" xfId="56616"/>
    <cellStyle name="Note 10 4 3 8 7" xfId="56617"/>
    <cellStyle name="Note 10 4 3 8 8" xfId="56618"/>
    <cellStyle name="Note 10 4 3 9" xfId="3574"/>
    <cellStyle name="Note 10 4 3 9 2" xfId="8853"/>
    <cellStyle name="Note 10 4 3 9 2 2" xfId="56619"/>
    <cellStyle name="Note 10 4 3 9 2 3" xfId="56620"/>
    <cellStyle name="Note 10 4 3 9 2 4" xfId="56621"/>
    <cellStyle name="Note 10 4 3 9 2 5" xfId="56622"/>
    <cellStyle name="Note 10 4 3 9 2 6" xfId="56623"/>
    <cellStyle name="Note 10 4 3 9 3" xfId="12832"/>
    <cellStyle name="Note 10 4 3 9 4" xfId="56624"/>
    <cellStyle name="Note 10 4 3 9 5" xfId="56625"/>
    <cellStyle name="Note 10 4 3 9 6" xfId="56626"/>
    <cellStyle name="Note 10 4 3 9 7" xfId="56627"/>
    <cellStyle name="Note 10 4 3 9 8" xfId="56628"/>
    <cellStyle name="Note 10 4 4" xfId="967"/>
    <cellStyle name="Note 10 4 4 10" xfId="2204"/>
    <cellStyle name="Note 10 4 4 10 2" xfId="7483"/>
    <cellStyle name="Note 10 4 4 10 2 2" xfId="56629"/>
    <cellStyle name="Note 10 4 4 10 2 3" xfId="56630"/>
    <cellStyle name="Note 10 4 4 10 2 4" xfId="56631"/>
    <cellStyle name="Note 10 4 4 10 2 5" xfId="56632"/>
    <cellStyle name="Note 10 4 4 10 3" xfId="11239"/>
    <cellStyle name="Note 10 4 4 10 4" xfId="56633"/>
    <cellStyle name="Note 10 4 4 10 5" xfId="56634"/>
    <cellStyle name="Note 10 4 4 10 6" xfId="56635"/>
    <cellStyle name="Note 10 4 4 10 7" xfId="56636"/>
    <cellStyle name="Note 10 4 4 11" xfId="6246"/>
    <cellStyle name="Note 10 4 4 11 2" xfId="56637"/>
    <cellStyle name="Note 10 4 4 11 3" xfId="56638"/>
    <cellStyle name="Note 10 4 4 11 4" xfId="56639"/>
    <cellStyle name="Note 10 4 4 11 5" xfId="56640"/>
    <cellStyle name="Note 10 4 4 12" xfId="56641"/>
    <cellStyle name="Note 10 4 4 13" xfId="56642"/>
    <cellStyle name="Note 10 4 4 2" xfId="1584"/>
    <cellStyle name="Note 10 4 4 2 2" xfId="2818"/>
    <cellStyle name="Note 10 4 4 2 2 2" xfId="8097"/>
    <cellStyle name="Note 10 4 4 2 2 2 2" xfId="56643"/>
    <cellStyle name="Note 10 4 4 2 2 2 3" xfId="56644"/>
    <cellStyle name="Note 10 4 4 2 2 2 4" xfId="56645"/>
    <cellStyle name="Note 10 4 4 2 2 2 5" xfId="56646"/>
    <cellStyle name="Note 10 4 4 2 2 3" xfId="12834"/>
    <cellStyle name="Note 10 4 4 2 2 4" xfId="56647"/>
    <cellStyle name="Note 10 4 4 2 2 5" xfId="56648"/>
    <cellStyle name="Note 10 4 4 2 2 6" xfId="56649"/>
    <cellStyle name="Note 10 4 4 2 2 7" xfId="56650"/>
    <cellStyle name="Note 10 4 4 2 3" xfId="6863"/>
    <cellStyle name="Note 10 4 4 2 3 2" xfId="56651"/>
    <cellStyle name="Note 10 4 4 2 3 3" xfId="56652"/>
    <cellStyle name="Note 10 4 4 2 3 4" xfId="56653"/>
    <cellStyle name="Note 10 4 4 2 3 5" xfId="56654"/>
    <cellStyle name="Note 10 4 4 2 3 6" xfId="56655"/>
    <cellStyle name="Note 10 4 4 2 4" xfId="12833"/>
    <cellStyle name="Note 10 4 4 2 5" xfId="56656"/>
    <cellStyle name="Note 10 4 4 3" xfId="3575"/>
    <cellStyle name="Note 10 4 4 3 2" xfId="8854"/>
    <cellStyle name="Note 10 4 4 3 2 2" xfId="56657"/>
    <cellStyle name="Note 10 4 4 3 2 3" xfId="56658"/>
    <cellStyle name="Note 10 4 4 3 2 4" xfId="56659"/>
    <cellStyle name="Note 10 4 4 3 2 5" xfId="56660"/>
    <cellStyle name="Note 10 4 4 3 2 6" xfId="56661"/>
    <cellStyle name="Note 10 4 4 3 3" xfId="12835"/>
    <cellStyle name="Note 10 4 4 3 4" xfId="56662"/>
    <cellStyle name="Note 10 4 4 3 5" xfId="56663"/>
    <cellStyle name="Note 10 4 4 3 6" xfId="56664"/>
    <cellStyle name="Note 10 4 4 3 7" xfId="56665"/>
    <cellStyle name="Note 10 4 4 3 8" xfId="56666"/>
    <cellStyle name="Note 10 4 4 4" xfId="3576"/>
    <cellStyle name="Note 10 4 4 4 2" xfId="8855"/>
    <cellStyle name="Note 10 4 4 4 2 2" xfId="56667"/>
    <cellStyle name="Note 10 4 4 4 2 3" xfId="56668"/>
    <cellStyle name="Note 10 4 4 4 2 4" xfId="56669"/>
    <cellStyle name="Note 10 4 4 4 2 5" xfId="56670"/>
    <cellStyle name="Note 10 4 4 4 2 6" xfId="56671"/>
    <cellStyle name="Note 10 4 4 4 3" xfId="12836"/>
    <cellStyle name="Note 10 4 4 4 4" xfId="56672"/>
    <cellStyle name="Note 10 4 4 4 5" xfId="56673"/>
    <cellStyle name="Note 10 4 4 4 6" xfId="56674"/>
    <cellStyle name="Note 10 4 4 4 7" xfId="56675"/>
    <cellStyle name="Note 10 4 4 4 8" xfId="56676"/>
    <cellStyle name="Note 10 4 4 5" xfId="3577"/>
    <cellStyle name="Note 10 4 4 5 2" xfId="8856"/>
    <cellStyle name="Note 10 4 4 5 2 2" xfId="56677"/>
    <cellStyle name="Note 10 4 4 5 2 3" xfId="56678"/>
    <cellStyle name="Note 10 4 4 5 2 4" xfId="56679"/>
    <cellStyle name="Note 10 4 4 5 2 5" xfId="56680"/>
    <cellStyle name="Note 10 4 4 5 2 6" xfId="56681"/>
    <cellStyle name="Note 10 4 4 5 3" xfId="12837"/>
    <cellStyle name="Note 10 4 4 5 4" xfId="56682"/>
    <cellStyle name="Note 10 4 4 5 5" xfId="56683"/>
    <cellStyle name="Note 10 4 4 5 6" xfId="56684"/>
    <cellStyle name="Note 10 4 4 5 7" xfId="56685"/>
    <cellStyle name="Note 10 4 4 5 8" xfId="56686"/>
    <cellStyle name="Note 10 4 4 6" xfId="3578"/>
    <cellStyle name="Note 10 4 4 6 2" xfId="8857"/>
    <cellStyle name="Note 10 4 4 6 2 2" xfId="56687"/>
    <cellStyle name="Note 10 4 4 6 2 3" xfId="56688"/>
    <cellStyle name="Note 10 4 4 6 2 4" xfId="56689"/>
    <cellStyle name="Note 10 4 4 6 2 5" xfId="56690"/>
    <cellStyle name="Note 10 4 4 6 2 6" xfId="56691"/>
    <cellStyle name="Note 10 4 4 6 3" xfId="12838"/>
    <cellStyle name="Note 10 4 4 6 4" xfId="56692"/>
    <cellStyle name="Note 10 4 4 6 5" xfId="56693"/>
    <cellStyle name="Note 10 4 4 6 6" xfId="56694"/>
    <cellStyle name="Note 10 4 4 6 7" xfId="56695"/>
    <cellStyle name="Note 10 4 4 6 8" xfId="56696"/>
    <cellStyle name="Note 10 4 4 7" xfId="3579"/>
    <cellStyle name="Note 10 4 4 7 2" xfId="8858"/>
    <cellStyle name="Note 10 4 4 7 2 2" xfId="56697"/>
    <cellStyle name="Note 10 4 4 7 2 3" xfId="56698"/>
    <cellStyle name="Note 10 4 4 7 2 4" xfId="56699"/>
    <cellStyle name="Note 10 4 4 7 2 5" xfId="56700"/>
    <cellStyle name="Note 10 4 4 7 2 6" xfId="56701"/>
    <cellStyle name="Note 10 4 4 7 3" xfId="12839"/>
    <cellStyle name="Note 10 4 4 7 4" xfId="56702"/>
    <cellStyle name="Note 10 4 4 7 5" xfId="56703"/>
    <cellStyle name="Note 10 4 4 7 6" xfId="56704"/>
    <cellStyle name="Note 10 4 4 7 7" xfId="56705"/>
    <cellStyle name="Note 10 4 4 7 8" xfId="56706"/>
    <cellStyle name="Note 10 4 4 8" xfId="3580"/>
    <cellStyle name="Note 10 4 4 8 2" xfId="8859"/>
    <cellStyle name="Note 10 4 4 8 2 2" xfId="56707"/>
    <cellStyle name="Note 10 4 4 8 2 3" xfId="56708"/>
    <cellStyle name="Note 10 4 4 8 2 4" xfId="56709"/>
    <cellStyle name="Note 10 4 4 8 2 5" xfId="56710"/>
    <cellStyle name="Note 10 4 4 8 2 6" xfId="56711"/>
    <cellStyle name="Note 10 4 4 8 3" xfId="12840"/>
    <cellStyle name="Note 10 4 4 8 4" xfId="56712"/>
    <cellStyle name="Note 10 4 4 8 5" xfId="56713"/>
    <cellStyle name="Note 10 4 4 8 6" xfId="56714"/>
    <cellStyle name="Note 10 4 4 8 7" xfId="56715"/>
    <cellStyle name="Note 10 4 4 8 8" xfId="56716"/>
    <cellStyle name="Note 10 4 4 9" xfId="3581"/>
    <cellStyle name="Note 10 4 4 9 2" xfId="8860"/>
    <cellStyle name="Note 10 4 4 9 2 2" xfId="56717"/>
    <cellStyle name="Note 10 4 4 9 2 3" xfId="56718"/>
    <cellStyle name="Note 10 4 4 9 2 4" xfId="56719"/>
    <cellStyle name="Note 10 4 4 9 2 5" xfId="56720"/>
    <cellStyle name="Note 10 4 4 9 2 6" xfId="56721"/>
    <cellStyle name="Note 10 4 4 9 3" xfId="12841"/>
    <cellStyle name="Note 10 4 4 9 4" xfId="56722"/>
    <cellStyle name="Note 10 4 4 9 5" xfId="56723"/>
    <cellStyle name="Note 10 4 4 9 6" xfId="56724"/>
    <cellStyle name="Note 10 4 4 9 7" xfId="56725"/>
    <cellStyle name="Note 10 4 4 9 8" xfId="56726"/>
    <cellStyle name="Note 10 4 5" xfId="968"/>
    <cellStyle name="Note 10 4 5 10" xfId="2205"/>
    <cellStyle name="Note 10 4 5 10 2" xfId="7484"/>
    <cellStyle name="Note 10 4 5 10 2 2" xfId="56727"/>
    <cellStyle name="Note 10 4 5 10 2 3" xfId="56728"/>
    <cellStyle name="Note 10 4 5 10 2 4" xfId="56729"/>
    <cellStyle name="Note 10 4 5 10 2 5" xfId="56730"/>
    <cellStyle name="Note 10 4 5 10 3" xfId="11240"/>
    <cellStyle name="Note 10 4 5 10 4" xfId="56731"/>
    <cellStyle name="Note 10 4 5 10 5" xfId="56732"/>
    <cellStyle name="Note 10 4 5 10 6" xfId="56733"/>
    <cellStyle name="Note 10 4 5 10 7" xfId="56734"/>
    <cellStyle name="Note 10 4 5 11" xfId="6247"/>
    <cellStyle name="Note 10 4 5 11 2" xfId="56735"/>
    <cellStyle name="Note 10 4 5 11 3" xfId="56736"/>
    <cellStyle name="Note 10 4 5 11 4" xfId="56737"/>
    <cellStyle name="Note 10 4 5 11 5" xfId="56738"/>
    <cellStyle name="Note 10 4 5 12" xfId="56739"/>
    <cellStyle name="Note 10 4 5 13" xfId="56740"/>
    <cellStyle name="Note 10 4 5 2" xfId="1585"/>
    <cellStyle name="Note 10 4 5 2 2" xfId="2819"/>
    <cellStyle name="Note 10 4 5 2 2 2" xfId="8098"/>
    <cellStyle name="Note 10 4 5 2 2 2 2" xfId="56741"/>
    <cellStyle name="Note 10 4 5 2 2 2 3" xfId="56742"/>
    <cellStyle name="Note 10 4 5 2 2 2 4" xfId="56743"/>
    <cellStyle name="Note 10 4 5 2 2 2 5" xfId="56744"/>
    <cellStyle name="Note 10 4 5 2 2 3" xfId="12843"/>
    <cellStyle name="Note 10 4 5 2 2 4" xfId="56745"/>
    <cellStyle name="Note 10 4 5 2 2 5" xfId="56746"/>
    <cellStyle name="Note 10 4 5 2 2 6" xfId="56747"/>
    <cellStyle name="Note 10 4 5 2 2 7" xfId="56748"/>
    <cellStyle name="Note 10 4 5 2 3" xfId="6864"/>
    <cellStyle name="Note 10 4 5 2 3 2" xfId="56749"/>
    <cellStyle name="Note 10 4 5 2 3 3" xfId="56750"/>
    <cellStyle name="Note 10 4 5 2 3 4" xfId="56751"/>
    <cellStyle name="Note 10 4 5 2 3 5" xfId="56752"/>
    <cellStyle name="Note 10 4 5 2 3 6" xfId="56753"/>
    <cellStyle name="Note 10 4 5 2 4" xfId="12842"/>
    <cellStyle name="Note 10 4 5 2 5" xfId="56754"/>
    <cellStyle name="Note 10 4 5 3" xfId="3582"/>
    <cellStyle name="Note 10 4 5 3 2" xfId="8861"/>
    <cellStyle name="Note 10 4 5 3 2 2" xfId="56755"/>
    <cellStyle name="Note 10 4 5 3 2 3" xfId="56756"/>
    <cellStyle name="Note 10 4 5 3 2 4" xfId="56757"/>
    <cellStyle name="Note 10 4 5 3 2 5" xfId="56758"/>
    <cellStyle name="Note 10 4 5 3 2 6" xfId="56759"/>
    <cellStyle name="Note 10 4 5 3 3" xfId="12844"/>
    <cellStyle name="Note 10 4 5 3 4" xfId="56760"/>
    <cellStyle name="Note 10 4 5 3 5" xfId="56761"/>
    <cellStyle name="Note 10 4 5 3 6" xfId="56762"/>
    <cellStyle name="Note 10 4 5 3 7" xfId="56763"/>
    <cellStyle name="Note 10 4 5 3 8" xfId="56764"/>
    <cellStyle name="Note 10 4 5 4" xfId="3583"/>
    <cellStyle name="Note 10 4 5 4 2" xfId="8862"/>
    <cellStyle name="Note 10 4 5 4 2 2" xfId="56765"/>
    <cellStyle name="Note 10 4 5 4 2 3" xfId="56766"/>
    <cellStyle name="Note 10 4 5 4 2 4" xfId="56767"/>
    <cellStyle name="Note 10 4 5 4 2 5" xfId="56768"/>
    <cellStyle name="Note 10 4 5 4 2 6" xfId="56769"/>
    <cellStyle name="Note 10 4 5 4 3" xfId="12845"/>
    <cellStyle name="Note 10 4 5 4 4" xfId="56770"/>
    <cellStyle name="Note 10 4 5 4 5" xfId="56771"/>
    <cellStyle name="Note 10 4 5 4 6" xfId="56772"/>
    <cellStyle name="Note 10 4 5 4 7" xfId="56773"/>
    <cellStyle name="Note 10 4 5 4 8" xfId="56774"/>
    <cellStyle name="Note 10 4 5 5" xfId="3584"/>
    <cellStyle name="Note 10 4 5 5 2" xfId="8863"/>
    <cellStyle name="Note 10 4 5 5 2 2" xfId="56775"/>
    <cellStyle name="Note 10 4 5 5 2 3" xfId="56776"/>
    <cellStyle name="Note 10 4 5 5 2 4" xfId="56777"/>
    <cellStyle name="Note 10 4 5 5 2 5" xfId="56778"/>
    <cellStyle name="Note 10 4 5 5 2 6" xfId="56779"/>
    <cellStyle name="Note 10 4 5 5 3" xfId="12846"/>
    <cellStyle name="Note 10 4 5 5 4" xfId="56780"/>
    <cellStyle name="Note 10 4 5 5 5" xfId="56781"/>
    <cellStyle name="Note 10 4 5 5 6" xfId="56782"/>
    <cellStyle name="Note 10 4 5 5 7" xfId="56783"/>
    <cellStyle name="Note 10 4 5 5 8" xfId="56784"/>
    <cellStyle name="Note 10 4 5 6" xfId="3585"/>
    <cellStyle name="Note 10 4 5 6 2" xfId="8864"/>
    <cellStyle name="Note 10 4 5 6 2 2" xfId="56785"/>
    <cellStyle name="Note 10 4 5 6 2 3" xfId="56786"/>
    <cellStyle name="Note 10 4 5 6 2 4" xfId="56787"/>
    <cellStyle name="Note 10 4 5 6 2 5" xfId="56788"/>
    <cellStyle name="Note 10 4 5 6 2 6" xfId="56789"/>
    <cellStyle name="Note 10 4 5 6 3" xfId="12847"/>
    <cellStyle name="Note 10 4 5 6 4" xfId="56790"/>
    <cellStyle name="Note 10 4 5 6 5" xfId="56791"/>
    <cellStyle name="Note 10 4 5 6 6" xfId="56792"/>
    <cellStyle name="Note 10 4 5 6 7" xfId="56793"/>
    <cellStyle name="Note 10 4 5 6 8" xfId="56794"/>
    <cellStyle name="Note 10 4 5 7" xfId="3586"/>
    <cellStyle name="Note 10 4 5 7 2" xfId="8865"/>
    <cellStyle name="Note 10 4 5 7 2 2" xfId="56795"/>
    <cellStyle name="Note 10 4 5 7 2 3" xfId="56796"/>
    <cellStyle name="Note 10 4 5 7 2 4" xfId="56797"/>
    <cellStyle name="Note 10 4 5 7 2 5" xfId="56798"/>
    <cellStyle name="Note 10 4 5 7 2 6" xfId="56799"/>
    <cellStyle name="Note 10 4 5 7 3" xfId="12848"/>
    <cellStyle name="Note 10 4 5 7 4" xfId="56800"/>
    <cellStyle name="Note 10 4 5 7 5" xfId="56801"/>
    <cellStyle name="Note 10 4 5 7 6" xfId="56802"/>
    <cellStyle name="Note 10 4 5 7 7" xfId="56803"/>
    <cellStyle name="Note 10 4 5 7 8" xfId="56804"/>
    <cellStyle name="Note 10 4 5 8" xfId="3587"/>
    <cellStyle name="Note 10 4 5 8 2" xfId="8866"/>
    <cellStyle name="Note 10 4 5 8 2 2" xfId="56805"/>
    <cellStyle name="Note 10 4 5 8 2 3" xfId="56806"/>
    <cellStyle name="Note 10 4 5 8 2 4" xfId="56807"/>
    <cellStyle name="Note 10 4 5 8 2 5" xfId="56808"/>
    <cellStyle name="Note 10 4 5 8 2 6" xfId="56809"/>
    <cellStyle name="Note 10 4 5 8 3" xfId="12849"/>
    <cellStyle name="Note 10 4 5 8 4" xfId="56810"/>
    <cellStyle name="Note 10 4 5 8 5" xfId="56811"/>
    <cellStyle name="Note 10 4 5 8 6" xfId="56812"/>
    <cellStyle name="Note 10 4 5 8 7" xfId="56813"/>
    <cellStyle name="Note 10 4 5 8 8" xfId="56814"/>
    <cellStyle name="Note 10 4 5 9" xfId="3588"/>
    <cellStyle name="Note 10 4 5 9 2" xfId="8867"/>
    <cellStyle name="Note 10 4 5 9 2 2" xfId="56815"/>
    <cellStyle name="Note 10 4 5 9 2 3" xfId="56816"/>
    <cellStyle name="Note 10 4 5 9 2 4" xfId="56817"/>
    <cellStyle name="Note 10 4 5 9 2 5" xfId="56818"/>
    <cellStyle name="Note 10 4 5 9 2 6" xfId="56819"/>
    <cellStyle name="Note 10 4 5 9 3" xfId="12850"/>
    <cellStyle name="Note 10 4 5 9 4" xfId="56820"/>
    <cellStyle name="Note 10 4 5 9 5" xfId="56821"/>
    <cellStyle name="Note 10 4 5 9 6" xfId="56822"/>
    <cellStyle name="Note 10 4 5 9 7" xfId="56823"/>
    <cellStyle name="Note 10 4 5 9 8" xfId="56824"/>
    <cellStyle name="Note 10 4 6" xfId="969"/>
    <cellStyle name="Note 10 4 6 10" xfId="2206"/>
    <cellStyle name="Note 10 4 6 10 2" xfId="7485"/>
    <cellStyle name="Note 10 4 6 10 2 2" xfId="56825"/>
    <cellStyle name="Note 10 4 6 10 2 3" xfId="56826"/>
    <cellStyle name="Note 10 4 6 10 2 4" xfId="56827"/>
    <cellStyle name="Note 10 4 6 10 2 5" xfId="56828"/>
    <cellStyle name="Note 10 4 6 10 3" xfId="11241"/>
    <cellStyle name="Note 10 4 6 10 4" xfId="56829"/>
    <cellStyle name="Note 10 4 6 10 5" xfId="56830"/>
    <cellStyle name="Note 10 4 6 10 6" xfId="56831"/>
    <cellStyle name="Note 10 4 6 10 7" xfId="56832"/>
    <cellStyle name="Note 10 4 6 11" xfId="6248"/>
    <cellStyle name="Note 10 4 6 11 2" xfId="56833"/>
    <cellStyle name="Note 10 4 6 11 3" xfId="56834"/>
    <cellStyle name="Note 10 4 6 11 4" xfId="56835"/>
    <cellStyle name="Note 10 4 6 11 5" xfId="56836"/>
    <cellStyle name="Note 10 4 6 12" xfId="56837"/>
    <cellStyle name="Note 10 4 6 13" xfId="56838"/>
    <cellStyle name="Note 10 4 6 2" xfId="1586"/>
    <cellStyle name="Note 10 4 6 2 2" xfId="2820"/>
    <cellStyle name="Note 10 4 6 2 2 2" xfId="8099"/>
    <cellStyle name="Note 10 4 6 2 2 2 2" xfId="56839"/>
    <cellStyle name="Note 10 4 6 2 2 2 3" xfId="56840"/>
    <cellStyle name="Note 10 4 6 2 2 2 4" xfId="56841"/>
    <cellStyle name="Note 10 4 6 2 2 2 5" xfId="56842"/>
    <cellStyle name="Note 10 4 6 2 2 3" xfId="12852"/>
    <cellStyle name="Note 10 4 6 2 2 4" xfId="56843"/>
    <cellStyle name="Note 10 4 6 2 2 5" xfId="56844"/>
    <cellStyle name="Note 10 4 6 2 2 6" xfId="56845"/>
    <cellStyle name="Note 10 4 6 2 2 7" xfId="56846"/>
    <cellStyle name="Note 10 4 6 2 3" xfId="6865"/>
    <cellStyle name="Note 10 4 6 2 3 2" xfId="56847"/>
    <cellStyle name="Note 10 4 6 2 3 3" xfId="56848"/>
    <cellStyle name="Note 10 4 6 2 3 4" xfId="56849"/>
    <cellStyle name="Note 10 4 6 2 3 5" xfId="56850"/>
    <cellStyle name="Note 10 4 6 2 3 6" xfId="56851"/>
    <cellStyle name="Note 10 4 6 2 4" xfId="12851"/>
    <cellStyle name="Note 10 4 6 2 5" xfId="56852"/>
    <cellStyle name="Note 10 4 6 3" xfId="3589"/>
    <cellStyle name="Note 10 4 6 3 2" xfId="8868"/>
    <cellStyle name="Note 10 4 6 3 2 2" xfId="56853"/>
    <cellStyle name="Note 10 4 6 3 2 3" xfId="56854"/>
    <cellStyle name="Note 10 4 6 3 2 4" xfId="56855"/>
    <cellStyle name="Note 10 4 6 3 2 5" xfId="56856"/>
    <cellStyle name="Note 10 4 6 3 2 6" xfId="56857"/>
    <cellStyle name="Note 10 4 6 3 3" xfId="12853"/>
    <cellStyle name="Note 10 4 6 3 4" xfId="56858"/>
    <cellStyle name="Note 10 4 6 3 5" xfId="56859"/>
    <cellStyle name="Note 10 4 6 3 6" xfId="56860"/>
    <cellStyle name="Note 10 4 6 3 7" xfId="56861"/>
    <cellStyle name="Note 10 4 6 3 8" xfId="56862"/>
    <cellStyle name="Note 10 4 6 4" xfId="3590"/>
    <cellStyle name="Note 10 4 6 4 2" xfId="8869"/>
    <cellStyle name="Note 10 4 6 4 2 2" xfId="56863"/>
    <cellStyle name="Note 10 4 6 4 2 3" xfId="56864"/>
    <cellStyle name="Note 10 4 6 4 2 4" xfId="56865"/>
    <cellStyle name="Note 10 4 6 4 2 5" xfId="56866"/>
    <cellStyle name="Note 10 4 6 4 2 6" xfId="56867"/>
    <cellStyle name="Note 10 4 6 4 3" xfId="12854"/>
    <cellStyle name="Note 10 4 6 4 4" xfId="56868"/>
    <cellStyle name="Note 10 4 6 4 5" xfId="56869"/>
    <cellStyle name="Note 10 4 6 4 6" xfId="56870"/>
    <cellStyle name="Note 10 4 6 4 7" xfId="56871"/>
    <cellStyle name="Note 10 4 6 4 8" xfId="56872"/>
    <cellStyle name="Note 10 4 6 5" xfId="3591"/>
    <cellStyle name="Note 10 4 6 5 2" xfId="8870"/>
    <cellStyle name="Note 10 4 6 5 2 2" xfId="56873"/>
    <cellStyle name="Note 10 4 6 5 2 3" xfId="56874"/>
    <cellStyle name="Note 10 4 6 5 2 4" xfId="56875"/>
    <cellStyle name="Note 10 4 6 5 2 5" xfId="56876"/>
    <cellStyle name="Note 10 4 6 5 2 6" xfId="56877"/>
    <cellStyle name="Note 10 4 6 5 3" xfId="12855"/>
    <cellStyle name="Note 10 4 6 5 4" xfId="56878"/>
    <cellStyle name="Note 10 4 6 5 5" xfId="56879"/>
    <cellStyle name="Note 10 4 6 5 6" xfId="56880"/>
    <cellStyle name="Note 10 4 6 5 7" xfId="56881"/>
    <cellStyle name="Note 10 4 6 5 8" xfId="56882"/>
    <cellStyle name="Note 10 4 6 6" xfId="3592"/>
    <cellStyle name="Note 10 4 6 6 2" xfId="8871"/>
    <cellStyle name="Note 10 4 6 6 2 2" xfId="56883"/>
    <cellStyle name="Note 10 4 6 6 2 3" xfId="56884"/>
    <cellStyle name="Note 10 4 6 6 2 4" xfId="56885"/>
    <cellStyle name="Note 10 4 6 6 2 5" xfId="56886"/>
    <cellStyle name="Note 10 4 6 6 2 6" xfId="56887"/>
    <cellStyle name="Note 10 4 6 6 3" xfId="12856"/>
    <cellStyle name="Note 10 4 6 6 4" xfId="56888"/>
    <cellStyle name="Note 10 4 6 6 5" xfId="56889"/>
    <cellStyle name="Note 10 4 6 6 6" xfId="56890"/>
    <cellStyle name="Note 10 4 6 6 7" xfId="56891"/>
    <cellStyle name="Note 10 4 6 6 8" xfId="56892"/>
    <cellStyle name="Note 10 4 6 7" xfId="3593"/>
    <cellStyle name="Note 10 4 6 7 2" xfId="8872"/>
    <cellStyle name="Note 10 4 6 7 2 2" xfId="56893"/>
    <cellStyle name="Note 10 4 6 7 2 3" xfId="56894"/>
    <cellStyle name="Note 10 4 6 7 2 4" xfId="56895"/>
    <cellStyle name="Note 10 4 6 7 2 5" xfId="56896"/>
    <cellStyle name="Note 10 4 6 7 2 6" xfId="56897"/>
    <cellStyle name="Note 10 4 6 7 3" xfId="12857"/>
    <cellStyle name="Note 10 4 6 7 4" xfId="56898"/>
    <cellStyle name="Note 10 4 6 7 5" xfId="56899"/>
    <cellStyle name="Note 10 4 6 7 6" xfId="56900"/>
    <cellStyle name="Note 10 4 6 7 7" xfId="56901"/>
    <cellStyle name="Note 10 4 6 7 8" xfId="56902"/>
    <cellStyle name="Note 10 4 6 8" xfId="3594"/>
    <cellStyle name="Note 10 4 6 8 2" xfId="8873"/>
    <cellStyle name="Note 10 4 6 8 2 2" xfId="56903"/>
    <cellStyle name="Note 10 4 6 8 2 3" xfId="56904"/>
    <cellStyle name="Note 10 4 6 8 2 4" xfId="56905"/>
    <cellStyle name="Note 10 4 6 8 2 5" xfId="56906"/>
    <cellStyle name="Note 10 4 6 8 2 6" xfId="56907"/>
    <cellStyle name="Note 10 4 6 8 3" xfId="12858"/>
    <cellStyle name="Note 10 4 6 8 4" xfId="56908"/>
    <cellStyle name="Note 10 4 6 8 5" xfId="56909"/>
    <cellStyle name="Note 10 4 6 8 6" xfId="56910"/>
    <cellStyle name="Note 10 4 6 8 7" xfId="56911"/>
    <cellStyle name="Note 10 4 6 8 8" xfId="56912"/>
    <cellStyle name="Note 10 4 6 9" xfId="3595"/>
    <cellStyle name="Note 10 4 6 9 2" xfId="8874"/>
    <cellStyle name="Note 10 4 6 9 2 2" xfId="56913"/>
    <cellStyle name="Note 10 4 6 9 2 3" xfId="56914"/>
    <cellStyle name="Note 10 4 6 9 2 4" xfId="56915"/>
    <cellStyle name="Note 10 4 6 9 2 5" xfId="56916"/>
    <cellStyle name="Note 10 4 6 9 2 6" xfId="56917"/>
    <cellStyle name="Note 10 4 6 9 3" xfId="12859"/>
    <cellStyle name="Note 10 4 6 9 4" xfId="56918"/>
    <cellStyle name="Note 10 4 6 9 5" xfId="56919"/>
    <cellStyle name="Note 10 4 6 9 6" xfId="56920"/>
    <cellStyle name="Note 10 4 6 9 7" xfId="56921"/>
    <cellStyle name="Note 10 4 6 9 8" xfId="56922"/>
    <cellStyle name="Note 10 4 7" xfId="1271"/>
    <cellStyle name="Note 10 4 7 2" xfId="2505"/>
    <cellStyle name="Note 10 4 7 2 2" xfId="7784"/>
    <cellStyle name="Note 10 4 7 2 2 2" xfId="56923"/>
    <cellStyle name="Note 10 4 7 2 2 3" xfId="56924"/>
    <cellStyle name="Note 10 4 7 2 2 4" xfId="56925"/>
    <cellStyle name="Note 10 4 7 2 2 5" xfId="56926"/>
    <cellStyle name="Note 10 4 7 2 3" xfId="12861"/>
    <cellStyle name="Note 10 4 7 2 4" xfId="56927"/>
    <cellStyle name="Note 10 4 7 2 5" xfId="56928"/>
    <cellStyle name="Note 10 4 7 2 6" xfId="56929"/>
    <cellStyle name="Note 10 4 7 2 7" xfId="56930"/>
    <cellStyle name="Note 10 4 7 3" xfId="6550"/>
    <cellStyle name="Note 10 4 7 3 2" xfId="56931"/>
    <cellStyle name="Note 10 4 7 3 3" xfId="56932"/>
    <cellStyle name="Note 10 4 7 3 4" xfId="56933"/>
    <cellStyle name="Note 10 4 7 3 5" xfId="56934"/>
    <cellStyle name="Note 10 4 7 3 6" xfId="56935"/>
    <cellStyle name="Note 10 4 7 4" xfId="12860"/>
    <cellStyle name="Note 10 4 7 5" xfId="56936"/>
    <cellStyle name="Note 10 4 8" xfId="3596"/>
    <cellStyle name="Note 10 4 8 2" xfId="8875"/>
    <cellStyle name="Note 10 4 8 2 2" xfId="56937"/>
    <cellStyle name="Note 10 4 8 2 3" xfId="56938"/>
    <cellStyle name="Note 10 4 8 2 4" xfId="56939"/>
    <cellStyle name="Note 10 4 8 2 5" xfId="56940"/>
    <cellStyle name="Note 10 4 8 2 6" xfId="56941"/>
    <cellStyle name="Note 10 4 8 3" xfId="12862"/>
    <cellStyle name="Note 10 4 8 4" xfId="56942"/>
    <cellStyle name="Note 10 4 8 5" xfId="56943"/>
    <cellStyle name="Note 10 4 8 6" xfId="56944"/>
    <cellStyle name="Note 10 4 8 7" xfId="56945"/>
    <cellStyle name="Note 10 4 8 8" xfId="56946"/>
    <cellStyle name="Note 10 4 9" xfId="3597"/>
    <cellStyle name="Note 10 4 9 2" xfId="8876"/>
    <cellStyle name="Note 10 4 9 2 2" xfId="56947"/>
    <cellStyle name="Note 10 4 9 2 3" xfId="56948"/>
    <cellStyle name="Note 10 4 9 2 4" xfId="56949"/>
    <cellStyle name="Note 10 4 9 2 5" xfId="56950"/>
    <cellStyle name="Note 10 4 9 2 6" xfId="56951"/>
    <cellStyle name="Note 10 4 9 3" xfId="12863"/>
    <cellStyle name="Note 10 4 9 4" xfId="56952"/>
    <cellStyle name="Note 10 4 9 5" xfId="56953"/>
    <cellStyle name="Note 10 4 9 6" xfId="56954"/>
    <cellStyle name="Note 10 4 9 7" xfId="56955"/>
    <cellStyle name="Note 10 4 9 8" xfId="56956"/>
    <cellStyle name="Note 10 5" xfId="793"/>
    <cellStyle name="Note 10 5 10" xfId="56957"/>
    <cellStyle name="Note 10 5 11" xfId="56958"/>
    <cellStyle name="Note 10 5 2" xfId="1420"/>
    <cellStyle name="Note 10 5 2 2" xfId="2654"/>
    <cellStyle name="Note 10 5 2 2 2" xfId="7933"/>
    <cellStyle name="Note 10 5 2 2 2 2" xfId="56959"/>
    <cellStyle name="Note 10 5 2 2 2 3" xfId="56960"/>
    <cellStyle name="Note 10 5 2 2 2 4" xfId="56961"/>
    <cellStyle name="Note 10 5 2 2 2 5" xfId="56962"/>
    <cellStyle name="Note 10 5 2 2 3" xfId="12866"/>
    <cellStyle name="Note 10 5 2 2 4" xfId="56963"/>
    <cellStyle name="Note 10 5 2 2 5" xfId="56964"/>
    <cellStyle name="Note 10 5 2 2 6" xfId="56965"/>
    <cellStyle name="Note 10 5 2 2 7" xfId="56966"/>
    <cellStyle name="Note 10 5 2 3" xfId="6699"/>
    <cellStyle name="Note 10 5 2 3 2" xfId="56967"/>
    <cellStyle name="Note 10 5 2 3 3" xfId="56968"/>
    <cellStyle name="Note 10 5 2 3 4" xfId="56969"/>
    <cellStyle name="Note 10 5 2 3 5" xfId="56970"/>
    <cellStyle name="Note 10 5 2 3 6" xfId="56971"/>
    <cellStyle name="Note 10 5 2 4" xfId="12865"/>
    <cellStyle name="Note 10 5 2 5" xfId="56972"/>
    <cellStyle name="Note 10 5 3" xfId="1897"/>
    <cellStyle name="Note 10 5 3 2" xfId="3131"/>
    <cellStyle name="Note 10 5 3 2 2" xfId="8410"/>
    <cellStyle name="Note 10 5 3 2 2 2" xfId="56973"/>
    <cellStyle name="Note 10 5 3 2 2 3" xfId="56974"/>
    <cellStyle name="Note 10 5 3 2 2 4" xfId="56975"/>
    <cellStyle name="Note 10 5 3 2 2 5" xfId="56976"/>
    <cellStyle name="Note 10 5 3 2 3" xfId="12868"/>
    <cellStyle name="Note 10 5 3 2 4" xfId="56977"/>
    <cellStyle name="Note 10 5 3 2 5" xfId="56978"/>
    <cellStyle name="Note 10 5 3 2 6" xfId="56979"/>
    <cellStyle name="Note 10 5 3 2 7" xfId="56980"/>
    <cellStyle name="Note 10 5 3 3" xfId="7176"/>
    <cellStyle name="Note 10 5 3 3 2" xfId="56981"/>
    <cellStyle name="Note 10 5 3 3 3" xfId="56982"/>
    <cellStyle name="Note 10 5 3 3 4" xfId="56983"/>
    <cellStyle name="Note 10 5 3 3 5" xfId="56984"/>
    <cellStyle name="Note 10 5 3 3 6" xfId="56985"/>
    <cellStyle name="Note 10 5 3 4" xfId="12867"/>
    <cellStyle name="Note 10 5 3 5" xfId="56986"/>
    <cellStyle name="Note 10 5 4" xfId="3598"/>
    <cellStyle name="Note 10 5 4 2" xfId="8877"/>
    <cellStyle name="Note 10 5 4 2 2" xfId="56987"/>
    <cellStyle name="Note 10 5 4 2 3" xfId="56988"/>
    <cellStyle name="Note 10 5 4 2 4" xfId="56989"/>
    <cellStyle name="Note 10 5 4 2 5" xfId="56990"/>
    <cellStyle name="Note 10 5 4 2 6" xfId="56991"/>
    <cellStyle name="Note 10 5 4 3" xfId="12869"/>
    <cellStyle name="Note 10 5 4 4" xfId="56992"/>
    <cellStyle name="Note 10 5 4 5" xfId="56993"/>
    <cellStyle name="Note 10 5 4 6" xfId="56994"/>
    <cellStyle name="Note 10 5 4 7" xfId="56995"/>
    <cellStyle name="Note 10 5 4 8" xfId="56996"/>
    <cellStyle name="Note 10 5 5" xfId="3599"/>
    <cellStyle name="Note 10 5 5 2" xfId="8878"/>
    <cellStyle name="Note 10 5 5 2 2" xfId="56997"/>
    <cellStyle name="Note 10 5 5 2 3" xfId="56998"/>
    <cellStyle name="Note 10 5 5 2 4" xfId="56999"/>
    <cellStyle name="Note 10 5 5 2 5" xfId="57000"/>
    <cellStyle name="Note 10 5 5 2 6" xfId="57001"/>
    <cellStyle name="Note 10 5 5 3" xfId="12870"/>
    <cellStyle name="Note 10 5 5 4" xfId="57002"/>
    <cellStyle name="Note 10 5 5 5" xfId="57003"/>
    <cellStyle name="Note 10 5 5 6" xfId="57004"/>
    <cellStyle name="Note 10 5 5 7" xfId="57005"/>
    <cellStyle name="Note 10 5 5 8" xfId="57006"/>
    <cellStyle name="Note 10 5 6" xfId="3600"/>
    <cellStyle name="Note 10 5 6 2" xfId="8879"/>
    <cellStyle name="Note 10 5 6 2 2" xfId="57007"/>
    <cellStyle name="Note 10 5 6 2 3" xfId="57008"/>
    <cellStyle name="Note 10 5 6 2 4" xfId="57009"/>
    <cellStyle name="Note 10 5 6 2 5" xfId="57010"/>
    <cellStyle name="Note 10 5 6 2 6" xfId="57011"/>
    <cellStyle name="Note 10 5 6 3" xfId="12871"/>
    <cellStyle name="Note 10 5 6 4" xfId="57012"/>
    <cellStyle name="Note 10 5 6 5" xfId="57013"/>
    <cellStyle name="Note 10 5 6 6" xfId="57014"/>
    <cellStyle name="Note 10 5 6 7" xfId="57015"/>
    <cellStyle name="Note 10 5 6 8" xfId="57016"/>
    <cellStyle name="Note 10 5 7" xfId="3601"/>
    <cellStyle name="Note 10 5 7 2" xfId="8880"/>
    <cellStyle name="Note 10 5 7 2 2" xfId="57017"/>
    <cellStyle name="Note 10 5 7 2 3" xfId="57018"/>
    <cellStyle name="Note 10 5 7 2 4" xfId="57019"/>
    <cellStyle name="Note 10 5 7 2 5" xfId="57020"/>
    <cellStyle name="Note 10 5 7 2 6" xfId="57021"/>
    <cellStyle name="Note 10 5 7 3" xfId="12872"/>
    <cellStyle name="Note 10 5 7 4" xfId="57022"/>
    <cellStyle name="Note 10 5 7 5" xfId="57023"/>
    <cellStyle name="Note 10 5 7 6" xfId="57024"/>
    <cellStyle name="Note 10 5 7 7" xfId="57025"/>
    <cellStyle name="Note 10 5 7 8" xfId="57026"/>
    <cellStyle name="Note 10 5 8" xfId="6082"/>
    <cellStyle name="Note 10 5 8 2" xfId="57027"/>
    <cellStyle name="Note 10 5 8 3" xfId="57028"/>
    <cellStyle name="Note 10 5 8 4" xfId="57029"/>
    <cellStyle name="Note 10 5 8 5" xfId="57030"/>
    <cellStyle name="Note 10 5 8 6" xfId="57031"/>
    <cellStyle name="Note 10 5 9" xfId="12864"/>
    <cellStyle name="Note 10 5 9 2" xfId="57032"/>
    <cellStyle name="Note 10 6" xfId="970"/>
    <cellStyle name="Note 10 6 10" xfId="2207"/>
    <cellStyle name="Note 10 6 10 2" xfId="7486"/>
    <cellStyle name="Note 10 6 10 2 2" xfId="57033"/>
    <cellStyle name="Note 10 6 10 2 3" xfId="57034"/>
    <cellStyle name="Note 10 6 10 2 4" xfId="57035"/>
    <cellStyle name="Note 10 6 10 2 5" xfId="57036"/>
    <cellStyle name="Note 10 6 10 3" xfId="11242"/>
    <cellStyle name="Note 10 6 10 4" xfId="57037"/>
    <cellStyle name="Note 10 6 10 5" xfId="57038"/>
    <cellStyle name="Note 10 6 10 6" xfId="57039"/>
    <cellStyle name="Note 10 6 10 7" xfId="57040"/>
    <cellStyle name="Note 10 6 11" xfId="6249"/>
    <cellStyle name="Note 10 6 11 2" xfId="57041"/>
    <cellStyle name="Note 10 6 11 3" xfId="57042"/>
    <cellStyle name="Note 10 6 11 4" xfId="57043"/>
    <cellStyle name="Note 10 6 11 5" xfId="57044"/>
    <cellStyle name="Note 10 6 12" xfId="57045"/>
    <cellStyle name="Note 10 6 13" xfId="57046"/>
    <cellStyle name="Note 10 6 2" xfId="1587"/>
    <cellStyle name="Note 10 6 2 2" xfId="2821"/>
    <cellStyle name="Note 10 6 2 2 2" xfId="8100"/>
    <cellStyle name="Note 10 6 2 2 2 2" xfId="57047"/>
    <cellStyle name="Note 10 6 2 2 2 3" xfId="57048"/>
    <cellStyle name="Note 10 6 2 2 2 4" xfId="57049"/>
    <cellStyle name="Note 10 6 2 2 2 5" xfId="57050"/>
    <cellStyle name="Note 10 6 2 2 3" xfId="12874"/>
    <cellStyle name="Note 10 6 2 2 4" xfId="57051"/>
    <cellStyle name="Note 10 6 2 2 5" xfId="57052"/>
    <cellStyle name="Note 10 6 2 2 6" xfId="57053"/>
    <cellStyle name="Note 10 6 2 2 7" xfId="57054"/>
    <cellStyle name="Note 10 6 2 3" xfId="6866"/>
    <cellStyle name="Note 10 6 2 3 2" xfId="57055"/>
    <cellStyle name="Note 10 6 2 3 3" xfId="57056"/>
    <cellStyle name="Note 10 6 2 3 4" xfId="57057"/>
    <cellStyle name="Note 10 6 2 3 5" xfId="57058"/>
    <cellStyle name="Note 10 6 2 3 6" xfId="57059"/>
    <cellStyle name="Note 10 6 2 4" xfId="12873"/>
    <cellStyle name="Note 10 6 2 5" xfId="57060"/>
    <cellStyle name="Note 10 6 3" xfId="3602"/>
    <cellStyle name="Note 10 6 3 2" xfId="8881"/>
    <cellStyle name="Note 10 6 3 2 2" xfId="57061"/>
    <cellStyle name="Note 10 6 3 2 3" xfId="57062"/>
    <cellStyle name="Note 10 6 3 2 4" xfId="57063"/>
    <cellStyle name="Note 10 6 3 2 5" xfId="57064"/>
    <cellStyle name="Note 10 6 3 2 6" xfId="57065"/>
    <cellStyle name="Note 10 6 3 3" xfId="12875"/>
    <cellStyle name="Note 10 6 3 4" xfId="57066"/>
    <cellStyle name="Note 10 6 3 5" xfId="57067"/>
    <cellStyle name="Note 10 6 3 6" xfId="57068"/>
    <cellStyle name="Note 10 6 3 7" xfId="57069"/>
    <cellStyle name="Note 10 6 3 8" xfId="57070"/>
    <cellStyle name="Note 10 6 4" xfId="3603"/>
    <cellStyle name="Note 10 6 4 2" xfId="8882"/>
    <cellStyle name="Note 10 6 4 2 2" xfId="57071"/>
    <cellStyle name="Note 10 6 4 2 3" xfId="57072"/>
    <cellStyle name="Note 10 6 4 2 4" xfId="57073"/>
    <cellStyle name="Note 10 6 4 2 5" xfId="57074"/>
    <cellStyle name="Note 10 6 4 2 6" xfId="57075"/>
    <cellStyle name="Note 10 6 4 3" xfId="12876"/>
    <cellStyle name="Note 10 6 4 4" xfId="57076"/>
    <cellStyle name="Note 10 6 4 5" xfId="57077"/>
    <cellStyle name="Note 10 6 4 6" xfId="57078"/>
    <cellStyle name="Note 10 6 4 7" xfId="57079"/>
    <cellStyle name="Note 10 6 4 8" xfId="57080"/>
    <cellStyle name="Note 10 6 5" xfId="3604"/>
    <cellStyle name="Note 10 6 5 2" xfId="8883"/>
    <cellStyle name="Note 10 6 5 2 2" xfId="57081"/>
    <cellStyle name="Note 10 6 5 2 3" xfId="57082"/>
    <cellStyle name="Note 10 6 5 2 4" xfId="57083"/>
    <cellStyle name="Note 10 6 5 2 5" xfId="57084"/>
    <cellStyle name="Note 10 6 5 2 6" xfId="57085"/>
    <cellStyle name="Note 10 6 5 3" xfId="12877"/>
    <cellStyle name="Note 10 6 5 4" xfId="57086"/>
    <cellStyle name="Note 10 6 5 5" xfId="57087"/>
    <cellStyle name="Note 10 6 5 6" xfId="57088"/>
    <cellStyle name="Note 10 6 5 7" xfId="57089"/>
    <cellStyle name="Note 10 6 5 8" xfId="57090"/>
    <cellStyle name="Note 10 6 6" xfId="3605"/>
    <cellStyle name="Note 10 6 6 2" xfId="8884"/>
    <cellStyle name="Note 10 6 6 2 2" xfId="57091"/>
    <cellStyle name="Note 10 6 6 2 3" xfId="57092"/>
    <cellStyle name="Note 10 6 6 2 4" xfId="57093"/>
    <cellStyle name="Note 10 6 6 2 5" xfId="57094"/>
    <cellStyle name="Note 10 6 6 2 6" xfId="57095"/>
    <cellStyle name="Note 10 6 6 3" xfId="12878"/>
    <cellStyle name="Note 10 6 6 4" xfId="57096"/>
    <cellStyle name="Note 10 6 6 5" xfId="57097"/>
    <cellStyle name="Note 10 6 6 6" xfId="57098"/>
    <cellStyle name="Note 10 6 6 7" xfId="57099"/>
    <cellStyle name="Note 10 6 6 8" xfId="57100"/>
    <cellStyle name="Note 10 6 7" xfId="3606"/>
    <cellStyle name="Note 10 6 7 2" xfId="8885"/>
    <cellStyle name="Note 10 6 7 2 2" xfId="57101"/>
    <cellStyle name="Note 10 6 7 2 3" xfId="57102"/>
    <cellStyle name="Note 10 6 7 2 4" xfId="57103"/>
    <cellStyle name="Note 10 6 7 2 5" xfId="57104"/>
    <cellStyle name="Note 10 6 7 2 6" xfId="57105"/>
    <cellStyle name="Note 10 6 7 3" xfId="12879"/>
    <cellStyle name="Note 10 6 7 4" xfId="57106"/>
    <cellStyle name="Note 10 6 7 5" xfId="57107"/>
    <cellStyle name="Note 10 6 7 6" xfId="57108"/>
    <cellStyle name="Note 10 6 7 7" xfId="57109"/>
    <cellStyle name="Note 10 6 7 8" xfId="57110"/>
    <cellStyle name="Note 10 6 8" xfId="3607"/>
    <cellStyle name="Note 10 6 8 2" xfId="8886"/>
    <cellStyle name="Note 10 6 8 2 2" xfId="57111"/>
    <cellStyle name="Note 10 6 8 2 3" xfId="57112"/>
    <cellStyle name="Note 10 6 8 2 4" xfId="57113"/>
    <cellStyle name="Note 10 6 8 2 5" xfId="57114"/>
    <cellStyle name="Note 10 6 8 2 6" xfId="57115"/>
    <cellStyle name="Note 10 6 8 3" xfId="12880"/>
    <cellStyle name="Note 10 6 8 4" xfId="57116"/>
    <cellStyle name="Note 10 6 8 5" xfId="57117"/>
    <cellStyle name="Note 10 6 8 6" xfId="57118"/>
    <cellStyle name="Note 10 6 8 7" xfId="57119"/>
    <cellStyle name="Note 10 6 8 8" xfId="57120"/>
    <cellStyle name="Note 10 6 9" xfId="3608"/>
    <cellStyle name="Note 10 6 9 2" xfId="8887"/>
    <cellStyle name="Note 10 6 9 2 2" xfId="57121"/>
    <cellStyle name="Note 10 6 9 2 3" xfId="57122"/>
    <cellStyle name="Note 10 6 9 2 4" xfId="57123"/>
    <cellStyle name="Note 10 6 9 2 5" xfId="57124"/>
    <cellStyle name="Note 10 6 9 2 6" xfId="57125"/>
    <cellStyle name="Note 10 6 9 3" xfId="12881"/>
    <cellStyle name="Note 10 6 9 4" xfId="57126"/>
    <cellStyle name="Note 10 6 9 5" xfId="57127"/>
    <cellStyle name="Note 10 6 9 6" xfId="57128"/>
    <cellStyle name="Note 10 6 9 7" xfId="57129"/>
    <cellStyle name="Note 10 6 9 8" xfId="57130"/>
    <cellStyle name="Note 10 7" xfId="971"/>
    <cellStyle name="Note 10 7 10" xfId="2208"/>
    <cellStyle name="Note 10 7 10 2" xfId="7487"/>
    <cellStyle name="Note 10 7 10 2 2" xfId="57131"/>
    <cellStyle name="Note 10 7 10 2 3" xfId="57132"/>
    <cellStyle name="Note 10 7 10 2 4" xfId="57133"/>
    <cellStyle name="Note 10 7 10 2 5" xfId="57134"/>
    <cellStyle name="Note 10 7 10 3" xfId="11243"/>
    <cellStyle name="Note 10 7 10 4" xfId="57135"/>
    <cellStyle name="Note 10 7 10 5" xfId="57136"/>
    <cellStyle name="Note 10 7 10 6" xfId="57137"/>
    <cellStyle name="Note 10 7 10 7" xfId="57138"/>
    <cellStyle name="Note 10 7 11" xfId="6250"/>
    <cellStyle name="Note 10 7 11 2" xfId="57139"/>
    <cellStyle name="Note 10 7 11 3" xfId="57140"/>
    <cellStyle name="Note 10 7 11 4" xfId="57141"/>
    <cellStyle name="Note 10 7 11 5" xfId="57142"/>
    <cellStyle name="Note 10 7 12" xfId="57143"/>
    <cellStyle name="Note 10 7 13" xfId="57144"/>
    <cellStyle name="Note 10 7 2" xfId="1588"/>
    <cellStyle name="Note 10 7 2 2" xfId="2822"/>
    <cellStyle name="Note 10 7 2 2 2" xfId="8101"/>
    <cellStyle name="Note 10 7 2 2 2 2" xfId="57145"/>
    <cellStyle name="Note 10 7 2 2 2 3" xfId="57146"/>
    <cellStyle name="Note 10 7 2 2 2 4" xfId="57147"/>
    <cellStyle name="Note 10 7 2 2 2 5" xfId="57148"/>
    <cellStyle name="Note 10 7 2 2 3" xfId="12883"/>
    <cellStyle name="Note 10 7 2 2 4" xfId="57149"/>
    <cellStyle name="Note 10 7 2 2 5" xfId="57150"/>
    <cellStyle name="Note 10 7 2 2 6" xfId="57151"/>
    <cellStyle name="Note 10 7 2 2 7" xfId="57152"/>
    <cellStyle name="Note 10 7 2 3" xfId="6867"/>
    <cellStyle name="Note 10 7 2 3 2" xfId="57153"/>
    <cellStyle name="Note 10 7 2 3 3" xfId="57154"/>
    <cellStyle name="Note 10 7 2 3 4" xfId="57155"/>
    <cellStyle name="Note 10 7 2 3 5" xfId="57156"/>
    <cellStyle name="Note 10 7 2 3 6" xfId="57157"/>
    <cellStyle name="Note 10 7 2 4" xfId="12882"/>
    <cellStyle name="Note 10 7 2 5" xfId="57158"/>
    <cellStyle name="Note 10 7 3" xfId="3609"/>
    <cellStyle name="Note 10 7 3 2" xfId="8888"/>
    <cellStyle name="Note 10 7 3 2 2" xfId="57159"/>
    <cellStyle name="Note 10 7 3 2 3" xfId="57160"/>
    <cellStyle name="Note 10 7 3 2 4" xfId="57161"/>
    <cellStyle name="Note 10 7 3 2 5" xfId="57162"/>
    <cellStyle name="Note 10 7 3 2 6" xfId="57163"/>
    <cellStyle name="Note 10 7 3 3" xfId="12884"/>
    <cellStyle name="Note 10 7 3 4" xfId="57164"/>
    <cellStyle name="Note 10 7 3 5" xfId="57165"/>
    <cellStyle name="Note 10 7 3 6" xfId="57166"/>
    <cellStyle name="Note 10 7 3 7" xfId="57167"/>
    <cellStyle name="Note 10 7 3 8" xfId="57168"/>
    <cellStyle name="Note 10 7 4" xfId="3610"/>
    <cellStyle name="Note 10 7 4 2" xfId="8889"/>
    <cellStyle name="Note 10 7 4 2 2" xfId="57169"/>
    <cellStyle name="Note 10 7 4 2 3" xfId="57170"/>
    <cellStyle name="Note 10 7 4 2 4" xfId="57171"/>
    <cellStyle name="Note 10 7 4 2 5" xfId="57172"/>
    <cellStyle name="Note 10 7 4 2 6" xfId="57173"/>
    <cellStyle name="Note 10 7 4 3" xfId="12885"/>
    <cellStyle name="Note 10 7 4 4" xfId="57174"/>
    <cellStyle name="Note 10 7 4 5" xfId="57175"/>
    <cellStyle name="Note 10 7 4 6" xfId="57176"/>
    <cellStyle name="Note 10 7 4 7" xfId="57177"/>
    <cellStyle name="Note 10 7 4 8" xfId="57178"/>
    <cellStyle name="Note 10 7 5" xfId="3611"/>
    <cellStyle name="Note 10 7 5 2" xfId="8890"/>
    <cellStyle name="Note 10 7 5 2 2" xfId="57179"/>
    <cellStyle name="Note 10 7 5 2 3" xfId="57180"/>
    <cellStyle name="Note 10 7 5 2 4" xfId="57181"/>
    <cellStyle name="Note 10 7 5 2 5" xfId="57182"/>
    <cellStyle name="Note 10 7 5 2 6" xfId="57183"/>
    <cellStyle name="Note 10 7 5 3" xfId="12886"/>
    <cellStyle name="Note 10 7 5 4" xfId="57184"/>
    <cellStyle name="Note 10 7 5 5" xfId="57185"/>
    <cellStyle name="Note 10 7 5 6" xfId="57186"/>
    <cellStyle name="Note 10 7 5 7" xfId="57187"/>
    <cellStyle name="Note 10 7 5 8" xfId="57188"/>
    <cellStyle name="Note 10 7 6" xfId="3612"/>
    <cellStyle name="Note 10 7 6 2" xfId="8891"/>
    <cellStyle name="Note 10 7 6 2 2" xfId="57189"/>
    <cellStyle name="Note 10 7 6 2 3" xfId="57190"/>
    <cellStyle name="Note 10 7 6 2 4" xfId="57191"/>
    <cellStyle name="Note 10 7 6 2 5" xfId="57192"/>
    <cellStyle name="Note 10 7 6 2 6" xfId="57193"/>
    <cellStyle name="Note 10 7 6 3" xfId="12887"/>
    <cellStyle name="Note 10 7 6 4" xfId="57194"/>
    <cellStyle name="Note 10 7 6 5" xfId="57195"/>
    <cellStyle name="Note 10 7 6 6" xfId="57196"/>
    <cellStyle name="Note 10 7 6 7" xfId="57197"/>
    <cellStyle name="Note 10 7 6 8" xfId="57198"/>
    <cellStyle name="Note 10 7 7" xfId="3613"/>
    <cellStyle name="Note 10 7 7 2" xfId="8892"/>
    <cellStyle name="Note 10 7 7 2 2" xfId="57199"/>
    <cellStyle name="Note 10 7 7 2 3" xfId="57200"/>
    <cellStyle name="Note 10 7 7 2 4" xfId="57201"/>
    <cellStyle name="Note 10 7 7 2 5" xfId="57202"/>
    <cellStyle name="Note 10 7 7 2 6" xfId="57203"/>
    <cellStyle name="Note 10 7 7 3" xfId="12888"/>
    <cellStyle name="Note 10 7 7 4" xfId="57204"/>
    <cellStyle name="Note 10 7 7 5" xfId="57205"/>
    <cellStyle name="Note 10 7 7 6" xfId="57206"/>
    <cellStyle name="Note 10 7 7 7" xfId="57207"/>
    <cellStyle name="Note 10 7 7 8" xfId="57208"/>
    <cellStyle name="Note 10 7 8" xfId="3614"/>
    <cellStyle name="Note 10 7 8 2" xfId="8893"/>
    <cellStyle name="Note 10 7 8 2 2" xfId="57209"/>
    <cellStyle name="Note 10 7 8 2 3" xfId="57210"/>
    <cellStyle name="Note 10 7 8 2 4" xfId="57211"/>
    <cellStyle name="Note 10 7 8 2 5" xfId="57212"/>
    <cellStyle name="Note 10 7 8 2 6" xfId="57213"/>
    <cellStyle name="Note 10 7 8 3" xfId="12889"/>
    <cellStyle name="Note 10 7 8 4" xfId="57214"/>
    <cellStyle name="Note 10 7 8 5" xfId="57215"/>
    <cellStyle name="Note 10 7 8 6" xfId="57216"/>
    <cellStyle name="Note 10 7 8 7" xfId="57217"/>
    <cellStyle name="Note 10 7 8 8" xfId="57218"/>
    <cellStyle name="Note 10 7 9" xfId="3615"/>
    <cellStyle name="Note 10 7 9 2" xfId="8894"/>
    <cellStyle name="Note 10 7 9 2 2" xfId="57219"/>
    <cellStyle name="Note 10 7 9 2 3" xfId="57220"/>
    <cellStyle name="Note 10 7 9 2 4" xfId="57221"/>
    <cellStyle name="Note 10 7 9 2 5" xfId="57222"/>
    <cellStyle name="Note 10 7 9 2 6" xfId="57223"/>
    <cellStyle name="Note 10 7 9 3" xfId="12890"/>
    <cellStyle name="Note 10 7 9 4" xfId="57224"/>
    <cellStyle name="Note 10 7 9 5" xfId="57225"/>
    <cellStyle name="Note 10 7 9 6" xfId="57226"/>
    <cellStyle name="Note 10 7 9 7" xfId="57227"/>
    <cellStyle name="Note 10 7 9 8" xfId="57228"/>
    <cellStyle name="Note 10 8" xfId="972"/>
    <cellStyle name="Note 10 8 10" xfId="2209"/>
    <cellStyle name="Note 10 8 10 2" xfId="7488"/>
    <cellStyle name="Note 10 8 10 2 2" xfId="57229"/>
    <cellStyle name="Note 10 8 10 2 3" xfId="57230"/>
    <cellStyle name="Note 10 8 10 2 4" xfId="57231"/>
    <cellStyle name="Note 10 8 10 2 5" xfId="57232"/>
    <cellStyle name="Note 10 8 10 3" xfId="11244"/>
    <cellStyle name="Note 10 8 10 4" xfId="57233"/>
    <cellStyle name="Note 10 8 10 5" xfId="57234"/>
    <cellStyle name="Note 10 8 10 6" xfId="57235"/>
    <cellStyle name="Note 10 8 10 7" xfId="57236"/>
    <cellStyle name="Note 10 8 11" xfId="6251"/>
    <cellStyle name="Note 10 8 11 2" xfId="57237"/>
    <cellStyle name="Note 10 8 11 3" xfId="57238"/>
    <cellStyle name="Note 10 8 11 4" xfId="57239"/>
    <cellStyle name="Note 10 8 11 5" xfId="57240"/>
    <cellStyle name="Note 10 8 12" xfId="57241"/>
    <cellStyle name="Note 10 8 13" xfId="57242"/>
    <cellStyle name="Note 10 8 2" xfId="1589"/>
    <cellStyle name="Note 10 8 2 2" xfId="2823"/>
    <cellStyle name="Note 10 8 2 2 2" xfId="8102"/>
    <cellStyle name="Note 10 8 2 2 2 2" xfId="57243"/>
    <cellStyle name="Note 10 8 2 2 2 3" xfId="57244"/>
    <cellStyle name="Note 10 8 2 2 2 4" xfId="57245"/>
    <cellStyle name="Note 10 8 2 2 2 5" xfId="57246"/>
    <cellStyle name="Note 10 8 2 2 3" xfId="12892"/>
    <cellStyle name="Note 10 8 2 2 4" xfId="57247"/>
    <cellStyle name="Note 10 8 2 2 5" xfId="57248"/>
    <cellStyle name="Note 10 8 2 2 6" xfId="57249"/>
    <cellStyle name="Note 10 8 2 2 7" xfId="57250"/>
    <cellStyle name="Note 10 8 2 3" xfId="6868"/>
    <cellStyle name="Note 10 8 2 3 2" xfId="57251"/>
    <cellStyle name="Note 10 8 2 3 3" xfId="57252"/>
    <cellStyle name="Note 10 8 2 3 4" xfId="57253"/>
    <cellStyle name="Note 10 8 2 3 5" xfId="57254"/>
    <cellStyle name="Note 10 8 2 3 6" xfId="57255"/>
    <cellStyle name="Note 10 8 2 4" xfId="12891"/>
    <cellStyle name="Note 10 8 2 5" xfId="57256"/>
    <cellStyle name="Note 10 8 3" xfId="3616"/>
    <cellStyle name="Note 10 8 3 2" xfId="8895"/>
    <cellStyle name="Note 10 8 3 2 2" xfId="57257"/>
    <cellStyle name="Note 10 8 3 2 3" xfId="57258"/>
    <cellStyle name="Note 10 8 3 2 4" xfId="57259"/>
    <cellStyle name="Note 10 8 3 2 5" xfId="57260"/>
    <cellStyle name="Note 10 8 3 2 6" xfId="57261"/>
    <cellStyle name="Note 10 8 3 3" xfId="12893"/>
    <cellStyle name="Note 10 8 3 4" xfId="57262"/>
    <cellStyle name="Note 10 8 3 5" xfId="57263"/>
    <cellStyle name="Note 10 8 3 6" xfId="57264"/>
    <cellStyle name="Note 10 8 3 7" xfId="57265"/>
    <cellStyle name="Note 10 8 3 8" xfId="57266"/>
    <cellStyle name="Note 10 8 4" xfId="3617"/>
    <cellStyle name="Note 10 8 4 2" xfId="8896"/>
    <cellStyle name="Note 10 8 4 2 2" xfId="57267"/>
    <cellStyle name="Note 10 8 4 2 3" xfId="57268"/>
    <cellStyle name="Note 10 8 4 2 4" xfId="57269"/>
    <cellStyle name="Note 10 8 4 2 5" xfId="57270"/>
    <cellStyle name="Note 10 8 4 2 6" xfId="57271"/>
    <cellStyle name="Note 10 8 4 3" xfId="12894"/>
    <cellStyle name="Note 10 8 4 4" xfId="57272"/>
    <cellStyle name="Note 10 8 4 5" xfId="57273"/>
    <cellStyle name="Note 10 8 4 6" xfId="57274"/>
    <cellStyle name="Note 10 8 4 7" xfId="57275"/>
    <cellStyle name="Note 10 8 4 8" xfId="57276"/>
    <cellStyle name="Note 10 8 5" xfId="3618"/>
    <cellStyle name="Note 10 8 5 2" xfId="8897"/>
    <cellStyle name="Note 10 8 5 2 2" xfId="57277"/>
    <cellStyle name="Note 10 8 5 2 3" xfId="57278"/>
    <cellStyle name="Note 10 8 5 2 4" xfId="57279"/>
    <cellStyle name="Note 10 8 5 2 5" xfId="57280"/>
    <cellStyle name="Note 10 8 5 2 6" xfId="57281"/>
    <cellStyle name="Note 10 8 5 3" xfId="12895"/>
    <cellStyle name="Note 10 8 5 4" xfId="57282"/>
    <cellStyle name="Note 10 8 5 5" xfId="57283"/>
    <cellStyle name="Note 10 8 5 6" xfId="57284"/>
    <cellStyle name="Note 10 8 5 7" xfId="57285"/>
    <cellStyle name="Note 10 8 5 8" xfId="57286"/>
    <cellStyle name="Note 10 8 6" xfId="3619"/>
    <cellStyle name="Note 10 8 6 2" xfId="8898"/>
    <cellStyle name="Note 10 8 6 2 2" xfId="57287"/>
    <cellStyle name="Note 10 8 6 2 3" xfId="57288"/>
    <cellStyle name="Note 10 8 6 2 4" xfId="57289"/>
    <cellStyle name="Note 10 8 6 2 5" xfId="57290"/>
    <cellStyle name="Note 10 8 6 2 6" xfId="57291"/>
    <cellStyle name="Note 10 8 6 3" xfId="12896"/>
    <cellStyle name="Note 10 8 6 4" xfId="57292"/>
    <cellStyle name="Note 10 8 6 5" xfId="57293"/>
    <cellStyle name="Note 10 8 6 6" xfId="57294"/>
    <cellStyle name="Note 10 8 6 7" xfId="57295"/>
    <cellStyle name="Note 10 8 6 8" xfId="57296"/>
    <cellStyle name="Note 10 8 7" xfId="3620"/>
    <cellStyle name="Note 10 8 7 2" xfId="8899"/>
    <cellStyle name="Note 10 8 7 2 2" xfId="57297"/>
    <cellStyle name="Note 10 8 7 2 3" xfId="57298"/>
    <cellStyle name="Note 10 8 7 2 4" xfId="57299"/>
    <cellStyle name="Note 10 8 7 2 5" xfId="57300"/>
    <cellStyle name="Note 10 8 7 2 6" xfId="57301"/>
    <cellStyle name="Note 10 8 7 3" xfId="12897"/>
    <cellStyle name="Note 10 8 7 4" xfId="57302"/>
    <cellStyle name="Note 10 8 7 5" xfId="57303"/>
    <cellStyle name="Note 10 8 7 6" xfId="57304"/>
    <cellStyle name="Note 10 8 7 7" xfId="57305"/>
    <cellStyle name="Note 10 8 7 8" xfId="57306"/>
    <cellStyle name="Note 10 8 8" xfId="3621"/>
    <cellStyle name="Note 10 8 8 2" xfId="8900"/>
    <cellStyle name="Note 10 8 8 2 2" xfId="57307"/>
    <cellStyle name="Note 10 8 8 2 3" xfId="57308"/>
    <cellStyle name="Note 10 8 8 2 4" xfId="57309"/>
    <cellStyle name="Note 10 8 8 2 5" xfId="57310"/>
    <cellStyle name="Note 10 8 8 2 6" xfId="57311"/>
    <cellStyle name="Note 10 8 8 3" xfId="12898"/>
    <cellStyle name="Note 10 8 8 4" xfId="57312"/>
    <cellStyle name="Note 10 8 8 5" xfId="57313"/>
    <cellStyle name="Note 10 8 8 6" xfId="57314"/>
    <cellStyle name="Note 10 8 8 7" xfId="57315"/>
    <cellStyle name="Note 10 8 8 8" xfId="57316"/>
    <cellStyle name="Note 10 8 9" xfId="3622"/>
    <cellStyle name="Note 10 8 9 2" xfId="8901"/>
    <cellStyle name="Note 10 8 9 2 2" xfId="57317"/>
    <cellStyle name="Note 10 8 9 2 3" xfId="57318"/>
    <cellStyle name="Note 10 8 9 2 4" xfId="57319"/>
    <cellStyle name="Note 10 8 9 2 5" xfId="57320"/>
    <cellStyle name="Note 10 8 9 2 6" xfId="57321"/>
    <cellStyle name="Note 10 8 9 3" xfId="12899"/>
    <cellStyle name="Note 10 8 9 4" xfId="57322"/>
    <cellStyle name="Note 10 8 9 5" xfId="57323"/>
    <cellStyle name="Note 10 8 9 6" xfId="57324"/>
    <cellStyle name="Note 10 8 9 7" xfId="57325"/>
    <cellStyle name="Note 10 8 9 8" xfId="57326"/>
    <cellStyle name="Note 10 9" xfId="973"/>
    <cellStyle name="Note 10 9 10" xfId="2210"/>
    <cellStyle name="Note 10 9 10 2" xfId="7489"/>
    <cellStyle name="Note 10 9 10 2 2" xfId="57327"/>
    <cellStyle name="Note 10 9 10 2 3" xfId="57328"/>
    <cellStyle name="Note 10 9 10 2 4" xfId="57329"/>
    <cellStyle name="Note 10 9 10 2 5" xfId="57330"/>
    <cellStyle name="Note 10 9 10 3" xfId="11245"/>
    <cellStyle name="Note 10 9 10 4" xfId="57331"/>
    <cellStyle name="Note 10 9 10 5" xfId="57332"/>
    <cellStyle name="Note 10 9 10 6" xfId="57333"/>
    <cellStyle name="Note 10 9 10 7" xfId="57334"/>
    <cellStyle name="Note 10 9 11" xfId="6252"/>
    <cellStyle name="Note 10 9 11 2" xfId="57335"/>
    <cellStyle name="Note 10 9 11 3" xfId="57336"/>
    <cellStyle name="Note 10 9 11 4" xfId="57337"/>
    <cellStyle name="Note 10 9 11 5" xfId="57338"/>
    <cellStyle name="Note 10 9 12" xfId="57339"/>
    <cellStyle name="Note 10 9 13" xfId="57340"/>
    <cellStyle name="Note 10 9 2" xfId="1590"/>
    <cellStyle name="Note 10 9 2 2" xfId="2824"/>
    <cellStyle name="Note 10 9 2 2 2" xfId="8103"/>
    <cellStyle name="Note 10 9 2 2 2 2" xfId="57341"/>
    <cellStyle name="Note 10 9 2 2 2 3" xfId="57342"/>
    <cellStyle name="Note 10 9 2 2 2 4" xfId="57343"/>
    <cellStyle name="Note 10 9 2 2 2 5" xfId="57344"/>
    <cellStyle name="Note 10 9 2 2 3" xfId="12901"/>
    <cellStyle name="Note 10 9 2 2 4" xfId="57345"/>
    <cellStyle name="Note 10 9 2 2 5" xfId="57346"/>
    <cellStyle name="Note 10 9 2 2 6" xfId="57347"/>
    <cellStyle name="Note 10 9 2 2 7" xfId="57348"/>
    <cellStyle name="Note 10 9 2 3" xfId="6869"/>
    <cellStyle name="Note 10 9 2 3 2" xfId="57349"/>
    <cellStyle name="Note 10 9 2 3 3" xfId="57350"/>
    <cellStyle name="Note 10 9 2 3 4" xfId="57351"/>
    <cellStyle name="Note 10 9 2 3 5" xfId="57352"/>
    <cellStyle name="Note 10 9 2 3 6" xfId="57353"/>
    <cellStyle name="Note 10 9 2 4" xfId="12900"/>
    <cellStyle name="Note 10 9 2 5" xfId="57354"/>
    <cellStyle name="Note 10 9 3" xfId="3623"/>
    <cellStyle name="Note 10 9 3 2" xfId="8902"/>
    <cellStyle name="Note 10 9 3 2 2" xfId="57355"/>
    <cellStyle name="Note 10 9 3 2 3" xfId="57356"/>
    <cellStyle name="Note 10 9 3 2 4" xfId="57357"/>
    <cellStyle name="Note 10 9 3 2 5" xfId="57358"/>
    <cellStyle name="Note 10 9 3 2 6" xfId="57359"/>
    <cellStyle name="Note 10 9 3 3" xfId="12902"/>
    <cellStyle name="Note 10 9 3 4" xfId="57360"/>
    <cellStyle name="Note 10 9 3 5" xfId="57361"/>
    <cellStyle name="Note 10 9 3 6" xfId="57362"/>
    <cellStyle name="Note 10 9 3 7" xfId="57363"/>
    <cellStyle name="Note 10 9 3 8" xfId="57364"/>
    <cellStyle name="Note 10 9 4" xfId="3624"/>
    <cellStyle name="Note 10 9 4 2" xfId="8903"/>
    <cellStyle name="Note 10 9 4 2 2" xfId="57365"/>
    <cellStyle name="Note 10 9 4 2 3" xfId="57366"/>
    <cellStyle name="Note 10 9 4 2 4" xfId="57367"/>
    <cellStyle name="Note 10 9 4 2 5" xfId="57368"/>
    <cellStyle name="Note 10 9 4 2 6" xfId="57369"/>
    <cellStyle name="Note 10 9 4 3" xfId="12903"/>
    <cellStyle name="Note 10 9 4 4" xfId="57370"/>
    <cellStyle name="Note 10 9 4 5" xfId="57371"/>
    <cellStyle name="Note 10 9 4 6" xfId="57372"/>
    <cellStyle name="Note 10 9 4 7" xfId="57373"/>
    <cellStyle name="Note 10 9 4 8" xfId="57374"/>
    <cellStyle name="Note 10 9 5" xfId="3625"/>
    <cellStyle name="Note 10 9 5 2" xfId="8904"/>
    <cellStyle name="Note 10 9 5 2 2" xfId="57375"/>
    <cellStyle name="Note 10 9 5 2 3" xfId="57376"/>
    <cellStyle name="Note 10 9 5 2 4" xfId="57377"/>
    <cellStyle name="Note 10 9 5 2 5" xfId="57378"/>
    <cellStyle name="Note 10 9 5 2 6" xfId="57379"/>
    <cellStyle name="Note 10 9 5 3" xfId="12904"/>
    <cellStyle name="Note 10 9 5 4" xfId="57380"/>
    <cellStyle name="Note 10 9 5 5" xfId="57381"/>
    <cellStyle name="Note 10 9 5 6" xfId="57382"/>
    <cellStyle name="Note 10 9 5 7" xfId="57383"/>
    <cellStyle name="Note 10 9 5 8" xfId="57384"/>
    <cellStyle name="Note 10 9 6" xfId="3626"/>
    <cellStyle name="Note 10 9 6 2" xfId="8905"/>
    <cellStyle name="Note 10 9 6 2 2" xfId="57385"/>
    <cellStyle name="Note 10 9 6 2 3" xfId="57386"/>
    <cellStyle name="Note 10 9 6 2 4" xfId="57387"/>
    <cellStyle name="Note 10 9 6 2 5" xfId="57388"/>
    <cellStyle name="Note 10 9 6 2 6" xfId="57389"/>
    <cellStyle name="Note 10 9 6 3" xfId="12905"/>
    <cellStyle name="Note 10 9 6 4" xfId="57390"/>
    <cellStyle name="Note 10 9 6 5" xfId="57391"/>
    <cellStyle name="Note 10 9 6 6" xfId="57392"/>
    <cellStyle name="Note 10 9 6 7" xfId="57393"/>
    <cellStyle name="Note 10 9 6 8" xfId="57394"/>
    <cellStyle name="Note 10 9 7" xfId="3627"/>
    <cellStyle name="Note 10 9 7 2" xfId="8906"/>
    <cellStyle name="Note 10 9 7 2 2" xfId="57395"/>
    <cellStyle name="Note 10 9 7 2 3" xfId="57396"/>
    <cellStyle name="Note 10 9 7 2 4" xfId="57397"/>
    <cellStyle name="Note 10 9 7 2 5" xfId="57398"/>
    <cellStyle name="Note 10 9 7 2 6" xfId="57399"/>
    <cellStyle name="Note 10 9 7 3" xfId="12906"/>
    <cellStyle name="Note 10 9 7 4" xfId="57400"/>
    <cellStyle name="Note 10 9 7 5" xfId="57401"/>
    <cellStyle name="Note 10 9 7 6" xfId="57402"/>
    <cellStyle name="Note 10 9 7 7" xfId="57403"/>
    <cellStyle name="Note 10 9 7 8" xfId="57404"/>
    <cellStyle name="Note 10 9 8" xfId="3628"/>
    <cellStyle name="Note 10 9 8 2" xfId="8907"/>
    <cellStyle name="Note 10 9 8 2 2" xfId="57405"/>
    <cellStyle name="Note 10 9 8 2 3" xfId="57406"/>
    <cellStyle name="Note 10 9 8 2 4" xfId="57407"/>
    <cellStyle name="Note 10 9 8 2 5" xfId="57408"/>
    <cellStyle name="Note 10 9 8 2 6" xfId="57409"/>
    <cellStyle name="Note 10 9 8 3" xfId="12907"/>
    <cellStyle name="Note 10 9 8 4" xfId="57410"/>
    <cellStyle name="Note 10 9 8 5" xfId="57411"/>
    <cellStyle name="Note 10 9 8 6" xfId="57412"/>
    <cellStyle name="Note 10 9 8 7" xfId="57413"/>
    <cellStyle name="Note 10 9 8 8" xfId="57414"/>
    <cellStyle name="Note 10 9 9" xfId="3629"/>
    <cellStyle name="Note 10 9 9 2" xfId="8908"/>
    <cellStyle name="Note 10 9 9 2 2" xfId="57415"/>
    <cellStyle name="Note 10 9 9 2 3" xfId="57416"/>
    <cellStyle name="Note 10 9 9 2 4" xfId="57417"/>
    <cellStyle name="Note 10 9 9 2 5" xfId="57418"/>
    <cellStyle name="Note 10 9 9 2 6" xfId="57419"/>
    <cellStyle name="Note 10 9 9 3" xfId="12908"/>
    <cellStyle name="Note 10 9 9 4" xfId="57420"/>
    <cellStyle name="Note 10 9 9 5" xfId="57421"/>
    <cellStyle name="Note 10 9 9 6" xfId="57422"/>
    <cellStyle name="Note 10 9 9 7" xfId="57423"/>
    <cellStyle name="Note 10 9 9 8" xfId="57424"/>
    <cellStyle name="Note 11" xfId="583"/>
    <cellStyle name="Note 11 10" xfId="3630"/>
    <cellStyle name="Note 11 10 2" xfId="8909"/>
    <cellStyle name="Note 11 10 2 2" xfId="57425"/>
    <cellStyle name="Note 11 10 2 3" xfId="57426"/>
    <cellStyle name="Note 11 10 2 4" xfId="57427"/>
    <cellStyle name="Note 11 10 2 5" xfId="57428"/>
    <cellStyle name="Note 11 10 2 6" xfId="57429"/>
    <cellStyle name="Note 11 10 3" xfId="12909"/>
    <cellStyle name="Note 11 10 4" xfId="57430"/>
    <cellStyle name="Note 11 10 5" xfId="57431"/>
    <cellStyle name="Note 11 10 6" xfId="57432"/>
    <cellStyle name="Note 11 10 7" xfId="57433"/>
    <cellStyle name="Note 11 10 8" xfId="57434"/>
    <cellStyle name="Note 11 11" xfId="3631"/>
    <cellStyle name="Note 11 11 2" xfId="8910"/>
    <cellStyle name="Note 11 11 2 2" xfId="57435"/>
    <cellStyle name="Note 11 11 2 3" xfId="57436"/>
    <cellStyle name="Note 11 11 2 4" xfId="57437"/>
    <cellStyle name="Note 11 11 2 5" xfId="57438"/>
    <cellStyle name="Note 11 11 2 6" xfId="57439"/>
    <cellStyle name="Note 11 11 3" xfId="12910"/>
    <cellStyle name="Note 11 11 4" xfId="57440"/>
    <cellStyle name="Note 11 11 5" xfId="57441"/>
    <cellStyle name="Note 11 11 6" xfId="57442"/>
    <cellStyle name="Note 11 11 7" xfId="57443"/>
    <cellStyle name="Note 11 11 8" xfId="57444"/>
    <cellStyle name="Note 11 12" xfId="3632"/>
    <cellStyle name="Note 11 12 2" xfId="8911"/>
    <cellStyle name="Note 11 12 2 2" xfId="57445"/>
    <cellStyle name="Note 11 12 2 3" xfId="57446"/>
    <cellStyle name="Note 11 12 2 4" xfId="57447"/>
    <cellStyle name="Note 11 12 2 5" xfId="57448"/>
    <cellStyle name="Note 11 12 2 6" xfId="57449"/>
    <cellStyle name="Note 11 12 3" xfId="12911"/>
    <cellStyle name="Note 11 12 4" xfId="57450"/>
    <cellStyle name="Note 11 12 5" xfId="57451"/>
    <cellStyle name="Note 11 12 6" xfId="57452"/>
    <cellStyle name="Note 11 12 7" xfId="57453"/>
    <cellStyle name="Note 11 12 8" xfId="57454"/>
    <cellStyle name="Note 11 13" xfId="1959"/>
    <cellStyle name="Note 11 13 2" xfId="7238"/>
    <cellStyle name="Note 11 13 2 2" xfId="57455"/>
    <cellStyle name="Note 11 13 2 3" xfId="57456"/>
    <cellStyle name="Note 11 13 2 4" xfId="57457"/>
    <cellStyle name="Note 11 13 2 5" xfId="57458"/>
    <cellStyle name="Note 11 13 3" xfId="11246"/>
    <cellStyle name="Note 11 13 4" xfId="57459"/>
    <cellStyle name="Note 11 13 5" xfId="57460"/>
    <cellStyle name="Note 11 13 6" xfId="57461"/>
    <cellStyle name="Note 11 14" xfId="5934"/>
    <cellStyle name="Note 11 14 2" xfId="57462"/>
    <cellStyle name="Note 11 14 3" xfId="57463"/>
    <cellStyle name="Note 11 14 4" xfId="57464"/>
    <cellStyle name="Note 11 14 5" xfId="57465"/>
    <cellStyle name="Note 11 15" xfId="57466"/>
    <cellStyle name="Note 11 16" xfId="57467"/>
    <cellStyle name="Note 11 2" xfId="584"/>
    <cellStyle name="Note 11 2 10" xfId="3633"/>
    <cellStyle name="Note 11 2 10 2" xfId="8912"/>
    <cellStyle name="Note 11 2 10 2 2" xfId="57468"/>
    <cellStyle name="Note 11 2 10 2 3" xfId="57469"/>
    <cellStyle name="Note 11 2 10 2 4" xfId="57470"/>
    <cellStyle name="Note 11 2 10 2 5" xfId="57471"/>
    <cellStyle name="Note 11 2 10 2 6" xfId="57472"/>
    <cellStyle name="Note 11 2 10 3" xfId="12912"/>
    <cellStyle name="Note 11 2 10 4" xfId="57473"/>
    <cellStyle name="Note 11 2 10 5" xfId="57474"/>
    <cellStyle name="Note 11 2 10 6" xfId="57475"/>
    <cellStyle name="Note 11 2 10 7" xfId="57476"/>
    <cellStyle name="Note 11 2 10 8" xfId="57477"/>
    <cellStyle name="Note 11 2 11" xfId="3634"/>
    <cellStyle name="Note 11 2 11 2" xfId="8913"/>
    <cellStyle name="Note 11 2 11 2 2" xfId="57478"/>
    <cellStyle name="Note 11 2 11 2 3" xfId="57479"/>
    <cellStyle name="Note 11 2 11 2 4" xfId="57480"/>
    <cellStyle name="Note 11 2 11 2 5" xfId="57481"/>
    <cellStyle name="Note 11 2 11 2 6" xfId="57482"/>
    <cellStyle name="Note 11 2 11 3" xfId="12913"/>
    <cellStyle name="Note 11 2 11 4" xfId="57483"/>
    <cellStyle name="Note 11 2 11 5" xfId="57484"/>
    <cellStyle name="Note 11 2 11 6" xfId="57485"/>
    <cellStyle name="Note 11 2 11 7" xfId="57486"/>
    <cellStyle name="Note 11 2 11 8" xfId="57487"/>
    <cellStyle name="Note 11 2 12" xfId="1960"/>
    <cellStyle name="Note 11 2 12 2" xfId="7239"/>
    <cellStyle name="Note 11 2 12 2 2" xfId="57488"/>
    <cellStyle name="Note 11 2 12 2 3" xfId="57489"/>
    <cellStyle name="Note 11 2 12 2 4" xfId="57490"/>
    <cellStyle name="Note 11 2 12 2 5" xfId="57491"/>
    <cellStyle name="Note 11 2 12 3" xfId="11247"/>
    <cellStyle name="Note 11 2 12 4" xfId="57492"/>
    <cellStyle name="Note 11 2 12 5" xfId="57493"/>
    <cellStyle name="Note 11 2 12 6" xfId="57494"/>
    <cellStyle name="Note 11 2 13" xfId="5935"/>
    <cellStyle name="Note 11 2 13 2" xfId="57495"/>
    <cellStyle name="Note 11 2 13 3" xfId="57496"/>
    <cellStyle name="Note 11 2 13 4" xfId="57497"/>
    <cellStyle name="Note 11 2 13 5" xfId="57498"/>
    <cellStyle name="Note 11 2 14" xfId="57499"/>
    <cellStyle name="Note 11 2 15" xfId="57500"/>
    <cellStyle name="Note 11 2 2" xfId="786"/>
    <cellStyle name="Note 11 2 2 10" xfId="57501"/>
    <cellStyle name="Note 11 2 2 11" xfId="57502"/>
    <cellStyle name="Note 11 2 2 2" xfId="1413"/>
    <cellStyle name="Note 11 2 2 2 2" xfId="2647"/>
    <cellStyle name="Note 11 2 2 2 2 2" xfId="7926"/>
    <cellStyle name="Note 11 2 2 2 2 2 2" xfId="57503"/>
    <cellStyle name="Note 11 2 2 2 2 2 3" xfId="57504"/>
    <cellStyle name="Note 11 2 2 2 2 2 4" xfId="57505"/>
    <cellStyle name="Note 11 2 2 2 2 2 5" xfId="57506"/>
    <cellStyle name="Note 11 2 2 2 2 3" xfId="12916"/>
    <cellStyle name="Note 11 2 2 2 2 4" xfId="57507"/>
    <cellStyle name="Note 11 2 2 2 2 5" xfId="57508"/>
    <cellStyle name="Note 11 2 2 2 2 6" xfId="57509"/>
    <cellStyle name="Note 11 2 2 2 2 7" xfId="57510"/>
    <cellStyle name="Note 11 2 2 2 3" xfId="6692"/>
    <cellStyle name="Note 11 2 2 2 3 2" xfId="57511"/>
    <cellStyle name="Note 11 2 2 2 3 3" xfId="57512"/>
    <cellStyle name="Note 11 2 2 2 3 4" xfId="57513"/>
    <cellStyle name="Note 11 2 2 2 3 5" xfId="57514"/>
    <cellStyle name="Note 11 2 2 2 3 6" xfId="57515"/>
    <cellStyle name="Note 11 2 2 2 4" xfId="12915"/>
    <cellStyle name="Note 11 2 2 2 5" xfId="57516"/>
    <cellStyle name="Note 11 2 2 3" xfId="1890"/>
    <cellStyle name="Note 11 2 2 3 2" xfId="3124"/>
    <cellStyle name="Note 11 2 2 3 2 2" xfId="8403"/>
    <cellStyle name="Note 11 2 2 3 2 2 2" xfId="57517"/>
    <cellStyle name="Note 11 2 2 3 2 2 3" xfId="57518"/>
    <cellStyle name="Note 11 2 2 3 2 2 4" xfId="57519"/>
    <cellStyle name="Note 11 2 2 3 2 2 5" xfId="57520"/>
    <cellStyle name="Note 11 2 2 3 2 3" xfId="12918"/>
    <cellStyle name="Note 11 2 2 3 2 4" xfId="57521"/>
    <cellStyle name="Note 11 2 2 3 2 5" xfId="57522"/>
    <cellStyle name="Note 11 2 2 3 2 6" xfId="57523"/>
    <cellStyle name="Note 11 2 2 3 2 7" xfId="57524"/>
    <cellStyle name="Note 11 2 2 3 3" xfId="7169"/>
    <cellStyle name="Note 11 2 2 3 3 2" xfId="57525"/>
    <cellStyle name="Note 11 2 2 3 3 3" xfId="57526"/>
    <cellStyle name="Note 11 2 2 3 3 4" xfId="57527"/>
    <cellStyle name="Note 11 2 2 3 3 5" xfId="57528"/>
    <cellStyle name="Note 11 2 2 3 3 6" xfId="57529"/>
    <cellStyle name="Note 11 2 2 3 4" xfId="12917"/>
    <cellStyle name="Note 11 2 2 3 5" xfId="57530"/>
    <cellStyle name="Note 11 2 2 4" xfId="3635"/>
    <cellStyle name="Note 11 2 2 4 2" xfId="8914"/>
    <cellStyle name="Note 11 2 2 4 2 2" xfId="57531"/>
    <cellStyle name="Note 11 2 2 4 2 3" xfId="57532"/>
    <cellStyle name="Note 11 2 2 4 2 4" xfId="57533"/>
    <cellStyle name="Note 11 2 2 4 2 5" xfId="57534"/>
    <cellStyle name="Note 11 2 2 4 2 6" xfId="57535"/>
    <cellStyle name="Note 11 2 2 4 3" xfId="12919"/>
    <cellStyle name="Note 11 2 2 4 4" xfId="57536"/>
    <cellStyle name="Note 11 2 2 4 5" xfId="57537"/>
    <cellStyle name="Note 11 2 2 4 6" xfId="57538"/>
    <cellStyle name="Note 11 2 2 4 7" xfId="57539"/>
    <cellStyle name="Note 11 2 2 4 8" xfId="57540"/>
    <cellStyle name="Note 11 2 2 5" xfId="3636"/>
    <cellStyle name="Note 11 2 2 5 2" xfId="8915"/>
    <cellStyle name="Note 11 2 2 5 2 2" xfId="57541"/>
    <cellStyle name="Note 11 2 2 5 2 3" xfId="57542"/>
    <cellStyle name="Note 11 2 2 5 2 4" xfId="57543"/>
    <cellStyle name="Note 11 2 2 5 2 5" xfId="57544"/>
    <cellStyle name="Note 11 2 2 5 2 6" xfId="57545"/>
    <cellStyle name="Note 11 2 2 5 3" xfId="12920"/>
    <cellStyle name="Note 11 2 2 5 4" xfId="57546"/>
    <cellStyle name="Note 11 2 2 5 5" xfId="57547"/>
    <cellStyle name="Note 11 2 2 5 6" xfId="57548"/>
    <cellStyle name="Note 11 2 2 5 7" xfId="57549"/>
    <cellStyle name="Note 11 2 2 5 8" xfId="57550"/>
    <cellStyle name="Note 11 2 2 6" xfId="3637"/>
    <cellStyle name="Note 11 2 2 6 2" xfId="8916"/>
    <cellStyle name="Note 11 2 2 6 2 2" xfId="57551"/>
    <cellStyle name="Note 11 2 2 6 2 3" xfId="57552"/>
    <cellStyle name="Note 11 2 2 6 2 4" xfId="57553"/>
    <cellStyle name="Note 11 2 2 6 2 5" xfId="57554"/>
    <cellStyle name="Note 11 2 2 6 2 6" xfId="57555"/>
    <cellStyle name="Note 11 2 2 6 3" xfId="12921"/>
    <cellStyle name="Note 11 2 2 6 4" xfId="57556"/>
    <cellStyle name="Note 11 2 2 6 5" xfId="57557"/>
    <cellStyle name="Note 11 2 2 6 6" xfId="57558"/>
    <cellStyle name="Note 11 2 2 6 7" xfId="57559"/>
    <cellStyle name="Note 11 2 2 6 8" xfId="57560"/>
    <cellStyle name="Note 11 2 2 7" xfId="3638"/>
    <cellStyle name="Note 11 2 2 7 2" xfId="8917"/>
    <cellStyle name="Note 11 2 2 7 2 2" xfId="57561"/>
    <cellStyle name="Note 11 2 2 7 2 3" xfId="57562"/>
    <cellStyle name="Note 11 2 2 7 2 4" xfId="57563"/>
    <cellStyle name="Note 11 2 2 7 2 5" xfId="57564"/>
    <cellStyle name="Note 11 2 2 7 2 6" xfId="57565"/>
    <cellStyle name="Note 11 2 2 7 3" xfId="12922"/>
    <cellStyle name="Note 11 2 2 7 4" xfId="57566"/>
    <cellStyle name="Note 11 2 2 7 5" xfId="57567"/>
    <cellStyle name="Note 11 2 2 7 6" xfId="57568"/>
    <cellStyle name="Note 11 2 2 7 7" xfId="57569"/>
    <cellStyle name="Note 11 2 2 7 8" xfId="57570"/>
    <cellStyle name="Note 11 2 2 8" xfId="6075"/>
    <cellStyle name="Note 11 2 2 8 2" xfId="57571"/>
    <cellStyle name="Note 11 2 2 8 3" xfId="57572"/>
    <cellStyle name="Note 11 2 2 8 4" xfId="57573"/>
    <cellStyle name="Note 11 2 2 8 5" xfId="57574"/>
    <cellStyle name="Note 11 2 2 8 6" xfId="57575"/>
    <cellStyle name="Note 11 2 2 9" xfId="12914"/>
    <cellStyle name="Note 11 2 2 9 2" xfId="57576"/>
    <cellStyle name="Note 11 2 3" xfId="974"/>
    <cellStyle name="Note 11 2 3 10" xfId="2211"/>
    <cellStyle name="Note 11 2 3 10 2" xfId="7490"/>
    <cellStyle name="Note 11 2 3 10 2 2" xfId="57577"/>
    <cellStyle name="Note 11 2 3 10 2 3" xfId="57578"/>
    <cellStyle name="Note 11 2 3 10 2 4" xfId="57579"/>
    <cellStyle name="Note 11 2 3 10 2 5" xfId="57580"/>
    <cellStyle name="Note 11 2 3 10 3" xfId="11248"/>
    <cellStyle name="Note 11 2 3 10 4" xfId="57581"/>
    <cellStyle name="Note 11 2 3 10 5" xfId="57582"/>
    <cellStyle name="Note 11 2 3 10 6" xfId="57583"/>
    <cellStyle name="Note 11 2 3 10 7" xfId="57584"/>
    <cellStyle name="Note 11 2 3 11" xfId="6253"/>
    <cellStyle name="Note 11 2 3 11 2" xfId="57585"/>
    <cellStyle name="Note 11 2 3 11 3" xfId="57586"/>
    <cellStyle name="Note 11 2 3 11 4" xfId="57587"/>
    <cellStyle name="Note 11 2 3 11 5" xfId="57588"/>
    <cellStyle name="Note 11 2 3 12" xfId="57589"/>
    <cellStyle name="Note 11 2 3 13" xfId="57590"/>
    <cellStyle name="Note 11 2 3 2" xfId="1591"/>
    <cellStyle name="Note 11 2 3 2 2" xfId="2825"/>
    <cellStyle name="Note 11 2 3 2 2 2" xfId="8104"/>
    <cellStyle name="Note 11 2 3 2 2 2 2" xfId="57591"/>
    <cellStyle name="Note 11 2 3 2 2 2 3" xfId="57592"/>
    <cellStyle name="Note 11 2 3 2 2 2 4" xfId="57593"/>
    <cellStyle name="Note 11 2 3 2 2 2 5" xfId="57594"/>
    <cellStyle name="Note 11 2 3 2 2 3" xfId="12924"/>
    <cellStyle name="Note 11 2 3 2 2 4" xfId="57595"/>
    <cellStyle name="Note 11 2 3 2 2 5" xfId="57596"/>
    <cellStyle name="Note 11 2 3 2 2 6" xfId="57597"/>
    <cellStyle name="Note 11 2 3 2 2 7" xfId="57598"/>
    <cellStyle name="Note 11 2 3 2 3" xfId="6870"/>
    <cellStyle name="Note 11 2 3 2 3 2" xfId="57599"/>
    <cellStyle name="Note 11 2 3 2 3 3" xfId="57600"/>
    <cellStyle name="Note 11 2 3 2 3 4" xfId="57601"/>
    <cellStyle name="Note 11 2 3 2 3 5" xfId="57602"/>
    <cellStyle name="Note 11 2 3 2 3 6" xfId="57603"/>
    <cellStyle name="Note 11 2 3 2 4" xfId="12923"/>
    <cellStyle name="Note 11 2 3 2 5" xfId="57604"/>
    <cellStyle name="Note 11 2 3 3" xfId="3639"/>
    <cellStyle name="Note 11 2 3 3 2" xfId="8918"/>
    <cellStyle name="Note 11 2 3 3 2 2" xfId="57605"/>
    <cellStyle name="Note 11 2 3 3 2 3" xfId="57606"/>
    <cellStyle name="Note 11 2 3 3 2 4" xfId="57607"/>
    <cellStyle name="Note 11 2 3 3 2 5" xfId="57608"/>
    <cellStyle name="Note 11 2 3 3 2 6" xfId="57609"/>
    <cellStyle name="Note 11 2 3 3 3" xfId="12925"/>
    <cellStyle name="Note 11 2 3 3 4" xfId="57610"/>
    <cellStyle name="Note 11 2 3 3 5" xfId="57611"/>
    <cellStyle name="Note 11 2 3 3 6" xfId="57612"/>
    <cellStyle name="Note 11 2 3 3 7" xfId="57613"/>
    <cellStyle name="Note 11 2 3 3 8" xfId="57614"/>
    <cellStyle name="Note 11 2 3 4" xfId="3640"/>
    <cellStyle name="Note 11 2 3 4 2" xfId="8919"/>
    <cellStyle name="Note 11 2 3 4 2 2" xfId="57615"/>
    <cellStyle name="Note 11 2 3 4 2 3" xfId="57616"/>
    <cellStyle name="Note 11 2 3 4 2 4" xfId="57617"/>
    <cellStyle name="Note 11 2 3 4 2 5" xfId="57618"/>
    <cellStyle name="Note 11 2 3 4 2 6" xfId="57619"/>
    <cellStyle name="Note 11 2 3 4 3" xfId="12926"/>
    <cellStyle name="Note 11 2 3 4 4" xfId="57620"/>
    <cellStyle name="Note 11 2 3 4 5" xfId="57621"/>
    <cellStyle name="Note 11 2 3 4 6" xfId="57622"/>
    <cellStyle name="Note 11 2 3 4 7" xfId="57623"/>
    <cellStyle name="Note 11 2 3 4 8" xfId="57624"/>
    <cellStyle name="Note 11 2 3 5" xfId="3641"/>
    <cellStyle name="Note 11 2 3 5 2" xfId="8920"/>
    <cellStyle name="Note 11 2 3 5 2 2" xfId="57625"/>
    <cellStyle name="Note 11 2 3 5 2 3" xfId="57626"/>
    <cellStyle name="Note 11 2 3 5 2 4" xfId="57627"/>
    <cellStyle name="Note 11 2 3 5 2 5" xfId="57628"/>
    <cellStyle name="Note 11 2 3 5 2 6" xfId="57629"/>
    <cellStyle name="Note 11 2 3 5 3" xfId="12927"/>
    <cellStyle name="Note 11 2 3 5 4" xfId="57630"/>
    <cellStyle name="Note 11 2 3 5 5" xfId="57631"/>
    <cellStyle name="Note 11 2 3 5 6" xfId="57632"/>
    <cellStyle name="Note 11 2 3 5 7" xfId="57633"/>
    <cellStyle name="Note 11 2 3 5 8" xfId="57634"/>
    <cellStyle name="Note 11 2 3 6" xfId="3642"/>
    <cellStyle name="Note 11 2 3 6 2" xfId="8921"/>
    <cellStyle name="Note 11 2 3 6 2 2" xfId="57635"/>
    <cellStyle name="Note 11 2 3 6 2 3" xfId="57636"/>
    <cellStyle name="Note 11 2 3 6 2 4" xfId="57637"/>
    <cellStyle name="Note 11 2 3 6 2 5" xfId="57638"/>
    <cellStyle name="Note 11 2 3 6 2 6" xfId="57639"/>
    <cellStyle name="Note 11 2 3 6 3" xfId="12928"/>
    <cellStyle name="Note 11 2 3 6 4" xfId="57640"/>
    <cellStyle name="Note 11 2 3 6 5" xfId="57641"/>
    <cellStyle name="Note 11 2 3 6 6" xfId="57642"/>
    <cellStyle name="Note 11 2 3 6 7" xfId="57643"/>
    <cellStyle name="Note 11 2 3 6 8" xfId="57644"/>
    <cellStyle name="Note 11 2 3 7" xfId="3643"/>
    <cellStyle name="Note 11 2 3 7 2" xfId="8922"/>
    <cellStyle name="Note 11 2 3 7 2 2" xfId="57645"/>
    <cellStyle name="Note 11 2 3 7 2 3" xfId="57646"/>
    <cellStyle name="Note 11 2 3 7 2 4" xfId="57647"/>
    <cellStyle name="Note 11 2 3 7 2 5" xfId="57648"/>
    <cellStyle name="Note 11 2 3 7 2 6" xfId="57649"/>
    <cellStyle name="Note 11 2 3 7 3" xfId="12929"/>
    <cellStyle name="Note 11 2 3 7 4" xfId="57650"/>
    <cellStyle name="Note 11 2 3 7 5" xfId="57651"/>
    <cellStyle name="Note 11 2 3 7 6" xfId="57652"/>
    <cellStyle name="Note 11 2 3 7 7" xfId="57653"/>
    <cellStyle name="Note 11 2 3 7 8" xfId="57654"/>
    <cellStyle name="Note 11 2 3 8" xfId="3644"/>
    <cellStyle name="Note 11 2 3 8 2" xfId="8923"/>
    <cellStyle name="Note 11 2 3 8 2 2" xfId="57655"/>
    <cellStyle name="Note 11 2 3 8 2 3" xfId="57656"/>
    <cellStyle name="Note 11 2 3 8 2 4" xfId="57657"/>
    <cellStyle name="Note 11 2 3 8 2 5" xfId="57658"/>
    <cellStyle name="Note 11 2 3 8 2 6" xfId="57659"/>
    <cellStyle name="Note 11 2 3 8 3" xfId="12930"/>
    <cellStyle name="Note 11 2 3 8 4" xfId="57660"/>
    <cellStyle name="Note 11 2 3 8 5" xfId="57661"/>
    <cellStyle name="Note 11 2 3 8 6" xfId="57662"/>
    <cellStyle name="Note 11 2 3 8 7" xfId="57663"/>
    <cellStyle name="Note 11 2 3 8 8" xfId="57664"/>
    <cellStyle name="Note 11 2 3 9" xfId="3645"/>
    <cellStyle name="Note 11 2 3 9 2" xfId="8924"/>
    <cellStyle name="Note 11 2 3 9 2 2" xfId="57665"/>
    <cellStyle name="Note 11 2 3 9 2 3" xfId="57666"/>
    <cellStyle name="Note 11 2 3 9 2 4" xfId="57667"/>
    <cellStyle name="Note 11 2 3 9 2 5" xfId="57668"/>
    <cellStyle name="Note 11 2 3 9 2 6" xfId="57669"/>
    <cellStyle name="Note 11 2 3 9 3" xfId="12931"/>
    <cellStyle name="Note 11 2 3 9 4" xfId="57670"/>
    <cellStyle name="Note 11 2 3 9 5" xfId="57671"/>
    <cellStyle name="Note 11 2 3 9 6" xfId="57672"/>
    <cellStyle name="Note 11 2 3 9 7" xfId="57673"/>
    <cellStyle name="Note 11 2 3 9 8" xfId="57674"/>
    <cellStyle name="Note 11 2 4" xfId="975"/>
    <cellStyle name="Note 11 2 4 10" xfId="2212"/>
    <cellStyle name="Note 11 2 4 10 2" xfId="7491"/>
    <cellStyle name="Note 11 2 4 10 2 2" xfId="57675"/>
    <cellStyle name="Note 11 2 4 10 2 3" xfId="57676"/>
    <cellStyle name="Note 11 2 4 10 2 4" xfId="57677"/>
    <cellStyle name="Note 11 2 4 10 2 5" xfId="57678"/>
    <cellStyle name="Note 11 2 4 10 3" xfId="11249"/>
    <cellStyle name="Note 11 2 4 10 4" xfId="57679"/>
    <cellStyle name="Note 11 2 4 10 5" xfId="57680"/>
    <cellStyle name="Note 11 2 4 10 6" xfId="57681"/>
    <cellStyle name="Note 11 2 4 10 7" xfId="57682"/>
    <cellStyle name="Note 11 2 4 11" xfId="6254"/>
    <cellStyle name="Note 11 2 4 11 2" xfId="57683"/>
    <cellStyle name="Note 11 2 4 11 3" xfId="57684"/>
    <cellStyle name="Note 11 2 4 11 4" xfId="57685"/>
    <cellStyle name="Note 11 2 4 11 5" xfId="57686"/>
    <cellStyle name="Note 11 2 4 12" xfId="57687"/>
    <cellStyle name="Note 11 2 4 13" xfId="57688"/>
    <cellStyle name="Note 11 2 4 2" xfId="1592"/>
    <cellStyle name="Note 11 2 4 2 2" xfId="2826"/>
    <cellStyle name="Note 11 2 4 2 2 2" xfId="8105"/>
    <cellStyle name="Note 11 2 4 2 2 2 2" xfId="57689"/>
    <cellStyle name="Note 11 2 4 2 2 2 3" xfId="57690"/>
    <cellStyle name="Note 11 2 4 2 2 2 4" xfId="57691"/>
    <cellStyle name="Note 11 2 4 2 2 2 5" xfId="57692"/>
    <cellStyle name="Note 11 2 4 2 2 3" xfId="12933"/>
    <cellStyle name="Note 11 2 4 2 2 4" xfId="57693"/>
    <cellStyle name="Note 11 2 4 2 2 5" xfId="57694"/>
    <cellStyle name="Note 11 2 4 2 2 6" xfId="57695"/>
    <cellStyle name="Note 11 2 4 2 2 7" xfId="57696"/>
    <cellStyle name="Note 11 2 4 2 3" xfId="6871"/>
    <cellStyle name="Note 11 2 4 2 3 2" xfId="57697"/>
    <cellStyle name="Note 11 2 4 2 3 3" xfId="57698"/>
    <cellStyle name="Note 11 2 4 2 3 4" xfId="57699"/>
    <cellStyle name="Note 11 2 4 2 3 5" xfId="57700"/>
    <cellStyle name="Note 11 2 4 2 3 6" xfId="57701"/>
    <cellStyle name="Note 11 2 4 2 4" xfId="12932"/>
    <cellStyle name="Note 11 2 4 2 5" xfId="57702"/>
    <cellStyle name="Note 11 2 4 3" xfId="3646"/>
    <cellStyle name="Note 11 2 4 3 2" xfId="8925"/>
    <cellStyle name="Note 11 2 4 3 2 2" xfId="57703"/>
    <cellStyle name="Note 11 2 4 3 2 3" xfId="57704"/>
    <cellStyle name="Note 11 2 4 3 2 4" xfId="57705"/>
    <cellStyle name="Note 11 2 4 3 2 5" xfId="57706"/>
    <cellStyle name="Note 11 2 4 3 2 6" xfId="57707"/>
    <cellStyle name="Note 11 2 4 3 3" xfId="12934"/>
    <cellStyle name="Note 11 2 4 3 4" xfId="57708"/>
    <cellStyle name="Note 11 2 4 3 5" xfId="57709"/>
    <cellStyle name="Note 11 2 4 3 6" xfId="57710"/>
    <cellStyle name="Note 11 2 4 3 7" xfId="57711"/>
    <cellStyle name="Note 11 2 4 3 8" xfId="57712"/>
    <cellStyle name="Note 11 2 4 4" xfId="3647"/>
    <cellStyle name="Note 11 2 4 4 2" xfId="8926"/>
    <cellStyle name="Note 11 2 4 4 2 2" xfId="57713"/>
    <cellStyle name="Note 11 2 4 4 2 3" xfId="57714"/>
    <cellStyle name="Note 11 2 4 4 2 4" xfId="57715"/>
    <cellStyle name="Note 11 2 4 4 2 5" xfId="57716"/>
    <cellStyle name="Note 11 2 4 4 2 6" xfId="57717"/>
    <cellStyle name="Note 11 2 4 4 3" xfId="12935"/>
    <cellStyle name="Note 11 2 4 4 4" xfId="57718"/>
    <cellStyle name="Note 11 2 4 4 5" xfId="57719"/>
    <cellStyle name="Note 11 2 4 4 6" xfId="57720"/>
    <cellStyle name="Note 11 2 4 4 7" xfId="57721"/>
    <cellStyle name="Note 11 2 4 4 8" xfId="57722"/>
    <cellStyle name="Note 11 2 4 5" xfId="3648"/>
    <cellStyle name="Note 11 2 4 5 2" xfId="8927"/>
    <cellStyle name="Note 11 2 4 5 2 2" xfId="57723"/>
    <cellStyle name="Note 11 2 4 5 2 3" xfId="57724"/>
    <cellStyle name="Note 11 2 4 5 2 4" xfId="57725"/>
    <cellStyle name="Note 11 2 4 5 2 5" xfId="57726"/>
    <cellStyle name="Note 11 2 4 5 2 6" xfId="57727"/>
    <cellStyle name="Note 11 2 4 5 3" xfId="12936"/>
    <cellStyle name="Note 11 2 4 5 4" xfId="57728"/>
    <cellStyle name="Note 11 2 4 5 5" xfId="57729"/>
    <cellStyle name="Note 11 2 4 5 6" xfId="57730"/>
    <cellStyle name="Note 11 2 4 5 7" xfId="57731"/>
    <cellStyle name="Note 11 2 4 5 8" xfId="57732"/>
    <cellStyle name="Note 11 2 4 6" xfId="3649"/>
    <cellStyle name="Note 11 2 4 6 2" xfId="8928"/>
    <cellStyle name="Note 11 2 4 6 2 2" xfId="57733"/>
    <cellStyle name="Note 11 2 4 6 2 3" xfId="57734"/>
    <cellStyle name="Note 11 2 4 6 2 4" xfId="57735"/>
    <cellStyle name="Note 11 2 4 6 2 5" xfId="57736"/>
    <cellStyle name="Note 11 2 4 6 2 6" xfId="57737"/>
    <cellStyle name="Note 11 2 4 6 3" xfId="12937"/>
    <cellStyle name="Note 11 2 4 6 4" xfId="57738"/>
    <cellStyle name="Note 11 2 4 6 5" xfId="57739"/>
    <cellStyle name="Note 11 2 4 6 6" xfId="57740"/>
    <cellStyle name="Note 11 2 4 6 7" xfId="57741"/>
    <cellStyle name="Note 11 2 4 6 8" xfId="57742"/>
    <cellStyle name="Note 11 2 4 7" xfId="3650"/>
    <cellStyle name="Note 11 2 4 7 2" xfId="8929"/>
    <cellStyle name="Note 11 2 4 7 2 2" xfId="57743"/>
    <cellStyle name="Note 11 2 4 7 2 3" xfId="57744"/>
    <cellStyle name="Note 11 2 4 7 2 4" xfId="57745"/>
    <cellStyle name="Note 11 2 4 7 2 5" xfId="57746"/>
    <cellStyle name="Note 11 2 4 7 2 6" xfId="57747"/>
    <cellStyle name="Note 11 2 4 7 3" xfId="12938"/>
    <cellStyle name="Note 11 2 4 7 4" xfId="57748"/>
    <cellStyle name="Note 11 2 4 7 5" xfId="57749"/>
    <cellStyle name="Note 11 2 4 7 6" xfId="57750"/>
    <cellStyle name="Note 11 2 4 7 7" xfId="57751"/>
    <cellStyle name="Note 11 2 4 7 8" xfId="57752"/>
    <cellStyle name="Note 11 2 4 8" xfId="3651"/>
    <cellStyle name="Note 11 2 4 8 2" xfId="8930"/>
    <cellStyle name="Note 11 2 4 8 2 2" xfId="57753"/>
    <cellStyle name="Note 11 2 4 8 2 3" xfId="57754"/>
    <cellStyle name="Note 11 2 4 8 2 4" xfId="57755"/>
    <cellStyle name="Note 11 2 4 8 2 5" xfId="57756"/>
    <cellStyle name="Note 11 2 4 8 2 6" xfId="57757"/>
    <cellStyle name="Note 11 2 4 8 3" xfId="12939"/>
    <cellStyle name="Note 11 2 4 8 4" xfId="57758"/>
    <cellStyle name="Note 11 2 4 8 5" xfId="57759"/>
    <cellStyle name="Note 11 2 4 8 6" xfId="57760"/>
    <cellStyle name="Note 11 2 4 8 7" xfId="57761"/>
    <cellStyle name="Note 11 2 4 8 8" xfId="57762"/>
    <cellStyle name="Note 11 2 4 9" xfId="3652"/>
    <cellStyle name="Note 11 2 4 9 2" xfId="8931"/>
    <cellStyle name="Note 11 2 4 9 2 2" xfId="57763"/>
    <cellStyle name="Note 11 2 4 9 2 3" xfId="57764"/>
    <cellStyle name="Note 11 2 4 9 2 4" xfId="57765"/>
    <cellStyle name="Note 11 2 4 9 2 5" xfId="57766"/>
    <cellStyle name="Note 11 2 4 9 2 6" xfId="57767"/>
    <cellStyle name="Note 11 2 4 9 3" xfId="12940"/>
    <cellStyle name="Note 11 2 4 9 4" xfId="57768"/>
    <cellStyle name="Note 11 2 4 9 5" xfId="57769"/>
    <cellStyle name="Note 11 2 4 9 6" xfId="57770"/>
    <cellStyle name="Note 11 2 4 9 7" xfId="57771"/>
    <cellStyle name="Note 11 2 4 9 8" xfId="57772"/>
    <cellStyle name="Note 11 2 5" xfId="976"/>
    <cellStyle name="Note 11 2 5 10" xfId="2213"/>
    <cellStyle name="Note 11 2 5 10 2" xfId="7492"/>
    <cellStyle name="Note 11 2 5 10 2 2" xfId="57773"/>
    <cellStyle name="Note 11 2 5 10 2 3" xfId="57774"/>
    <cellStyle name="Note 11 2 5 10 2 4" xfId="57775"/>
    <cellStyle name="Note 11 2 5 10 2 5" xfId="57776"/>
    <cellStyle name="Note 11 2 5 10 3" xfId="11250"/>
    <cellStyle name="Note 11 2 5 10 4" xfId="57777"/>
    <cellStyle name="Note 11 2 5 10 5" xfId="57778"/>
    <cellStyle name="Note 11 2 5 10 6" xfId="57779"/>
    <cellStyle name="Note 11 2 5 10 7" xfId="57780"/>
    <cellStyle name="Note 11 2 5 11" xfId="6255"/>
    <cellStyle name="Note 11 2 5 11 2" xfId="57781"/>
    <cellStyle name="Note 11 2 5 11 3" xfId="57782"/>
    <cellStyle name="Note 11 2 5 11 4" xfId="57783"/>
    <cellStyle name="Note 11 2 5 11 5" xfId="57784"/>
    <cellStyle name="Note 11 2 5 12" xfId="57785"/>
    <cellStyle name="Note 11 2 5 13" xfId="57786"/>
    <cellStyle name="Note 11 2 5 2" xfId="1593"/>
    <cellStyle name="Note 11 2 5 2 2" xfId="2827"/>
    <cellStyle name="Note 11 2 5 2 2 2" xfId="8106"/>
    <cellStyle name="Note 11 2 5 2 2 2 2" xfId="57787"/>
    <cellStyle name="Note 11 2 5 2 2 2 3" xfId="57788"/>
    <cellStyle name="Note 11 2 5 2 2 2 4" xfId="57789"/>
    <cellStyle name="Note 11 2 5 2 2 2 5" xfId="57790"/>
    <cellStyle name="Note 11 2 5 2 2 3" xfId="12942"/>
    <cellStyle name="Note 11 2 5 2 2 4" xfId="57791"/>
    <cellStyle name="Note 11 2 5 2 2 5" xfId="57792"/>
    <cellStyle name="Note 11 2 5 2 2 6" xfId="57793"/>
    <cellStyle name="Note 11 2 5 2 2 7" xfId="57794"/>
    <cellStyle name="Note 11 2 5 2 3" xfId="6872"/>
    <cellStyle name="Note 11 2 5 2 3 2" xfId="57795"/>
    <cellStyle name="Note 11 2 5 2 3 3" xfId="57796"/>
    <cellStyle name="Note 11 2 5 2 3 4" xfId="57797"/>
    <cellStyle name="Note 11 2 5 2 3 5" xfId="57798"/>
    <cellStyle name="Note 11 2 5 2 3 6" xfId="57799"/>
    <cellStyle name="Note 11 2 5 2 4" xfId="12941"/>
    <cellStyle name="Note 11 2 5 2 5" xfId="57800"/>
    <cellStyle name="Note 11 2 5 3" xfId="3653"/>
    <cellStyle name="Note 11 2 5 3 2" xfId="8932"/>
    <cellStyle name="Note 11 2 5 3 2 2" xfId="57801"/>
    <cellStyle name="Note 11 2 5 3 2 3" xfId="57802"/>
    <cellStyle name="Note 11 2 5 3 2 4" xfId="57803"/>
    <cellStyle name="Note 11 2 5 3 2 5" xfId="57804"/>
    <cellStyle name="Note 11 2 5 3 2 6" xfId="57805"/>
    <cellStyle name="Note 11 2 5 3 3" xfId="12943"/>
    <cellStyle name="Note 11 2 5 3 4" xfId="57806"/>
    <cellStyle name="Note 11 2 5 3 5" xfId="57807"/>
    <cellStyle name="Note 11 2 5 3 6" xfId="57808"/>
    <cellStyle name="Note 11 2 5 3 7" xfId="57809"/>
    <cellStyle name="Note 11 2 5 3 8" xfId="57810"/>
    <cellStyle name="Note 11 2 5 4" xfId="3654"/>
    <cellStyle name="Note 11 2 5 4 2" xfId="8933"/>
    <cellStyle name="Note 11 2 5 4 2 2" xfId="57811"/>
    <cellStyle name="Note 11 2 5 4 2 3" xfId="57812"/>
    <cellStyle name="Note 11 2 5 4 2 4" xfId="57813"/>
    <cellStyle name="Note 11 2 5 4 2 5" xfId="57814"/>
    <cellStyle name="Note 11 2 5 4 2 6" xfId="57815"/>
    <cellStyle name="Note 11 2 5 4 3" xfId="12944"/>
    <cellStyle name="Note 11 2 5 4 4" xfId="57816"/>
    <cellStyle name="Note 11 2 5 4 5" xfId="57817"/>
    <cellStyle name="Note 11 2 5 4 6" xfId="57818"/>
    <cellStyle name="Note 11 2 5 4 7" xfId="57819"/>
    <cellStyle name="Note 11 2 5 4 8" xfId="57820"/>
    <cellStyle name="Note 11 2 5 5" xfId="3655"/>
    <cellStyle name="Note 11 2 5 5 2" xfId="8934"/>
    <cellStyle name="Note 11 2 5 5 2 2" xfId="57821"/>
    <cellStyle name="Note 11 2 5 5 2 3" xfId="57822"/>
    <cellStyle name="Note 11 2 5 5 2 4" xfId="57823"/>
    <cellStyle name="Note 11 2 5 5 2 5" xfId="57824"/>
    <cellStyle name="Note 11 2 5 5 2 6" xfId="57825"/>
    <cellStyle name="Note 11 2 5 5 3" xfId="12945"/>
    <cellStyle name="Note 11 2 5 5 4" xfId="57826"/>
    <cellStyle name="Note 11 2 5 5 5" xfId="57827"/>
    <cellStyle name="Note 11 2 5 5 6" xfId="57828"/>
    <cellStyle name="Note 11 2 5 5 7" xfId="57829"/>
    <cellStyle name="Note 11 2 5 5 8" xfId="57830"/>
    <cellStyle name="Note 11 2 5 6" xfId="3656"/>
    <cellStyle name="Note 11 2 5 6 2" xfId="8935"/>
    <cellStyle name="Note 11 2 5 6 2 2" xfId="57831"/>
    <cellStyle name="Note 11 2 5 6 2 3" xfId="57832"/>
    <cellStyle name="Note 11 2 5 6 2 4" xfId="57833"/>
    <cellStyle name="Note 11 2 5 6 2 5" xfId="57834"/>
    <cellStyle name="Note 11 2 5 6 2 6" xfId="57835"/>
    <cellStyle name="Note 11 2 5 6 3" xfId="12946"/>
    <cellStyle name="Note 11 2 5 6 4" xfId="57836"/>
    <cellStyle name="Note 11 2 5 6 5" xfId="57837"/>
    <cellStyle name="Note 11 2 5 6 6" xfId="57838"/>
    <cellStyle name="Note 11 2 5 6 7" xfId="57839"/>
    <cellStyle name="Note 11 2 5 6 8" xfId="57840"/>
    <cellStyle name="Note 11 2 5 7" xfId="3657"/>
    <cellStyle name="Note 11 2 5 7 2" xfId="8936"/>
    <cellStyle name="Note 11 2 5 7 2 2" xfId="57841"/>
    <cellStyle name="Note 11 2 5 7 2 3" xfId="57842"/>
    <cellStyle name="Note 11 2 5 7 2 4" xfId="57843"/>
    <cellStyle name="Note 11 2 5 7 2 5" xfId="57844"/>
    <cellStyle name="Note 11 2 5 7 2 6" xfId="57845"/>
    <cellStyle name="Note 11 2 5 7 3" xfId="12947"/>
    <cellStyle name="Note 11 2 5 7 4" xfId="57846"/>
    <cellStyle name="Note 11 2 5 7 5" xfId="57847"/>
    <cellStyle name="Note 11 2 5 7 6" xfId="57848"/>
    <cellStyle name="Note 11 2 5 7 7" xfId="57849"/>
    <cellStyle name="Note 11 2 5 7 8" xfId="57850"/>
    <cellStyle name="Note 11 2 5 8" xfId="3658"/>
    <cellStyle name="Note 11 2 5 8 2" xfId="8937"/>
    <cellStyle name="Note 11 2 5 8 2 2" xfId="57851"/>
    <cellStyle name="Note 11 2 5 8 2 3" xfId="57852"/>
    <cellStyle name="Note 11 2 5 8 2 4" xfId="57853"/>
    <cellStyle name="Note 11 2 5 8 2 5" xfId="57854"/>
    <cellStyle name="Note 11 2 5 8 2 6" xfId="57855"/>
    <cellStyle name="Note 11 2 5 8 3" xfId="12948"/>
    <cellStyle name="Note 11 2 5 8 4" xfId="57856"/>
    <cellStyle name="Note 11 2 5 8 5" xfId="57857"/>
    <cellStyle name="Note 11 2 5 8 6" xfId="57858"/>
    <cellStyle name="Note 11 2 5 8 7" xfId="57859"/>
    <cellStyle name="Note 11 2 5 8 8" xfId="57860"/>
    <cellStyle name="Note 11 2 5 9" xfId="3659"/>
    <cellStyle name="Note 11 2 5 9 2" xfId="8938"/>
    <cellStyle name="Note 11 2 5 9 2 2" xfId="57861"/>
    <cellStyle name="Note 11 2 5 9 2 3" xfId="57862"/>
    <cellStyle name="Note 11 2 5 9 2 4" xfId="57863"/>
    <cellStyle name="Note 11 2 5 9 2 5" xfId="57864"/>
    <cellStyle name="Note 11 2 5 9 2 6" xfId="57865"/>
    <cellStyle name="Note 11 2 5 9 3" xfId="12949"/>
    <cellStyle name="Note 11 2 5 9 4" xfId="57866"/>
    <cellStyle name="Note 11 2 5 9 5" xfId="57867"/>
    <cellStyle name="Note 11 2 5 9 6" xfId="57868"/>
    <cellStyle name="Note 11 2 5 9 7" xfId="57869"/>
    <cellStyle name="Note 11 2 5 9 8" xfId="57870"/>
    <cellStyle name="Note 11 2 6" xfId="977"/>
    <cellStyle name="Note 11 2 6 10" xfId="2214"/>
    <cellStyle name="Note 11 2 6 10 2" xfId="7493"/>
    <cellStyle name="Note 11 2 6 10 2 2" xfId="57871"/>
    <cellStyle name="Note 11 2 6 10 2 3" xfId="57872"/>
    <cellStyle name="Note 11 2 6 10 2 4" xfId="57873"/>
    <cellStyle name="Note 11 2 6 10 2 5" xfId="57874"/>
    <cellStyle name="Note 11 2 6 10 3" xfId="11251"/>
    <cellStyle name="Note 11 2 6 10 4" xfId="57875"/>
    <cellStyle name="Note 11 2 6 10 5" xfId="57876"/>
    <cellStyle name="Note 11 2 6 10 6" xfId="57877"/>
    <cellStyle name="Note 11 2 6 10 7" xfId="57878"/>
    <cellStyle name="Note 11 2 6 11" xfId="6256"/>
    <cellStyle name="Note 11 2 6 11 2" xfId="57879"/>
    <cellStyle name="Note 11 2 6 11 3" xfId="57880"/>
    <cellStyle name="Note 11 2 6 11 4" xfId="57881"/>
    <cellStyle name="Note 11 2 6 11 5" xfId="57882"/>
    <cellStyle name="Note 11 2 6 12" xfId="57883"/>
    <cellStyle name="Note 11 2 6 13" xfId="57884"/>
    <cellStyle name="Note 11 2 6 2" xfId="1594"/>
    <cellStyle name="Note 11 2 6 2 2" xfId="2828"/>
    <cellStyle name="Note 11 2 6 2 2 2" xfId="8107"/>
    <cellStyle name="Note 11 2 6 2 2 2 2" xfId="57885"/>
    <cellStyle name="Note 11 2 6 2 2 2 3" xfId="57886"/>
    <cellStyle name="Note 11 2 6 2 2 2 4" xfId="57887"/>
    <cellStyle name="Note 11 2 6 2 2 2 5" xfId="57888"/>
    <cellStyle name="Note 11 2 6 2 2 3" xfId="12951"/>
    <cellStyle name="Note 11 2 6 2 2 4" xfId="57889"/>
    <cellStyle name="Note 11 2 6 2 2 5" xfId="57890"/>
    <cellStyle name="Note 11 2 6 2 2 6" xfId="57891"/>
    <cellStyle name="Note 11 2 6 2 2 7" xfId="57892"/>
    <cellStyle name="Note 11 2 6 2 3" xfId="6873"/>
    <cellStyle name="Note 11 2 6 2 3 2" xfId="57893"/>
    <cellStyle name="Note 11 2 6 2 3 3" xfId="57894"/>
    <cellStyle name="Note 11 2 6 2 3 4" xfId="57895"/>
    <cellStyle name="Note 11 2 6 2 3 5" xfId="57896"/>
    <cellStyle name="Note 11 2 6 2 3 6" xfId="57897"/>
    <cellStyle name="Note 11 2 6 2 4" xfId="12950"/>
    <cellStyle name="Note 11 2 6 2 5" xfId="57898"/>
    <cellStyle name="Note 11 2 6 3" xfId="3660"/>
    <cellStyle name="Note 11 2 6 3 2" xfId="8939"/>
    <cellStyle name="Note 11 2 6 3 2 2" xfId="57899"/>
    <cellStyle name="Note 11 2 6 3 2 3" xfId="57900"/>
    <cellStyle name="Note 11 2 6 3 2 4" xfId="57901"/>
    <cellStyle name="Note 11 2 6 3 2 5" xfId="57902"/>
    <cellStyle name="Note 11 2 6 3 2 6" xfId="57903"/>
    <cellStyle name="Note 11 2 6 3 3" xfId="12952"/>
    <cellStyle name="Note 11 2 6 3 4" xfId="57904"/>
    <cellStyle name="Note 11 2 6 3 5" xfId="57905"/>
    <cellStyle name="Note 11 2 6 3 6" xfId="57906"/>
    <cellStyle name="Note 11 2 6 3 7" xfId="57907"/>
    <cellStyle name="Note 11 2 6 3 8" xfId="57908"/>
    <cellStyle name="Note 11 2 6 4" xfId="3661"/>
    <cellStyle name="Note 11 2 6 4 2" xfId="8940"/>
    <cellStyle name="Note 11 2 6 4 2 2" xfId="57909"/>
    <cellStyle name="Note 11 2 6 4 2 3" xfId="57910"/>
    <cellStyle name="Note 11 2 6 4 2 4" xfId="57911"/>
    <cellStyle name="Note 11 2 6 4 2 5" xfId="57912"/>
    <cellStyle name="Note 11 2 6 4 2 6" xfId="57913"/>
    <cellStyle name="Note 11 2 6 4 3" xfId="12953"/>
    <cellStyle name="Note 11 2 6 4 4" xfId="57914"/>
    <cellStyle name="Note 11 2 6 4 5" xfId="57915"/>
    <cellStyle name="Note 11 2 6 4 6" xfId="57916"/>
    <cellStyle name="Note 11 2 6 4 7" xfId="57917"/>
    <cellStyle name="Note 11 2 6 4 8" xfId="57918"/>
    <cellStyle name="Note 11 2 6 5" xfId="3662"/>
    <cellStyle name="Note 11 2 6 5 2" xfId="8941"/>
    <cellStyle name="Note 11 2 6 5 2 2" xfId="57919"/>
    <cellStyle name="Note 11 2 6 5 2 3" xfId="57920"/>
    <cellStyle name="Note 11 2 6 5 2 4" xfId="57921"/>
    <cellStyle name="Note 11 2 6 5 2 5" xfId="57922"/>
    <cellStyle name="Note 11 2 6 5 2 6" xfId="57923"/>
    <cellStyle name="Note 11 2 6 5 3" xfId="12954"/>
    <cellStyle name="Note 11 2 6 5 4" xfId="57924"/>
    <cellStyle name="Note 11 2 6 5 5" xfId="57925"/>
    <cellStyle name="Note 11 2 6 5 6" xfId="57926"/>
    <cellStyle name="Note 11 2 6 5 7" xfId="57927"/>
    <cellStyle name="Note 11 2 6 5 8" xfId="57928"/>
    <cellStyle name="Note 11 2 6 6" xfId="3663"/>
    <cellStyle name="Note 11 2 6 6 2" xfId="8942"/>
    <cellStyle name="Note 11 2 6 6 2 2" xfId="57929"/>
    <cellStyle name="Note 11 2 6 6 2 3" xfId="57930"/>
    <cellStyle name="Note 11 2 6 6 2 4" xfId="57931"/>
    <cellStyle name="Note 11 2 6 6 2 5" xfId="57932"/>
    <cellStyle name="Note 11 2 6 6 2 6" xfId="57933"/>
    <cellStyle name="Note 11 2 6 6 3" xfId="12955"/>
    <cellStyle name="Note 11 2 6 6 4" xfId="57934"/>
    <cellStyle name="Note 11 2 6 6 5" xfId="57935"/>
    <cellStyle name="Note 11 2 6 6 6" xfId="57936"/>
    <cellStyle name="Note 11 2 6 6 7" xfId="57937"/>
    <cellStyle name="Note 11 2 6 6 8" xfId="57938"/>
    <cellStyle name="Note 11 2 6 7" xfId="3664"/>
    <cellStyle name="Note 11 2 6 7 2" xfId="8943"/>
    <cellStyle name="Note 11 2 6 7 2 2" xfId="57939"/>
    <cellStyle name="Note 11 2 6 7 2 3" xfId="57940"/>
    <cellStyle name="Note 11 2 6 7 2 4" xfId="57941"/>
    <cellStyle name="Note 11 2 6 7 2 5" xfId="57942"/>
    <cellStyle name="Note 11 2 6 7 2 6" xfId="57943"/>
    <cellStyle name="Note 11 2 6 7 3" xfId="12956"/>
    <cellStyle name="Note 11 2 6 7 4" xfId="57944"/>
    <cellStyle name="Note 11 2 6 7 5" xfId="57945"/>
    <cellStyle name="Note 11 2 6 7 6" xfId="57946"/>
    <cellStyle name="Note 11 2 6 7 7" xfId="57947"/>
    <cellStyle name="Note 11 2 6 7 8" xfId="57948"/>
    <cellStyle name="Note 11 2 6 8" xfId="3665"/>
    <cellStyle name="Note 11 2 6 8 2" xfId="8944"/>
    <cellStyle name="Note 11 2 6 8 2 2" xfId="57949"/>
    <cellStyle name="Note 11 2 6 8 2 3" xfId="57950"/>
    <cellStyle name="Note 11 2 6 8 2 4" xfId="57951"/>
    <cellStyle name="Note 11 2 6 8 2 5" xfId="57952"/>
    <cellStyle name="Note 11 2 6 8 2 6" xfId="57953"/>
    <cellStyle name="Note 11 2 6 8 3" xfId="12957"/>
    <cellStyle name="Note 11 2 6 8 4" xfId="57954"/>
    <cellStyle name="Note 11 2 6 8 5" xfId="57955"/>
    <cellStyle name="Note 11 2 6 8 6" xfId="57956"/>
    <cellStyle name="Note 11 2 6 8 7" xfId="57957"/>
    <cellStyle name="Note 11 2 6 8 8" xfId="57958"/>
    <cellStyle name="Note 11 2 6 9" xfId="3666"/>
    <cellStyle name="Note 11 2 6 9 2" xfId="8945"/>
    <cellStyle name="Note 11 2 6 9 2 2" xfId="57959"/>
    <cellStyle name="Note 11 2 6 9 2 3" xfId="57960"/>
    <cellStyle name="Note 11 2 6 9 2 4" xfId="57961"/>
    <cellStyle name="Note 11 2 6 9 2 5" xfId="57962"/>
    <cellStyle name="Note 11 2 6 9 2 6" xfId="57963"/>
    <cellStyle name="Note 11 2 6 9 3" xfId="12958"/>
    <cellStyle name="Note 11 2 6 9 4" xfId="57964"/>
    <cellStyle name="Note 11 2 6 9 5" xfId="57965"/>
    <cellStyle name="Note 11 2 6 9 6" xfId="57966"/>
    <cellStyle name="Note 11 2 6 9 7" xfId="57967"/>
    <cellStyle name="Note 11 2 6 9 8" xfId="57968"/>
    <cellStyle name="Note 11 2 7" xfId="1273"/>
    <cellStyle name="Note 11 2 7 2" xfId="2507"/>
    <cellStyle name="Note 11 2 7 2 2" xfId="7786"/>
    <cellStyle name="Note 11 2 7 2 2 2" xfId="57969"/>
    <cellStyle name="Note 11 2 7 2 2 3" xfId="57970"/>
    <cellStyle name="Note 11 2 7 2 2 4" xfId="57971"/>
    <cellStyle name="Note 11 2 7 2 2 5" xfId="57972"/>
    <cellStyle name="Note 11 2 7 2 3" xfId="12960"/>
    <cellStyle name="Note 11 2 7 2 4" xfId="57973"/>
    <cellStyle name="Note 11 2 7 2 5" xfId="57974"/>
    <cellStyle name="Note 11 2 7 2 6" xfId="57975"/>
    <cellStyle name="Note 11 2 7 2 7" xfId="57976"/>
    <cellStyle name="Note 11 2 7 3" xfId="6552"/>
    <cellStyle name="Note 11 2 7 3 2" xfId="57977"/>
    <cellStyle name="Note 11 2 7 3 3" xfId="57978"/>
    <cellStyle name="Note 11 2 7 3 4" xfId="57979"/>
    <cellStyle name="Note 11 2 7 3 5" xfId="57980"/>
    <cellStyle name="Note 11 2 7 3 6" xfId="57981"/>
    <cellStyle name="Note 11 2 7 4" xfId="12959"/>
    <cellStyle name="Note 11 2 7 5" xfId="57982"/>
    <cellStyle name="Note 11 2 8" xfId="3667"/>
    <cellStyle name="Note 11 2 8 2" xfId="8946"/>
    <cellStyle name="Note 11 2 8 2 2" xfId="57983"/>
    <cellStyle name="Note 11 2 8 2 3" xfId="57984"/>
    <cellStyle name="Note 11 2 8 2 4" xfId="57985"/>
    <cellStyle name="Note 11 2 8 2 5" xfId="57986"/>
    <cellStyle name="Note 11 2 8 2 6" xfId="57987"/>
    <cellStyle name="Note 11 2 8 3" xfId="12961"/>
    <cellStyle name="Note 11 2 8 4" xfId="57988"/>
    <cellStyle name="Note 11 2 8 5" xfId="57989"/>
    <cellStyle name="Note 11 2 8 6" xfId="57990"/>
    <cellStyle name="Note 11 2 8 7" xfId="57991"/>
    <cellStyle name="Note 11 2 8 8" xfId="57992"/>
    <cellStyle name="Note 11 2 9" xfId="3668"/>
    <cellStyle name="Note 11 2 9 2" xfId="8947"/>
    <cellStyle name="Note 11 2 9 2 2" xfId="57993"/>
    <cellStyle name="Note 11 2 9 2 3" xfId="57994"/>
    <cellStyle name="Note 11 2 9 2 4" xfId="57995"/>
    <cellStyle name="Note 11 2 9 2 5" xfId="57996"/>
    <cellStyle name="Note 11 2 9 2 6" xfId="57997"/>
    <cellStyle name="Note 11 2 9 3" xfId="12962"/>
    <cellStyle name="Note 11 2 9 4" xfId="57998"/>
    <cellStyle name="Note 11 2 9 5" xfId="57999"/>
    <cellStyle name="Note 11 2 9 6" xfId="58000"/>
    <cellStyle name="Note 11 2 9 7" xfId="58001"/>
    <cellStyle name="Note 11 2 9 8" xfId="58002"/>
    <cellStyle name="Note 11 3" xfId="787"/>
    <cellStyle name="Note 11 3 10" xfId="58003"/>
    <cellStyle name="Note 11 3 11" xfId="58004"/>
    <cellStyle name="Note 11 3 2" xfId="1414"/>
    <cellStyle name="Note 11 3 2 2" xfId="2648"/>
    <cellStyle name="Note 11 3 2 2 2" xfId="7927"/>
    <cellStyle name="Note 11 3 2 2 2 2" xfId="58005"/>
    <cellStyle name="Note 11 3 2 2 2 3" xfId="58006"/>
    <cellStyle name="Note 11 3 2 2 2 4" xfId="58007"/>
    <cellStyle name="Note 11 3 2 2 2 5" xfId="58008"/>
    <cellStyle name="Note 11 3 2 2 3" xfId="12965"/>
    <cellStyle name="Note 11 3 2 2 4" xfId="58009"/>
    <cellStyle name="Note 11 3 2 2 5" xfId="58010"/>
    <cellStyle name="Note 11 3 2 2 6" xfId="58011"/>
    <cellStyle name="Note 11 3 2 2 7" xfId="58012"/>
    <cellStyle name="Note 11 3 2 3" xfId="6693"/>
    <cellStyle name="Note 11 3 2 3 2" xfId="58013"/>
    <cellStyle name="Note 11 3 2 3 3" xfId="58014"/>
    <cellStyle name="Note 11 3 2 3 4" xfId="58015"/>
    <cellStyle name="Note 11 3 2 3 5" xfId="58016"/>
    <cellStyle name="Note 11 3 2 3 6" xfId="58017"/>
    <cellStyle name="Note 11 3 2 4" xfId="12964"/>
    <cellStyle name="Note 11 3 2 5" xfId="58018"/>
    <cellStyle name="Note 11 3 3" xfId="1891"/>
    <cellStyle name="Note 11 3 3 2" xfId="3125"/>
    <cellStyle name="Note 11 3 3 2 2" xfId="8404"/>
    <cellStyle name="Note 11 3 3 2 2 2" xfId="58019"/>
    <cellStyle name="Note 11 3 3 2 2 3" xfId="58020"/>
    <cellStyle name="Note 11 3 3 2 2 4" xfId="58021"/>
    <cellStyle name="Note 11 3 3 2 2 5" xfId="58022"/>
    <cellStyle name="Note 11 3 3 2 3" xfId="12967"/>
    <cellStyle name="Note 11 3 3 2 4" xfId="58023"/>
    <cellStyle name="Note 11 3 3 2 5" xfId="58024"/>
    <cellStyle name="Note 11 3 3 2 6" xfId="58025"/>
    <cellStyle name="Note 11 3 3 2 7" xfId="58026"/>
    <cellStyle name="Note 11 3 3 3" xfId="7170"/>
    <cellStyle name="Note 11 3 3 3 2" xfId="58027"/>
    <cellStyle name="Note 11 3 3 3 3" xfId="58028"/>
    <cellStyle name="Note 11 3 3 3 4" xfId="58029"/>
    <cellStyle name="Note 11 3 3 3 5" xfId="58030"/>
    <cellStyle name="Note 11 3 3 3 6" xfId="58031"/>
    <cellStyle name="Note 11 3 3 4" xfId="12966"/>
    <cellStyle name="Note 11 3 3 5" xfId="58032"/>
    <cellStyle name="Note 11 3 4" xfId="3669"/>
    <cellStyle name="Note 11 3 4 2" xfId="8948"/>
    <cellStyle name="Note 11 3 4 2 2" xfId="58033"/>
    <cellStyle name="Note 11 3 4 2 3" xfId="58034"/>
    <cellStyle name="Note 11 3 4 2 4" xfId="58035"/>
    <cellStyle name="Note 11 3 4 2 5" xfId="58036"/>
    <cellStyle name="Note 11 3 4 2 6" xfId="58037"/>
    <cellStyle name="Note 11 3 4 3" xfId="12968"/>
    <cellStyle name="Note 11 3 4 4" xfId="58038"/>
    <cellStyle name="Note 11 3 4 5" xfId="58039"/>
    <cellStyle name="Note 11 3 4 6" xfId="58040"/>
    <cellStyle name="Note 11 3 4 7" xfId="58041"/>
    <cellStyle name="Note 11 3 4 8" xfId="58042"/>
    <cellStyle name="Note 11 3 5" xfId="3670"/>
    <cellStyle name="Note 11 3 5 2" xfId="8949"/>
    <cellStyle name="Note 11 3 5 2 2" xfId="58043"/>
    <cellStyle name="Note 11 3 5 2 3" xfId="58044"/>
    <cellStyle name="Note 11 3 5 2 4" xfId="58045"/>
    <cellStyle name="Note 11 3 5 2 5" xfId="58046"/>
    <cellStyle name="Note 11 3 5 2 6" xfId="58047"/>
    <cellStyle name="Note 11 3 5 3" xfId="12969"/>
    <cellStyle name="Note 11 3 5 4" xfId="58048"/>
    <cellStyle name="Note 11 3 5 5" xfId="58049"/>
    <cellStyle name="Note 11 3 5 6" xfId="58050"/>
    <cellStyle name="Note 11 3 5 7" xfId="58051"/>
    <cellStyle name="Note 11 3 5 8" xfId="58052"/>
    <cellStyle name="Note 11 3 6" xfId="3671"/>
    <cellStyle name="Note 11 3 6 2" xfId="8950"/>
    <cellStyle name="Note 11 3 6 2 2" xfId="58053"/>
    <cellStyle name="Note 11 3 6 2 3" xfId="58054"/>
    <cellStyle name="Note 11 3 6 2 4" xfId="58055"/>
    <cellStyle name="Note 11 3 6 2 5" xfId="58056"/>
    <cellStyle name="Note 11 3 6 2 6" xfId="58057"/>
    <cellStyle name="Note 11 3 6 3" xfId="12970"/>
    <cellStyle name="Note 11 3 6 4" xfId="58058"/>
    <cellStyle name="Note 11 3 6 5" xfId="58059"/>
    <cellStyle name="Note 11 3 6 6" xfId="58060"/>
    <cellStyle name="Note 11 3 6 7" xfId="58061"/>
    <cellStyle name="Note 11 3 6 8" xfId="58062"/>
    <cellStyle name="Note 11 3 7" xfId="3672"/>
    <cellStyle name="Note 11 3 7 2" xfId="8951"/>
    <cellStyle name="Note 11 3 7 2 2" xfId="58063"/>
    <cellStyle name="Note 11 3 7 2 3" xfId="58064"/>
    <cellStyle name="Note 11 3 7 2 4" xfId="58065"/>
    <cellStyle name="Note 11 3 7 2 5" xfId="58066"/>
    <cellStyle name="Note 11 3 7 2 6" xfId="58067"/>
    <cellStyle name="Note 11 3 7 3" xfId="12971"/>
    <cellStyle name="Note 11 3 7 4" xfId="58068"/>
    <cellStyle name="Note 11 3 7 5" xfId="58069"/>
    <cellStyle name="Note 11 3 7 6" xfId="58070"/>
    <cellStyle name="Note 11 3 7 7" xfId="58071"/>
    <cellStyle name="Note 11 3 7 8" xfId="58072"/>
    <cellStyle name="Note 11 3 8" xfId="6076"/>
    <cellStyle name="Note 11 3 8 2" xfId="58073"/>
    <cellStyle name="Note 11 3 8 3" xfId="58074"/>
    <cellStyle name="Note 11 3 8 4" xfId="58075"/>
    <cellStyle name="Note 11 3 8 5" xfId="58076"/>
    <cellStyle name="Note 11 3 8 6" xfId="58077"/>
    <cellStyle name="Note 11 3 9" xfId="12963"/>
    <cellStyle name="Note 11 3 9 2" xfId="58078"/>
    <cellStyle name="Note 11 4" xfId="978"/>
    <cellStyle name="Note 11 4 10" xfId="2215"/>
    <cellStyle name="Note 11 4 10 2" xfId="7494"/>
    <cellStyle name="Note 11 4 10 2 2" xfId="58079"/>
    <cellStyle name="Note 11 4 10 2 3" xfId="58080"/>
    <cellStyle name="Note 11 4 10 2 4" xfId="58081"/>
    <cellStyle name="Note 11 4 10 2 5" xfId="58082"/>
    <cellStyle name="Note 11 4 10 3" xfId="11252"/>
    <cellStyle name="Note 11 4 10 4" xfId="58083"/>
    <cellStyle name="Note 11 4 10 5" xfId="58084"/>
    <cellStyle name="Note 11 4 10 6" xfId="58085"/>
    <cellStyle name="Note 11 4 10 7" xfId="58086"/>
    <cellStyle name="Note 11 4 11" xfId="6257"/>
    <cellStyle name="Note 11 4 11 2" xfId="58087"/>
    <cellStyle name="Note 11 4 11 3" xfId="58088"/>
    <cellStyle name="Note 11 4 11 4" xfId="58089"/>
    <cellStyle name="Note 11 4 11 5" xfId="58090"/>
    <cellStyle name="Note 11 4 12" xfId="58091"/>
    <cellStyle name="Note 11 4 13" xfId="58092"/>
    <cellStyle name="Note 11 4 2" xfId="1595"/>
    <cellStyle name="Note 11 4 2 2" xfId="2829"/>
    <cellStyle name="Note 11 4 2 2 2" xfId="8108"/>
    <cellStyle name="Note 11 4 2 2 2 2" xfId="58093"/>
    <cellStyle name="Note 11 4 2 2 2 3" xfId="58094"/>
    <cellStyle name="Note 11 4 2 2 2 4" xfId="58095"/>
    <cellStyle name="Note 11 4 2 2 2 5" xfId="58096"/>
    <cellStyle name="Note 11 4 2 2 3" xfId="12973"/>
    <cellStyle name="Note 11 4 2 2 4" xfId="58097"/>
    <cellStyle name="Note 11 4 2 2 5" xfId="58098"/>
    <cellStyle name="Note 11 4 2 2 6" xfId="58099"/>
    <cellStyle name="Note 11 4 2 2 7" xfId="58100"/>
    <cellStyle name="Note 11 4 2 3" xfId="6874"/>
    <cellStyle name="Note 11 4 2 3 2" xfId="58101"/>
    <cellStyle name="Note 11 4 2 3 3" xfId="58102"/>
    <cellStyle name="Note 11 4 2 3 4" xfId="58103"/>
    <cellStyle name="Note 11 4 2 3 5" xfId="58104"/>
    <cellStyle name="Note 11 4 2 3 6" xfId="58105"/>
    <cellStyle name="Note 11 4 2 4" xfId="12972"/>
    <cellStyle name="Note 11 4 2 5" xfId="58106"/>
    <cellStyle name="Note 11 4 3" xfId="3673"/>
    <cellStyle name="Note 11 4 3 2" xfId="8952"/>
    <cellStyle name="Note 11 4 3 2 2" xfId="58107"/>
    <cellStyle name="Note 11 4 3 2 3" xfId="58108"/>
    <cellStyle name="Note 11 4 3 2 4" xfId="58109"/>
    <cellStyle name="Note 11 4 3 2 5" xfId="58110"/>
    <cellStyle name="Note 11 4 3 2 6" xfId="58111"/>
    <cellStyle name="Note 11 4 3 3" xfId="12974"/>
    <cellStyle name="Note 11 4 3 4" xfId="58112"/>
    <cellStyle name="Note 11 4 3 5" xfId="58113"/>
    <cellStyle name="Note 11 4 3 6" xfId="58114"/>
    <cellStyle name="Note 11 4 3 7" xfId="58115"/>
    <cellStyle name="Note 11 4 3 8" xfId="58116"/>
    <cellStyle name="Note 11 4 4" xfId="3674"/>
    <cellStyle name="Note 11 4 4 2" xfId="8953"/>
    <cellStyle name="Note 11 4 4 2 2" xfId="58117"/>
    <cellStyle name="Note 11 4 4 2 3" xfId="58118"/>
    <cellStyle name="Note 11 4 4 2 4" xfId="58119"/>
    <cellStyle name="Note 11 4 4 2 5" xfId="58120"/>
    <cellStyle name="Note 11 4 4 2 6" xfId="58121"/>
    <cellStyle name="Note 11 4 4 3" xfId="12975"/>
    <cellStyle name="Note 11 4 4 4" xfId="58122"/>
    <cellStyle name="Note 11 4 4 5" xfId="58123"/>
    <cellStyle name="Note 11 4 4 6" xfId="58124"/>
    <cellStyle name="Note 11 4 4 7" xfId="58125"/>
    <cellStyle name="Note 11 4 4 8" xfId="58126"/>
    <cellStyle name="Note 11 4 5" xfId="3675"/>
    <cellStyle name="Note 11 4 5 2" xfId="8954"/>
    <cellStyle name="Note 11 4 5 2 2" xfId="58127"/>
    <cellStyle name="Note 11 4 5 2 3" xfId="58128"/>
    <cellStyle name="Note 11 4 5 2 4" xfId="58129"/>
    <cellStyle name="Note 11 4 5 2 5" xfId="58130"/>
    <cellStyle name="Note 11 4 5 2 6" xfId="58131"/>
    <cellStyle name="Note 11 4 5 3" xfId="12976"/>
    <cellStyle name="Note 11 4 5 4" xfId="58132"/>
    <cellStyle name="Note 11 4 5 5" xfId="58133"/>
    <cellStyle name="Note 11 4 5 6" xfId="58134"/>
    <cellStyle name="Note 11 4 5 7" xfId="58135"/>
    <cellStyle name="Note 11 4 5 8" xfId="58136"/>
    <cellStyle name="Note 11 4 6" xfId="3676"/>
    <cellStyle name="Note 11 4 6 2" xfId="8955"/>
    <cellStyle name="Note 11 4 6 2 2" xfId="58137"/>
    <cellStyle name="Note 11 4 6 2 3" xfId="58138"/>
    <cellStyle name="Note 11 4 6 2 4" xfId="58139"/>
    <cellStyle name="Note 11 4 6 2 5" xfId="58140"/>
    <cellStyle name="Note 11 4 6 2 6" xfId="58141"/>
    <cellStyle name="Note 11 4 6 3" xfId="12977"/>
    <cellStyle name="Note 11 4 6 4" xfId="58142"/>
    <cellStyle name="Note 11 4 6 5" xfId="58143"/>
    <cellStyle name="Note 11 4 6 6" xfId="58144"/>
    <cellStyle name="Note 11 4 6 7" xfId="58145"/>
    <cellStyle name="Note 11 4 6 8" xfId="58146"/>
    <cellStyle name="Note 11 4 7" xfId="3677"/>
    <cellStyle name="Note 11 4 7 2" xfId="8956"/>
    <cellStyle name="Note 11 4 7 2 2" xfId="58147"/>
    <cellStyle name="Note 11 4 7 2 3" xfId="58148"/>
    <cellStyle name="Note 11 4 7 2 4" xfId="58149"/>
    <cellStyle name="Note 11 4 7 2 5" xfId="58150"/>
    <cellStyle name="Note 11 4 7 2 6" xfId="58151"/>
    <cellStyle name="Note 11 4 7 3" xfId="12978"/>
    <cellStyle name="Note 11 4 7 4" xfId="58152"/>
    <cellStyle name="Note 11 4 7 5" xfId="58153"/>
    <cellStyle name="Note 11 4 7 6" xfId="58154"/>
    <cellStyle name="Note 11 4 7 7" xfId="58155"/>
    <cellStyle name="Note 11 4 7 8" xfId="58156"/>
    <cellStyle name="Note 11 4 8" xfId="3678"/>
    <cellStyle name="Note 11 4 8 2" xfId="8957"/>
    <cellStyle name="Note 11 4 8 2 2" xfId="58157"/>
    <cellStyle name="Note 11 4 8 2 3" xfId="58158"/>
    <cellStyle name="Note 11 4 8 2 4" xfId="58159"/>
    <cellStyle name="Note 11 4 8 2 5" xfId="58160"/>
    <cellStyle name="Note 11 4 8 2 6" xfId="58161"/>
    <cellStyle name="Note 11 4 8 3" xfId="12979"/>
    <cellStyle name="Note 11 4 8 4" xfId="58162"/>
    <cellStyle name="Note 11 4 8 5" xfId="58163"/>
    <cellStyle name="Note 11 4 8 6" xfId="58164"/>
    <cellStyle name="Note 11 4 8 7" xfId="58165"/>
    <cellStyle name="Note 11 4 8 8" xfId="58166"/>
    <cellStyle name="Note 11 4 9" xfId="3679"/>
    <cellStyle name="Note 11 4 9 2" xfId="8958"/>
    <cellStyle name="Note 11 4 9 2 2" xfId="58167"/>
    <cellStyle name="Note 11 4 9 2 3" xfId="58168"/>
    <cellStyle name="Note 11 4 9 2 4" xfId="58169"/>
    <cellStyle name="Note 11 4 9 2 5" xfId="58170"/>
    <cellStyle name="Note 11 4 9 2 6" xfId="58171"/>
    <cellStyle name="Note 11 4 9 3" xfId="12980"/>
    <cellStyle name="Note 11 4 9 4" xfId="58172"/>
    <cellStyle name="Note 11 4 9 5" xfId="58173"/>
    <cellStyle name="Note 11 4 9 6" xfId="58174"/>
    <cellStyle name="Note 11 4 9 7" xfId="58175"/>
    <cellStyle name="Note 11 4 9 8" xfId="58176"/>
    <cellStyle name="Note 11 5" xfId="979"/>
    <cellStyle name="Note 11 5 10" xfId="2216"/>
    <cellStyle name="Note 11 5 10 2" xfId="7495"/>
    <cellStyle name="Note 11 5 10 2 2" xfId="58177"/>
    <cellStyle name="Note 11 5 10 2 3" xfId="58178"/>
    <cellStyle name="Note 11 5 10 2 4" xfId="58179"/>
    <cellStyle name="Note 11 5 10 2 5" xfId="58180"/>
    <cellStyle name="Note 11 5 10 3" xfId="11253"/>
    <cellStyle name="Note 11 5 10 4" xfId="58181"/>
    <cellStyle name="Note 11 5 10 5" xfId="58182"/>
    <cellStyle name="Note 11 5 10 6" xfId="58183"/>
    <cellStyle name="Note 11 5 10 7" xfId="58184"/>
    <cellStyle name="Note 11 5 11" xfId="6258"/>
    <cellStyle name="Note 11 5 11 2" xfId="58185"/>
    <cellStyle name="Note 11 5 11 3" xfId="58186"/>
    <cellStyle name="Note 11 5 11 4" xfId="58187"/>
    <cellStyle name="Note 11 5 11 5" xfId="58188"/>
    <cellStyle name="Note 11 5 12" xfId="58189"/>
    <cellStyle name="Note 11 5 13" xfId="58190"/>
    <cellStyle name="Note 11 5 2" xfId="1596"/>
    <cellStyle name="Note 11 5 2 2" xfId="2830"/>
    <cellStyle name="Note 11 5 2 2 2" xfId="8109"/>
    <cellStyle name="Note 11 5 2 2 2 2" xfId="58191"/>
    <cellStyle name="Note 11 5 2 2 2 3" xfId="58192"/>
    <cellStyle name="Note 11 5 2 2 2 4" xfId="58193"/>
    <cellStyle name="Note 11 5 2 2 2 5" xfId="58194"/>
    <cellStyle name="Note 11 5 2 2 3" xfId="12982"/>
    <cellStyle name="Note 11 5 2 2 4" xfId="58195"/>
    <cellStyle name="Note 11 5 2 2 5" xfId="58196"/>
    <cellStyle name="Note 11 5 2 2 6" xfId="58197"/>
    <cellStyle name="Note 11 5 2 2 7" xfId="58198"/>
    <cellStyle name="Note 11 5 2 3" xfId="6875"/>
    <cellStyle name="Note 11 5 2 3 2" xfId="58199"/>
    <cellStyle name="Note 11 5 2 3 3" xfId="58200"/>
    <cellStyle name="Note 11 5 2 3 4" xfId="58201"/>
    <cellStyle name="Note 11 5 2 3 5" xfId="58202"/>
    <cellStyle name="Note 11 5 2 3 6" xfId="58203"/>
    <cellStyle name="Note 11 5 2 4" xfId="12981"/>
    <cellStyle name="Note 11 5 2 5" xfId="58204"/>
    <cellStyle name="Note 11 5 3" xfId="3680"/>
    <cellStyle name="Note 11 5 3 2" xfId="8959"/>
    <cellStyle name="Note 11 5 3 2 2" xfId="58205"/>
    <cellStyle name="Note 11 5 3 2 3" xfId="58206"/>
    <cellStyle name="Note 11 5 3 2 4" xfId="58207"/>
    <cellStyle name="Note 11 5 3 2 5" xfId="58208"/>
    <cellStyle name="Note 11 5 3 2 6" xfId="58209"/>
    <cellStyle name="Note 11 5 3 3" xfId="12983"/>
    <cellStyle name="Note 11 5 3 4" xfId="58210"/>
    <cellStyle name="Note 11 5 3 5" xfId="58211"/>
    <cellStyle name="Note 11 5 3 6" xfId="58212"/>
    <cellStyle name="Note 11 5 3 7" xfId="58213"/>
    <cellStyle name="Note 11 5 3 8" xfId="58214"/>
    <cellStyle name="Note 11 5 4" xfId="3681"/>
    <cellStyle name="Note 11 5 4 2" xfId="8960"/>
    <cellStyle name="Note 11 5 4 2 2" xfId="58215"/>
    <cellStyle name="Note 11 5 4 2 3" xfId="58216"/>
    <cellStyle name="Note 11 5 4 2 4" xfId="58217"/>
    <cellStyle name="Note 11 5 4 2 5" xfId="58218"/>
    <cellStyle name="Note 11 5 4 2 6" xfId="58219"/>
    <cellStyle name="Note 11 5 4 3" xfId="12984"/>
    <cellStyle name="Note 11 5 4 4" xfId="58220"/>
    <cellStyle name="Note 11 5 4 5" xfId="58221"/>
    <cellStyle name="Note 11 5 4 6" xfId="58222"/>
    <cellStyle name="Note 11 5 4 7" xfId="58223"/>
    <cellStyle name="Note 11 5 4 8" xfId="58224"/>
    <cellStyle name="Note 11 5 5" xfId="3682"/>
    <cellStyle name="Note 11 5 5 2" xfId="8961"/>
    <cellStyle name="Note 11 5 5 2 2" xfId="58225"/>
    <cellStyle name="Note 11 5 5 2 3" xfId="58226"/>
    <cellStyle name="Note 11 5 5 2 4" xfId="58227"/>
    <cellStyle name="Note 11 5 5 2 5" xfId="58228"/>
    <cellStyle name="Note 11 5 5 2 6" xfId="58229"/>
    <cellStyle name="Note 11 5 5 3" xfId="12985"/>
    <cellStyle name="Note 11 5 5 4" xfId="58230"/>
    <cellStyle name="Note 11 5 5 5" xfId="58231"/>
    <cellStyle name="Note 11 5 5 6" xfId="58232"/>
    <cellStyle name="Note 11 5 5 7" xfId="58233"/>
    <cellStyle name="Note 11 5 5 8" xfId="58234"/>
    <cellStyle name="Note 11 5 6" xfId="3683"/>
    <cellStyle name="Note 11 5 6 2" xfId="8962"/>
    <cellStyle name="Note 11 5 6 2 2" xfId="58235"/>
    <cellStyle name="Note 11 5 6 2 3" xfId="58236"/>
    <cellStyle name="Note 11 5 6 2 4" xfId="58237"/>
    <cellStyle name="Note 11 5 6 2 5" xfId="58238"/>
    <cellStyle name="Note 11 5 6 2 6" xfId="58239"/>
    <cellStyle name="Note 11 5 6 3" xfId="12986"/>
    <cellStyle name="Note 11 5 6 4" xfId="58240"/>
    <cellStyle name="Note 11 5 6 5" xfId="58241"/>
    <cellStyle name="Note 11 5 6 6" xfId="58242"/>
    <cellStyle name="Note 11 5 6 7" xfId="58243"/>
    <cellStyle name="Note 11 5 6 8" xfId="58244"/>
    <cellStyle name="Note 11 5 7" xfId="3684"/>
    <cellStyle name="Note 11 5 7 2" xfId="8963"/>
    <cellStyle name="Note 11 5 7 2 2" xfId="58245"/>
    <cellStyle name="Note 11 5 7 2 3" xfId="58246"/>
    <cellStyle name="Note 11 5 7 2 4" xfId="58247"/>
    <cellStyle name="Note 11 5 7 2 5" xfId="58248"/>
    <cellStyle name="Note 11 5 7 2 6" xfId="58249"/>
    <cellStyle name="Note 11 5 7 3" xfId="12987"/>
    <cellStyle name="Note 11 5 7 4" xfId="58250"/>
    <cellStyle name="Note 11 5 7 5" xfId="58251"/>
    <cellStyle name="Note 11 5 7 6" xfId="58252"/>
    <cellStyle name="Note 11 5 7 7" xfId="58253"/>
    <cellStyle name="Note 11 5 7 8" xfId="58254"/>
    <cellStyle name="Note 11 5 8" xfId="3685"/>
    <cellStyle name="Note 11 5 8 2" xfId="8964"/>
    <cellStyle name="Note 11 5 8 2 2" xfId="58255"/>
    <cellStyle name="Note 11 5 8 2 3" xfId="58256"/>
    <cellStyle name="Note 11 5 8 2 4" xfId="58257"/>
    <cellStyle name="Note 11 5 8 2 5" xfId="58258"/>
    <cellStyle name="Note 11 5 8 2 6" xfId="58259"/>
    <cellStyle name="Note 11 5 8 3" xfId="12988"/>
    <cellStyle name="Note 11 5 8 4" xfId="58260"/>
    <cellStyle name="Note 11 5 8 5" xfId="58261"/>
    <cellStyle name="Note 11 5 8 6" xfId="58262"/>
    <cellStyle name="Note 11 5 8 7" xfId="58263"/>
    <cellStyle name="Note 11 5 8 8" xfId="58264"/>
    <cellStyle name="Note 11 5 9" xfId="3686"/>
    <cellStyle name="Note 11 5 9 2" xfId="8965"/>
    <cellStyle name="Note 11 5 9 2 2" xfId="58265"/>
    <cellStyle name="Note 11 5 9 2 3" xfId="58266"/>
    <cellStyle name="Note 11 5 9 2 4" xfId="58267"/>
    <cellStyle name="Note 11 5 9 2 5" xfId="58268"/>
    <cellStyle name="Note 11 5 9 2 6" xfId="58269"/>
    <cellStyle name="Note 11 5 9 3" xfId="12989"/>
    <cellStyle name="Note 11 5 9 4" xfId="58270"/>
    <cellStyle name="Note 11 5 9 5" xfId="58271"/>
    <cellStyle name="Note 11 5 9 6" xfId="58272"/>
    <cellStyle name="Note 11 5 9 7" xfId="58273"/>
    <cellStyle name="Note 11 5 9 8" xfId="58274"/>
    <cellStyle name="Note 11 6" xfId="980"/>
    <cellStyle name="Note 11 6 10" xfId="2217"/>
    <cellStyle name="Note 11 6 10 2" xfId="7496"/>
    <cellStyle name="Note 11 6 10 2 2" xfId="58275"/>
    <cellStyle name="Note 11 6 10 2 3" xfId="58276"/>
    <cellStyle name="Note 11 6 10 2 4" xfId="58277"/>
    <cellStyle name="Note 11 6 10 2 5" xfId="58278"/>
    <cellStyle name="Note 11 6 10 3" xfId="11254"/>
    <cellStyle name="Note 11 6 10 4" xfId="58279"/>
    <cellStyle name="Note 11 6 10 5" xfId="58280"/>
    <cellStyle name="Note 11 6 10 6" xfId="58281"/>
    <cellStyle name="Note 11 6 10 7" xfId="58282"/>
    <cellStyle name="Note 11 6 11" xfId="6259"/>
    <cellStyle name="Note 11 6 11 2" xfId="58283"/>
    <cellStyle name="Note 11 6 11 3" xfId="58284"/>
    <cellStyle name="Note 11 6 11 4" xfId="58285"/>
    <cellStyle name="Note 11 6 11 5" xfId="58286"/>
    <cellStyle name="Note 11 6 12" xfId="58287"/>
    <cellStyle name="Note 11 6 13" xfId="58288"/>
    <cellStyle name="Note 11 6 2" xfId="1597"/>
    <cellStyle name="Note 11 6 2 2" xfId="2831"/>
    <cellStyle name="Note 11 6 2 2 2" xfId="8110"/>
    <cellStyle name="Note 11 6 2 2 2 2" xfId="58289"/>
    <cellStyle name="Note 11 6 2 2 2 3" xfId="58290"/>
    <cellStyle name="Note 11 6 2 2 2 4" xfId="58291"/>
    <cellStyle name="Note 11 6 2 2 2 5" xfId="58292"/>
    <cellStyle name="Note 11 6 2 2 3" xfId="12991"/>
    <cellStyle name="Note 11 6 2 2 4" xfId="58293"/>
    <cellStyle name="Note 11 6 2 2 5" xfId="58294"/>
    <cellStyle name="Note 11 6 2 2 6" xfId="58295"/>
    <cellStyle name="Note 11 6 2 2 7" xfId="58296"/>
    <cellStyle name="Note 11 6 2 3" xfId="6876"/>
    <cellStyle name="Note 11 6 2 3 2" xfId="58297"/>
    <cellStyle name="Note 11 6 2 3 3" xfId="58298"/>
    <cellStyle name="Note 11 6 2 3 4" xfId="58299"/>
    <cellStyle name="Note 11 6 2 3 5" xfId="58300"/>
    <cellStyle name="Note 11 6 2 3 6" xfId="58301"/>
    <cellStyle name="Note 11 6 2 4" xfId="12990"/>
    <cellStyle name="Note 11 6 2 5" xfId="58302"/>
    <cellStyle name="Note 11 6 3" xfId="3687"/>
    <cellStyle name="Note 11 6 3 2" xfId="8966"/>
    <cellStyle name="Note 11 6 3 2 2" xfId="58303"/>
    <cellStyle name="Note 11 6 3 2 3" xfId="58304"/>
    <cellStyle name="Note 11 6 3 2 4" xfId="58305"/>
    <cellStyle name="Note 11 6 3 2 5" xfId="58306"/>
    <cellStyle name="Note 11 6 3 2 6" xfId="58307"/>
    <cellStyle name="Note 11 6 3 3" xfId="12992"/>
    <cellStyle name="Note 11 6 3 4" xfId="58308"/>
    <cellStyle name="Note 11 6 3 5" xfId="58309"/>
    <cellStyle name="Note 11 6 3 6" xfId="58310"/>
    <cellStyle name="Note 11 6 3 7" xfId="58311"/>
    <cellStyle name="Note 11 6 3 8" xfId="58312"/>
    <cellStyle name="Note 11 6 4" xfId="3688"/>
    <cellStyle name="Note 11 6 4 2" xfId="8967"/>
    <cellStyle name="Note 11 6 4 2 2" xfId="58313"/>
    <cellStyle name="Note 11 6 4 2 3" xfId="58314"/>
    <cellStyle name="Note 11 6 4 2 4" xfId="58315"/>
    <cellStyle name="Note 11 6 4 2 5" xfId="58316"/>
    <cellStyle name="Note 11 6 4 2 6" xfId="58317"/>
    <cellStyle name="Note 11 6 4 3" xfId="12993"/>
    <cellStyle name="Note 11 6 4 4" xfId="58318"/>
    <cellStyle name="Note 11 6 4 5" xfId="58319"/>
    <cellStyle name="Note 11 6 4 6" xfId="58320"/>
    <cellStyle name="Note 11 6 4 7" xfId="58321"/>
    <cellStyle name="Note 11 6 4 8" xfId="58322"/>
    <cellStyle name="Note 11 6 5" xfId="3689"/>
    <cellStyle name="Note 11 6 5 2" xfId="8968"/>
    <cellStyle name="Note 11 6 5 2 2" xfId="58323"/>
    <cellStyle name="Note 11 6 5 2 3" xfId="58324"/>
    <cellStyle name="Note 11 6 5 2 4" xfId="58325"/>
    <cellStyle name="Note 11 6 5 2 5" xfId="58326"/>
    <cellStyle name="Note 11 6 5 2 6" xfId="58327"/>
    <cellStyle name="Note 11 6 5 3" xfId="12994"/>
    <cellStyle name="Note 11 6 5 4" xfId="58328"/>
    <cellStyle name="Note 11 6 5 5" xfId="58329"/>
    <cellStyle name="Note 11 6 5 6" xfId="58330"/>
    <cellStyle name="Note 11 6 5 7" xfId="58331"/>
    <cellStyle name="Note 11 6 5 8" xfId="58332"/>
    <cellStyle name="Note 11 6 6" xfId="3690"/>
    <cellStyle name="Note 11 6 6 2" xfId="8969"/>
    <cellStyle name="Note 11 6 6 2 2" xfId="58333"/>
    <cellStyle name="Note 11 6 6 2 3" xfId="58334"/>
    <cellStyle name="Note 11 6 6 2 4" xfId="58335"/>
    <cellStyle name="Note 11 6 6 2 5" xfId="58336"/>
    <cellStyle name="Note 11 6 6 2 6" xfId="58337"/>
    <cellStyle name="Note 11 6 6 3" xfId="12995"/>
    <cellStyle name="Note 11 6 6 4" xfId="58338"/>
    <cellStyle name="Note 11 6 6 5" xfId="58339"/>
    <cellStyle name="Note 11 6 6 6" xfId="58340"/>
    <cellStyle name="Note 11 6 6 7" xfId="58341"/>
    <cellStyle name="Note 11 6 6 8" xfId="58342"/>
    <cellStyle name="Note 11 6 7" xfId="3691"/>
    <cellStyle name="Note 11 6 7 2" xfId="8970"/>
    <cellStyle name="Note 11 6 7 2 2" xfId="58343"/>
    <cellStyle name="Note 11 6 7 2 3" xfId="58344"/>
    <cellStyle name="Note 11 6 7 2 4" xfId="58345"/>
    <cellStyle name="Note 11 6 7 2 5" xfId="58346"/>
    <cellStyle name="Note 11 6 7 2 6" xfId="58347"/>
    <cellStyle name="Note 11 6 7 3" xfId="12996"/>
    <cellStyle name="Note 11 6 7 4" xfId="58348"/>
    <cellStyle name="Note 11 6 7 5" xfId="58349"/>
    <cellStyle name="Note 11 6 7 6" xfId="58350"/>
    <cellStyle name="Note 11 6 7 7" xfId="58351"/>
    <cellStyle name="Note 11 6 7 8" xfId="58352"/>
    <cellStyle name="Note 11 6 8" xfId="3692"/>
    <cellStyle name="Note 11 6 8 2" xfId="8971"/>
    <cellStyle name="Note 11 6 8 2 2" xfId="58353"/>
    <cellStyle name="Note 11 6 8 2 3" xfId="58354"/>
    <cellStyle name="Note 11 6 8 2 4" xfId="58355"/>
    <cellStyle name="Note 11 6 8 2 5" xfId="58356"/>
    <cellStyle name="Note 11 6 8 2 6" xfId="58357"/>
    <cellStyle name="Note 11 6 8 3" xfId="12997"/>
    <cellStyle name="Note 11 6 8 4" xfId="58358"/>
    <cellStyle name="Note 11 6 8 5" xfId="58359"/>
    <cellStyle name="Note 11 6 8 6" xfId="58360"/>
    <cellStyle name="Note 11 6 8 7" xfId="58361"/>
    <cellStyle name="Note 11 6 8 8" xfId="58362"/>
    <cellStyle name="Note 11 6 9" xfId="3693"/>
    <cellStyle name="Note 11 6 9 2" xfId="8972"/>
    <cellStyle name="Note 11 6 9 2 2" xfId="58363"/>
    <cellStyle name="Note 11 6 9 2 3" xfId="58364"/>
    <cellStyle name="Note 11 6 9 2 4" xfId="58365"/>
    <cellStyle name="Note 11 6 9 2 5" xfId="58366"/>
    <cellStyle name="Note 11 6 9 2 6" xfId="58367"/>
    <cellStyle name="Note 11 6 9 3" xfId="12998"/>
    <cellStyle name="Note 11 6 9 4" xfId="58368"/>
    <cellStyle name="Note 11 6 9 5" xfId="58369"/>
    <cellStyle name="Note 11 6 9 6" xfId="58370"/>
    <cellStyle name="Note 11 6 9 7" xfId="58371"/>
    <cellStyle name="Note 11 6 9 8" xfId="58372"/>
    <cellStyle name="Note 11 7" xfId="981"/>
    <cellStyle name="Note 11 7 10" xfId="2218"/>
    <cellStyle name="Note 11 7 10 2" xfId="7497"/>
    <cellStyle name="Note 11 7 10 2 2" xfId="58373"/>
    <cellStyle name="Note 11 7 10 2 3" xfId="58374"/>
    <cellStyle name="Note 11 7 10 2 4" xfId="58375"/>
    <cellStyle name="Note 11 7 10 2 5" xfId="58376"/>
    <cellStyle name="Note 11 7 10 3" xfId="11255"/>
    <cellStyle name="Note 11 7 10 4" xfId="58377"/>
    <cellStyle name="Note 11 7 10 5" xfId="58378"/>
    <cellStyle name="Note 11 7 10 6" xfId="58379"/>
    <cellStyle name="Note 11 7 10 7" xfId="58380"/>
    <cellStyle name="Note 11 7 11" xfId="6260"/>
    <cellStyle name="Note 11 7 11 2" xfId="58381"/>
    <cellStyle name="Note 11 7 11 3" xfId="58382"/>
    <cellStyle name="Note 11 7 11 4" xfId="58383"/>
    <cellStyle name="Note 11 7 11 5" xfId="58384"/>
    <cellStyle name="Note 11 7 12" xfId="58385"/>
    <cellStyle name="Note 11 7 13" xfId="58386"/>
    <cellStyle name="Note 11 7 2" xfId="1598"/>
    <cellStyle name="Note 11 7 2 2" xfId="2832"/>
    <cellStyle name="Note 11 7 2 2 2" xfId="8111"/>
    <cellStyle name="Note 11 7 2 2 2 2" xfId="58387"/>
    <cellStyle name="Note 11 7 2 2 2 3" xfId="58388"/>
    <cellStyle name="Note 11 7 2 2 2 4" xfId="58389"/>
    <cellStyle name="Note 11 7 2 2 2 5" xfId="58390"/>
    <cellStyle name="Note 11 7 2 2 3" xfId="13000"/>
    <cellStyle name="Note 11 7 2 2 4" xfId="58391"/>
    <cellStyle name="Note 11 7 2 2 5" xfId="58392"/>
    <cellStyle name="Note 11 7 2 2 6" xfId="58393"/>
    <cellStyle name="Note 11 7 2 2 7" xfId="58394"/>
    <cellStyle name="Note 11 7 2 3" xfId="6877"/>
    <cellStyle name="Note 11 7 2 3 2" xfId="58395"/>
    <cellStyle name="Note 11 7 2 3 3" xfId="58396"/>
    <cellStyle name="Note 11 7 2 3 4" xfId="58397"/>
    <cellStyle name="Note 11 7 2 3 5" xfId="58398"/>
    <cellStyle name="Note 11 7 2 3 6" xfId="58399"/>
    <cellStyle name="Note 11 7 2 4" xfId="12999"/>
    <cellStyle name="Note 11 7 2 5" xfId="58400"/>
    <cellStyle name="Note 11 7 3" xfId="3694"/>
    <cellStyle name="Note 11 7 3 2" xfId="8973"/>
    <cellStyle name="Note 11 7 3 2 2" xfId="58401"/>
    <cellStyle name="Note 11 7 3 2 3" xfId="58402"/>
    <cellStyle name="Note 11 7 3 2 4" xfId="58403"/>
    <cellStyle name="Note 11 7 3 2 5" xfId="58404"/>
    <cellStyle name="Note 11 7 3 2 6" xfId="58405"/>
    <cellStyle name="Note 11 7 3 3" xfId="13001"/>
    <cellStyle name="Note 11 7 3 4" xfId="58406"/>
    <cellStyle name="Note 11 7 3 5" xfId="58407"/>
    <cellStyle name="Note 11 7 3 6" xfId="58408"/>
    <cellStyle name="Note 11 7 3 7" xfId="58409"/>
    <cellStyle name="Note 11 7 3 8" xfId="58410"/>
    <cellStyle name="Note 11 7 4" xfId="3695"/>
    <cellStyle name="Note 11 7 4 2" xfId="8974"/>
    <cellStyle name="Note 11 7 4 2 2" xfId="58411"/>
    <cellStyle name="Note 11 7 4 2 3" xfId="58412"/>
    <cellStyle name="Note 11 7 4 2 4" xfId="58413"/>
    <cellStyle name="Note 11 7 4 2 5" xfId="58414"/>
    <cellStyle name="Note 11 7 4 2 6" xfId="58415"/>
    <cellStyle name="Note 11 7 4 3" xfId="13002"/>
    <cellStyle name="Note 11 7 4 4" xfId="58416"/>
    <cellStyle name="Note 11 7 4 5" xfId="58417"/>
    <cellStyle name="Note 11 7 4 6" xfId="58418"/>
    <cellStyle name="Note 11 7 4 7" xfId="58419"/>
    <cellStyle name="Note 11 7 4 8" xfId="58420"/>
    <cellStyle name="Note 11 7 5" xfId="3696"/>
    <cellStyle name="Note 11 7 5 2" xfId="8975"/>
    <cellStyle name="Note 11 7 5 2 2" xfId="58421"/>
    <cellStyle name="Note 11 7 5 2 3" xfId="58422"/>
    <cellStyle name="Note 11 7 5 2 4" xfId="58423"/>
    <cellStyle name="Note 11 7 5 2 5" xfId="58424"/>
    <cellStyle name="Note 11 7 5 2 6" xfId="58425"/>
    <cellStyle name="Note 11 7 5 3" xfId="13003"/>
    <cellStyle name="Note 11 7 5 4" xfId="58426"/>
    <cellStyle name="Note 11 7 5 5" xfId="58427"/>
    <cellStyle name="Note 11 7 5 6" xfId="58428"/>
    <cellStyle name="Note 11 7 5 7" xfId="58429"/>
    <cellStyle name="Note 11 7 5 8" xfId="58430"/>
    <cellStyle name="Note 11 7 6" xfId="3697"/>
    <cellStyle name="Note 11 7 6 2" xfId="8976"/>
    <cellStyle name="Note 11 7 6 2 2" xfId="58431"/>
    <cellStyle name="Note 11 7 6 2 3" xfId="58432"/>
    <cellStyle name="Note 11 7 6 2 4" xfId="58433"/>
    <cellStyle name="Note 11 7 6 2 5" xfId="58434"/>
    <cellStyle name="Note 11 7 6 2 6" xfId="58435"/>
    <cellStyle name="Note 11 7 6 3" xfId="13004"/>
    <cellStyle name="Note 11 7 6 4" xfId="58436"/>
    <cellStyle name="Note 11 7 6 5" xfId="58437"/>
    <cellStyle name="Note 11 7 6 6" xfId="58438"/>
    <cellStyle name="Note 11 7 6 7" xfId="58439"/>
    <cellStyle name="Note 11 7 6 8" xfId="58440"/>
    <cellStyle name="Note 11 7 7" xfId="3698"/>
    <cellStyle name="Note 11 7 7 2" xfId="8977"/>
    <cellStyle name="Note 11 7 7 2 2" xfId="58441"/>
    <cellStyle name="Note 11 7 7 2 3" xfId="58442"/>
    <cellStyle name="Note 11 7 7 2 4" xfId="58443"/>
    <cellStyle name="Note 11 7 7 2 5" xfId="58444"/>
    <cellStyle name="Note 11 7 7 2 6" xfId="58445"/>
    <cellStyle name="Note 11 7 7 3" xfId="13005"/>
    <cellStyle name="Note 11 7 7 4" xfId="58446"/>
    <cellStyle name="Note 11 7 7 5" xfId="58447"/>
    <cellStyle name="Note 11 7 7 6" xfId="58448"/>
    <cellStyle name="Note 11 7 7 7" xfId="58449"/>
    <cellStyle name="Note 11 7 7 8" xfId="58450"/>
    <cellStyle name="Note 11 7 8" xfId="3699"/>
    <cellStyle name="Note 11 7 8 2" xfId="8978"/>
    <cellStyle name="Note 11 7 8 2 2" xfId="58451"/>
    <cellStyle name="Note 11 7 8 2 3" xfId="58452"/>
    <cellStyle name="Note 11 7 8 2 4" xfId="58453"/>
    <cellStyle name="Note 11 7 8 2 5" xfId="58454"/>
    <cellStyle name="Note 11 7 8 2 6" xfId="58455"/>
    <cellStyle name="Note 11 7 8 3" xfId="13006"/>
    <cellStyle name="Note 11 7 8 4" xfId="58456"/>
    <cellStyle name="Note 11 7 8 5" xfId="58457"/>
    <cellStyle name="Note 11 7 8 6" xfId="58458"/>
    <cellStyle name="Note 11 7 8 7" xfId="58459"/>
    <cellStyle name="Note 11 7 8 8" xfId="58460"/>
    <cellStyle name="Note 11 7 9" xfId="3700"/>
    <cellStyle name="Note 11 7 9 2" xfId="8979"/>
    <cellStyle name="Note 11 7 9 2 2" xfId="58461"/>
    <cellStyle name="Note 11 7 9 2 3" xfId="58462"/>
    <cellStyle name="Note 11 7 9 2 4" xfId="58463"/>
    <cellStyle name="Note 11 7 9 2 5" xfId="58464"/>
    <cellStyle name="Note 11 7 9 2 6" xfId="58465"/>
    <cellStyle name="Note 11 7 9 3" xfId="13007"/>
    <cellStyle name="Note 11 7 9 4" xfId="58466"/>
    <cellStyle name="Note 11 7 9 5" xfId="58467"/>
    <cellStyle name="Note 11 7 9 6" xfId="58468"/>
    <cellStyle name="Note 11 7 9 7" xfId="58469"/>
    <cellStyle name="Note 11 7 9 8" xfId="58470"/>
    <cellStyle name="Note 11 8" xfId="1272"/>
    <cellStyle name="Note 11 8 2" xfId="2506"/>
    <cellStyle name="Note 11 8 2 2" xfId="7785"/>
    <cellStyle name="Note 11 8 2 2 2" xfId="58471"/>
    <cellStyle name="Note 11 8 2 2 3" xfId="58472"/>
    <cellStyle name="Note 11 8 2 2 4" xfId="58473"/>
    <cellStyle name="Note 11 8 2 2 5" xfId="58474"/>
    <cellStyle name="Note 11 8 2 3" xfId="13009"/>
    <cellStyle name="Note 11 8 2 4" xfId="58475"/>
    <cellStyle name="Note 11 8 2 5" xfId="58476"/>
    <cellStyle name="Note 11 8 2 6" xfId="58477"/>
    <cellStyle name="Note 11 8 2 7" xfId="58478"/>
    <cellStyle name="Note 11 8 3" xfId="6551"/>
    <cellStyle name="Note 11 8 3 2" xfId="58479"/>
    <cellStyle name="Note 11 8 3 3" xfId="58480"/>
    <cellStyle name="Note 11 8 3 4" xfId="58481"/>
    <cellStyle name="Note 11 8 3 5" xfId="58482"/>
    <cellStyle name="Note 11 8 3 6" xfId="58483"/>
    <cellStyle name="Note 11 8 4" xfId="13008"/>
    <cellStyle name="Note 11 8 5" xfId="58484"/>
    <cellStyle name="Note 11 9" xfId="3701"/>
    <cellStyle name="Note 11 9 2" xfId="8980"/>
    <cellStyle name="Note 11 9 2 2" xfId="58485"/>
    <cellStyle name="Note 11 9 2 3" xfId="58486"/>
    <cellStyle name="Note 11 9 2 4" xfId="58487"/>
    <cellStyle name="Note 11 9 2 5" xfId="58488"/>
    <cellStyle name="Note 11 9 2 6" xfId="58489"/>
    <cellStyle name="Note 11 9 3" xfId="13010"/>
    <cellStyle name="Note 11 9 4" xfId="58490"/>
    <cellStyle name="Note 11 9 5" xfId="58491"/>
    <cellStyle name="Note 11 9 6" xfId="58492"/>
    <cellStyle name="Note 11 9 7" xfId="58493"/>
    <cellStyle name="Note 11 9 8" xfId="58494"/>
    <cellStyle name="Note 12" xfId="585"/>
    <cellStyle name="Note 12 10" xfId="3702"/>
    <cellStyle name="Note 12 10 2" xfId="8981"/>
    <cellStyle name="Note 12 10 2 2" xfId="58495"/>
    <cellStyle name="Note 12 10 2 3" xfId="58496"/>
    <cellStyle name="Note 12 10 2 4" xfId="58497"/>
    <cellStyle name="Note 12 10 2 5" xfId="58498"/>
    <cellStyle name="Note 12 10 2 6" xfId="58499"/>
    <cellStyle name="Note 12 10 3" xfId="13011"/>
    <cellStyle name="Note 12 10 4" xfId="58500"/>
    <cellStyle name="Note 12 10 5" xfId="58501"/>
    <cellStyle name="Note 12 10 6" xfId="58502"/>
    <cellStyle name="Note 12 10 7" xfId="58503"/>
    <cellStyle name="Note 12 10 8" xfId="58504"/>
    <cellStyle name="Note 12 11" xfId="3703"/>
    <cellStyle name="Note 12 11 2" xfId="8982"/>
    <cellStyle name="Note 12 11 2 2" xfId="58505"/>
    <cellStyle name="Note 12 11 2 3" xfId="58506"/>
    <cellStyle name="Note 12 11 2 4" xfId="58507"/>
    <cellStyle name="Note 12 11 2 5" xfId="58508"/>
    <cellStyle name="Note 12 11 2 6" xfId="58509"/>
    <cellStyle name="Note 12 11 3" xfId="13012"/>
    <cellStyle name="Note 12 11 4" xfId="58510"/>
    <cellStyle name="Note 12 11 5" xfId="58511"/>
    <cellStyle name="Note 12 11 6" xfId="58512"/>
    <cellStyle name="Note 12 11 7" xfId="58513"/>
    <cellStyle name="Note 12 11 8" xfId="58514"/>
    <cellStyle name="Note 12 12" xfId="3704"/>
    <cellStyle name="Note 12 12 2" xfId="8983"/>
    <cellStyle name="Note 12 12 2 2" xfId="58515"/>
    <cellStyle name="Note 12 12 2 3" xfId="58516"/>
    <cellStyle name="Note 12 12 2 4" xfId="58517"/>
    <cellStyle name="Note 12 12 2 5" xfId="58518"/>
    <cellStyle name="Note 12 12 2 6" xfId="58519"/>
    <cellStyle name="Note 12 12 3" xfId="13013"/>
    <cellStyle name="Note 12 12 4" xfId="58520"/>
    <cellStyle name="Note 12 12 5" xfId="58521"/>
    <cellStyle name="Note 12 12 6" xfId="58522"/>
    <cellStyle name="Note 12 12 7" xfId="58523"/>
    <cellStyle name="Note 12 12 8" xfId="58524"/>
    <cellStyle name="Note 12 13" xfId="1961"/>
    <cellStyle name="Note 12 13 2" xfId="7240"/>
    <cellStyle name="Note 12 13 2 2" xfId="58525"/>
    <cellStyle name="Note 12 13 2 3" xfId="58526"/>
    <cellStyle name="Note 12 13 2 4" xfId="58527"/>
    <cellStyle name="Note 12 13 2 5" xfId="58528"/>
    <cellStyle name="Note 12 13 3" xfId="11256"/>
    <cellStyle name="Note 12 13 4" xfId="58529"/>
    <cellStyle name="Note 12 13 5" xfId="58530"/>
    <cellStyle name="Note 12 13 6" xfId="58531"/>
    <cellStyle name="Note 12 14" xfId="5936"/>
    <cellStyle name="Note 12 14 2" xfId="58532"/>
    <cellStyle name="Note 12 14 3" xfId="58533"/>
    <cellStyle name="Note 12 14 4" xfId="58534"/>
    <cellStyle name="Note 12 14 5" xfId="58535"/>
    <cellStyle name="Note 12 15" xfId="58536"/>
    <cellStyle name="Note 12 16" xfId="58537"/>
    <cellStyle name="Note 12 2" xfId="586"/>
    <cellStyle name="Note 12 2 10" xfId="3705"/>
    <cellStyle name="Note 12 2 10 2" xfId="8984"/>
    <cellStyle name="Note 12 2 10 2 2" xfId="58538"/>
    <cellStyle name="Note 12 2 10 2 3" xfId="58539"/>
    <cellStyle name="Note 12 2 10 2 4" xfId="58540"/>
    <cellStyle name="Note 12 2 10 2 5" xfId="58541"/>
    <cellStyle name="Note 12 2 10 2 6" xfId="58542"/>
    <cellStyle name="Note 12 2 10 3" xfId="13014"/>
    <cellStyle name="Note 12 2 10 4" xfId="58543"/>
    <cellStyle name="Note 12 2 10 5" xfId="58544"/>
    <cellStyle name="Note 12 2 10 6" xfId="58545"/>
    <cellStyle name="Note 12 2 10 7" xfId="58546"/>
    <cellStyle name="Note 12 2 10 8" xfId="58547"/>
    <cellStyle name="Note 12 2 11" xfId="3706"/>
    <cellStyle name="Note 12 2 11 2" xfId="8985"/>
    <cellStyle name="Note 12 2 11 2 2" xfId="58548"/>
    <cellStyle name="Note 12 2 11 2 3" xfId="58549"/>
    <cellStyle name="Note 12 2 11 2 4" xfId="58550"/>
    <cellStyle name="Note 12 2 11 2 5" xfId="58551"/>
    <cellStyle name="Note 12 2 11 2 6" xfId="58552"/>
    <cellStyle name="Note 12 2 11 3" xfId="13015"/>
    <cellStyle name="Note 12 2 11 4" xfId="58553"/>
    <cellStyle name="Note 12 2 11 5" xfId="58554"/>
    <cellStyle name="Note 12 2 11 6" xfId="58555"/>
    <cellStyle name="Note 12 2 11 7" xfId="58556"/>
    <cellStyle name="Note 12 2 11 8" xfId="58557"/>
    <cellStyle name="Note 12 2 12" xfId="1962"/>
    <cellStyle name="Note 12 2 12 2" xfId="7241"/>
    <cellStyle name="Note 12 2 12 2 2" xfId="58558"/>
    <cellStyle name="Note 12 2 12 2 3" xfId="58559"/>
    <cellStyle name="Note 12 2 12 2 4" xfId="58560"/>
    <cellStyle name="Note 12 2 12 2 5" xfId="58561"/>
    <cellStyle name="Note 12 2 12 3" xfId="11257"/>
    <cellStyle name="Note 12 2 12 4" xfId="58562"/>
    <cellStyle name="Note 12 2 12 5" xfId="58563"/>
    <cellStyle name="Note 12 2 12 6" xfId="58564"/>
    <cellStyle name="Note 12 2 13" xfId="5937"/>
    <cellStyle name="Note 12 2 13 2" xfId="58565"/>
    <cellStyle name="Note 12 2 13 3" xfId="58566"/>
    <cellStyle name="Note 12 2 13 4" xfId="58567"/>
    <cellStyle name="Note 12 2 13 5" xfId="58568"/>
    <cellStyle name="Note 12 2 14" xfId="58569"/>
    <cellStyle name="Note 12 2 15" xfId="58570"/>
    <cellStyle name="Note 12 2 2" xfId="784"/>
    <cellStyle name="Note 12 2 2 10" xfId="58571"/>
    <cellStyle name="Note 12 2 2 11" xfId="58572"/>
    <cellStyle name="Note 12 2 2 2" xfId="1411"/>
    <cellStyle name="Note 12 2 2 2 2" xfId="2645"/>
    <cellStyle name="Note 12 2 2 2 2 2" xfId="7924"/>
    <cellStyle name="Note 12 2 2 2 2 2 2" xfId="58573"/>
    <cellStyle name="Note 12 2 2 2 2 2 3" xfId="58574"/>
    <cellStyle name="Note 12 2 2 2 2 2 4" xfId="58575"/>
    <cellStyle name="Note 12 2 2 2 2 2 5" xfId="58576"/>
    <cellStyle name="Note 12 2 2 2 2 3" xfId="13018"/>
    <cellStyle name="Note 12 2 2 2 2 4" xfId="58577"/>
    <cellStyle name="Note 12 2 2 2 2 5" xfId="58578"/>
    <cellStyle name="Note 12 2 2 2 2 6" xfId="58579"/>
    <cellStyle name="Note 12 2 2 2 2 7" xfId="58580"/>
    <cellStyle name="Note 12 2 2 2 3" xfId="6690"/>
    <cellStyle name="Note 12 2 2 2 3 2" xfId="58581"/>
    <cellStyle name="Note 12 2 2 2 3 3" xfId="58582"/>
    <cellStyle name="Note 12 2 2 2 3 4" xfId="58583"/>
    <cellStyle name="Note 12 2 2 2 3 5" xfId="58584"/>
    <cellStyle name="Note 12 2 2 2 3 6" xfId="58585"/>
    <cellStyle name="Note 12 2 2 2 4" xfId="13017"/>
    <cellStyle name="Note 12 2 2 2 5" xfId="58586"/>
    <cellStyle name="Note 12 2 2 3" xfId="1888"/>
    <cellStyle name="Note 12 2 2 3 2" xfId="3122"/>
    <cellStyle name="Note 12 2 2 3 2 2" xfId="8401"/>
    <cellStyle name="Note 12 2 2 3 2 2 2" xfId="58587"/>
    <cellStyle name="Note 12 2 2 3 2 2 3" xfId="58588"/>
    <cellStyle name="Note 12 2 2 3 2 2 4" xfId="58589"/>
    <cellStyle name="Note 12 2 2 3 2 2 5" xfId="58590"/>
    <cellStyle name="Note 12 2 2 3 2 3" xfId="13020"/>
    <cellStyle name="Note 12 2 2 3 2 4" xfId="58591"/>
    <cellStyle name="Note 12 2 2 3 2 5" xfId="58592"/>
    <cellStyle name="Note 12 2 2 3 2 6" xfId="58593"/>
    <cellStyle name="Note 12 2 2 3 2 7" xfId="58594"/>
    <cellStyle name="Note 12 2 2 3 3" xfId="7167"/>
    <cellStyle name="Note 12 2 2 3 3 2" xfId="58595"/>
    <cellStyle name="Note 12 2 2 3 3 3" xfId="58596"/>
    <cellStyle name="Note 12 2 2 3 3 4" xfId="58597"/>
    <cellStyle name="Note 12 2 2 3 3 5" xfId="58598"/>
    <cellStyle name="Note 12 2 2 3 3 6" xfId="58599"/>
    <cellStyle name="Note 12 2 2 3 4" xfId="13019"/>
    <cellStyle name="Note 12 2 2 3 5" xfId="58600"/>
    <cellStyle name="Note 12 2 2 4" xfId="3707"/>
    <cellStyle name="Note 12 2 2 4 2" xfId="8986"/>
    <cellStyle name="Note 12 2 2 4 2 2" xfId="58601"/>
    <cellStyle name="Note 12 2 2 4 2 3" xfId="58602"/>
    <cellStyle name="Note 12 2 2 4 2 4" xfId="58603"/>
    <cellStyle name="Note 12 2 2 4 2 5" xfId="58604"/>
    <cellStyle name="Note 12 2 2 4 2 6" xfId="58605"/>
    <cellStyle name="Note 12 2 2 4 3" xfId="13021"/>
    <cellStyle name="Note 12 2 2 4 4" xfId="58606"/>
    <cellStyle name="Note 12 2 2 4 5" xfId="58607"/>
    <cellStyle name="Note 12 2 2 4 6" xfId="58608"/>
    <cellStyle name="Note 12 2 2 4 7" xfId="58609"/>
    <cellStyle name="Note 12 2 2 4 8" xfId="58610"/>
    <cellStyle name="Note 12 2 2 5" xfId="3708"/>
    <cellStyle name="Note 12 2 2 5 2" xfId="8987"/>
    <cellStyle name="Note 12 2 2 5 2 2" xfId="58611"/>
    <cellStyle name="Note 12 2 2 5 2 3" xfId="58612"/>
    <cellStyle name="Note 12 2 2 5 2 4" xfId="58613"/>
    <cellStyle name="Note 12 2 2 5 2 5" xfId="58614"/>
    <cellStyle name="Note 12 2 2 5 2 6" xfId="58615"/>
    <cellStyle name="Note 12 2 2 5 3" xfId="13022"/>
    <cellStyle name="Note 12 2 2 5 4" xfId="58616"/>
    <cellStyle name="Note 12 2 2 5 5" xfId="58617"/>
    <cellStyle name="Note 12 2 2 5 6" xfId="58618"/>
    <cellStyle name="Note 12 2 2 5 7" xfId="58619"/>
    <cellStyle name="Note 12 2 2 5 8" xfId="58620"/>
    <cellStyle name="Note 12 2 2 6" xfId="3709"/>
    <cellStyle name="Note 12 2 2 6 2" xfId="8988"/>
    <cellStyle name="Note 12 2 2 6 2 2" xfId="58621"/>
    <cellStyle name="Note 12 2 2 6 2 3" xfId="58622"/>
    <cellStyle name="Note 12 2 2 6 2 4" xfId="58623"/>
    <cellStyle name="Note 12 2 2 6 2 5" xfId="58624"/>
    <cellStyle name="Note 12 2 2 6 2 6" xfId="58625"/>
    <cellStyle name="Note 12 2 2 6 3" xfId="13023"/>
    <cellStyle name="Note 12 2 2 6 4" xfId="58626"/>
    <cellStyle name="Note 12 2 2 6 5" xfId="58627"/>
    <cellStyle name="Note 12 2 2 6 6" xfId="58628"/>
    <cellStyle name="Note 12 2 2 6 7" xfId="58629"/>
    <cellStyle name="Note 12 2 2 6 8" xfId="58630"/>
    <cellStyle name="Note 12 2 2 7" xfId="3710"/>
    <cellStyle name="Note 12 2 2 7 2" xfId="8989"/>
    <cellStyle name="Note 12 2 2 7 2 2" xfId="58631"/>
    <cellStyle name="Note 12 2 2 7 2 3" xfId="58632"/>
    <cellStyle name="Note 12 2 2 7 2 4" xfId="58633"/>
    <cellStyle name="Note 12 2 2 7 2 5" xfId="58634"/>
    <cellStyle name="Note 12 2 2 7 2 6" xfId="58635"/>
    <cellStyle name="Note 12 2 2 7 3" xfId="13024"/>
    <cellStyle name="Note 12 2 2 7 4" xfId="58636"/>
    <cellStyle name="Note 12 2 2 7 5" xfId="58637"/>
    <cellStyle name="Note 12 2 2 7 6" xfId="58638"/>
    <cellStyle name="Note 12 2 2 7 7" xfId="58639"/>
    <cellStyle name="Note 12 2 2 7 8" xfId="58640"/>
    <cellStyle name="Note 12 2 2 8" xfId="6073"/>
    <cellStyle name="Note 12 2 2 8 2" xfId="58641"/>
    <cellStyle name="Note 12 2 2 8 3" xfId="58642"/>
    <cellStyle name="Note 12 2 2 8 4" xfId="58643"/>
    <cellStyle name="Note 12 2 2 8 5" xfId="58644"/>
    <cellStyle name="Note 12 2 2 8 6" xfId="58645"/>
    <cellStyle name="Note 12 2 2 9" xfId="13016"/>
    <cellStyle name="Note 12 2 2 9 2" xfId="58646"/>
    <cellStyle name="Note 12 2 3" xfId="982"/>
    <cellStyle name="Note 12 2 3 10" xfId="2219"/>
    <cellStyle name="Note 12 2 3 10 2" xfId="7498"/>
    <cellStyle name="Note 12 2 3 10 2 2" xfId="58647"/>
    <cellStyle name="Note 12 2 3 10 2 3" xfId="58648"/>
    <cellStyle name="Note 12 2 3 10 2 4" xfId="58649"/>
    <cellStyle name="Note 12 2 3 10 2 5" xfId="58650"/>
    <cellStyle name="Note 12 2 3 10 3" xfId="11258"/>
    <cellStyle name="Note 12 2 3 10 4" xfId="58651"/>
    <cellStyle name="Note 12 2 3 10 5" xfId="58652"/>
    <cellStyle name="Note 12 2 3 10 6" xfId="58653"/>
    <cellStyle name="Note 12 2 3 10 7" xfId="58654"/>
    <cellStyle name="Note 12 2 3 11" xfId="6261"/>
    <cellStyle name="Note 12 2 3 11 2" xfId="58655"/>
    <cellStyle name="Note 12 2 3 11 3" xfId="58656"/>
    <cellStyle name="Note 12 2 3 11 4" xfId="58657"/>
    <cellStyle name="Note 12 2 3 11 5" xfId="58658"/>
    <cellStyle name="Note 12 2 3 12" xfId="58659"/>
    <cellStyle name="Note 12 2 3 13" xfId="58660"/>
    <cellStyle name="Note 12 2 3 2" xfId="1599"/>
    <cellStyle name="Note 12 2 3 2 2" xfId="2833"/>
    <cellStyle name="Note 12 2 3 2 2 2" xfId="8112"/>
    <cellStyle name="Note 12 2 3 2 2 2 2" xfId="58661"/>
    <cellStyle name="Note 12 2 3 2 2 2 3" xfId="58662"/>
    <cellStyle name="Note 12 2 3 2 2 2 4" xfId="58663"/>
    <cellStyle name="Note 12 2 3 2 2 2 5" xfId="58664"/>
    <cellStyle name="Note 12 2 3 2 2 3" xfId="13026"/>
    <cellStyle name="Note 12 2 3 2 2 4" xfId="58665"/>
    <cellStyle name="Note 12 2 3 2 2 5" xfId="58666"/>
    <cellStyle name="Note 12 2 3 2 2 6" xfId="58667"/>
    <cellStyle name="Note 12 2 3 2 2 7" xfId="58668"/>
    <cellStyle name="Note 12 2 3 2 3" xfId="6878"/>
    <cellStyle name="Note 12 2 3 2 3 2" xfId="58669"/>
    <cellStyle name="Note 12 2 3 2 3 3" xfId="58670"/>
    <cellStyle name="Note 12 2 3 2 3 4" xfId="58671"/>
    <cellStyle name="Note 12 2 3 2 3 5" xfId="58672"/>
    <cellStyle name="Note 12 2 3 2 3 6" xfId="58673"/>
    <cellStyle name="Note 12 2 3 2 4" xfId="13025"/>
    <cellStyle name="Note 12 2 3 2 5" xfId="58674"/>
    <cellStyle name="Note 12 2 3 3" xfId="3711"/>
    <cellStyle name="Note 12 2 3 3 2" xfId="8990"/>
    <cellStyle name="Note 12 2 3 3 2 2" xfId="58675"/>
    <cellStyle name="Note 12 2 3 3 2 3" xfId="58676"/>
    <cellStyle name="Note 12 2 3 3 2 4" xfId="58677"/>
    <cellStyle name="Note 12 2 3 3 2 5" xfId="58678"/>
    <cellStyle name="Note 12 2 3 3 2 6" xfId="58679"/>
    <cellStyle name="Note 12 2 3 3 3" xfId="13027"/>
    <cellStyle name="Note 12 2 3 3 4" xfId="58680"/>
    <cellStyle name="Note 12 2 3 3 5" xfId="58681"/>
    <cellStyle name="Note 12 2 3 3 6" xfId="58682"/>
    <cellStyle name="Note 12 2 3 3 7" xfId="58683"/>
    <cellStyle name="Note 12 2 3 3 8" xfId="58684"/>
    <cellStyle name="Note 12 2 3 4" xfId="3712"/>
    <cellStyle name="Note 12 2 3 4 2" xfId="8991"/>
    <cellStyle name="Note 12 2 3 4 2 2" xfId="58685"/>
    <cellStyle name="Note 12 2 3 4 2 3" xfId="58686"/>
    <cellStyle name="Note 12 2 3 4 2 4" xfId="58687"/>
    <cellStyle name="Note 12 2 3 4 2 5" xfId="58688"/>
    <cellStyle name="Note 12 2 3 4 2 6" xfId="58689"/>
    <cellStyle name="Note 12 2 3 4 3" xfId="13028"/>
    <cellStyle name="Note 12 2 3 4 4" xfId="58690"/>
    <cellStyle name="Note 12 2 3 4 5" xfId="58691"/>
    <cellStyle name="Note 12 2 3 4 6" xfId="58692"/>
    <cellStyle name="Note 12 2 3 4 7" xfId="58693"/>
    <cellStyle name="Note 12 2 3 4 8" xfId="58694"/>
    <cellStyle name="Note 12 2 3 5" xfId="3713"/>
    <cellStyle name="Note 12 2 3 5 2" xfId="8992"/>
    <cellStyle name="Note 12 2 3 5 2 2" xfId="58695"/>
    <cellStyle name="Note 12 2 3 5 2 3" xfId="58696"/>
    <cellStyle name="Note 12 2 3 5 2 4" xfId="58697"/>
    <cellStyle name="Note 12 2 3 5 2 5" xfId="58698"/>
    <cellStyle name="Note 12 2 3 5 2 6" xfId="58699"/>
    <cellStyle name="Note 12 2 3 5 3" xfId="13029"/>
    <cellStyle name="Note 12 2 3 5 4" xfId="58700"/>
    <cellStyle name="Note 12 2 3 5 5" xfId="58701"/>
    <cellStyle name="Note 12 2 3 5 6" xfId="58702"/>
    <cellStyle name="Note 12 2 3 5 7" xfId="58703"/>
    <cellStyle name="Note 12 2 3 5 8" xfId="58704"/>
    <cellStyle name="Note 12 2 3 6" xfId="3714"/>
    <cellStyle name="Note 12 2 3 6 2" xfId="8993"/>
    <cellStyle name="Note 12 2 3 6 2 2" xfId="58705"/>
    <cellStyle name="Note 12 2 3 6 2 3" xfId="58706"/>
    <cellStyle name="Note 12 2 3 6 2 4" xfId="58707"/>
    <cellStyle name="Note 12 2 3 6 2 5" xfId="58708"/>
    <cellStyle name="Note 12 2 3 6 2 6" xfId="58709"/>
    <cellStyle name="Note 12 2 3 6 3" xfId="13030"/>
    <cellStyle name="Note 12 2 3 6 4" xfId="58710"/>
    <cellStyle name="Note 12 2 3 6 5" xfId="58711"/>
    <cellStyle name="Note 12 2 3 6 6" xfId="58712"/>
    <cellStyle name="Note 12 2 3 6 7" xfId="58713"/>
    <cellStyle name="Note 12 2 3 6 8" xfId="58714"/>
    <cellStyle name="Note 12 2 3 7" xfId="3715"/>
    <cellStyle name="Note 12 2 3 7 2" xfId="8994"/>
    <cellStyle name="Note 12 2 3 7 2 2" xfId="58715"/>
    <cellStyle name="Note 12 2 3 7 2 3" xfId="58716"/>
    <cellStyle name="Note 12 2 3 7 2 4" xfId="58717"/>
    <cellStyle name="Note 12 2 3 7 2 5" xfId="58718"/>
    <cellStyle name="Note 12 2 3 7 2 6" xfId="58719"/>
    <cellStyle name="Note 12 2 3 7 3" xfId="13031"/>
    <cellStyle name="Note 12 2 3 7 4" xfId="58720"/>
    <cellStyle name="Note 12 2 3 7 5" xfId="58721"/>
    <cellStyle name="Note 12 2 3 7 6" xfId="58722"/>
    <cellStyle name="Note 12 2 3 7 7" xfId="58723"/>
    <cellStyle name="Note 12 2 3 7 8" xfId="58724"/>
    <cellStyle name="Note 12 2 3 8" xfId="3716"/>
    <cellStyle name="Note 12 2 3 8 2" xfId="8995"/>
    <cellStyle name="Note 12 2 3 8 2 2" xfId="58725"/>
    <cellStyle name="Note 12 2 3 8 2 3" xfId="58726"/>
    <cellStyle name="Note 12 2 3 8 2 4" xfId="58727"/>
    <cellStyle name="Note 12 2 3 8 2 5" xfId="58728"/>
    <cellStyle name="Note 12 2 3 8 2 6" xfId="58729"/>
    <cellStyle name="Note 12 2 3 8 3" xfId="13032"/>
    <cellStyle name="Note 12 2 3 8 4" xfId="58730"/>
    <cellStyle name="Note 12 2 3 8 5" xfId="58731"/>
    <cellStyle name="Note 12 2 3 8 6" xfId="58732"/>
    <cellStyle name="Note 12 2 3 8 7" xfId="58733"/>
    <cellStyle name="Note 12 2 3 8 8" xfId="58734"/>
    <cellStyle name="Note 12 2 3 9" xfId="3717"/>
    <cellStyle name="Note 12 2 3 9 2" xfId="8996"/>
    <cellStyle name="Note 12 2 3 9 2 2" xfId="58735"/>
    <cellStyle name="Note 12 2 3 9 2 3" xfId="58736"/>
    <cellStyle name="Note 12 2 3 9 2 4" xfId="58737"/>
    <cellStyle name="Note 12 2 3 9 2 5" xfId="58738"/>
    <cellStyle name="Note 12 2 3 9 2 6" xfId="58739"/>
    <cellStyle name="Note 12 2 3 9 3" xfId="13033"/>
    <cellStyle name="Note 12 2 3 9 4" xfId="58740"/>
    <cellStyle name="Note 12 2 3 9 5" xfId="58741"/>
    <cellStyle name="Note 12 2 3 9 6" xfId="58742"/>
    <cellStyle name="Note 12 2 3 9 7" xfId="58743"/>
    <cellStyle name="Note 12 2 3 9 8" xfId="58744"/>
    <cellStyle name="Note 12 2 4" xfId="983"/>
    <cellStyle name="Note 12 2 4 10" xfId="2220"/>
    <cellStyle name="Note 12 2 4 10 2" xfId="7499"/>
    <cellStyle name="Note 12 2 4 10 2 2" xfId="58745"/>
    <cellStyle name="Note 12 2 4 10 2 3" xfId="58746"/>
    <cellStyle name="Note 12 2 4 10 2 4" xfId="58747"/>
    <cellStyle name="Note 12 2 4 10 2 5" xfId="58748"/>
    <cellStyle name="Note 12 2 4 10 3" xfId="11259"/>
    <cellStyle name="Note 12 2 4 10 4" xfId="58749"/>
    <cellStyle name="Note 12 2 4 10 5" xfId="58750"/>
    <cellStyle name="Note 12 2 4 10 6" xfId="58751"/>
    <cellStyle name="Note 12 2 4 10 7" xfId="58752"/>
    <cellStyle name="Note 12 2 4 11" xfId="6262"/>
    <cellStyle name="Note 12 2 4 11 2" xfId="58753"/>
    <cellStyle name="Note 12 2 4 11 3" xfId="58754"/>
    <cellStyle name="Note 12 2 4 11 4" xfId="58755"/>
    <cellStyle name="Note 12 2 4 11 5" xfId="58756"/>
    <cellStyle name="Note 12 2 4 12" xfId="58757"/>
    <cellStyle name="Note 12 2 4 13" xfId="58758"/>
    <cellStyle name="Note 12 2 4 2" xfId="1600"/>
    <cellStyle name="Note 12 2 4 2 2" xfId="2834"/>
    <cellStyle name="Note 12 2 4 2 2 2" xfId="8113"/>
    <cellStyle name="Note 12 2 4 2 2 2 2" xfId="58759"/>
    <cellStyle name="Note 12 2 4 2 2 2 3" xfId="58760"/>
    <cellStyle name="Note 12 2 4 2 2 2 4" xfId="58761"/>
    <cellStyle name="Note 12 2 4 2 2 2 5" xfId="58762"/>
    <cellStyle name="Note 12 2 4 2 2 3" xfId="13035"/>
    <cellStyle name="Note 12 2 4 2 2 4" xfId="58763"/>
    <cellStyle name="Note 12 2 4 2 2 5" xfId="58764"/>
    <cellStyle name="Note 12 2 4 2 2 6" xfId="58765"/>
    <cellStyle name="Note 12 2 4 2 2 7" xfId="58766"/>
    <cellStyle name="Note 12 2 4 2 3" xfId="6879"/>
    <cellStyle name="Note 12 2 4 2 3 2" xfId="58767"/>
    <cellStyle name="Note 12 2 4 2 3 3" xfId="58768"/>
    <cellStyle name="Note 12 2 4 2 3 4" xfId="58769"/>
    <cellStyle name="Note 12 2 4 2 3 5" xfId="58770"/>
    <cellStyle name="Note 12 2 4 2 3 6" xfId="58771"/>
    <cellStyle name="Note 12 2 4 2 4" xfId="13034"/>
    <cellStyle name="Note 12 2 4 2 5" xfId="58772"/>
    <cellStyle name="Note 12 2 4 3" xfId="3718"/>
    <cellStyle name="Note 12 2 4 3 2" xfId="8997"/>
    <cellStyle name="Note 12 2 4 3 2 2" xfId="58773"/>
    <cellStyle name="Note 12 2 4 3 2 3" xfId="58774"/>
    <cellStyle name="Note 12 2 4 3 2 4" xfId="58775"/>
    <cellStyle name="Note 12 2 4 3 2 5" xfId="58776"/>
    <cellStyle name="Note 12 2 4 3 2 6" xfId="58777"/>
    <cellStyle name="Note 12 2 4 3 3" xfId="13036"/>
    <cellStyle name="Note 12 2 4 3 4" xfId="58778"/>
    <cellStyle name="Note 12 2 4 3 5" xfId="58779"/>
    <cellStyle name="Note 12 2 4 3 6" xfId="58780"/>
    <cellStyle name="Note 12 2 4 3 7" xfId="58781"/>
    <cellStyle name="Note 12 2 4 3 8" xfId="58782"/>
    <cellStyle name="Note 12 2 4 4" xfId="3719"/>
    <cellStyle name="Note 12 2 4 4 2" xfId="8998"/>
    <cellStyle name="Note 12 2 4 4 2 2" xfId="58783"/>
    <cellStyle name="Note 12 2 4 4 2 3" xfId="58784"/>
    <cellStyle name="Note 12 2 4 4 2 4" xfId="58785"/>
    <cellStyle name="Note 12 2 4 4 2 5" xfId="58786"/>
    <cellStyle name="Note 12 2 4 4 2 6" xfId="58787"/>
    <cellStyle name="Note 12 2 4 4 3" xfId="13037"/>
    <cellStyle name="Note 12 2 4 4 4" xfId="58788"/>
    <cellStyle name="Note 12 2 4 4 5" xfId="58789"/>
    <cellStyle name="Note 12 2 4 4 6" xfId="58790"/>
    <cellStyle name="Note 12 2 4 4 7" xfId="58791"/>
    <cellStyle name="Note 12 2 4 4 8" xfId="58792"/>
    <cellStyle name="Note 12 2 4 5" xfId="3720"/>
    <cellStyle name="Note 12 2 4 5 2" xfId="8999"/>
    <cellStyle name="Note 12 2 4 5 2 2" xfId="58793"/>
    <cellStyle name="Note 12 2 4 5 2 3" xfId="58794"/>
    <cellStyle name="Note 12 2 4 5 2 4" xfId="58795"/>
    <cellStyle name="Note 12 2 4 5 2 5" xfId="58796"/>
    <cellStyle name="Note 12 2 4 5 2 6" xfId="58797"/>
    <cellStyle name="Note 12 2 4 5 3" xfId="13038"/>
    <cellStyle name="Note 12 2 4 5 4" xfId="58798"/>
    <cellStyle name="Note 12 2 4 5 5" xfId="58799"/>
    <cellStyle name="Note 12 2 4 5 6" xfId="58800"/>
    <cellStyle name="Note 12 2 4 5 7" xfId="58801"/>
    <cellStyle name="Note 12 2 4 5 8" xfId="58802"/>
    <cellStyle name="Note 12 2 4 6" xfId="3721"/>
    <cellStyle name="Note 12 2 4 6 2" xfId="9000"/>
    <cellStyle name="Note 12 2 4 6 2 2" xfId="58803"/>
    <cellStyle name="Note 12 2 4 6 2 3" xfId="58804"/>
    <cellStyle name="Note 12 2 4 6 2 4" xfId="58805"/>
    <cellStyle name="Note 12 2 4 6 2 5" xfId="58806"/>
    <cellStyle name="Note 12 2 4 6 2 6" xfId="58807"/>
    <cellStyle name="Note 12 2 4 6 3" xfId="13039"/>
    <cellStyle name="Note 12 2 4 6 4" xfId="58808"/>
    <cellStyle name="Note 12 2 4 6 5" xfId="58809"/>
    <cellStyle name="Note 12 2 4 6 6" xfId="58810"/>
    <cellStyle name="Note 12 2 4 6 7" xfId="58811"/>
    <cellStyle name="Note 12 2 4 6 8" xfId="58812"/>
    <cellStyle name="Note 12 2 4 7" xfId="3722"/>
    <cellStyle name="Note 12 2 4 7 2" xfId="9001"/>
    <cellStyle name="Note 12 2 4 7 2 2" xfId="58813"/>
    <cellStyle name="Note 12 2 4 7 2 3" xfId="58814"/>
    <cellStyle name="Note 12 2 4 7 2 4" xfId="58815"/>
    <cellStyle name="Note 12 2 4 7 2 5" xfId="58816"/>
    <cellStyle name="Note 12 2 4 7 2 6" xfId="58817"/>
    <cellStyle name="Note 12 2 4 7 3" xfId="13040"/>
    <cellStyle name="Note 12 2 4 7 4" xfId="58818"/>
    <cellStyle name="Note 12 2 4 7 5" xfId="58819"/>
    <cellStyle name="Note 12 2 4 7 6" xfId="58820"/>
    <cellStyle name="Note 12 2 4 7 7" xfId="58821"/>
    <cellStyle name="Note 12 2 4 7 8" xfId="58822"/>
    <cellStyle name="Note 12 2 4 8" xfId="3723"/>
    <cellStyle name="Note 12 2 4 8 2" xfId="9002"/>
    <cellStyle name="Note 12 2 4 8 2 2" xfId="58823"/>
    <cellStyle name="Note 12 2 4 8 2 3" xfId="58824"/>
    <cellStyle name="Note 12 2 4 8 2 4" xfId="58825"/>
    <cellStyle name="Note 12 2 4 8 2 5" xfId="58826"/>
    <cellStyle name="Note 12 2 4 8 2 6" xfId="58827"/>
    <cellStyle name="Note 12 2 4 8 3" xfId="13041"/>
    <cellStyle name="Note 12 2 4 8 4" xfId="58828"/>
    <cellStyle name="Note 12 2 4 8 5" xfId="58829"/>
    <cellStyle name="Note 12 2 4 8 6" xfId="58830"/>
    <cellStyle name="Note 12 2 4 8 7" xfId="58831"/>
    <cellStyle name="Note 12 2 4 8 8" xfId="58832"/>
    <cellStyle name="Note 12 2 4 9" xfId="3724"/>
    <cellStyle name="Note 12 2 4 9 2" xfId="9003"/>
    <cellStyle name="Note 12 2 4 9 2 2" xfId="58833"/>
    <cellStyle name="Note 12 2 4 9 2 3" xfId="58834"/>
    <cellStyle name="Note 12 2 4 9 2 4" xfId="58835"/>
    <cellStyle name="Note 12 2 4 9 2 5" xfId="58836"/>
    <cellStyle name="Note 12 2 4 9 2 6" xfId="58837"/>
    <cellStyle name="Note 12 2 4 9 3" xfId="13042"/>
    <cellStyle name="Note 12 2 4 9 4" xfId="58838"/>
    <cellStyle name="Note 12 2 4 9 5" xfId="58839"/>
    <cellStyle name="Note 12 2 4 9 6" xfId="58840"/>
    <cellStyle name="Note 12 2 4 9 7" xfId="58841"/>
    <cellStyle name="Note 12 2 4 9 8" xfId="58842"/>
    <cellStyle name="Note 12 2 5" xfId="984"/>
    <cellStyle name="Note 12 2 5 10" xfId="2221"/>
    <cellStyle name="Note 12 2 5 10 2" xfId="7500"/>
    <cellStyle name="Note 12 2 5 10 2 2" xfId="58843"/>
    <cellStyle name="Note 12 2 5 10 2 3" xfId="58844"/>
    <cellStyle name="Note 12 2 5 10 2 4" xfId="58845"/>
    <cellStyle name="Note 12 2 5 10 2 5" xfId="58846"/>
    <cellStyle name="Note 12 2 5 10 3" xfId="11260"/>
    <cellStyle name="Note 12 2 5 10 4" xfId="58847"/>
    <cellStyle name="Note 12 2 5 10 5" xfId="58848"/>
    <cellStyle name="Note 12 2 5 10 6" xfId="58849"/>
    <cellStyle name="Note 12 2 5 10 7" xfId="58850"/>
    <cellStyle name="Note 12 2 5 11" xfId="6263"/>
    <cellStyle name="Note 12 2 5 11 2" xfId="58851"/>
    <cellStyle name="Note 12 2 5 11 3" xfId="58852"/>
    <cellStyle name="Note 12 2 5 11 4" xfId="58853"/>
    <cellStyle name="Note 12 2 5 11 5" xfId="58854"/>
    <cellStyle name="Note 12 2 5 12" xfId="58855"/>
    <cellStyle name="Note 12 2 5 13" xfId="58856"/>
    <cellStyle name="Note 12 2 5 2" xfId="1601"/>
    <cellStyle name="Note 12 2 5 2 2" xfId="2835"/>
    <cellStyle name="Note 12 2 5 2 2 2" xfId="8114"/>
    <cellStyle name="Note 12 2 5 2 2 2 2" xfId="58857"/>
    <cellStyle name="Note 12 2 5 2 2 2 3" xfId="58858"/>
    <cellStyle name="Note 12 2 5 2 2 2 4" xfId="58859"/>
    <cellStyle name="Note 12 2 5 2 2 2 5" xfId="58860"/>
    <cellStyle name="Note 12 2 5 2 2 3" xfId="13044"/>
    <cellStyle name="Note 12 2 5 2 2 4" xfId="58861"/>
    <cellStyle name="Note 12 2 5 2 2 5" xfId="58862"/>
    <cellStyle name="Note 12 2 5 2 2 6" xfId="58863"/>
    <cellStyle name="Note 12 2 5 2 2 7" xfId="58864"/>
    <cellStyle name="Note 12 2 5 2 3" xfId="6880"/>
    <cellStyle name="Note 12 2 5 2 3 2" xfId="58865"/>
    <cellStyle name="Note 12 2 5 2 3 3" xfId="58866"/>
    <cellStyle name="Note 12 2 5 2 3 4" xfId="58867"/>
    <cellStyle name="Note 12 2 5 2 3 5" xfId="58868"/>
    <cellStyle name="Note 12 2 5 2 3 6" xfId="58869"/>
    <cellStyle name="Note 12 2 5 2 4" xfId="13043"/>
    <cellStyle name="Note 12 2 5 2 5" xfId="58870"/>
    <cellStyle name="Note 12 2 5 3" xfId="3725"/>
    <cellStyle name="Note 12 2 5 3 2" xfId="9004"/>
    <cellStyle name="Note 12 2 5 3 2 2" xfId="58871"/>
    <cellStyle name="Note 12 2 5 3 2 3" xfId="58872"/>
    <cellStyle name="Note 12 2 5 3 2 4" xfId="58873"/>
    <cellStyle name="Note 12 2 5 3 2 5" xfId="58874"/>
    <cellStyle name="Note 12 2 5 3 2 6" xfId="58875"/>
    <cellStyle name="Note 12 2 5 3 3" xfId="13045"/>
    <cellStyle name="Note 12 2 5 3 4" xfId="58876"/>
    <cellStyle name="Note 12 2 5 3 5" xfId="58877"/>
    <cellStyle name="Note 12 2 5 3 6" xfId="58878"/>
    <cellStyle name="Note 12 2 5 3 7" xfId="58879"/>
    <cellStyle name="Note 12 2 5 3 8" xfId="58880"/>
    <cellStyle name="Note 12 2 5 4" xfId="3726"/>
    <cellStyle name="Note 12 2 5 4 2" xfId="9005"/>
    <cellStyle name="Note 12 2 5 4 2 2" xfId="58881"/>
    <cellStyle name="Note 12 2 5 4 2 3" xfId="58882"/>
    <cellStyle name="Note 12 2 5 4 2 4" xfId="58883"/>
    <cellStyle name="Note 12 2 5 4 2 5" xfId="58884"/>
    <cellStyle name="Note 12 2 5 4 2 6" xfId="58885"/>
    <cellStyle name="Note 12 2 5 4 3" xfId="13046"/>
    <cellStyle name="Note 12 2 5 4 4" xfId="58886"/>
    <cellStyle name="Note 12 2 5 4 5" xfId="58887"/>
    <cellStyle name="Note 12 2 5 4 6" xfId="58888"/>
    <cellStyle name="Note 12 2 5 4 7" xfId="58889"/>
    <cellStyle name="Note 12 2 5 4 8" xfId="58890"/>
    <cellStyle name="Note 12 2 5 5" xfId="3727"/>
    <cellStyle name="Note 12 2 5 5 2" xfId="9006"/>
    <cellStyle name="Note 12 2 5 5 2 2" xfId="58891"/>
    <cellStyle name="Note 12 2 5 5 2 3" xfId="58892"/>
    <cellStyle name="Note 12 2 5 5 2 4" xfId="58893"/>
    <cellStyle name="Note 12 2 5 5 2 5" xfId="58894"/>
    <cellStyle name="Note 12 2 5 5 2 6" xfId="58895"/>
    <cellStyle name="Note 12 2 5 5 3" xfId="13047"/>
    <cellStyle name="Note 12 2 5 5 4" xfId="58896"/>
    <cellStyle name="Note 12 2 5 5 5" xfId="58897"/>
    <cellStyle name="Note 12 2 5 5 6" xfId="58898"/>
    <cellStyle name="Note 12 2 5 5 7" xfId="58899"/>
    <cellStyle name="Note 12 2 5 5 8" xfId="58900"/>
    <cellStyle name="Note 12 2 5 6" xfId="3728"/>
    <cellStyle name="Note 12 2 5 6 2" xfId="9007"/>
    <cellStyle name="Note 12 2 5 6 2 2" xfId="58901"/>
    <cellStyle name="Note 12 2 5 6 2 3" xfId="58902"/>
    <cellStyle name="Note 12 2 5 6 2 4" xfId="58903"/>
    <cellStyle name="Note 12 2 5 6 2 5" xfId="58904"/>
    <cellStyle name="Note 12 2 5 6 2 6" xfId="58905"/>
    <cellStyle name="Note 12 2 5 6 3" xfId="13048"/>
    <cellStyle name="Note 12 2 5 6 4" xfId="58906"/>
    <cellStyle name="Note 12 2 5 6 5" xfId="58907"/>
    <cellStyle name="Note 12 2 5 6 6" xfId="58908"/>
    <cellStyle name="Note 12 2 5 6 7" xfId="58909"/>
    <cellStyle name="Note 12 2 5 6 8" xfId="58910"/>
    <cellStyle name="Note 12 2 5 7" xfId="3729"/>
    <cellStyle name="Note 12 2 5 7 2" xfId="9008"/>
    <cellStyle name="Note 12 2 5 7 2 2" xfId="58911"/>
    <cellStyle name="Note 12 2 5 7 2 3" xfId="58912"/>
    <cellStyle name="Note 12 2 5 7 2 4" xfId="58913"/>
    <cellStyle name="Note 12 2 5 7 2 5" xfId="58914"/>
    <cellStyle name="Note 12 2 5 7 2 6" xfId="58915"/>
    <cellStyle name="Note 12 2 5 7 3" xfId="13049"/>
    <cellStyle name="Note 12 2 5 7 4" xfId="58916"/>
    <cellStyle name="Note 12 2 5 7 5" xfId="58917"/>
    <cellStyle name="Note 12 2 5 7 6" xfId="58918"/>
    <cellStyle name="Note 12 2 5 7 7" xfId="58919"/>
    <cellStyle name="Note 12 2 5 7 8" xfId="58920"/>
    <cellStyle name="Note 12 2 5 8" xfId="3730"/>
    <cellStyle name="Note 12 2 5 8 2" xfId="9009"/>
    <cellStyle name="Note 12 2 5 8 2 2" xfId="58921"/>
    <cellStyle name="Note 12 2 5 8 2 3" xfId="58922"/>
    <cellStyle name="Note 12 2 5 8 2 4" xfId="58923"/>
    <cellStyle name="Note 12 2 5 8 2 5" xfId="58924"/>
    <cellStyle name="Note 12 2 5 8 2 6" xfId="58925"/>
    <cellStyle name="Note 12 2 5 8 3" xfId="13050"/>
    <cellStyle name="Note 12 2 5 8 4" xfId="58926"/>
    <cellStyle name="Note 12 2 5 8 5" xfId="58927"/>
    <cellStyle name="Note 12 2 5 8 6" xfId="58928"/>
    <cellStyle name="Note 12 2 5 8 7" xfId="58929"/>
    <cellStyle name="Note 12 2 5 8 8" xfId="58930"/>
    <cellStyle name="Note 12 2 5 9" xfId="3731"/>
    <cellStyle name="Note 12 2 5 9 2" xfId="9010"/>
    <cellStyle name="Note 12 2 5 9 2 2" xfId="58931"/>
    <cellStyle name="Note 12 2 5 9 2 3" xfId="58932"/>
    <cellStyle name="Note 12 2 5 9 2 4" xfId="58933"/>
    <cellStyle name="Note 12 2 5 9 2 5" xfId="58934"/>
    <cellStyle name="Note 12 2 5 9 2 6" xfId="58935"/>
    <cellStyle name="Note 12 2 5 9 3" xfId="13051"/>
    <cellStyle name="Note 12 2 5 9 4" xfId="58936"/>
    <cellStyle name="Note 12 2 5 9 5" xfId="58937"/>
    <cellStyle name="Note 12 2 5 9 6" xfId="58938"/>
    <cellStyle name="Note 12 2 5 9 7" xfId="58939"/>
    <cellStyle name="Note 12 2 5 9 8" xfId="58940"/>
    <cellStyle name="Note 12 2 6" xfId="985"/>
    <cellStyle name="Note 12 2 6 10" xfId="2222"/>
    <cellStyle name="Note 12 2 6 10 2" xfId="7501"/>
    <cellStyle name="Note 12 2 6 10 2 2" xfId="58941"/>
    <cellStyle name="Note 12 2 6 10 2 3" xfId="58942"/>
    <cellStyle name="Note 12 2 6 10 2 4" xfId="58943"/>
    <cellStyle name="Note 12 2 6 10 2 5" xfId="58944"/>
    <cellStyle name="Note 12 2 6 10 3" xfId="11261"/>
    <cellStyle name="Note 12 2 6 10 4" xfId="58945"/>
    <cellStyle name="Note 12 2 6 10 5" xfId="58946"/>
    <cellStyle name="Note 12 2 6 10 6" xfId="58947"/>
    <cellStyle name="Note 12 2 6 10 7" xfId="58948"/>
    <cellStyle name="Note 12 2 6 11" xfId="6264"/>
    <cellStyle name="Note 12 2 6 11 2" xfId="58949"/>
    <cellStyle name="Note 12 2 6 11 3" xfId="58950"/>
    <cellStyle name="Note 12 2 6 11 4" xfId="58951"/>
    <cellStyle name="Note 12 2 6 11 5" xfId="58952"/>
    <cellStyle name="Note 12 2 6 12" xfId="58953"/>
    <cellStyle name="Note 12 2 6 13" xfId="58954"/>
    <cellStyle name="Note 12 2 6 2" xfId="1602"/>
    <cellStyle name="Note 12 2 6 2 2" xfId="2836"/>
    <cellStyle name="Note 12 2 6 2 2 2" xfId="8115"/>
    <cellStyle name="Note 12 2 6 2 2 2 2" xfId="58955"/>
    <cellStyle name="Note 12 2 6 2 2 2 3" xfId="58956"/>
    <cellStyle name="Note 12 2 6 2 2 2 4" xfId="58957"/>
    <cellStyle name="Note 12 2 6 2 2 2 5" xfId="58958"/>
    <cellStyle name="Note 12 2 6 2 2 3" xfId="13053"/>
    <cellStyle name="Note 12 2 6 2 2 4" xfId="58959"/>
    <cellStyle name="Note 12 2 6 2 2 5" xfId="58960"/>
    <cellStyle name="Note 12 2 6 2 2 6" xfId="58961"/>
    <cellStyle name="Note 12 2 6 2 2 7" xfId="58962"/>
    <cellStyle name="Note 12 2 6 2 3" xfId="6881"/>
    <cellStyle name="Note 12 2 6 2 3 2" xfId="58963"/>
    <cellStyle name="Note 12 2 6 2 3 3" xfId="58964"/>
    <cellStyle name="Note 12 2 6 2 3 4" xfId="58965"/>
    <cellStyle name="Note 12 2 6 2 3 5" xfId="58966"/>
    <cellStyle name="Note 12 2 6 2 3 6" xfId="58967"/>
    <cellStyle name="Note 12 2 6 2 4" xfId="13052"/>
    <cellStyle name="Note 12 2 6 2 5" xfId="58968"/>
    <cellStyle name="Note 12 2 6 3" xfId="3732"/>
    <cellStyle name="Note 12 2 6 3 2" xfId="9011"/>
    <cellStyle name="Note 12 2 6 3 2 2" xfId="58969"/>
    <cellStyle name="Note 12 2 6 3 2 3" xfId="58970"/>
    <cellStyle name="Note 12 2 6 3 2 4" xfId="58971"/>
    <cellStyle name="Note 12 2 6 3 2 5" xfId="58972"/>
    <cellStyle name="Note 12 2 6 3 2 6" xfId="58973"/>
    <cellStyle name="Note 12 2 6 3 3" xfId="13054"/>
    <cellStyle name="Note 12 2 6 3 4" xfId="58974"/>
    <cellStyle name="Note 12 2 6 3 5" xfId="58975"/>
    <cellStyle name="Note 12 2 6 3 6" xfId="58976"/>
    <cellStyle name="Note 12 2 6 3 7" xfId="58977"/>
    <cellStyle name="Note 12 2 6 3 8" xfId="58978"/>
    <cellStyle name="Note 12 2 6 4" xfId="3733"/>
    <cellStyle name="Note 12 2 6 4 2" xfId="9012"/>
    <cellStyle name="Note 12 2 6 4 2 2" xfId="58979"/>
    <cellStyle name="Note 12 2 6 4 2 3" xfId="58980"/>
    <cellStyle name="Note 12 2 6 4 2 4" xfId="58981"/>
    <cellStyle name="Note 12 2 6 4 2 5" xfId="58982"/>
    <cellStyle name="Note 12 2 6 4 2 6" xfId="58983"/>
    <cellStyle name="Note 12 2 6 4 3" xfId="13055"/>
    <cellStyle name="Note 12 2 6 4 4" xfId="58984"/>
    <cellStyle name="Note 12 2 6 4 5" xfId="58985"/>
    <cellStyle name="Note 12 2 6 4 6" xfId="58986"/>
    <cellStyle name="Note 12 2 6 4 7" xfId="58987"/>
    <cellStyle name="Note 12 2 6 4 8" xfId="58988"/>
    <cellStyle name="Note 12 2 6 5" xfId="3734"/>
    <cellStyle name="Note 12 2 6 5 2" xfId="9013"/>
    <cellStyle name="Note 12 2 6 5 2 2" xfId="58989"/>
    <cellStyle name="Note 12 2 6 5 2 3" xfId="58990"/>
    <cellStyle name="Note 12 2 6 5 2 4" xfId="58991"/>
    <cellStyle name="Note 12 2 6 5 2 5" xfId="58992"/>
    <cellStyle name="Note 12 2 6 5 2 6" xfId="58993"/>
    <cellStyle name="Note 12 2 6 5 3" xfId="13056"/>
    <cellStyle name="Note 12 2 6 5 4" xfId="58994"/>
    <cellStyle name="Note 12 2 6 5 5" xfId="58995"/>
    <cellStyle name="Note 12 2 6 5 6" xfId="58996"/>
    <cellStyle name="Note 12 2 6 5 7" xfId="58997"/>
    <cellStyle name="Note 12 2 6 5 8" xfId="58998"/>
    <cellStyle name="Note 12 2 6 6" xfId="3735"/>
    <cellStyle name="Note 12 2 6 6 2" xfId="9014"/>
    <cellStyle name="Note 12 2 6 6 2 2" xfId="58999"/>
    <cellStyle name="Note 12 2 6 6 2 3" xfId="59000"/>
    <cellStyle name="Note 12 2 6 6 2 4" xfId="59001"/>
    <cellStyle name="Note 12 2 6 6 2 5" xfId="59002"/>
    <cellStyle name="Note 12 2 6 6 2 6" xfId="59003"/>
    <cellStyle name="Note 12 2 6 6 3" xfId="13057"/>
    <cellStyle name="Note 12 2 6 6 4" xfId="59004"/>
    <cellStyle name="Note 12 2 6 6 5" xfId="59005"/>
    <cellStyle name="Note 12 2 6 6 6" xfId="59006"/>
    <cellStyle name="Note 12 2 6 6 7" xfId="59007"/>
    <cellStyle name="Note 12 2 6 6 8" xfId="59008"/>
    <cellStyle name="Note 12 2 6 7" xfId="3736"/>
    <cellStyle name="Note 12 2 6 7 2" xfId="9015"/>
    <cellStyle name="Note 12 2 6 7 2 2" xfId="59009"/>
    <cellStyle name="Note 12 2 6 7 2 3" xfId="59010"/>
    <cellStyle name="Note 12 2 6 7 2 4" xfId="59011"/>
    <cellStyle name="Note 12 2 6 7 2 5" xfId="59012"/>
    <cellStyle name="Note 12 2 6 7 2 6" xfId="59013"/>
    <cellStyle name="Note 12 2 6 7 3" xfId="13058"/>
    <cellStyle name="Note 12 2 6 7 4" xfId="59014"/>
    <cellStyle name="Note 12 2 6 7 5" xfId="59015"/>
    <cellStyle name="Note 12 2 6 7 6" xfId="59016"/>
    <cellStyle name="Note 12 2 6 7 7" xfId="59017"/>
    <cellStyle name="Note 12 2 6 7 8" xfId="59018"/>
    <cellStyle name="Note 12 2 6 8" xfId="3737"/>
    <cellStyle name="Note 12 2 6 8 2" xfId="9016"/>
    <cellStyle name="Note 12 2 6 8 2 2" xfId="59019"/>
    <cellStyle name="Note 12 2 6 8 2 3" xfId="59020"/>
    <cellStyle name="Note 12 2 6 8 2 4" xfId="59021"/>
    <cellStyle name="Note 12 2 6 8 2 5" xfId="59022"/>
    <cellStyle name="Note 12 2 6 8 2 6" xfId="59023"/>
    <cellStyle name="Note 12 2 6 8 3" xfId="13059"/>
    <cellStyle name="Note 12 2 6 8 4" xfId="59024"/>
    <cellStyle name="Note 12 2 6 8 5" xfId="59025"/>
    <cellStyle name="Note 12 2 6 8 6" xfId="59026"/>
    <cellStyle name="Note 12 2 6 8 7" xfId="59027"/>
    <cellStyle name="Note 12 2 6 8 8" xfId="59028"/>
    <cellStyle name="Note 12 2 6 9" xfId="3738"/>
    <cellStyle name="Note 12 2 6 9 2" xfId="9017"/>
    <cellStyle name="Note 12 2 6 9 2 2" xfId="59029"/>
    <cellStyle name="Note 12 2 6 9 2 3" xfId="59030"/>
    <cellStyle name="Note 12 2 6 9 2 4" xfId="59031"/>
    <cellStyle name="Note 12 2 6 9 2 5" xfId="59032"/>
    <cellStyle name="Note 12 2 6 9 2 6" xfId="59033"/>
    <cellStyle name="Note 12 2 6 9 3" xfId="13060"/>
    <cellStyle name="Note 12 2 6 9 4" xfId="59034"/>
    <cellStyle name="Note 12 2 6 9 5" xfId="59035"/>
    <cellStyle name="Note 12 2 6 9 6" xfId="59036"/>
    <cellStyle name="Note 12 2 6 9 7" xfId="59037"/>
    <cellStyle name="Note 12 2 6 9 8" xfId="59038"/>
    <cellStyle name="Note 12 2 7" xfId="1275"/>
    <cellStyle name="Note 12 2 7 2" xfId="2509"/>
    <cellStyle name="Note 12 2 7 2 2" xfId="7788"/>
    <cellStyle name="Note 12 2 7 2 2 2" xfId="59039"/>
    <cellStyle name="Note 12 2 7 2 2 3" xfId="59040"/>
    <cellStyle name="Note 12 2 7 2 2 4" xfId="59041"/>
    <cellStyle name="Note 12 2 7 2 2 5" xfId="59042"/>
    <cellStyle name="Note 12 2 7 2 3" xfId="13062"/>
    <cellStyle name="Note 12 2 7 2 4" xfId="59043"/>
    <cellStyle name="Note 12 2 7 2 5" xfId="59044"/>
    <cellStyle name="Note 12 2 7 2 6" xfId="59045"/>
    <cellStyle name="Note 12 2 7 2 7" xfId="59046"/>
    <cellStyle name="Note 12 2 7 3" xfId="6554"/>
    <cellStyle name="Note 12 2 7 3 2" xfId="59047"/>
    <cellStyle name="Note 12 2 7 3 3" xfId="59048"/>
    <cellStyle name="Note 12 2 7 3 4" xfId="59049"/>
    <cellStyle name="Note 12 2 7 3 5" xfId="59050"/>
    <cellStyle name="Note 12 2 7 3 6" xfId="59051"/>
    <cellStyle name="Note 12 2 7 4" xfId="13061"/>
    <cellStyle name="Note 12 2 7 5" xfId="59052"/>
    <cellStyle name="Note 12 2 8" xfId="3739"/>
    <cellStyle name="Note 12 2 8 2" xfId="9018"/>
    <cellStyle name="Note 12 2 8 2 2" xfId="59053"/>
    <cellStyle name="Note 12 2 8 2 3" xfId="59054"/>
    <cellStyle name="Note 12 2 8 2 4" xfId="59055"/>
    <cellStyle name="Note 12 2 8 2 5" xfId="59056"/>
    <cellStyle name="Note 12 2 8 2 6" xfId="59057"/>
    <cellStyle name="Note 12 2 8 3" xfId="13063"/>
    <cellStyle name="Note 12 2 8 4" xfId="59058"/>
    <cellStyle name="Note 12 2 8 5" xfId="59059"/>
    <cellStyle name="Note 12 2 8 6" xfId="59060"/>
    <cellStyle name="Note 12 2 8 7" xfId="59061"/>
    <cellStyle name="Note 12 2 8 8" xfId="59062"/>
    <cellStyle name="Note 12 2 9" xfId="3740"/>
    <cellStyle name="Note 12 2 9 2" xfId="9019"/>
    <cellStyle name="Note 12 2 9 2 2" xfId="59063"/>
    <cellStyle name="Note 12 2 9 2 3" xfId="59064"/>
    <cellStyle name="Note 12 2 9 2 4" xfId="59065"/>
    <cellStyle name="Note 12 2 9 2 5" xfId="59066"/>
    <cellStyle name="Note 12 2 9 2 6" xfId="59067"/>
    <cellStyle name="Note 12 2 9 3" xfId="13064"/>
    <cellStyle name="Note 12 2 9 4" xfId="59068"/>
    <cellStyle name="Note 12 2 9 5" xfId="59069"/>
    <cellStyle name="Note 12 2 9 6" xfId="59070"/>
    <cellStyle name="Note 12 2 9 7" xfId="59071"/>
    <cellStyle name="Note 12 2 9 8" xfId="59072"/>
    <cellStyle name="Note 12 3" xfId="785"/>
    <cellStyle name="Note 12 3 10" xfId="59073"/>
    <cellStyle name="Note 12 3 11" xfId="59074"/>
    <cellStyle name="Note 12 3 2" xfId="1412"/>
    <cellStyle name="Note 12 3 2 2" xfId="2646"/>
    <cellStyle name="Note 12 3 2 2 2" xfId="7925"/>
    <cellStyle name="Note 12 3 2 2 2 2" xfId="59075"/>
    <cellStyle name="Note 12 3 2 2 2 3" xfId="59076"/>
    <cellStyle name="Note 12 3 2 2 2 4" xfId="59077"/>
    <cellStyle name="Note 12 3 2 2 2 5" xfId="59078"/>
    <cellStyle name="Note 12 3 2 2 3" xfId="13067"/>
    <cellStyle name="Note 12 3 2 2 4" xfId="59079"/>
    <cellStyle name="Note 12 3 2 2 5" xfId="59080"/>
    <cellStyle name="Note 12 3 2 2 6" xfId="59081"/>
    <cellStyle name="Note 12 3 2 2 7" xfId="59082"/>
    <cellStyle name="Note 12 3 2 3" xfId="6691"/>
    <cellStyle name="Note 12 3 2 3 2" xfId="59083"/>
    <cellStyle name="Note 12 3 2 3 3" xfId="59084"/>
    <cellStyle name="Note 12 3 2 3 4" xfId="59085"/>
    <cellStyle name="Note 12 3 2 3 5" xfId="59086"/>
    <cellStyle name="Note 12 3 2 3 6" xfId="59087"/>
    <cellStyle name="Note 12 3 2 4" xfId="13066"/>
    <cellStyle name="Note 12 3 2 5" xfId="59088"/>
    <cellStyle name="Note 12 3 3" xfId="1889"/>
    <cellStyle name="Note 12 3 3 2" xfId="3123"/>
    <cellStyle name="Note 12 3 3 2 2" xfId="8402"/>
    <cellStyle name="Note 12 3 3 2 2 2" xfId="59089"/>
    <cellStyle name="Note 12 3 3 2 2 3" xfId="59090"/>
    <cellStyle name="Note 12 3 3 2 2 4" xfId="59091"/>
    <cellStyle name="Note 12 3 3 2 2 5" xfId="59092"/>
    <cellStyle name="Note 12 3 3 2 3" xfId="13069"/>
    <cellStyle name="Note 12 3 3 2 4" xfId="59093"/>
    <cellStyle name="Note 12 3 3 2 5" xfId="59094"/>
    <cellStyle name="Note 12 3 3 2 6" xfId="59095"/>
    <cellStyle name="Note 12 3 3 2 7" xfId="59096"/>
    <cellStyle name="Note 12 3 3 3" xfId="7168"/>
    <cellStyle name="Note 12 3 3 3 2" xfId="59097"/>
    <cellStyle name="Note 12 3 3 3 3" xfId="59098"/>
    <cellStyle name="Note 12 3 3 3 4" xfId="59099"/>
    <cellStyle name="Note 12 3 3 3 5" xfId="59100"/>
    <cellStyle name="Note 12 3 3 3 6" xfId="59101"/>
    <cellStyle name="Note 12 3 3 4" xfId="13068"/>
    <cellStyle name="Note 12 3 3 5" xfId="59102"/>
    <cellStyle name="Note 12 3 4" xfId="3741"/>
    <cellStyle name="Note 12 3 4 2" xfId="9020"/>
    <cellStyle name="Note 12 3 4 2 2" xfId="59103"/>
    <cellStyle name="Note 12 3 4 2 3" xfId="59104"/>
    <cellStyle name="Note 12 3 4 2 4" xfId="59105"/>
    <cellStyle name="Note 12 3 4 2 5" xfId="59106"/>
    <cellStyle name="Note 12 3 4 2 6" xfId="59107"/>
    <cellStyle name="Note 12 3 4 3" xfId="13070"/>
    <cellStyle name="Note 12 3 4 4" xfId="59108"/>
    <cellStyle name="Note 12 3 4 5" xfId="59109"/>
    <cellStyle name="Note 12 3 4 6" xfId="59110"/>
    <cellStyle name="Note 12 3 4 7" xfId="59111"/>
    <cellStyle name="Note 12 3 4 8" xfId="59112"/>
    <cellStyle name="Note 12 3 5" xfId="3742"/>
    <cellStyle name="Note 12 3 5 2" xfId="9021"/>
    <cellStyle name="Note 12 3 5 2 2" xfId="59113"/>
    <cellStyle name="Note 12 3 5 2 3" xfId="59114"/>
    <cellStyle name="Note 12 3 5 2 4" xfId="59115"/>
    <cellStyle name="Note 12 3 5 2 5" xfId="59116"/>
    <cellStyle name="Note 12 3 5 2 6" xfId="59117"/>
    <cellStyle name="Note 12 3 5 3" xfId="13071"/>
    <cellStyle name="Note 12 3 5 4" xfId="59118"/>
    <cellStyle name="Note 12 3 5 5" xfId="59119"/>
    <cellStyle name="Note 12 3 5 6" xfId="59120"/>
    <cellStyle name="Note 12 3 5 7" xfId="59121"/>
    <cellStyle name="Note 12 3 5 8" xfId="59122"/>
    <cellStyle name="Note 12 3 6" xfId="3743"/>
    <cellStyle name="Note 12 3 6 2" xfId="9022"/>
    <cellStyle name="Note 12 3 6 2 2" xfId="59123"/>
    <cellStyle name="Note 12 3 6 2 3" xfId="59124"/>
    <cellStyle name="Note 12 3 6 2 4" xfId="59125"/>
    <cellStyle name="Note 12 3 6 2 5" xfId="59126"/>
    <cellStyle name="Note 12 3 6 2 6" xfId="59127"/>
    <cellStyle name="Note 12 3 6 3" xfId="13072"/>
    <cellStyle name="Note 12 3 6 4" xfId="59128"/>
    <cellStyle name="Note 12 3 6 5" xfId="59129"/>
    <cellStyle name="Note 12 3 6 6" xfId="59130"/>
    <cellStyle name="Note 12 3 6 7" xfId="59131"/>
    <cellStyle name="Note 12 3 6 8" xfId="59132"/>
    <cellStyle name="Note 12 3 7" xfId="3744"/>
    <cellStyle name="Note 12 3 7 2" xfId="9023"/>
    <cellStyle name="Note 12 3 7 2 2" xfId="59133"/>
    <cellStyle name="Note 12 3 7 2 3" xfId="59134"/>
    <cellStyle name="Note 12 3 7 2 4" xfId="59135"/>
    <cellStyle name="Note 12 3 7 2 5" xfId="59136"/>
    <cellStyle name="Note 12 3 7 2 6" xfId="59137"/>
    <cellStyle name="Note 12 3 7 3" xfId="13073"/>
    <cellStyle name="Note 12 3 7 4" xfId="59138"/>
    <cellStyle name="Note 12 3 7 5" xfId="59139"/>
    <cellStyle name="Note 12 3 7 6" xfId="59140"/>
    <cellStyle name="Note 12 3 7 7" xfId="59141"/>
    <cellStyle name="Note 12 3 7 8" xfId="59142"/>
    <cellStyle name="Note 12 3 8" xfId="6074"/>
    <cellStyle name="Note 12 3 8 2" xfId="59143"/>
    <cellStyle name="Note 12 3 8 3" xfId="59144"/>
    <cellStyle name="Note 12 3 8 4" xfId="59145"/>
    <cellStyle name="Note 12 3 8 5" xfId="59146"/>
    <cellStyle name="Note 12 3 8 6" xfId="59147"/>
    <cellStyle name="Note 12 3 9" xfId="13065"/>
    <cellStyle name="Note 12 3 9 2" xfId="59148"/>
    <cellStyle name="Note 12 4" xfId="986"/>
    <cellStyle name="Note 12 4 10" xfId="2223"/>
    <cellStyle name="Note 12 4 10 2" xfId="7502"/>
    <cellStyle name="Note 12 4 10 2 2" xfId="59149"/>
    <cellStyle name="Note 12 4 10 2 3" xfId="59150"/>
    <cellStyle name="Note 12 4 10 2 4" xfId="59151"/>
    <cellStyle name="Note 12 4 10 2 5" xfId="59152"/>
    <cellStyle name="Note 12 4 10 3" xfId="11262"/>
    <cellStyle name="Note 12 4 10 4" xfId="59153"/>
    <cellStyle name="Note 12 4 10 5" xfId="59154"/>
    <cellStyle name="Note 12 4 10 6" xfId="59155"/>
    <cellStyle name="Note 12 4 10 7" xfId="59156"/>
    <cellStyle name="Note 12 4 11" xfId="6265"/>
    <cellStyle name="Note 12 4 11 2" xfId="59157"/>
    <cellStyle name="Note 12 4 11 3" xfId="59158"/>
    <cellStyle name="Note 12 4 11 4" xfId="59159"/>
    <cellStyle name="Note 12 4 11 5" xfId="59160"/>
    <cellStyle name="Note 12 4 12" xfId="59161"/>
    <cellStyle name="Note 12 4 13" xfId="59162"/>
    <cellStyle name="Note 12 4 2" xfId="1603"/>
    <cellStyle name="Note 12 4 2 2" xfId="2837"/>
    <cellStyle name="Note 12 4 2 2 2" xfId="8116"/>
    <cellStyle name="Note 12 4 2 2 2 2" xfId="59163"/>
    <cellStyle name="Note 12 4 2 2 2 3" xfId="59164"/>
    <cellStyle name="Note 12 4 2 2 2 4" xfId="59165"/>
    <cellStyle name="Note 12 4 2 2 2 5" xfId="59166"/>
    <cellStyle name="Note 12 4 2 2 3" xfId="13075"/>
    <cellStyle name="Note 12 4 2 2 4" xfId="59167"/>
    <cellStyle name="Note 12 4 2 2 5" xfId="59168"/>
    <cellStyle name="Note 12 4 2 2 6" xfId="59169"/>
    <cellStyle name="Note 12 4 2 2 7" xfId="59170"/>
    <cellStyle name="Note 12 4 2 3" xfId="6882"/>
    <cellStyle name="Note 12 4 2 3 2" xfId="59171"/>
    <cellStyle name="Note 12 4 2 3 3" xfId="59172"/>
    <cellStyle name="Note 12 4 2 3 4" xfId="59173"/>
    <cellStyle name="Note 12 4 2 3 5" xfId="59174"/>
    <cellStyle name="Note 12 4 2 3 6" xfId="59175"/>
    <cellStyle name="Note 12 4 2 4" xfId="13074"/>
    <cellStyle name="Note 12 4 2 5" xfId="59176"/>
    <cellStyle name="Note 12 4 3" xfId="3745"/>
    <cellStyle name="Note 12 4 3 2" xfId="9024"/>
    <cellStyle name="Note 12 4 3 2 2" xfId="59177"/>
    <cellStyle name="Note 12 4 3 2 3" xfId="59178"/>
    <cellStyle name="Note 12 4 3 2 4" xfId="59179"/>
    <cellStyle name="Note 12 4 3 2 5" xfId="59180"/>
    <cellStyle name="Note 12 4 3 2 6" xfId="59181"/>
    <cellStyle name="Note 12 4 3 3" xfId="13076"/>
    <cellStyle name="Note 12 4 3 4" xfId="59182"/>
    <cellStyle name="Note 12 4 3 5" xfId="59183"/>
    <cellStyle name="Note 12 4 3 6" xfId="59184"/>
    <cellStyle name="Note 12 4 3 7" xfId="59185"/>
    <cellStyle name="Note 12 4 3 8" xfId="59186"/>
    <cellStyle name="Note 12 4 4" xfId="3746"/>
    <cellStyle name="Note 12 4 4 2" xfId="9025"/>
    <cellStyle name="Note 12 4 4 2 2" xfId="59187"/>
    <cellStyle name="Note 12 4 4 2 3" xfId="59188"/>
    <cellStyle name="Note 12 4 4 2 4" xfId="59189"/>
    <cellStyle name="Note 12 4 4 2 5" xfId="59190"/>
    <cellStyle name="Note 12 4 4 2 6" xfId="59191"/>
    <cellStyle name="Note 12 4 4 3" xfId="13077"/>
    <cellStyle name="Note 12 4 4 4" xfId="59192"/>
    <cellStyle name="Note 12 4 4 5" xfId="59193"/>
    <cellStyle name="Note 12 4 4 6" xfId="59194"/>
    <cellStyle name="Note 12 4 4 7" xfId="59195"/>
    <cellStyle name="Note 12 4 4 8" xfId="59196"/>
    <cellStyle name="Note 12 4 5" xfId="3747"/>
    <cellStyle name="Note 12 4 5 2" xfId="9026"/>
    <cellStyle name="Note 12 4 5 2 2" xfId="59197"/>
    <cellStyle name="Note 12 4 5 2 3" xfId="59198"/>
    <cellStyle name="Note 12 4 5 2 4" xfId="59199"/>
    <cellStyle name="Note 12 4 5 2 5" xfId="59200"/>
    <cellStyle name="Note 12 4 5 2 6" xfId="59201"/>
    <cellStyle name="Note 12 4 5 3" xfId="13078"/>
    <cellStyle name="Note 12 4 5 4" xfId="59202"/>
    <cellStyle name="Note 12 4 5 5" xfId="59203"/>
    <cellStyle name="Note 12 4 5 6" xfId="59204"/>
    <cellStyle name="Note 12 4 5 7" xfId="59205"/>
    <cellStyle name="Note 12 4 5 8" xfId="59206"/>
    <cellStyle name="Note 12 4 6" xfId="3748"/>
    <cellStyle name="Note 12 4 6 2" xfId="9027"/>
    <cellStyle name="Note 12 4 6 2 2" xfId="59207"/>
    <cellStyle name="Note 12 4 6 2 3" xfId="59208"/>
    <cellStyle name="Note 12 4 6 2 4" xfId="59209"/>
    <cellStyle name="Note 12 4 6 2 5" xfId="59210"/>
    <cellStyle name="Note 12 4 6 2 6" xfId="59211"/>
    <cellStyle name="Note 12 4 6 3" xfId="13079"/>
    <cellStyle name="Note 12 4 6 4" xfId="59212"/>
    <cellStyle name="Note 12 4 6 5" xfId="59213"/>
    <cellStyle name="Note 12 4 6 6" xfId="59214"/>
    <cellStyle name="Note 12 4 6 7" xfId="59215"/>
    <cellStyle name="Note 12 4 6 8" xfId="59216"/>
    <cellStyle name="Note 12 4 7" xfId="3749"/>
    <cellStyle name="Note 12 4 7 2" xfId="9028"/>
    <cellStyle name="Note 12 4 7 2 2" xfId="59217"/>
    <cellStyle name="Note 12 4 7 2 3" xfId="59218"/>
    <cellStyle name="Note 12 4 7 2 4" xfId="59219"/>
    <cellStyle name="Note 12 4 7 2 5" xfId="59220"/>
    <cellStyle name="Note 12 4 7 2 6" xfId="59221"/>
    <cellStyle name="Note 12 4 7 3" xfId="13080"/>
    <cellStyle name="Note 12 4 7 4" xfId="59222"/>
    <cellStyle name="Note 12 4 7 5" xfId="59223"/>
    <cellStyle name="Note 12 4 7 6" xfId="59224"/>
    <cellStyle name="Note 12 4 7 7" xfId="59225"/>
    <cellStyle name="Note 12 4 7 8" xfId="59226"/>
    <cellStyle name="Note 12 4 8" xfId="3750"/>
    <cellStyle name="Note 12 4 8 2" xfId="9029"/>
    <cellStyle name="Note 12 4 8 2 2" xfId="59227"/>
    <cellStyle name="Note 12 4 8 2 3" xfId="59228"/>
    <cellStyle name="Note 12 4 8 2 4" xfId="59229"/>
    <cellStyle name="Note 12 4 8 2 5" xfId="59230"/>
    <cellStyle name="Note 12 4 8 2 6" xfId="59231"/>
    <cellStyle name="Note 12 4 8 3" xfId="13081"/>
    <cellStyle name="Note 12 4 8 4" xfId="59232"/>
    <cellStyle name="Note 12 4 8 5" xfId="59233"/>
    <cellStyle name="Note 12 4 8 6" xfId="59234"/>
    <cellStyle name="Note 12 4 8 7" xfId="59235"/>
    <cellStyle name="Note 12 4 8 8" xfId="59236"/>
    <cellStyle name="Note 12 4 9" xfId="3751"/>
    <cellStyle name="Note 12 4 9 2" xfId="9030"/>
    <cellStyle name="Note 12 4 9 2 2" xfId="59237"/>
    <cellStyle name="Note 12 4 9 2 3" xfId="59238"/>
    <cellStyle name="Note 12 4 9 2 4" xfId="59239"/>
    <cellStyle name="Note 12 4 9 2 5" xfId="59240"/>
    <cellStyle name="Note 12 4 9 2 6" xfId="59241"/>
    <cellStyle name="Note 12 4 9 3" xfId="13082"/>
    <cellStyle name="Note 12 4 9 4" xfId="59242"/>
    <cellStyle name="Note 12 4 9 5" xfId="59243"/>
    <cellStyle name="Note 12 4 9 6" xfId="59244"/>
    <cellStyle name="Note 12 4 9 7" xfId="59245"/>
    <cellStyle name="Note 12 4 9 8" xfId="59246"/>
    <cellStyle name="Note 12 5" xfId="987"/>
    <cellStyle name="Note 12 5 10" xfId="2224"/>
    <cellStyle name="Note 12 5 10 2" xfId="7503"/>
    <cellStyle name="Note 12 5 10 2 2" xfId="59247"/>
    <cellStyle name="Note 12 5 10 2 3" xfId="59248"/>
    <cellStyle name="Note 12 5 10 2 4" xfId="59249"/>
    <cellStyle name="Note 12 5 10 2 5" xfId="59250"/>
    <cellStyle name="Note 12 5 10 3" xfId="11263"/>
    <cellStyle name="Note 12 5 10 4" xfId="59251"/>
    <cellStyle name="Note 12 5 10 5" xfId="59252"/>
    <cellStyle name="Note 12 5 10 6" xfId="59253"/>
    <cellStyle name="Note 12 5 10 7" xfId="59254"/>
    <cellStyle name="Note 12 5 11" xfId="6266"/>
    <cellStyle name="Note 12 5 11 2" xfId="59255"/>
    <cellStyle name="Note 12 5 11 3" xfId="59256"/>
    <cellStyle name="Note 12 5 11 4" xfId="59257"/>
    <cellStyle name="Note 12 5 11 5" xfId="59258"/>
    <cellStyle name="Note 12 5 12" xfId="59259"/>
    <cellStyle name="Note 12 5 13" xfId="59260"/>
    <cellStyle name="Note 12 5 2" xfId="1604"/>
    <cellStyle name="Note 12 5 2 2" xfId="2838"/>
    <cellStyle name="Note 12 5 2 2 2" xfId="8117"/>
    <cellStyle name="Note 12 5 2 2 2 2" xfId="59261"/>
    <cellStyle name="Note 12 5 2 2 2 3" xfId="59262"/>
    <cellStyle name="Note 12 5 2 2 2 4" xfId="59263"/>
    <cellStyle name="Note 12 5 2 2 2 5" xfId="59264"/>
    <cellStyle name="Note 12 5 2 2 3" xfId="13084"/>
    <cellStyle name="Note 12 5 2 2 4" xfId="59265"/>
    <cellStyle name="Note 12 5 2 2 5" xfId="59266"/>
    <cellStyle name="Note 12 5 2 2 6" xfId="59267"/>
    <cellStyle name="Note 12 5 2 2 7" xfId="59268"/>
    <cellStyle name="Note 12 5 2 3" xfId="6883"/>
    <cellStyle name="Note 12 5 2 3 2" xfId="59269"/>
    <cellStyle name="Note 12 5 2 3 3" xfId="59270"/>
    <cellStyle name="Note 12 5 2 3 4" xfId="59271"/>
    <cellStyle name="Note 12 5 2 3 5" xfId="59272"/>
    <cellStyle name="Note 12 5 2 3 6" xfId="59273"/>
    <cellStyle name="Note 12 5 2 4" xfId="13083"/>
    <cellStyle name="Note 12 5 2 5" xfId="59274"/>
    <cellStyle name="Note 12 5 3" xfId="3752"/>
    <cellStyle name="Note 12 5 3 2" xfId="9031"/>
    <cellStyle name="Note 12 5 3 2 2" xfId="59275"/>
    <cellStyle name="Note 12 5 3 2 3" xfId="59276"/>
    <cellStyle name="Note 12 5 3 2 4" xfId="59277"/>
    <cellStyle name="Note 12 5 3 2 5" xfId="59278"/>
    <cellStyle name="Note 12 5 3 2 6" xfId="59279"/>
    <cellStyle name="Note 12 5 3 3" xfId="13085"/>
    <cellStyle name="Note 12 5 3 4" xfId="59280"/>
    <cellStyle name="Note 12 5 3 5" xfId="59281"/>
    <cellStyle name="Note 12 5 3 6" xfId="59282"/>
    <cellStyle name="Note 12 5 3 7" xfId="59283"/>
    <cellStyle name="Note 12 5 3 8" xfId="59284"/>
    <cellStyle name="Note 12 5 4" xfId="3753"/>
    <cellStyle name="Note 12 5 4 2" xfId="9032"/>
    <cellStyle name="Note 12 5 4 2 2" xfId="59285"/>
    <cellStyle name="Note 12 5 4 2 3" xfId="59286"/>
    <cellStyle name="Note 12 5 4 2 4" xfId="59287"/>
    <cellStyle name="Note 12 5 4 2 5" xfId="59288"/>
    <cellStyle name="Note 12 5 4 2 6" xfId="59289"/>
    <cellStyle name="Note 12 5 4 3" xfId="13086"/>
    <cellStyle name="Note 12 5 4 4" xfId="59290"/>
    <cellStyle name="Note 12 5 4 5" xfId="59291"/>
    <cellStyle name="Note 12 5 4 6" xfId="59292"/>
    <cellStyle name="Note 12 5 4 7" xfId="59293"/>
    <cellStyle name="Note 12 5 4 8" xfId="59294"/>
    <cellStyle name="Note 12 5 5" xfId="3754"/>
    <cellStyle name="Note 12 5 5 2" xfId="9033"/>
    <cellStyle name="Note 12 5 5 2 2" xfId="59295"/>
    <cellStyle name="Note 12 5 5 2 3" xfId="59296"/>
    <cellStyle name="Note 12 5 5 2 4" xfId="59297"/>
    <cellStyle name="Note 12 5 5 2 5" xfId="59298"/>
    <cellStyle name="Note 12 5 5 2 6" xfId="59299"/>
    <cellStyle name="Note 12 5 5 3" xfId="13087"/>
    <cellStyle name="Note 12 5 5 4" xfId="59300"/>
    <cellStyle name="Note 12 5 5 5" xfId="59301"/>
    <cellStyle name="Note 12 5 5 6" xfId="59302"/>
    <cellStyle name="Note 12 5 5 7" xfId="59303"/>
    <cellStyle name="Note 12 5 5 8" xfId="59304"/>
    <cellStyle name="Note 12 5 6" xfId="3755"/>
    <cellStyle name="Note 12 5 6 2" xfId="9034"/>
    <cellStyle name="Note 12 5 6 2 2" xfId="59305"/>
    <cellStyle name="Note 12 5 6 2 3" xfId="59306"/>
    <cellStyle name="Note 12 5 6 2 4" xfId="59307"/>
    <cellStyle name="Note 12 5 6 2 5" xfId="59308"/>
    <cellStyle name="Note 12 5 6 2 6" xfId="59309"/>
    <cellStyle name="Note 12 5 6 3" xfId="13088"/>
    <cellStyle name="Note 12 5 6 4" xfId="59310"/>
    <cellStyle name="Note 12 5 6 5" xfId="59311"/>
    <cellStyle name="Note 12 5 6 6" xfId="59312"/>
    <cellStyle name="Note 12 5 6 7" xfId="59313"/>
    <cellStyle name="Note 12 5 6 8" xfId="59314"/>
    <cellStyle name="Note 12 5 7" xfId="3756"/>
    <cellStyle name="Note 12 5 7 2" xfId="9035"/>
    <cellStyle name="Note 12 5 7 2 2" xfId="59315"/>
    <cellStyle name="Note 12 5 7 2 3" xfId="59316"/>
    <cellStyle name="Note 12 5 7 2 4" xfId="59317"/>
    <cellStyle name="Note 12 5 7 2 5" xfId="59318"/>
    <cellStyle name="Note 12 5 7 2 6" xfId="59319"/>
    <cellStyle name="Note 12 5 7 3" xfId="13089"/>
    <cellStyle name="Note 12 5 7 4" xfId="59320"/>
    <cellStyle name="Note 12 5 7 5" xfId="59321"/>
    <cellStyle name="Note 12 5 7 6" xfId="59322"/>
    <cellStyle name="Note 12 5 7 7" xfId="59323"/>
    <cellStyle name="Note 12 5 7 8" xfId="59324"/>
    <cellStyle name="Note 12 5 8" xfId="3757"/>
    <cellStyle name="Note 12 5 8 2" xfId="9036"/>
    <cellStyle name="Note 12 5 8 2 2" xfId="59325"/>
    <cellStyle name="Note 12 5 8 2 3" xfId="59326"/>
    <cellStyle name="Note 12 5 8 2 4" xfId="59327"/>
    <cellStyle name="Note 12 5 8 2 5" xfId="59328"/>
    <cellStyle name="Note 12 5 8 2 6" xfId="59329"/>
    <cellStyle name="Note 12 5 8 3" xfId="13090"/>
    <cellStyle name="Note 12 5 8 4" xfId="59330"/>
    <cellStyle name="Note 12 5 8 5" xfId="59331"/>
    <cellStyle name="Note 12 5 8 6" xfId="59332"/>
    <cellStyle name="Note 12 5 8 7" xfId="59333"/>
    <cellStyle name="Note 12 5 8 8" xfId="59334"/>
    <cellStyle name="Note 12 5 9" xfId="3758"/>
    <cellStyle name="Note 12 5 9 2" xfId="9037"/>
    <cellStyle name="Note 12 5 9 2 2" xfId="59335"/>
    <cellStyle name="Note 12 5 9 2 3" xfId="59336"/>
    <cellStyle name="Note 12 5 9 2 4" xfId="59337"/>
    <cellStyle name="Note 12 5 9 2 5" xfId="59338"/>
    <cellStyle name="Note 12 5 9 2 6" xfId="59339"/>
    <cellStyle name="Note 12 5 9 3" xfId="13091"/>
    <cellStyle name="Note 12 5 9 4" xfId="59340"/>
    <cellStyle name="Note 12 5 9 5" xfId="59341"/>
    <cellStyle name="Note 12 5 9 6" xfId="59342"/>
    <cellStyle name="Note 12 5 9 7" xfId="59343"/>
    <cellStyle name="Note 12 5 9 8" xfId="59344"/>
    <cellStyle name="Note 12 6" xfId="988"/>
    <cellStyle name="Note 12 6 10" xfId="2225"/>
    <cellStyle name="Note 12 6 10 2" xfId="7504"/>
    <cellStyle name="Note 12 6 10 2 2" xfId="59345"/>
    <cellStyle name="Note 12 6 10 2 3" xfId="59346"/>
    <cellStyle name="Note 12 6 10 2 4" xfId="59347"/>
    <cellStyle name="Note 12 6 10 2 5" xfId="59348"/>
    <cellStyle name="Note 12 6 10 3" xfId="11264"/>
    <cellStyle name="Note 12 6 10 4" xfId="59349"/>
    <cellStyle name="Note 12 6 10 5" xfId="59350"/>
    <cellStyle name="Note 12 6 10 6" xfId="59351"/>
    <cellStyle name="Note 12 6 10 7" xfId="59352"/>
    <cellStyle name="Note 12 6 11" xfId="6267"/>
    <cellStyle name="Note 12 6 11 2" xfId="59353"/>
    <cellStyle name="Note 12 6 11 3" xfId="59354"/>
    <cellStyle name="Note 12 6 11 4" xfId="59355"/>
    <cellStyle name="Note 12 6 11 5" xfId="59356"/>
    <cellStyle name="Note 12 6 12" xfId="59357"/>
    <cellStyle name="Note 12 6 13" xfId="59358"/>
    <cellStyle name="Note 12 6 2" xfId="1605"/>
    <cellStyle name="Note 12 6 2 2" xfId="2839"/>
    <cellStyle name="Note 12 6 2 2 2" xfId="8118"/>
    <cellStyle name="Note 12 6 2 2 2 2" xfId="59359"/>
    <cellStyle name="Note 12 6 2 2 2 3" xfId="59360"/>
    <cellStyle name="Note 12 6 2 2 2 4" xfId="59361"/>
    <cellStyle name="Note 12 6 2 2 2 5" xfId="59362"/>
    <cellStyle name="Note 12 6 2 2 3" xfId="13093"/>
    <cellStyle name="Note 12 6 2 2 4" xfId="59363"/>
    <cellStyle name="Note 12 6 2 2 5" xfId="59364"/>
    <cellStyle name="Note 12 6 2 2 6" xfId="59365"/>
    <cellStyle name="Note 12 6 2 2 7" xfId="59366"/>
    <cellStyle name="Note 12 6 2 3" xfId="6884"/>
    <cellStyle name="Note 12 6 2 3 2" xfId="59367"/>
    <cellStyle name="Note 12 6 2 3 3" xfId="59368"/>
    <cellStyle name="Note 12 6 2 3 4" xfId="59369"/>
    <cellStyle name="Note 12 6 2 3 5" xfId="59370"/>
    <cellStyle name="Note 12 6 2 3 6" xfId="59371"/>
    <cellStyle name="Note 12 6 2 4" xfId="13092"/>
    <cellStyle name="Note 12 6 2 5" xfId="59372"/>
    <cellStyle name="Note 12 6 3" xfId="3759"/>
    <cellStyle name="Note 12 6 3 2" xfId="9038"/>
    <cellStyle name="Note 12 6 3 2 2" xfId="59373"/>
    <cellStyle name="Note 12 6 3 2 3" xfId="59374"/>
    <cellStyle name="Note 12 6 3 2 4" xfId="59375"/>
    <cellStyle name="Note 12 6 3 2 5" xfId="59376"/>
    <cellStyle name="Note 12 6 3 2 6" xfId="59377"/>
    <cellStyle name="Note 12 6 3 3" xfId="13094"/>
    <cellStyle name="Note 12 6 3 4" xfId="59378"/>
    <cellStyle name="Note 12 6 3 5" xfId="59379"/>
    <cellStyle name="Note 12 6 3 6" xfId="59380"/>
    <cellStyle name="Note 12 6 3 7" xfId="59381"/>
    <cellStyle name="Note 12 6 3 8" xfId="59382"/>
    <cellStyle name="Note 12 6 4" xfId="3760"/>
    <cellStyle name="Note 12 6 4 2" xfId="9039"/>
    <cellStyle name="Note 12 6 4 2 2" xfId="59383"/>
    <cellStyle name="Note 12 6 4 2 3" xfId="59384"/>
    <cellStyle name="Note 12 6 4 2 4" xfId="59385"/>
    <cellStyle name="Note 12 6 4 2 5" xfId="59386"/>
    <cellStyle name="Note 12 6 4 2 6" xfId="59387"/>
    <cellStyle name="Note 12 6 4 3" xfId="13095"/>
    <cellStyle name="Note 12 6 4 4" xfId="59388"/>
    <cellStyle name="Note 12 6 4 5" xfId="59389"/>
    <cellStyle name="Note 12 6 4 6" xfId="59390"/>
    <cellStyle name="Note 12 6 4 7" xfId="59391"/>
    <cellStyle name="Note 12 6 4 8" xfId="59392"/>
    <cellStyle name="Note 12 6 5" xfId="3761"/>
    <cellStyle name="Note 12 6 5 2" xfId="9040"/>
    <cellStyle name="Note 12 6 5 2 2" xfId="59393"/>
    <cellStyle name="Note 12 6 5 2 3" xfId="59394"/>
    <cellStyle name="Note 12 6 5 2 4" xfId="59395"/>
    <cellStyle name="Note 12 6 5 2 5" xfId="59396"/>
    <cellStyle name="Note 12 6 5 2 6" xfId="59397"/>
    <cellStyle name="Note 12 6 5 3" xfId="13096"/>
    <cellStyle name="Note 12 6 5 4" xfId="59398"/>
    <cellStyle name="Note 12 6 5 5" xfId="59399"/>
    <cellStyle name="Note 12 6 5 6" xfId="59400"/>
    <cellStyle name="Note 12 6 5 7" xfId="59401"/>
    <cellStyle name="Note 12 6 5 8" xfId="59402"/>
    <cellStyle name="Note 12 6 6" xfId="3762"/>
    <cellStyle name="Note 12 6 6 2" xfId="9041"/>
    <cellStyle name="Note 12 6 6 2 2" xfId="59403"/>
    <cellStyle name="Note 12 6 6 2 3" xfId="59404"/>
    <cellStyle name="Note 12 6 6 2 4" xfId="59405"/>
    <cellStyle name="Note 12 6 6 2 5" xfId="59406"/>
    <cellStyle name="Note 12 6 6 2 6" xfId="59407"/>
    <cellStyle name="Note 12 6 6 3" xfId="13097"/>
    <cellStyle name="Note 12 6 6 4" xfId="59408"/>
    <cellStyle name="Note 12 6 6 5" xfId="59409"/>
    <cellStyle name="Note 12 6 6 6" xfId="59410"/>
    <cellStyle name="Note 12 6 6 7" xfId="59411"/>
    <cellStyle name="Note 12 6 6 8" xfId="59412"/>
    <cellStyle name="Note 12 6 7" xfId="3763"/>
    <cellStyle name="Note 12 6 7 2" xfId="9042"/>
    <cellStyle name="Note 12 6 7 2 2" xfId="59413"/>
    <cellStyle name="Note 12 6 7 2 3" xfId="59414"/>
    <cellStyle name="Note 12 6 7 2 4" xfId="59415"/>
    <cellStyle name="Note 12 6 7 2 5" xfId="59416"/>
    <cellStyle name="Note 12 6 7 2 6" xfId="59417"/>
    <cellStyle name="Note 12 6 7 3" xfId="13098"/>
    <cellStyle name="Note 12 6 7 4" xfId="59418"/>
    <cellStyle name="Note 12 6 7 5" xfId="59419"/>
    <cellStyle name="Note 12 6 7 6" xfId="59420"/>
    <cellStyle name="Note 12 6 7 7" xfId="59421"/>
    <cellStyle name="Note 12 6 7 8" xfId="59422"/>
    <cellStyle name="Note 12 6 8" xfId="3764"/>
    <cellStyle name="Note 12 6 8 2" xfId="9043"/>
    <cellStyle name="Note 12 6 8 2 2" xfId="59423"/>
    <cellStyle name="Note 12 6 8 2 3" xfId="59424"/>
    <cellStyle name="Note 12 6 8 2 4" xfId="59425"/>
    <cellStyle name="Note 12 6 8 2 5" xfId="59426"/>
    <cellStyle name="Note 12 6 8 2 6" xfId="59427"/>
    <cellStyle name="Note 12 6 8 3" xfId="13099"/>
    <cellStyle name="Note 12 6 8 4" xfId="59428"/>
    <cellStyle name="Note 12 6 8 5" xfId="59429"/>
    <cellStyle name="Note 12 6 8 6" xfId="59430"/>
    <cellStyle name="Note 12 6 8 7" xfId="59431"/>
    <cellStyle name="Note 12 6 8 8" xfId="59432"/>
    <cellStyle name="Note 12 6 9" xfId="3765"/>
    <cellStyle name="Note 12 6 9 2" xfId="9044"/>
    <cellStyle name="Note 12 6 9 2 2" xfId="59433"/>
    <cellStyle name="Note 12 6 9 2 3" xfId="59434"/>
    <cellStyle name="Note 12 6 9 2 4" xfId="59435"/>
    <cellStyle name="Note 12 6 9 2 5" xfId="59436"/>
    <cellStyle name="Note 12 6 9 2 6" xfId="59437"/>
    <cellStyle name="Note 12 6 9 3" xfId="13100"/>
    <cellStyle name="Note 12 6 9 4" xfId="59438"/>
    <cellStyle name="Note 12 6 9 5" xfId="59439"/>
    <cellStyle name="Note 12 6 9 6" xfId="59440"/>
    <cellStyle name="Note 12 6 9 7" xfId="59441"/>
    <cellStyle name="Note 12 6 9 8" xfId="59442"/>
    <cellStyle name="Note 12 7" xfId="989"/>
    <cellStyle name="Note 12 7 10" xfId="2226"/>
    <cellStyle name="Note 12 7 10 2" xfId="7505"/>
    <cellStyle name="Note 12 7 10 2 2" xfId="59443"/>
    <cellStyle name="Note 12 7 10 2 3" xfId="59444"/>
    <cellStyle name="Note 12 7 10 2 4" xfId="59445"/>
    <cellStyle name="Note 12 7 10 2 5" xfId="59446"/>
    <cellStyle name="Note 12 7 10 3" xfId="11265"/>
    <cellStyle name="Note 12 7 10 4" xfId="59447"/>
    <cellStyle name="Note 12 7 10 5" xfId="59448"/>
    <cellStyle name="Note 12 7 10 6" xfId="59449"/>
    <cellStyle name="Note 12 7 10 7" xfId="59450"/>
    <cellStyle name="Note 12 7 11" xfId="6268"/>
    <cellStyle name="Note 12 7 11 2" xfId="59451"/>
    <cellStyle name="Note 12 7 11 3" xfId="59452"/>
    <cellStyle name="Note 12 7 11 4" xfId="59453"/>
    <cellStyle name="Note 12 7 11 5" xfId="59454"/>
    <cellStyle name="Note 12 7 12" xfId="59455"/>
    <cellStyle name="Note 12 7 13" xfId="59456"/>
    <cellStyle name="Note 12 7 2" xfId="1606"/>
    <cellStyle name="Note 12 7 2 2" xfId="2840"/>
    <cellStyle name="Note 12 7 2 2 2" xfId="8119"/>
    <cellStyle name="Note 12 7 2 2 2 2" xfId="59457"/>
    <cellStyle name="Note 12 7 2 2 2 3" xfId="59458"/>
    <cellStyle name="Note 12 7 2 2 2 4" xfId="59459"/>
    <cellStyle name="Note 12 7 2 2 2 5" xfId="59460"/>
    <cellStyle name="Note 12 7 2 2 3" xfId="13102"/>
    <cellStyle name="Note 12 7 2 2 4" xfId="59461"/>
    <cellStyle name="Note 12 7 2 2 5" xfId="59462"/>
    <cellStyle name="Note 12 7 2 2 6" xfId="59463"/>
    <cellStyle name="Note 12 7 2 2 7" xfId="59464"/>
    <cellStyle name="Note 12 7 2 3" xfId="6885"/>
    <cellStyle name="Note 12 7 2 3 2" xfId="59465"/>
    <cellStyle name="Note 12 7 2 3 3" xfId="59466"/>
    <cellStyle name="Note 12 7 2 3 4" xfId="59467"/>
    <cellStyle name="Note 12 7 2 3 5" xfId="59468"/>
    <cellStyle name="Note 12 7 2 3 6" xfId="59469"/>
    <cellStyle name="Note 12 7 2 4" xfId="13101"/>
    <cellStyle name="Note 12 7 2 5" xfId="59470"/>
    <cellStyle name="Note 12 7 3" xfId="3766"/>
    <cellStyle name="Note 12 7 3 2" xfId="9045"/>
    <cellStyle name="Note 12 7 3 2 2" xfId="59471"/>
    <cellStyle name="Note 12 7 3 2 3" xfId="59472"/>
    <cellStyle name="Note 12 7 3 2 4" xfId="59473"/>
    <cellStyle name="Note 12 7 3 2 5" xfId="59474"/>
    <cellStyle name="Note 12 7 3 2 6" xfId="59475"/>
    <cellStyle name="Note 12 7 3 3" xfId="13103"/>
    <cellStyle name="Note 12 7 3 4" xfId="59476"/>
    <cellStyle name="Note 12 7 3 5" xfId="59477"/>
    <cellStyle name="Note 12 7 3 6" xfId="59478"/>
    <cellStyle name="Note 12 7 3 7" xfId="59479"/>
    <cellStyle name="Note 12 7 3 8" xfId="59480"/>
    <cellStyle name="Note 12 7 4" xfId="3767"/>
    <cellStyle name="Note 12 7 4 2" xfId="9046"/>
    <cellStyle name="Note 12 7 4 2 2" xfId="59481"/>
    <cellStyle name="Note 12 7 4 2 3" xfId="59482"/>
    <cellStyle name="Note 12 7 4 2 4" xfId="59483"/>
    <cellStyle name="Note 12 7 4 2 5" xfId="59484"/>
    <cellStyle name="Note 12 7 4 2 6" xfId="59485"/>
    <cellStyle name="Note 12 7 4 3" xfId="13104"/>
    <cellStyle name="Note 12 7 4 4" xfId="59486"/>
    <cellStyle name="Note 12 7 4 5" xfId="59487"/>
    <cellStyle name="Note 12 7 4 6" xfId="59488"/>
    <cellStyle name="Note 12 7 4 7" xfId="59489"/>
    <cellStyle name="Note 12 7 4 8" xfId="59490"/>
    <cellStyle name="Note 12 7 5" xfId="3768"/>
    <cellStyle name="Note 12 7 5 2" xfId="9047"/>
    <cellStyle name="Note 12 7 5 2 2" xfId="59491"/>
    <cellStyle name="Note 12 7 5 2 3" xfId="59492"/>
    <cellStyle name="Note 12 7 5 2 4" xfId="59493"/>
    <cellStyle name="Note 12 7 5 2 5" xfId="59494"/>
    <cellStyle name="Note 12 7 5 2 6" xfId="59495"/>
    <cellStyle name="Note 12 7 5 3" xfId="13105"/>
    <cellStyle name="Note 12 7 5 4" xfId="59496"/>
    <cellStyle name="Note 12 7 5 5" xfId="59497"/>
    <cellStyle name="Note 12 7 5 6" xfId="59498"/>
    <cellStyle name="Note 12 7 5 7" xfId="59499"/>
    <cellStyle name="Note 12 7 5 8" xfId="59500"/>
    <cellStyle name="Note 12 7 6" xfId="3769"/>
    <cellStyle name="Note 12 7 6 2" xfId="9048"/>
    <cellStyle name="Note 12 7 6 2 2" xfId="59501"/>
    <cellStyle name="Note 12 7 6 2 3" xfId="59502"/>
    <cellStyle name="Note 12 7 6 2 4" xfId="59503"/>
    <cellStyle name="Note 12 7 6 2 5" xfId="59504"/>
    <cellStyle name="Note 12 7 6 2 6" xfId="59505"/>
    <cellStyle name="Note 12 7 6 3" xfId="13106"/>
    <cellStyle name="Note 12 7 6 4" xfId="59506"/>
    <cellStyle name="Note 12 7 6 5" xfId="59507"/>
    <cellStyle name="Note 12 7 6 6" xfId="59508"/>
    <cellStyle name="Note 12 7 6 7" xfId="59509"/>
    <cellStyle name="Note 12 7 6 8" xfId="59510"/>
    <cellStyle name="Note 12 7 7" xfId="3770"/>
    <cellStyle name="Note 12 7 7 2" xfId="9049"/>
    <cellStyle name="Note 12 7 7 2 2" xfId="59511"/>
    <cellStyle name="Note 12 7 7 2 3" xfId="59512"/>
    <cellStyle name="Note 12 7 7 2 4" xfId="59513"/>
    <cellStyle name="Note 12 7 7 2 5" xfId="59514"/>
    <cellStyle name="Note 12 7 7 2 6" xfId="59515"/>
    <cellStyle name="Note 12 7 7 3" xfId="13107"/>
    <cellStyle name="Note 12 7 7 4" xfId="59516"/>
    <cellStyle name="Note 12 7 7 5" xfId="59517"/>
    <cellStyle name="Note 12 7 7 6" xfId="59518"/>
    <cellStyle name="Note 12 7 7 7" xfId="59519"/>
    <cellStyle name="Note 12 7 7 8" xfId="59520"/>
    <cellStyle name="Note 12 7 8" xfId="3771"/>
    <cellStyle name="Note 12 7 8 2" xfId="9050"/>
    <cellStyle name="Note 12 7 8 2 2" xfId="59521"/>
    <cellStyle name="Note 12 7 8 2 3" xfId="59522"/>
    <cellStyle name="Note 12 7 8 2 4" xfId="59523"/>
    <cellStyle name="Note 12 7 8 2 5" xfId="59524"/>
    <cellStyle name="Note 12 7 8 2 6" xfId="59525"/>
    <cellStyle name="Note 12 7 8 3" xfId="13108"/>
    <cellStyle name="Note 12 7 8 4" xfId="59526"/>
    <cellStyle name="Note 12 7 8 5" xfId="59527"/>
    <cellStyle name="Note 12 7 8 6" xfId="59528"/>
    <cellStyle name="Note 12 7 8 7" xfId="59529"/>
    <cellStyle name="Note 12 7 8 8" xfId="59530"/>
    <cellStyle name="Note 12 7 9" xfId="3772"/>
    <cellStyle name="Note 12 7 9 2" xfId="9051"/>
    <cellStyle name="Note 12 7 9 2 2" xfId="59531"/>
    <cellStyle name="Note 12 7 9 2 3" xfId="59532"/>
    <cellStyle name="Note 12 7 9 2 4" xfId="59533"/>
    <cellStyle name="Note 12 7 9 2 5" xfId="59534"/>
    <cellStyle name="Note 12 7 9 2 6" xfId="59535"/>
    <cellStyle name="Note 12 7 9 3" xfId="13109"/>
    <cellStyle name="Note 12 7 9 4" xfId="59536"/>
    <cellStyle name="Note 12 7 9 5" xfId="59537"/>
    <cellStyle name="Note 12 7 9 6" xfId="59538"/>
    <cellStyle name="Note 12 7 9 7" xfId="59539"/>
    <cellStyle name="Note 12 7 9 8" xfId="59540"/>
    <cellStyle name="Note 12 8" xfId="1274"/>
    <cellStyle name="Note 12 8 2" xfId="2508"/>
    <cellStyle name="Note 12 8 2 2" xfId="7787"/>
    <cellStyle name="Note 12 8 2 2 2" xfId="59541"/>
    <cellStyle name="Note 12 8 2 2 3" xfId="59542"/>
    <cellStyle name="Note 12 8 2 2 4" xfId="59543"/>
    <cellStyle name="Note 12 8 2 2 5" xfId="59544"/>
    <cellStyle name="Note 12 8 2 3" xfId="13111"/>
    <cellStyle name="Note 12 8 2 4" xfId="59545"/>
    <cellStyle name="Note 12 8 2 5" xfId="59546"/>
    <cellStyle name="Note 12 8 2 6" xfId="59547"/>
    <cellStyle name="Note 12 8 2 7" xfId="59548"/>
    <cellStyle name="Note 12 8 3" xfId="6553"/>
    <cellStyle name="Note 12 8 3 2" xfId="59549"/>
    <cellStyle name="Note 12 8 3 3" xfId="59550"/>
    <cellStyle name="Note 12 8 3 4" xfId="59551"/>
    <cellStyle name="Note 12 8 3 5" xfId="59552"/>
    <cellStyle name="Note 12 8 3 6" xfId="59553"/>
    <cellStyle name="Note 12 8 4" xfId="13110"/>
    <cellStyle name="Note 12 8 5" xfId="59554"/>
    <cellStyle name="Note 12 9" xfId="3773"/>
    <cellStyle name="Note 12 9 2" xfId="9052"/>
    <cellStyle name="Note 12 9 2 2" xfId="59555"/>
    <cellStyle name="Note 12 9 2 3" xfId="59556"/>
    <cellStyle name="Note 12 9 2 4" xfId="59557"/>
    <cellStyle name="Note 12 9 2 5" xfId="59558"/>
    <cellStyle name="Note 12 9 2 6" xfId="59559"/>
    <cellStyle name="Note 12 9 3" xfId="13112"/>
    <cellStyle name="Note 12 9 4" xfId="59560"/>
    <cellStyle name="Note 12 9 5" xfId="59561"/>
    <cellStyle name="Note 12 9 6" xfId="59562"/>
    <cellStyle name="Note 12 9 7" xfId="59563"/>
    <cellStyle name="Note 12 9 8" xfId="59564"/>
    <cellStyle name="Note 13" xfId="587"/>
    <cellStyle name="Note 13 10" xfId="3774"/>
    <cellStyle name="Note 13 10 2" xfId="9053"/>
    <cellStyle name="Note 13 10 2 2" xfId="59565"/>
    <cellStyle name="Note 13 10 2 3" xfId="59566"/>
    <cellStyle name="Note 13 10 2 4" xfId="59567"/>
    <cellStyle name="Note 13 10 2 5" xfId="59568"/>
    <cellStyle name="Note 13 10 2 6" xfId="59569"/>
    <cellStyle name="Note 13 10 3" xfId="13113"/>
    <cellStyle name="Note 13 10 4" xfId="59570"/>
    <cellStyle name="Note 13 10 5" xfId="59571"/>
    <cellStyle name="Note 13 10 6" xfId="59572"/>
    <cellStyle name="Note 13 10 7" xfId="59573"/>
    <cellStyle name="Note 13 10 8" xfId="59574"/>
    <cellStyle name="Note 13 11" xfId="3775"/>
    <cellStyle name="Note 13 11 2" xfId="9054"/>
    <cellStyle name="Note 13 11 2 2" xfId="59575"/>
    <cellStyle name="Note 13 11 2 3" xfId="59576"/>
    <cellStyle name="Note 13 11 2 4" xfId="59577"/>
    <cellStyle name="Note 13 11 2 5" xfId="59578"/>
    <cellStyle name="Note 13 11 2 6" xfId="59579"/>
    <cellStyle name="Note 13 11 3" xfId="13114"/>
    <cellStyle name="Note 13 11 4" xfId="59580"/>
    <cellStyle name="Note 13 11 5" xfId="59581"/>
    <cellStyle name="Note 13 11 6" xfId="59582"/>
    <cellStyle name="Note 13 11 7" xfId="59583"/>
    <cellStyle name="Note 13 11 8" xfId="59584"/>
    <cellStyle name="Note 13 12" xfId="3776"/>
    <cellStyle name="Note 13 12 2" xfId="9055"/>
    <cellStyle name="Note 13 12 2 2" xfId="59585"/>
    <cellStyle name="Note 13 12 2 3" xfId="59586"/>
    <cellStyle name="Note 13 12 2 4" xfId="59587"/>
    <cellStyle name="Note 13 12 2 5" xfId="59588"/>
    <cellStyle name="Note 13 12 2 6" xfId="59589"/>
    <cellStyle name="Note 13 12 3" xfId="13115"/>
    <cellStyle name="Note 13 12 4" xfId="59590"/>
    <cellStyle name="Note 13 12 5" xfId="59591"/>
    <cellStyle name="Note 13 12 6" xfId="59592"/>
    <cellStyle name="Note 13 12 7" xfId="59593"/>
    <cellStyle name="Note 13 12 8" xfId="59594"/>
    <cellStyle name="Note 13 13" xfId="1963"/>
    <cellStyle name="Note 13 13 2" xfId="7242"/>
    <cellStyle name="Note 13 13 2 2" xfId="59595"/>
    <cellStyle name="Note 13 13 2 3" xfId="59596"/>
    <cellStyle name="Note 13 13 2 4" xfId="59597"/>
    <cellStyle name="Note 13 13 2 5" xfId="59598"/>
    <cellStyle name="Note 13 13 3" xfId="11266"/>
    <cellStyle name="Note 13 13 4" xfId="59599"/>
    <cellStyle name="Note 13 13 5" xfId="59600"/>
    <cellStyle name="Note 13 13 6" xfId="59601"/>
    <cellStyle name="Note 13 14" xfId="5938"/>
    <cellStyle name="Note 13 14 2" xfId="59602"/>
    <cellStyle name="Note 13 14 3" xfId="59603"/>
    <cellStyle name="Note 13 14 4" xfId="59604"/>
    <cellStyle name="Note 13 14 5" xfId="59605"/>
    <cellStyle name="Note 13 15" xfId="59606"/>
    <cellStyle name="Note 13 16" xfId="59607"/>
    <cellStyle name="Note 13 2" xfId="588"/>
    <cellStyle name="Note 13 2 10" xfId="3777"/>
    <cellStyle name="Note 13 2 10 2" xfId="9056"/>
    <cellStyle name="Note 13 2 10 2 2" xfId="59608"/>
    <cellStyle name="Note 13 2 10 2 3" xfId="59609"/>
    <cellStyle name="Note 13 2 10 2 4" xfId="59610"/>
    <cellStyle name="Note 13 2 10 2 5" xfId="59611"/>
    <cellStyle name="Note 13 2 10 2 6" xfId="59612"/>
    <cellStyle name="Note 13 2 10 3" xfId="13116"/>
    <cellStyle name="Note 13 2 10 4" xfId="59613"/>
    <cellStyle name="Note 13 2 10 5" xfId="59614"/>
    <cellStyle name="Note 13 2 10 6" xfId="59615"/>
    <cellStyle name="Note 13 2 10 7" xfId="59616"/>
    <cellStyle name="Note 13 2 10 8" xfId="59617"/>
    <cellStyle name="Note 13 2 11" xfId="3778"/>
    <cellStyle name="Note 13 2 11 2" xfId="9057"/>
    <cellStyle name="Note 13 2 11 2 2" xfId="59618"/>
    <cellStyle name="Note 13 2 11 2 3" xfId="59619"/>
    <cellStyle name="Note 13 2 11 2 4" xfId="59620"/>
    <cellStyle name="Note 13 2 11 2 5" xfId="59621"/>
    <cellStyle name="Note 13 2 11 2 6" xfId="59622"/>
    <cellStyle name="Note 13 2 11 3" xfId="13117"/>
    <cellStyle name="Note 13 2 11 4" xfId="59623"/>
    <cellStyle name="Note 13 2 11 5" xfId="59624"/>
    <cellStyle name="Note 13 2 11 6" xfId="59625"/>
    <cellStyle name="Note 13 2 11 7" xfId="59626"/>
    <cellStyle name="Note 13 2 11 8" xfId="59627"/>
    <cellStyle name="Note 13 2 12" xfId="1964"/>
    <cellStyle name="Note 13 2 12 2" xfId="7243"/>
    <cellStyle name="Note 13 2 12 2 2" xfId="59628"/>
    <cellStyle name="Note 13 2 12 2 3" xfId="59629"/>
    <cellStyle name="Note 13 2 12 2 4" xfId="59630"/>
    <cellStyle name="Note 13 2 12 2 5" xfId="59631"/>
    <cellStyle name="Note 13 2 12 3" xfId="11267"/>
    <cellStyle name="Note 13 2 12 4" xfId="59632"/>
    <cellStyle name="Note 13 2 12 5" xfId="59633"/>
    <cellStyle name="Note 13 2 12 6" xfId="59634"/>
    <cellStyle name="Note 13 2 13" xfId="5939"/>
    <cellStyle name="Note 13 2 13 2" xfId="59635"/>
    <cellStyle name="Note 13 2 13 3" xfId="59636"/>
    <cellStyle name="Note 13 2 13 4" xfId="59637"/>
    <cellStyle name="Note 13 2 13 5" xfId="59638"/>
    <cellStyle name="Note 13 2 14" xfId="59639"/>
    <cellStyle name="Note 13 2 15" xfId="59640"/>
    <cellStyle name="Note 13 2 2" xfId="782"/>
    <cellStyle name="Note 13 2 2 10" xfId="59641"/>
    <cellStyle name="Note 13 2 2 11" xfId="59642"/>
    <cellStyle name="Note 13 2 2 2" xfId="1409"/>
    <cellStyle name="Note 13 2 2 2 2" xfId="2643"/>
    <cellStyle name="Note 13 2 2 2 2 2" xfId="7922"/>
    <cellStyle name="Note 13 2 2 2 2 2 2" xfId="59643"/>
    <cellStyle name="Note 13 2 2 2 2 2 3" xfId="59644"/>
    <cellStyle name="Note 13 2 2 2 2 2 4" xfId="59645"/>
    <cellStyle name="Note 13 2 2 2 2 2 5" xfId="59646"/>
    <cellStyle name="Note 13 2 2 2 2 3" xfId="13120"/>
    <cellStyle name="Note 13 2 2 2 2 4" xfId="59647"/>
    <cellStyle name="Note 13 2 2 2 2 5" xfId="59648"/>
    <cellStyle name="Note 13 2 2 2 2 6" xfId="59649"/>
    <cellStyle name="Note 13 2 2 2 2 7" xfId="59650"/>
    <cellStyle name="Note 13 2 2 2 3" xfId="6688"/>
    <cellStyle name="Note 13 2 2 2 3 2" xfId="59651"/>
    <cellStyle name="Note 13 2 2 2 3 3" xfId="59652"/>
    <cellStyle name="Note 13 2 2 2 3 4" xfId="59653"/>
    <cellStyle name="Note 13 2 2 2 3 5" xfId="59654"/>
    <cellStyle name="Note 13 2 2 2 3 6" xfId="59655"/>
    <cellStyle name="Note 13 2 2 2 4" xfId="13119"/>
    <cellStyle name="Note 13 2 2 2 5" xfId="59656"/>
    <cellStyle name="Note 13 2 2 3" xfId="1886"/>
    <cellStyle name="Note 13 2 2 3 2" xfId="3120"/>
    <cellStyle name="Note 13 2 2 3 2 2" xfId="8399"/>
    <cellStyle name="Note 13 2 2 3 2 2 2" xfId="59657"/>
    <cellStyle name="Note 13 2 2 3 2 2 3" xfId="59658"/>
    <cellStyle name="Note 13 2 2 3 2 2 4" xfId="59659"/>
    <cellStyle name="Note 13 2 2 3 2 2 5" xfId="59660"/>
    <cellStyle name="Note 13 2 2 3 2 3" xfId="13122"/>
    <cellStyle name="Note 13 2 2 3 2 4" xfId="59661"/>
    <cellStyle name="Note 13 2 2 3 2 5" xfId="59662"/>
    <cellStyle name="Note 13 2 2 3 2 6" xfId="59663"/>
    <cellStyle name="Note 13 2 2 3 2 7" xfId="59664"/>
    <cellStyle name="Note 13 2 2 3 3" xfId="7165"/>
    <cellStyle name="Note 13 2 2 3 3 2" xfId="59665"/>
    <cellStyle name="Note 13 2 2 3 3 3" xfId="59666"/>
    <cellStyle name="Note 13 2 2 3 3 4" xfId="59667"/>
    <cellStyle name="Note 13 2 2 3 3 5" xfId="59668"/>
    <cellStyle name="Note 13 2 2 3 3 6" xfId="59669"/>
    <cellStyle name="Note 13 2 2 3 4" xfId="13121"/>
    <cellStyle name="Note 13 2 2 3 5" xfId="59670"/>
    <cellStyle name="Note 13 2 2 4" xfId="3779"/>
    <cellStyle name="Note 13 2 2 4 2" xfId="9058"/>
    <cellStyle name="Note 13 2 2 4 2 2" xfId="59671"/>
    <cellStyle name="Note 13 2 2 4 2 3" xfId="59672"/>
    <cellStyle name="Note 13 2 2 4 2 4" xfId="59673"/>
    <cellStyle name="Note 13 2 2 4 2 5" xfId="59674"/>
    <cellStyle name="Note 13 2 2 4 2 6" xfId="59675"/>
    <cellStyle name="Note 13 2 2 4 3" xfId="13123"/>
    <cellStyle name="Note 13 2 2 4 4" xfId="59676"/>
    <cellStyle name="Note 13 2 2 4 5" xfId="59677"/>
    <cellStyle name="Note 13 2 2 4 6" xfId="59678"/>
    <cellStyle name="Note 13 2 2 4 7" xfId="59679"/>
    <cellStyle name="Note 13 2 2 4 8" xfId="59680"/>
    <cellStyle name="Note 13 2 2 5" xfId="3780"/>
    <cellStyle name="Note 13 2 2 5 2" xfId="9059"/>
    <cellStyle name="Note 13 2 2 5 2 2" xfId="59681"/>
    <cellStyle name="Note 13 2 2 5 2 3" xfId="59682"/>
    <cellStyle name="Note 13 2 2 5 2 4" xfId="59683"/>
    <cellStyle name="Note 13 2 2 5 2 5" xfId="59684"/>
    <cellStyle name="Note 13 2 2 5 2 6" xfId="59685"/>
    <cellStyle name="Note 13 2 2 5 3" xfId="13124"/>
    <cellStyle name="Note 13 2 2 5 4" xfId="59686"/>
    <cellStyle name="Note 13 2 2 5 5" xfId="59687"/>
    <cellStyle name="Note 13 2 2 5 6" xfId="59688"/>
    <cellStyle name="Note 13 2 2 5 7" xfId="59689"/>
    <cellStyle name="Note 13 2 2 5 8" xfId="59690"/>
    <cellStyle name="Note 13 2 2 6" xfId="3781"/>
    <cellStyle name="Note 13 2 2 6 2" xfId="9060"/>
    <cellStyle name="Note 13 2 2 6 2 2" xfId="59691"/>
    <cellStyle name="Note 13 2 2 6 2 3" xfId="59692"/>
    <cellStyle name="Note 13 2 2 6 2 4" xfId="59693"/>
    <cellStyle name="Note 13 2 2 6 2 5" xfId="59694"/>
    <cellStyle name="Note 13 2 2 6 2 6" xfId="59695"/>
    <cellStyle name="Note 13 2 2 6 3" xfId="13125"/>
    <cellStyle name="Note 13 2 2 6 4" xfId="59696"/>
    <cellStyle name="Note 13 2 2 6 5" xfId="59697"/>
    <cellStyle name="Note 13 2 2 6 6" xfId="59698"/>
    <cellStyle name="Note 13 2 2 6 7" xfId="59699"/>
    <cellStyle name="Note 13 2 2 6 8" xfId="59700"/>
    <cellStyle name="Note 13 2 2 7" xfId="3782"/>
    <cellStyle name="Note 13 2 2 7 2" xfId="9061"/>
    <cellStyle name="Note 13 2 2 7 2 2" xfId="59701"/>
    <cellStyle name="Note 13 2 2 7 2 3" xfId="59702"/>
    <cellStyle name="Note 13 2 2 7 2 4" xfId="59703"/>
    <cellStyle name="Note 13 2 2 7 2 5" xfId="59704"/>
    <cellStyle name="Note 13 2 2 7 2 6" xfId="59705"/>
    <cellStyle name="Note 13 2 2 7 3" xfId="13126"/>
    <cellStyle name="Note 13 2 2 7 4" xfId="59706"/>
    <cellStyle name="Note 13 2 2 7 5" xfId="59707"/>
    <cellStyle name="Note 13 2 2 7 6" xfId="59708"/>
    <cellStyle name="Note 13 2 2 7 7" xfId="59709"/>
    <cellStyle name="Note 13 2 2 7 8" xfId="59710"/>
    <cellStyle name="Note 13 2 2 8" xfId="6071"/>
    <cellStyle name="Note 13 2 2 8 2" xfId="59711"/>
    <cellStyle name="Note 13 2 2 8 3" xfId="59712"/>
    <cellStyle name="Note 13 2 2 8 4" xfId="59713"/>
    <cellStyle name="Note 13 2 2 8 5" xfId="59714"/>
    <cellStyle name="Note 13 2 2 8 6" xfId="59715"/>
    <cellStyle name="Note 13 2 2 9" xfId="13118"/>
    <cellStyle name="Note 13 2 2 9 2" xfId="59716"/>
    <cellStyle name="Note 13 2 3" xfId="990"/>
    <cellStyle name="Note 13 2 3 10" xfId="2227"/>
    <cellStyle name="Note 13 2 3 10 2" xfId="7506"/>
    <cellStyle name="Note 13 2 3 10 2 2" xfId="59717"/>
    <cellStyle name="Note 13 2 3 10 2 3" xfId="59718"/>
    <cellStyle name="Note 13 2 3 10 2 4" xfId="59719"/>
    <cellStyle name="Note 13 2 3 10 2 5" xfId="59720"/>
    <cellStyle name="Note 13 2 3 10 3" xfId="11268"/>
    <cellStyle name="Note 13 2 3 10 4" xfId="59721"/>
    <cellStyle name="Note 13 2 3 10 5" xfId="59722"/>
    <cellStyle name="Note 13 2 3 10 6" xfId="59723"/>
    <cellStyle name="Note 13 2 3 10 7" xfId="59724"/>
    <cellStyle name="Note 13 2 3 11" xfId="6269"/>
    <cellStyle name="Note 13 2 3 11 2" xfId="59725"/>
    <cellStyle name="Note 13 2 3 11 3" xfId="59726"/>
    <cellStyle name="Note 13 2 3 11 4" xfId="59727"/>
    <cellStyle name="Note 13 2 3 11 5" xfId="59728"/>
    <cellStyle name="Note 13 2 3 12" xfId="59729"/>
    <cellStyle name="Note 13 2 3 13" xfId="59730"/>
    <cellStyle name="Note 13 2 3 2" xfId="1607"/>
    <cellStyle name="Note 13 2 3 2 2" xfId="2841"/>
    <cellStyle name="Note 13 2 3 2 2 2" xfId="8120"/>
    <cellStyle name="Note 13 2 3 2 2 2 2" xfId="59731"/>
    <cellStyle name="Note 13 2 3 2 2 2 3" xfId="59732"/>
    <cellStyle name="Note 13 2 3 2 2 2 4" xfId="59733"/>
    <cellStyle name="Note 13 2 3 2 2 2 5" xfId="59734"/>
    <cellStyle name="Note 13 2 3 2 2 3" xfId="13128"/>
    <cellStyle name="Note 13 2 3 2 2 4" xfId="59735"/>
    <cellStyle name="Note 13 2 3 2 2 5" xfId="59736"/>
    <cellStyle name="Note 13 2 3 2 2 6" xfId="59737"/>
    <cellStyle name="Note 13 2 3 2 2 7" xfId="59738"/>
    <cellStyle name="Note 13 2 3 2 3" xfId="6886"/>
    <cellStyle name="Note 13 2 3 2 3 2" xfId="59739"/>
    <cellStyle name="Note 13 2 3 2 3 3" xfId="59740"/>
    <cellStyle name="Note 13 2 3 2 3 4" xfId="59741"/>
    <cellStyle name="Note 13 2 3 2 3 5" xfId="59742"/>
    <cellStyle name="Note 13 2 3 2 3 6" xfId="59743"/>
    <cellStyle name="Note 13 2 3 2 4" xfId="13127"/>
    <cellStyle name="Note 13 2 3 2 5" xfId="59744"/>
    <cellStyle name="Note 13 2 3 3" xfId="3783"/>
    <cellStyle name="Note 13 2 3 3 2" xfId="9062"/>
    <cellStyle name="Note 13 2 3 3 2 2" xfId="59745"/>
    <cellStyle name="Note 13 2 3 3 2 3" xfId="59746"/>
    <cellStyle name="Note 13 2 3 3 2 4" xfId="59747"/>
    <cellStyle name="Note 13 2 3 3 2 5" xfId="59748"/>
    <cellStyle name="Note 13 2 3 3 2 6" xfId="59749"/>
    <cellStyle name="Note 13 2 3 3 3" xfId="13129"/>
    <cellStyle name="Note 13 2 3 3 4" xfId="59750"/>
    <cellStyle name="Note 13 2 3 3 5" xfId="59751"/>
    <cellStyle name="Note 13 2 3 3 6" xfId="59752"/>
    <cellStyle name="Note 13 2 3 3 7" xfId="59753"/>
    <cellStyle name="Note 13 2 3 3 8" xfId="59754"/>
    <cellStyle name="Note 13 2 3 4" xfId="3784"/>
    <cellStyle name="Note 13 2 3 4 2" xfId="9063"/>
    <cellStyle name="Note 13 2 3 4 2 2" xfId="59755"/>
    <cellStyle name="Note 13 2 3 4 2 3" xfId="59756"/>
    <cellStyle name="Note 13 2 3 4 2 4" xfId="59757"/>
    <cellStyle name="Note 13 2 3 4 2 5" xfId="59758"/>
    <cellStyle name="Note 13 2 3 4 2 6" xfId="59759"/>
    <cellStyle name="Note 13 2 3 4 3" xfId="13130"/>
    <cellStyle name="Note 13 2 3 4 4" xfId="59760"/>
    <cellStyle name="Note 13 2 3 4 5" xfId="59761"/>
    <cellStyle name="Note 13 2 3 4 6" xfId="59762"/>
    <cellStyle name="Note 13 2 3 4 7" xfId="59763"/>
    <cellStyle name="Note 13 2 3 4 8" xfId="59764"/>
    <cellStyle name="Note 13 2 3 5" xfId="3785"/>
    <cellStyle name="Note 13 2 3 5 2" xfId="9064"/>
    <cellStyle name="Note 13 2 3 5 2 2" xfId="59765"/>
    <cellStyle name="Note 13 2 3 5 2 3" xfId="59766"/>
    <cellStyle name="Note 13 2 3 5 2 4" xfId="59767"/>
    <cellStyle name="Note 13 2 3 5 2 5" xfId="59768"/>
    <cellStyle name="Note 13 2 3 5 2 6" xfId="59769"/>
    <cellStyle name="Note 13 2 3 5 3" xfId="13131"/>
    <cellStyle name="Note 13 2 3 5 4" xfId="59770"/>
    <cellStyle name="Note 13 2 3 5 5" xfId="59771"/>
    <cellStyle name="Note 13 2 3 5 6" xfId="59772"/>
    <cellStyle name="Note 13 2 3 5 7" xfId="59773"/>
    <cellStyle name="Note 13 2 3 5 8" xfId="59774"/>
    <cellStyle name="Note 13 2 3 6" xfId="3786"/>
    <cellStyle name="Note 13 2 3 6 2" xfId="9065"/>
    <cellStyle name="Note 13 2 3 6 2 2" xfId="59775"/>
    <cellStyle name="Note 13 2 3 6 2 3" xfId="59776"/>
    <cellStyle name="Note 13 2 3 6 2 4" xfId="59777"/>
    <cellStyle name="Note 13 2 3 6 2 5" xfId="59778"/>
    <cellStyle name="Note 13 2 3 6 2 6" xfId="59779"/>
    <cellStyle name="Note 13 2 3 6 3" xfId="13132"/>
    <cellStyle name="Note 13 2 3 6 4" xfId="59780"/>
    <cellStyle name="Note 13 2 3 6 5" xfId="59781"/>
    <cellStyle name="Note 13 2 3 6 6" xfId="59782"/>
    <cellStyle name="Note 13 2 3 6 7" xfId="59783"/>
    <cellStyle name="Note 13 2 3 6 8" xfId="59784"/>
    <cellStyle name="Note 13 2 3 7" xfId="3787"/>
    <cellStyle name="Note 13 2 3 7 2" xfId="9066"/>
    <cellStyle name="Note 13 2 3 7 2 2" xfId="59785"/>
    <cellStyle name="Note 13 2 3 7 2 3" xfId="59786"/>
    <cellStyle name="Note 13 2 3 7 2 4" xfId="59787"/>
    <cellStyle name="Note 13 2 3 7 2 5" xfId="59788"/>
    <cellStyle name="Note 13 2 3 7 2 6" xfId="59789"/>
    <cellStyle name="Note 13 2 3 7 3" xfId="13133"/>
    <cellStyle name="Note 13 2 3 7 4" xfId="59790"/>
    <cellStyle name="Note 13 2 3 7 5" xfId="59791"/>
    <cellStyle name="Note 13 2 3 7 6" xfId="59792"/>
    <cellStyle name="Note 13 2 3 7 7" xfId="59793"/>
    <cellStyle name="Note 13 2 3 7 8" xfId="59794"/>
    <cellStyle name="Note 13 2 3 8" xfId="3788"/>
    <cellStyle name="Note 13 2 3 8 2" xfId="9067"/>
    <cellStyle name="Note 13 2 3 8 2 2" xfId="59795"/>
    <cellStyle name="Note 13 2 3 8 2 3" xfId="59796"/>
    <cellStyle name="Note 13 2 3 8 2 4" xfId="59797"/>
    <cellStyle name="Note 13 2 3 8 2 5" xfId="59798"/>
    <cellStyle name="Note 13 2 3 8 2 6" xfId="59799"/>
    <cellStyle name="Note 13 2 3 8 3" xfId="13134"/>
    <cellStyle name="Note 13 2 3 8 4" xfId="59800"/>
    <cellStyle name="Note 13 2 3 8 5" xfId="59801"/>
    <cellStyle name="Note 13 2 3 8 6" xfId="59802"/>
    <cellStyle name="Note 13 2 3 8 7" xfId="59803"/>
    <cellStyle name="Note 13 2 3 8 8" xfId="59804"/>
    <cellStyle name="Note 13 2 3 9" xfId="3789"/>
    <cellStyle name="Note 13 2 3 9 2" xfId="9068"/>
    <cellStyle name="Note 13 2 3 9 2 2" xfId="59805"/>
    <cellStyle name="Note 13 2 3 9 2 3" xfId="59806"/>
    <cellStyle name="Note 13 2 3 9 2 4" xfId="59807"/>
    <cellStyle name="Note 13 2 3 9 2 5" xfId="59808"/>
    <cellStyle name="Note 13 2 3 9 2 6" xfId="59809"/>
    <cellStyle name="Note 13 2 3 9 3" xfId="13135"/>
    <cellStyle name="Note 13 2 3 9 4" xfId="59810"/>
    <cellStyle name="Note 13 2 3 9 5" xfId="59811"/>
    <cellStyle name="Note 13 2 3 9 6" xfId="59812"/>
    <cellStyle name="Note 13 2 3 9 7" xfId="59813"/>
    <cellStyle name="Note 13 2 3 9 8" xfId="59814"/>
    <cellStyle name="Note 13 2 4" xfId="991"/>
    <cellStyle name="Note 13 2 4 10" xfId="2228"/>
    <cellStyle name="Note 13 2 4 10 2" xfId="7507"/>
    <cellStyle name="Note 13 2 4 10 2 2" xfId="59815"/>
    <cellStyle name="Note 13 2 4 10 2 3" xfId="59816"/>
    <cellStyle name="Note 13 2 4 10 2 4" xfId="59817"/>
    <cellStyle name="Note 13 2 4 10 2 5" xfId="59818"/>
    <cellStyle name="Note 13 2 4 10 3" xfId="11269"/>
    <cellStyle name="Note 13 2 4 10 4" xfId="59819"/>
    <cellStyle name="Note 13 2 4 10 5" xfId="59820"/>
    <cellStyle name="Note 13 2 4 10 6" xfId="59821"/>
    <cellStyle name="Note 13 2 4 10 7" xfId="59822"/>
    <cellStyle name="Note 13 2 4 11" xfId="6270"/>
    <cellStyle name="Note 13 2 4 11 2" xfId="59823"/>
    <cellStyle name="Note 13 2 4 11 3" xfId="59824"/>
    <cellStyle name="Note 13 2 4 11 4" xfId="59825"/>
    <cellStyle name="Note 13 2 4 11 5" xfId="59826"/>
    <cellStyle name="Note 13 2 4 12" xfId="59827"/>
    <cellStyle name="Note 13 2 4 13" xfId="59828"/>
    <cellStyle name="Note 13 2 4 2" xfId="1608"/>
    <cellStyle name="Note 13 2 4 2 2" xfId="2842"/>
    <cellStyle name="Note 13 2 4 2 2 2" xfId="8121"/>
    <cellStyle name="Note 13 2 4 2 2 2 2" xfId="59829"/>
    <cellStyle name="Note 13 2 4 2 2 2 3" xfId="59830"/>
    <cellStyle name="Note 13 2 4 2 2 2 4" xfId="59831"/>
    <cellStyle name="Note 13 2 4 2 2 2 5" xfId="59832"/>
    <cellStyle name="Note 13 2 4 2 2 3" xfId="13137"/>
    <cellStyle name="Note 13 2 4 2 2 4" xfId="59833"/>
    <cellStyle name="Note 13 2 4 2 2 5" xfId="59834"/>
    <cellStyle name="Note 13 2 4 2 2 6" xfId="59835"/>
    <cellStyle name="Note 13 2 4 2 2 7" xfId="59836"/>
    <cellStyle name="Note 13 2 4 2 3" xfId="6887"/>
    <cellStyle name="Note 13 2 4 2 3 2" xfId="59837"/>
    <cellStyle name="Note 13 2 4 2 3 3" xfId="59838"/>
    <cellStyle name="Note 13 2 4 2 3 4" xfId="59839"/>
    <cellStyle name="Note 13 2 4 2 3 5" xfId="59840"/>
    <cellStyle name="Note 13 2 4 2 3 6" xfId="59841"/>
    <cellStyle name="Note 13 2 4 2 4" xfId="13136"/>
    <cellStyle name="Note 13 2 4 2 5" xfId="59842"/>
    <cellStyle name="Note 13 2 4 3" xfId="3790"/>
    <cellStyle name="Note 13 2 4 3 2" xfId="9069"/>
    <cellStyle name="Note 13 2 4 3 2 2" xfId="59843"/>
    <cellStyle name="Note 13 2 4 3 2 3" xfId="59844"/>
    <cellStyle name="Note 13 2 4 3 2 4" xfId="59845"/>
    <cellStyle name="Note 13 2 4 3 2 5" xfId="59846"/>
    <cellStyle name="Note 13 2 4 3 2 6" xfId="59847"/>
    <cellStyle name="Note 13 2 4 3 3" xfId="13138"/>
    <cellStyle name="Note 13 2 4 3 4" xfId="59848"/>
    <cellStyle name="Note 13 2 4 3 5" xfId="59849"/>
    <cellStyle name="Note 13 2 4 3 6" xfId="59850"/>
    <cellStyle name="Note 13 2 4 3 7" xfId="59851"/>
    <cellStyle name="Note 13 2 4 3 8" xfId="59852"/>
    <cellStyle name="Note 13 2 4 4" xfId="3791"/>
    <cellStyle name="Note 13 2 4 4 2" xfId="9070"/>
    <cellStyle name="Note 13 2 4 4 2 2" xfId="59853"/>
    <cellStyle name="Note 13 2 4 4 2 3" xfId="59854"/>
    <cellStyle name="Note 13 2 4 4 2 4" xfId="59855"/>
    <cellStyle name="Note 13 2 4 4 2 5" xfId="59856"/>
    <cellStyle name="Note 13 2 4 4 2 6" xfId="59857"/>
    <cellStyle name="Note 13 2 4 4 3" xfId="13139"/>
    <cellStyle name="Note 13 2 4 4 4" xfId="59858"/>
    <cellStyle name="Note 13 2 4 4 5" xfId="59859"/>
    <cellStyle name="Note 13 2 4 4 6" xfId="59860"/>
    <cellStyle name="Note 13 2 4 4 7" xfId="59861"/>
    <cellStyle name="Note 13 2 4 4 8" xfId="59862"/>
    <cellStyle name="Note 13 2 4 5" xfId="3792"/>
    <cellStyle name="Note 13 2 4 5 2" xfId="9071"/>
    <cellStyle name="Note 13 2 4 5 2 2" xfId="59863"/>
    <cellStyle name="Note 13 2 4 5 2 3" xfId="59864"/>
    <cellStyle name="Note 13 2 4 5 2 4" xfId="59865"/>
    <cellStyle name="Note 13 2 4 5 2 5" xfId="59866"/>
    <cellStyle name="Note 13 2 4 5 2 6" xfId="59867"/>
    <cellStyle name="Note 13 2 4 5 3" xfId="13140"/>
    <cellStyle name="Note 13 2 4 5 4" xfId="59868"/>
    <cellStyle name="Note 13 2 4 5 5" xfId="59869"/>
    <cellStyle name="Note 13 2 4 5 6" xfId="59870"/>
    <cellStyle name="Note 13 2 4 5 7" xfId="59871"/>
    <cellStyle name="Note 13 2 4 5 8" xfId="59872"/>
    <cellStyle name="Note 13 2 4 6" xfId="3793"/>
    <cellStyle name="Note 13 2 4 6 2" xfId="9072"/>
    <cellStyle name="Note 13 2 4 6 2 2" xfId="59873"/>
    <cellStyle name="Note 13 2 4 6 2 3" xfId="59874"/>
    <cellStyle name="Note 13 2 4 6 2 4" xfId="59875"/>
    <cellStyle name="Note 13 2 4 6 2 5" xfId="59876"/>
    <cellStyle name="Note 13 2 4 6 2 6" xfId="59877"/>
    <cellStyle name="Note 13 2 4 6 3" xfId="13141"/>
    <cellStyle name="Note 13 2 4 6 4" xfId="59878"/>
    <cellStyle name="Note 13 2 4 6 5" xfId="59879"/>
    <cellStyle name="Note 13 2 4 6 6" xfId="59880"/>
    <cellStyle name="Note 13 2 4 6 7" xfId="59881"/>
    <cellStyle name="Note 13 2 4 6 8" xfId="59882"/>
    <cellStyle name="Note 13 2 4 7" xfId="3794"/>
    <cellStyle name="Note 13 2 4 7 2" xfId="9073"/>
    <cellStyle name="Note 13 2 4 7 2 2" xfId="59883"/>
    <cellStyle name="Note 13 2 4 7 2 3" xfId="59884"/>
    <cellStyle name="Note 13 2 4 7 2 4" xfId="59885"/>
    <cellStyle name="Note 13 2 4 7 2 5" xfId="59886"/>
    <cellStyle name="Note 13 2 4 7 2 6" xfId="59887"/>
    <cellStyle name="Note 13 2 4 7 3" xfId="13142"/>
    <cellStyle name="Note 13 2 4 7 4" xfId="59888"/>
    <cellStyle name="Note 13 2 4 7 5" xfId="59889"/>
    <cellStyle name="Note 13 2 4 7 6" xfId="59890"/>
    <cellStyle name="Note 13 2 4 7 7" xfId="59891"/>
    <cellStyle name="Note 13 2 4 7 8" xfId="59892"/>
    <cellStyle name="Note 13 2 4 8" xfId="3795"/>
    <cellStyle name="Note 13 2 4 8 2" xfId="9074"/>
    <cellStyle name="Note 13 2 4 8 2 2" xfId="59893"/>
    <cellStyle name="Note 13 2 4 8 2 3" xfId="59894"/>
    <cellStyle name="Note 13 2 4 8 2 4" xfId="59895"/>
    <cellStyle name="Note 13 2 4 8 2 5" xfId="59896"/>
    <cellStyle name="Note 13 2 4 8 2 6" xfId="59897"/>
    <cellStyle name="Note 13 2 4 8 3" xfId="13143"/>
    <cellStyle name="Note 13 2 4 8 4" xfId="59898"/>
    <cellStyle name="Note 13 2 4 8 5" xfId="59899"/>
    <cellStyle name="Note 13 2 4 8 6" xfId="59900"/>
    <cellStyle name="Note 13 2 4 8 7" xfId="59901"/>
    <cellStyle name="Note 13 2 4 8 8" xfId="59902"/>
    <cellStyle name="Note 13 2 4 9" xfId="3796"/>
    <cellStyle name="Note 13 2 4 9 2" xfId="9075"/>
    <cellStyle name="Note 13 2 4 9 2 2" xfId="59903"/>
    <cellStyle name="Note 13 2 4 9 2 3" xfId="59904"/>
    <cellStyle name="Note 13 2 4 9 2 4" xfId="59905"/>
    <cellStyle name="Note 13 2 4 9 2 5" xfId="59906"/>
    <cellStyle name="Note 13 2 4 9 2 6" xfId="59907"/>
    <cellStyle name="Note 13 2 4 9 3" xfId="13144"/>
    <cellStyle name="Note 13 2 4 9 4" xfId="59908"/>
    <cellStyle name="Note 13 2 4 9 5" xfId="59909"/>
    <cellStyle name="Note 13 2 4 9 6" xfId="59910"/>
    <cellStyle name="Note 13 2 4 9 7" xfId="59911"/>
    <cellStyle name="Note 13 2 4 9 8" xfId="59912"/>
    <cellStyle name="Note 13 2 5" xfId="992"/>
    <cellStyle name="Note 13 2 5 10" xfId="2229"/>
    <cellStyle name="Note 13 2 5 10 2" xfId="7508"/>
    <cellStyle name="Note 13 2 5 10 2 2" xfId="59913"/>
    <cellStyle name="Note 13 2 5 10 2 3" xfId="59914"/>
    <cellStyle name="Note 13 2 5 10 2 4" xfId="59915"/>
    <cellStyle name="Note 13 2 5 10 2 5" xfId="59916"/>
    <cellStyle name="Note 13 2 5 10 3" xfId="11270"/>
    <cellStyle name="Note 13 2 5 10 4" xfId="59917"/>
    <cellStyle name="Note 13 2 5 10 5" xfId="59918"/>
    <cellStyle name="Note 13 2 5 10 6" xfId="59919"/>
    <cellStyle name="Note 13 2 5 10 7" xfId="59920"/>
    <cellStyle name="Note 13 2 5 11" xfId="6271"/>
    <cellStyle name="Note 13 2 5 11 2" xfId="59921"/>
    <cellStyle name="Note 13 2 5 11 3" xfId="59922"/>
    <cellStyle name="Note 13 2 5 11 4" xfId="59923"/>
    <cellStyle name="Note 13 2 5 11 5" xfId="59924"/>
    <cellStyle name="Note 13 2 5 12" xfId="59925"/>
    <cellStyle name="Note 13 2 5 13" xfId="59926"/>
    <cellStyle name="Note 13 2 5 2" xfId="1609"/>
    <cellStyle name="Note 13 2 5 2 2" xfId="2843"/>
    <cellStyle name="Note 13 2 5 2 2 2" xfId="8122"/>
    <cellStyle name="Note 13 2 5 2 2 2 2" xfId="59927"/>
    <cellStyle name="Note 13 2 5 2 2 2 3" xfId="59928"/>
    <cellStyle name="Note 13 2 5 2 2 2 4" xfId="59929"/>
    <cellStyle name="Note 13 2 5 2 2 2 5" xfId="59930"/>
    <cellStyle name="Note 13 2 5 2 2 3" xfId="13146"/>
    <cellStyle name="Note 13 2 5 2 2 4" xfId="59931"/>
    <cellStyle name="Note 13 2 5 2 2 5" xfId="59932"/>
    <cellStyle name="Note 13 2 5 2 2 6" xfId="59933"/>
    <cellStyle name="Note 13 2 5 2 2 7" xfId="59934"/>
    <cellStyle name="Note 13 2 5 2 3" xfId="6888"/>
    <cellStyle name="Note 13 2 5 2 3 2" xfId="59935"/>
    <cellStyle name="Note 13 2 5 2 3 3" xfId="59936"/>
    <cellStyle name="Note 13 2 5 2 3 4" xfId="59937"/>
    <cellStyle name="Note 13 2 5 2 3 5" xfId="59938"/>
    <cellStyle name="Note 13 2 5 2 3 6" xfId="59939"/>
    <cellStyle name="Note 13 2 5 2 4" xfId="13145"/>
    <cellStyle name="Note 13 2 5 2 5" xfId="59940"/>
    <cellStyle name="Note 13 2 5 3" xfId="3797"/>
    <cellStyle name="Note 13 2 5 3 2" xfId="9076"/>
    <cellStyle name="Note 13 2 5 3 2 2" xfId="59941"/>
    <cellStyle name="Note 13 2 5 3 2 3" xfId="59942"/>
    <cellStyle name="Note 13 2 5 3 2 4" xfId="59943"/>
    <cellStyle name="Note 13 2 5 3 2 5" xfId="59944"/>
    <cellStyle name="Note 13 2 5 3 2 6" xfId="59945"/>
    <cellStyle name="Note 13 2 5 3 3" xfId="13147"/>
    <cellStyle name="Note 13 2 5 3 4" xfId="59946"/>
    <cellStyle name="Note 13 2 5 3 5" xfId="59947"/>
    <cellStyle name="Note 13 2 5 3 6" xfId="59948"/>
    <cellStyle name="Note 13 2 5 3 7" xfId="59949"/>
    <cellStyle name="Note 13 2 5 3 8" xfId="59950"/>
    <cellStyle name="Note 13 2 5 4" xfId="3798"/>
    <cellStyle name="Note 13 2 5 4 2" xfId="9077"/>
    <cellStyle name="Note 13 2 5 4 2 2" xfId="59951"/>
    <cellStyle name="Note 13 2 5 4 2 3" xfId="59952"/>
    <cellStyle name="Note 13 2 5 4 2 4" xfId="59953"/>
    <cellStyle name="Note 13 2 5 4 2 5" xfId="59954"/>
    <cellStyle name="Note 13 2 5 4 2 6" xfId="59955"/>
    <cellStyle name="Note 13 2 5 4 3" xfId="13148"/>
    <cellStyle name="Note 13 2 5 4 4" xfId="59956"/>
    <cellStyle name="Note 13 2 5 4 5" xfId="59957"/>
    <cellStyle name="Note 13 2 5 4 6" xfId="59958"/>
    <cellStyle name="Note 13 2 5 4 7" xfId="59959"/>
    <cellStyle name="Note 13 2 5 4 8" xfId="59960"/>
    <cellStyle name="Note 13 2 5 5" xfId="3799"/>
    <cellStyle name="Note 13 2 5 5 2" xfId="9078"/>
    <cellStyle name="Note 13 2 5 5 2 2" xfId="59961"/>
    <cellStyle name="Note 13 2 5 5 2 3" xfId="59962"/>
    <cellStyle name="Note 13 2 5 5 2 4" xfId="59963"/>
    <cellStyle name="Note 13 2 5 5 2 5" xfId="59964"/>
    <cellStyle name="Note 13 2 5 5 2 6" xfId="59965"/>
    <cellStyle name="Note 13 2 5 5 3" xfId="13149"/>
    <cellStyle name="Note 13 2 5 5 4" xfId="59966"/>
    <cellStyle name="Note 13 2 5 5 5" xfId="59967"/>
    <cellStyle name="Note 13 2 5 5 6" xfId="59968"/>
    <cellStyle name="Note 13 2 5 5 7" xfId="59969"/>
    <cellStyle name="Note 13 2 5 5 8" xfId="59970"/>
    <cellStyle name="Note 13 2 5 6" xfId="3800"/>
    <cellStyle name="Note 13 2 5 6 2" xfId="9079"/>
    <cellStyle name="Note 13 2 5 6 2 2" xfId="59971"/>
    <cellStyle name="Note 13 2 5 6 2 3" xfId="59972"/>
    <cellStyle name="Note 13 2 5 6 2 4" xfId="59973"/>
    <cellStyle name="Note 13 2 5 6 2 5" xfId="59974"/>
    <cellStyle name="Note 13 2 5 6 2 6" xfId="59975"/>
    <cellStyle name="Note 13 2 5 6 3" xfId="13150"/>
    <cellStyle name="Note 13 2 5 6 4" xfId="59976"/>
    <cellStyle name="Note 13 2 5 6 5" xfId="59977"/>
    <cellStyle name="Note 13 2 5 6 6" xfId="59978"/>
    <cellStyle name="Note 13 2 5 6 7" xfId="59979"/>
    <cellStyle name="Note 13 2 5 6 8" xfId="59980"/>
    <cellStyle name="Note 13 2 5 7" xfId="3801"/>
    <cellStyle name="Note 13 2 5 7 2" xfId="9080"/>
    <cellStyle name="Note 13 2 5 7 2 2" xfId="59981"/>
    <cellStyle name="Note 13 2 5 7 2 3" xfId="59982"/>
    <cellStyle name="Note 13 2 5 7 2 4" xfId="59983"/>
    <cellStyle name="Note 13 2 5 7 2 5" xfId="59984"/>
    <cellStyle name="Note 13 2 5 7 2 6" xfId="59985"/>
    <cellStyle name="Note 13 2 5 7 3" xfId="13151"/>
    <cellStyle name="Note 13 2 5 7 4" xfId="59986"/>
    <cellStyle name="Note 13 2 5 7 5" xfId="59987"/>
    <cellStyle name="Note 13 2 5 7 6" xfId="59988"/>
    <cellStyle name="Note 13 2 5 7 7" xfId="59989"/>
    <cellStyle name="Note 13 2 5 7 8" xfId="59990"/>
    <cellStyle name="Note 13 2 5 8" xfId="3802"/>
    <cellStyle name="Note 13 2 5 8 2" xfId="9081"/>
    <cellStyle name="Note 13 2 5 8 2 2" xfId="59991"/>
    <cellStyle name="Note 13 2 5 8 2 3" xfId="59992"/>
    <cellStyle name="Note 13 2 5 8 2 4" xfId="59993"/>
    <cellStyle name="Note 13 2 5 8 2 5" xfId="59994"/>
    <cellStyle name="Note 13 2 5 8 2 6" xfId="59995"/>
    <cellStyle name="Note 13 2 5 8 3" xfId="13152"/>
    <cellStyle name="Note 13 2 5 8 4" xfId="59996"/>
    <cellStyle name="Note 13 2 5 8 5" xfId="59997"/>
    <cellStyle name="Note 13 2 5 8 6" xfId="59998"/>
    <cellStyle name="Note 13 2 5 8 7" xfId="59999"/>
    <cellStyle name="Note 13 2 5 8 8" xfId="60000"/>
    <cellStyle name="Note 13 2 5 9" xfId="3803"/>
    <cellStyle name="Note 13 2 5 9 2" xfId="9082"/>
    <cellStyle name="Note 13 2 5 9 2 2" xfId="60001"/>
    <cellStyle name="Note 13 2 5 9 2 3" xfId="60002"/>
    <cellStyle name="Note 13 2 5 9 2 4" xfId="60003"/>
    <cellStyle name="Note 13 2 5 9 2 5" xfId="60004"/>
    <cellStyle name="Note 13 2 5 9 2 6" xfId="60005"/>
    <cellStyle name="Note 13 2 5 9 3" xfId="13153"/>
    <cellStyle name="Note 13 2 5 9 4" xfId="60006"/>
    <cellStyle name="Note 13 2 5 9 5" xfId="60007"/>
    <cellStyle name="Note 13 2 5 9 6" xfId="60008"/>
    <cellStyle name="Note 13 2 5 9 7" xfId="60009"/>
    <cellStyle name="Note 13 2 5 9 8" xfId="60010"/>
    <cellStyle name="Note 13 2 6" xfId="993"/>
    <cellStyle name="Note 13 2 6 10" xfId="2230"/>
    <cellStyle name="Note 13 2 6 10 2" xfId="7509"/>
    <cellStyle name="Note 13 2 6 10 2 2" xfId="60011"/>
    <cellStyle name="Note 13 2 6 10 2 3" xfId="60012"/>
    <cellStyle name="Note 13 2 6 10 2 4" xfId="60013"/>
    <cellStyle name="Note 13 2 6 10 2 5" xfId="60014"/>
    <cellStyle name="Note 13 2 6 10 3" xfId="11271"/>
    <cellStyle name="Note 13 2 6 10 4" xfId="60015"/>
    <cellStyle name="Note 13 2 6 10 5" xfId="60016"/>
    <cellStyle name="Note 13 2 6 10 6" xfId="60017"/>
    <cellStyle name="Note 13 2 6 10 7" xfId="60018"/>
    <cellStyle name="Note 13 2 6 11" xfId="6272"/>
    <cellStyle name="Note 13 2 6 11 2" xfId="60019"/>
    <cellStyle name="Note 13 2 6 11 3" xfId="60020"/>
    <cellStyle name="Note 13 2 6 11 4" xfId="60021"/>
    <cellStyle name="Note 13 2 6 11 5" xfId="60022"/>
    <cellStyle name="Note 13 2 6 12" xfId="60023"/>
    <cellStyle name="Note 13 2 6 13" xfId="60024"/>
    <cellStyle name="Note 13 2 6 2" xfId="1610"/>
    <cellStyle name="Note 13 2 6 2 2" xfId="2844"/>
    <cellStyle name="Note 13 2 6 2 2 2" xfId="8123"/>
    <cellStyle name="Note 13 2 6 2 2 2 2" xfId="60025"/>
    <cellStyle name="Note 13 2 6 2 2 2 3" xfId="60026"/>
    <cellStyle name="Note 13 2 6 2 2 2 4" xfId="60027"/>
    <cellStyle name="Note 13 2 6 2 2 2 5" xfId="60028"/>
    <cellStyle name="Note 13 2 6 2 2 3" xfId="13155"/>
    <cellStyle name="Note 13 2 6 2 2 4" xfId="60029"/>
    <cellStyle name="Note 13 2 6 2 2 5" xfId="60030"/>
    <cellStyle name="Note 13 2 6 2 2 6" xfId="60031"/>
    <cellStyle name="Note 13 2 6 2 2 7" xfId="60032"/>
    <cellStyle name="Note 13 2 6 2 3" xfId="6889"/>
    <cellStyle name="Note 13 2 6 2 3 2" xfId="60033"/>
    <cellStyle name="Note 13 2 6 2 3 3" xfId="60034"/>
    <cellStyle name="Note 13 2 6 2 3 4" xfId="60035"/>
    <cellStyle name="Note 13 2 6 2 3 5" xfId="60036"/>
    <cellStyle name="Note 13 2 6 2 3 6" xfId="60037"/>
    <cellStyle name="Note 13 2 6 2 4" xfId="13154"/>
    <cellStyle name="Note 13 2 6 2 5" xfId="60038"/>
    <cellStyle name="Note 13 2 6 3" xfId="3804"/>
    <cellStyle name="Note 13 2 6 3 2" xfId="9083"/>
    <cellStyle name="Note 13 2 6 3 2 2" xfId="60039"/>
    <cellStyle name="Note 13 2 6 3 2 3" xfId="60040"/>
    <cellStyle name="Note 13 2 6 3 2 4" xfId="60041"/>
    <cellStyle name="Note 13 2 6 3 2 5" xfId="60042"/>
    <cellStyle name="Note 13 2 6 3 2 6" xfId="60043"/>
    <cellStyle name="Note 13 2 6 3 3" xfId="13156"/>
    <cellStyle name="Note 13 2 6 3 4" xfId="60044"/>
    <cellStyle name="Note 13 2 6 3 5" xfId="60045"/>
    <cellStyle name="Note 13 2 6 3 6" xfId="60046"/>
    <cellStyle name="Note 13 2 6 3 7" xfId="60047"/>
    <cellStyle name="Note 13 2 6 3 8" xfId="60048"/>
    <cellStyle name="Note 13 2 6 4" xfId="3805"/>
    <cellStyle name="Note 13 2 6 4 2" xfId="9084"/>
    <cellStyle name="Note 13 2 6 4 2 2" xfId="60049"/>
    <cellStyle name="Note 13 2 6 4 2 3" xfId="60050"/>
    <cellStyle name="Note 13 2 6 4 2 4" xfId="60051"/>
    <cellStyle name="Note 13 2 6 4 2 5" xfId="60052"/>
    <cellStyle name="Note 13 2 6 4 2 6" xfId="60053"/>
    <cellStyle name="Note 13 2 6 4 3" xfId="13157"/>
    <cellStyle name="Note 13 2 6 4 4" xfId="60054"/>
    <cellStyle name="Note 13 2 6 4 5" xfId="60055"/>
    <cellStyle name="Note 13 2 6 4 6" xfId="60056"/>
    <cellStyle name="Note 13 2 6 4 7" xfId="60057"/>
    <cellStyle name="Note 13 2 6 4 8" xfId="60058"/>
    <cellStyle name="Note 13 2 6 5" xfId="3806"/>
    <cellStyle name="Note 13 2 6 5 2" xfId="9085"/>
    <cellStyle name="Note 13 2 6 5 2 2" xfId="60059"/>
    <cellStyle name="Note 13 2 6 5 2 3" xfId="60060"/>
    <cellStyle name="Note 13 2 6 5 2 4" xfId="60061"/>
    <cellStyle name="Note 13 2 6 5 2 5" xfId="60062"/>
    <cellStyle name="Note 13 2 6 5 2 6" xfId="60063"/>
    <cellStyle name="Note 13 2 6 5 3" xfId="13158"/>
    <cellStyle name="Note 13 2 6 5 4" xfId="60064"/>
    <cellStyle name="Note 13 2 6 5 5" xfId="60065"/>
    <cellStyle name="Note 13 2 6 5 6" xfId="60066"/>
    <cellStyle name="Note 13 2 6 5 7" xfId="60067"/>
    <cellStyle name="Note 13 2 6 5 8" xfId="60068"/>
    <cellStyle name="Note 13 2 6 6" xfId="3807"/>
    <cellStyle name="Note 13 2 6 6 2" xfId="9086"/>
    <cellStyle name="Note 13 2 6 6 2 2" xfId="60069"/>
    <cellStyle name="Note 13 2 6 6 2 3" xfId="60070"/>
    <cellStyle name="Note 13 2 6 6 2 4" xfId="60071"/>
    <cellStyle name="Note 13 2 6 6 2 5" xfId="60072"/>
    <cellStyle name="Note 13 2 6 6 2 6" xfId="60073"/>
    <cellStyle name="Note 13 2 6 6 3" xfId="13159"/>
    <cellStyle name="Note 13 2 6 6 4" xfId="60074"/>
    <cellStyle name="Note 13 2 6 6 5" xfId="60075"/>
    <cellStyle name="Note 13 2 6 6 6" xfId="60076"/>
    <cellStyle name="Note 13 2 6 6 7" xfId="60077"/>
    <cellStyle name="Note 13 2 6 6 8" xfId="60078"/>
    <cellStyle name="Note 13 2 6 7" xfId="3808"/>
    <cellStyle name="Note 13 2 6 7 2" xfId="9087"/>
    <cellStyle name="Note 13 2 6 7 2 2" xfId="60079"/>
    <cellStyle name="Note 13 2 6 7 2 3" xfId="60080"/>
    <cellStyle name="Note 13 2 6 7 2 4" xfId="60081"/>
    <cellStyle name="Note 13 2 6 7 2 5" xfId="60082"/>
    <cellStyle name="Note 13 2 6 7 2 6" xfId="60083"/>
    <cellStyle name="Note 13 2 6 7 3" xfId="13160"/>
    <cellStyle name="Note 13 2 6 7 4" xfId="60084"/>
    <cellStyle name="Note 13 2 6 7 5" xfId="60085"/>
    <cellStyle name="Note 13 2 6 7 6" xfId="60086"/>
    <cellStyle name="Note 13 2 6 7 7" xfId="60087"/>
    <cellStyle name="Note 13 2 6 7 8" xfId="60088"/>
    <cellStyle name="Note 13 2 6 8" xfId="3809"/>
    <cellStyle name="Note 13 2 6 8 2" xfId="9088"/>
    <cellStyle name="Note 13 2 6 8 2 2" xfId="60089"/>
    <cellStyle name="Note 13 2 6 8 2 3" xfId="60090"/>
    <cellStyle name="Note 13 2 6 8 2 4" xfId="60091"/>
    <cellStyle name="Note 13 2 6 8 2 5" xfId="60092"/>
    <cellStyle name="Note 13 2 6 8 2 6" xfId="60093"/>
    <cellStyle name="Note 13 2 6 8 3" xfId="13161"/>
    <cellStyle name="Note 13 2 6 8 4" xfId="60094"/>
    <cellStyle name="Note 13 2 6 8 5" xfId="60095"/>
    <cellStyle name="Note 13 2 6 8 6" xfId="60096"/>
    <cellStyle name="Note 13 2 6 8 7" xfId="60097"/>
    <cellStyle name="Note 13 2 6 8 8" xfId="60098"/>
    <cellStyle name="Note 13 2 6 9" xfId="3810"/>
    <cellStyle name="Note 13 2 6 9 2" xfId="9089"/>
    <cellStyle name="Note 13 2 6 9 2 2" xfId="60099"/>
    <cellStyle name="Note 13 2 6 9 2 3" xfId="60100"/>
    <cellStyle name="Note 13 2 6 9 2 4" xfId="60101"/>
    <cellStyle name="Note 13 2 6 9 2 5" xfId="60102"/>
    <cellStyle name="Note 13 2 6 9 2 6" xfId="60103"/>
    <cellStyle name="Note 13 2 6 9 3" xfId="13162"/>
    <cellStyle name="Note 13 2 6 9 4" xfId="60104"/>
    <cellStyle name="Note 13 2 6 9 5" xfId="60105"/>
    <cellStyle name="Note 13 2 6 9 6" xfId="60106"/>
    <cellStyle name="Note 13 2 6 9 7" xfId="60107"/>
    <cellStyle name="Note 13 2 6 9 8" xfId="60108"/>
    <cellStyle name="Note 13 2 7" xfId="1277"/>
    <cellStyle name="Note 13 2 7 2" xfId="2511"/>
    <cellStyle name="Note 13 2 7 2 2" xfId="7790"/>
    <cellStyle name="Note 13 2 7 2 2 2" xfId="60109"/>
    <cellStyle name="Note 13 2 7 2 2 3" xfId="60110"/>
    <cellStyle name="Note 13 2 7 2 2 4" xfId="60111"/>
    <cellStyle name="Note 13 2 7 2 2 5" xfId="60112"/>
    <cellStyle name="Note 13 2 7 2 3" xfId="13164"/>
    <cellStyle name="Note 13 2 7 2 4" xfId="60113"/>
    <cellStyle name="Note 13 2 7 2 5" xfId="60114"/>
    <cellStyle name="Note 13 2 7 2 6" xfId="60115"/>
    <cellStyle name="Note 13 2 7 2 7" xfId="60116"/>
    <cellStyle name="Note 13 2 7 3" xfId="6556"/>
    <cellStyle name="Note 13 2 7 3 2" xfId="60117"/>
    <cellStyle name="Note 13 2 7 3 3" xfId="60118"/>
    <cellStyle name="Note 13 2 7 3 4" xfId="60119"/>
    <cellStyle name="Note 13 2 7 3 5" xfId="60120"/>
    <cellStyle name="Note 13 2 7 3 6" xfId="60121"/>
    <cellStyle name="Note 13 2 7 4" xfId="13163"/>
    <cellStyle name="Note 13 2 7 5" xfId="60122"/>
    <cellStyle name="Note 13 2 8" xfId="3811"/>
    <cellStyle name="Note 13 2 8 2" xfId="9090"/>
    <cellStyle name="Note 13 2 8 2 2" xfId="60123"/>
    <cellStyle name="Note 13 2 8 2 3" xfId="60124"/>
    <cellStyle name="Note 13 2 8 2 4" xfId="60125"/>
    <cellStyle name="Note 13 2 8 2 5" xfId="60126"/>
    <cellStyle name="Note 13 2 8 2 6" xfId="60127"/>
    <cellStyle name="Note 13 2 8 3" xfId="13165"/>
    <cellStyle name="Note 13 2 8 4" xfId="60128"/>
    <cellStyle name="Note 13 2 8 5" xfId="60129"/>
    <cellStyle name="Note 13 2 8 6" xfId="60130"/>
    <cellStyle name="Note 13 2 8 7" xfId="60131"/>
    <cellStyle name="Note 13 2 8 8" xfId="60132"/>
    <cellStyle name="Note 13 2 9" xfId="3812"/>
    <cellStyle name="Note 13 2 9 2" xfId="9091"/>
    <cellStyle name="Note 13 2 9 2 2" xfId="60133"/>
    <cellStyle name="Note 13 2 9 2 3" xfId="60134"/>
    <cellStyle name="Note 13 2 9 2 4" xfId="60135"/>
    <cellStyle name="Note 13 2 9 2 5" xfId="60136"/>
    <cellStyle name="Note 13 2 9 2 6" xfId="60137"/>
    <cellStyle name="Note 13 2 9 3" xfId="13166"/>
    <cellStyle name="Note 13 2 9 4" xfId="60138"/>
    <cellStyle name="Note 13 2 9 5" xfId="60139"/>
    <cellStyle name="Note 13 2 9 6" xfId="60140"/>
    <cellStyle name="Note 13 2 9 7" xfId="60141"/>
    <cellStyle name="Note 13 2 9 8" xfId="60142"/>
    <cellStyle name="Note 13 3" xfId="783"/>
    <cellStyle name="Note 13 3 10" xfId="60143"/>
    <cellStyle name="Note 13 3 11" xfId="60144"/>
    <cellStyle name="Note 13 3 2" xfId="1410"/>
    <cellStyle name="Note 13 3 2 2" xfId="2644"/>
    <cellStyle name="Note 13 3 2 2 2" xfId="7923"/>
    <cellStyle name="Note 13 3 2 2 2 2" xfId="60145"/>
    <cellStyle name="Note 13 3 2 2 2 3" xfId="60146"/>
    <cellStyle name="Note 13 3 2 2 2 4" xfId="60147"/>
    <cellStyle name="Note 13 3 2 2 2 5" xfId="60148"/>
    <cellStyle name="Note 13 3 2 2 3" xfId="13169"/>
    <cellStyle name="Note 13 3 2 2 4" xfId="60149"/>
    <cellStyle name="Note 13 3 2 2 5" xfId="60150"/>
    <cellStyle name="Note 13 3 2 2 6" xfId="60151"/>
    <cellStyle name="Note 13 3 2 2 7" xfId="60152"/>
    <cellStyle name="Note 13 3 2 3" xfId="6689"/>
    <cellStyle name="Note 13 3 2 3 2" xfId="60153"/>
    <cellStyle name="Note 13 3 2 3 3" xfId="60154"/>
    <cellStyle name="Note 13 3 2 3 4" xfId="60155"/>
    <cellStyle name="Note 13 3 2 3 5" xfId="60156"/>
    <cellStyle name="Note 13 3 2 3 6" xfId="60157"/>
    <cellStyle name="Note 13 3 2 4" xfId="13168"/>
    <cellStyle name="Note 13 3 2 5" xfId="60158"/>
    <cellStyle name="Note 13 3 3" xfId="1887"/>
    <cellStyle name="Note 13 3 3 2" xfId="3121"/>
    <cellStyle name="Note 13 3 3 2 2" xfId="8400"/>
    <cellStyle name="Note 13 3 3 2 2 2" xfId="60159"/>
    <cellStyle name="Note 13 3 3 2 2 3" xfId="60160"/>
    <cellStyle name="Note 13 3 3 2 2 4" xfId="60161"/>
    <cellStyle name="Note 13 3 3 2 2 5" xfId="60162"/>
    <cellStyle name="Note 13 3 3 2 3" xfId="13171"/>
    <cellStyle name="Note 13 3 3 2 4" xfId="60163"/>
    <cellStyle name="Note 13 3 3 2 5" xfId="60164"/>
    <cellStyle name="Note 13 3 3 2 6" xfId="60165"/>
    <cellStyle name="Note 13 3 3 2 7" xfId="60166"/>
    <cellStyle name="Note 13 3 3 3" xfId="7166"/>
    <cellStyle name="Note 13 3 3 3 2" xfId="60167"/>
    <cellStyle name="Note 13 3 3 3 3" xfId="60168"/>
    <cellStyle name="Note 13 3 3 3 4" xfId="60169"/>
    <cellStyle name="Note 13 3 3 3 5" xfId="60170"/>
    <cellStyle name="Note 13 3 3 3 6" xfId="60171"/>
    <cellStyle name="Note 13 3 3 4" xfId="13170"/>
    <cellStyle name="Note 13 3 3 5" xfId="60172"/>
    <cellStyle name="Note 13 3 4" xfId="3813"/>
    <cellStyle name="Note 13 3 4 2" xfId="9092"/>
    <cellStyle name="Note 13 3 4 2 2" xfId="60173"/>
    <cellStyle name="Note 13 3 4 2 3" xfId="60174"/>
    <cellStyle name="Note 13 3 4 2 4" xfId="60175"/>
    <cellStyle name="Note 13 3 4 2 5" xfId="60176"/>
    <cellStyle name="Note 13 3 4 2 6" xfId="60177"/>
    <cellStyle name="Note 13 3 4 3" xfId="13172"/>
    <cellStyle name="Note 13 3 4 4" xfId="60178"/>
    <cellStyle name="Note 13 3 4 5" xfId="60179"/>
    <cellStyle name="Note 13 3 4 6" xfId="60180"/>
    <cellStyle name="Note 13 3 4 7" xfId="60181"/>
    <cellStyle name="Note 13 3 4 8" xfId="60182"/>
    <cellStyle name="Note 13 3 5" xfId="3814"/>
    <cellStyle name="Note 13 3 5 2" xfId="9093"/>
    <cellStyle name="Note 13 3 5 2 2" xfId="60183"/>
    <cellStyle name="Note 13 3 5 2 3" xfId="60184"/>
    <cellStyle name="Note 13 3 5 2 4" xfId="60185"/>
    <cellStyle name="Note 13 3 5 2 5" xfId="60186"/>
    <cellStyle name="Note 13 3 5 2 6" xfId="60187"/>
    <cellStyle name="Note 13 3 5 3" xfId="13173"/>
    <cellStyle name="Note 13 3 5 4" xfId="60188"/>
    <cellStyle name="Note 13 3 5 5" xfId="60189"/>
    <cellStyle name="Note 13 3 5 6" xfId="60190"/>
    <cellStyle name="Note 13 3 5 7" xfId="60191"/>
    <cellStyle name="Note 13 3 5 8" xfId="60192"/>
    <cellStyle name="Note 13 3 6" xfId="3815"/>
    <cellStyle name="Note 13 3 6 2" xfId="9094"/>
    <cellStyle name="Note 13 3 6 2 2" xfId="60193"/>
    <cellStyle name="Note 13 3 6 2 3" xfId="60194"/>
    <cellStyle name="Note 13 3 6 2 4" xfId="60195"/>
    <cellStyle name="Note 13 3 6 2 5" xfId="60196"/>
    <cellStyle name="Note 13 3 6 2 6" xfId="60197"/>
    <cellStyle name="Note 13 3 6 3" xfId="13174"/>
    <cellStyle name="Note 13 3 6 4" xfId="60198"/>
    <cellStyle name="Note 13 3 6 5" xfId="60199"/>
    <cellStyle name="Note 13 3 6 6" xfId="60200"/>
    <cellStyle name="Note 13 3 6 7" xfId="60201"/>
    <cellStyle name="Note 13 3 6 8" xfId="60202"/>
    <cellStyle name="Note 13 3 7" xfId="3816"/>
    <cellStyle name="Note 13 3 7 2" xfId="9095"/>
    <cellStyle name="Note 13 3 7 2 2" xfId="60203"/>
    <cellStyle name="Note 13 3 7 2 3" xfId="60204"/>
    <cellStyle name="Note 13 3 7 2 4" xfId="60205"/>
    <cellStyle name="Note 13 3 7 2 5" xfId="60206"/>
    <cellStyle name="Note 13 3 7 2 6" xfId="60207"/>
    <cellStyle name="Note 13 3 7 3" xfId="13175"/>
    <cellStyle name="Note 13 3 7 4" xfId="60208"/>
    <cellStyle name="Note 13 3 7 5" xfId="60209"/>
    <cellStyle name="Note 13 3 7 6" xfId="60210"/>
    <cellStyle name="Note 13 3 7 7" xfId="60211"/>
    <cellStyle name="Note 13 3 7 8" xfId="60212"/>
    <cellStyle name="Note 13 3 8" xfId="6072"/>
    <cellStyle name="Note 13 3 8 2" xfId="60213"/>
    <cellStyle name="Note 13 3 8 3" xfId="60214"/>
    <cellStyle name="Note 13 3 8 4" xfId="60215"/>
    <cellStyle name="Note 13 3 8 5" xfId="60216"/>
    <cellStyle name="Note 13 3 8 6" xfId="60217"/>
    <cellStyle name="Note 13 3 9" xfId="13167"/>
    <cellStyle name="Note 13 3 9 2" xfId="60218"/>
    <cellStyle name="Note 13 4" xfId="994"/>
    <cellStyle name="Note 13 4 10" xfId="2231"/>
    <cellStyle name="Note 13 4 10 2" xfId="7510"/>
    <cellStyle name="Note 13 4 10 2 2" xfId="60219"/>
    <cellStyle name="Note 13 4 10 2 3" xfId="60220"/>
    <cellStyle name="Note 13 4 10 2 4" xfId="60221"/>
    <cellStyle name="Note 13 4 10 2 5" xfId="60222"/>
    <cellStyle name="Note 13 4 10 3" xfId="11272"/>
    <cellStyle name="Note 13 4 10 4" xfId="60223"/>
    <cellStyle name="Note 13 4 10 5" xfId="60224"/>
    <cellStyle name="Note 13 4 10 6" xfId="60225"/>
    <cellStyle name="Note 13 4 10 7" xfId="60226"/>
    <cellStyle name="Note 13 4 11" xfId="6273"/>
    <cellStyle name="Note 13 4 11 2" xfId="60227"/>
    <cellStyle name="Note 13 4 11 3" xfId="60228"/>
    <cellStyle name="Note 13 4 11 4" xfId="60229"/>
    <cellStyle name="Note 13 4 11 5" xfId="60230"/>
    <cellStyle name="Note 13 4 12" xfId="60231"/>
    <cellStyle name="Note 13 4 13" xfId="60232"/>
    <cellStyle name="Note 13 4 2" xfId="1611"/>
    <cellStyle name="Note 13 4 2 2" xfId="2845"/>
    <cellStyle name="Note 13 4 2 2 2" xfId="8124"/>
    <cellStyle name="Note 13 4 2 2 2 2" xfId="60233"/>
    <cellStyle name="Note 13 4 2 2 2 3" xfId="60234"/>
    <cellStyle name="Note 13 4 2 2 2 4" xfId="60235"/>
    <cellStyle name="Note 13 4 2 2 2 5" xfId="60236"/>
    <cellStyle name="Note 13 4 2 2 3" xfId="13177"/>
    <cellStyle name="Note 13 4 2 2 4" xfId="60237"/>
    <cellStyle name="Note 13 4 2 2 5" xfId="60238"/>
    <cellStyle name="Note 13 4 2 2 6" xfId="60239"/>
    <cellStyle name="Note 13 4 2 2 7" xfId="60240"/>
    <cellStyle name="Note 13 4 2 3" xfId="6890"/>
    <cellStyle name="Note 13 4 2 3 2" xfId="60241"/>
    <cellStyle name="Note 13 4 2 3 3" xfId="60242"/>
    <cellStyle name="Note 13 4 2 3 4" xfId="60243"/>
    <cellStyle name="Note 13 4 2 3 5" xfId="60244"/>
    <cellStyle name="Note 13 4 2 3 6" xfId="60245"/>
    <cellStyle name="Note 13 4 2 4" xfId="13176"/>
    <cellStyle name="Note 13 4 2 5" xfId="60246"/>
    <cellStyle name="Note 13 4 3" xfId="3817"/>
    <cellStyle name="Note 13 4 3 2" xfId="9096"/>
    <cellStyle name="Note 13 4 3 2 2" xfId="60247"/>
    <cellStyle name="Note 13 4 3 2 3" xfId="60248"/>
    <cellStyle name="Note 13 4 3 2 4" xfId="60249"/>
    <cellStyle name="Note 13 4 3 2 5" xfId="60250"/>
    <cellStyle name="Note 13 4 3 2 6" xfId="60251"/>
    <cellStyle name="Note 13 4 3 3" xfId="13178"/>
    <cellStyle name="Note 13 4 3 4" xfId="60252"/>
    <cellStyle name="Note 13 4 3 5" xfId="60253"/>
    <cellStyle name="Note 13 4 3 6" xfId="60254"/>
    <cellStyle name="Note 13 4 3 7" xfId="60255"/>
    <cellStyle name="Note 13 4 3 8" xfId="60256"/>
    <cellStyle name="Note 13 4 4" xfId="3818"/>
    <cellStyle name="Note 13 4 4 2" xfId="9097"/>
    <cellStyle name="Note 13 4 4 2 2" xfId="60257"/>
    <cellStyle name="Note 13 4 4 2 3" xfId="60258"/>
    <cellStyle name="Note 13 4 4 2 4" xfId="60259"/>
    <cellStyle name="Note 13 4 4 2 5" xfId="60260"/>
    <cellStyle name="Note 13 4 4 2 6" xfId="60261"/>
    <cellStyle name="Note 13 4 4 3" xfId="13179"/>
    <cellStyle name="Note 13 4 4 4" xfId="60262"/>
    <cellStyle name="Note 13 4 4 5" xfId="60263"/>
    <cellStyle name="Note 13 4 4 6" xfId="60264"/>
    <cellStyle name="Note 13 4 4 7" xfId="60265"/>
    <cellStyle name="Note 13 4 4 8" xfId="60266"/>
    <cellStyle name="Note 13 4 5" xfId="3819"/>
    <cellStyle name="Note 13 4 5 2" xfId="9098"/>
    <cellStyle name="Note 13 4 5 2 2" xfId="60267"/>
    <cellStyle name="Note 13 4 5 2 3" xfId="60268"/>
    <cellStyle name="Note 13 4 5 2 4" xfId="60269"/>
    <cellStyle name="Note 13 4 5 2 5" xfId="60270"/>
    <cellStyle name="Note 13 4 5 2 6" xfId="60271"/>
    <cellStyle name="Note 13 4 5 3" xfId="13180"/>
    <cellStyle name="Note 13 4 5 4" xfId="60272"/>
    <cellStyle name="Note 13 4 5 5" xfId="60273"/>
    <cellStyle name="Note 13 4 5 6" xfId="60274"/>
    <cellStyle name="Note 13 4 5 7" xfId="60275"/>
    <cellStyle name="Note 13 4 5 8" xfId="60276"/>
    <cellStyle name="Note 13 4 6" xfId="3820"/>
    <cellStyle name="Note 13 4 6 2" xfId="9099"/>
    <cellStyle name="Note 13 4 6 2 2" xfId="60277"/>
    <cellStyle name="Note 13 4 6 2 3" xfId="60278"/>
    <cellStyle name="Note 13 4 6 2 4" xfId="60279"/>
    <cellStyle name="Note 13 4 6 2 5" xfId="60280"/>
    <cellStyle name="Note 13 4 6 2 6" xfId="60281"/>
    <cellStyle name="Note 13 4 6 3" xfId="13181"/>
    <cellStyle name="Note 13 4 6 4" xfId="60282"/>
    <cellStyle name="Note 13 4 6 5" xfId="60283"/>
    <cellStyle name="Note 13 4 6 6" xfId="60284"/>
    <cellStyle name="Note 13 4 6 7" xfId="60285"/>
    <cellStyle name="Note 13 4 6 8" xfId="60286"/>
    <cellStyle name="Note 13 4 7" xfId="3821"/>
    <cellStyle name="Note 13 4 7 2" xfId="9100"/>
    <cellStyle name="Note 13 4 7 2 2" xfId="60287"/>
    <cellStyle name="Note 13 4 7 2 3" xfId="60288"/>
    <cellStyle name="Note 13 4 7 2 4" xfId="60289"/>
    <cellStyle name="Note 13 4 7 2 5" xfId="60290"/>
    <cellStyle name="Note 13 4 7 2 6" xfId="60291"/>
    <cellStyle name="Note 13 4 7 3" xfId="13182"/>
    <cellStyle name="Note 13 4 7 4" xfId="60292"/>
    <cellStyle name="Note 13 4 7 5" xfId="60293"/>
    <cellStyle name="Note 13 4 7 6" xfId="60294"/>
    <cellStyle name="Note 13 4 7 7" xfId="60295"/>
    <cellStyle name="Note 13 4 7 8" xfId="60296"/>
    <cellStyle name="Note 13 4 8" xfId="3822"/>
    <cellStyle name="Note 13 4 8 2" xfId="9101"/>
    <cellStyle name="Note 13 4 8 2 2" xfId="60297"/>
    <cellStyle name="Note 13 4 8 2 3" xfId="60298"/>
    <cellStyle name="Note 13 4 8 2 4" xfId="60299"/>
    <cellStyle name="Note 13 4 8 2 5" xfId="60300"/>
    <cellStyle name="Note 13 4 8 2 6" xfId="60301"/>
    <cellStyle name="Note 13 4 8 3" xfId="13183"/>
    <cellStyle name="Note 13 4 8 4" xfId="60302"/>
    <cellStyle name="Note 13 4 8 5" xfId="60303"/>
    <cellStyle name="Note 13 4 8 6" xfId="60304"/>
    <cellStyle name="Note 13 4 8 7" xfId="60305"/>
    <cellStyle name="Note 13 4 8 8" xfId="60306"/>
    <cellStyle name="Note 13 4 9" xfId="3823"/>
    <cellStyle name="Note 13 4 9 2" xfId="9102"/>
    <cellStyle name="Note 13 4 9 2 2" xfId="60307"/>
    <cellStyle name="Note 13 4 9 2 3" xfId="60308"/>
    <cellStyle name="Note 13 4 9 2 4" xfId="60309"/>
    <cellStyle name="Note 13 4 9 2 5" xfId="60310"/>
    <cellStyle name="Note 13 4 9 2 6" xfId="60311"/>
    <cellStyle name="Note 13 4 9 3" xfId="13184"/>
    <cellStyle name="Note 13 4 9 4" xfId="60312"/>
    <cellStyle name="Note 13 4 9 5" xfId="60313"/>
    <cellStyle name="Note 13 4 9 6" xfId="60314"/>
    <cellStyle name="Note 13 4 9 7" xfId="60315"/>
    <cellStyle name="Note 13 4 9 8" xfId="60316"/>
    <cellStyle name="Note 13 5" xfId="995"/>
    <cellStyle name="Note 13 5 10" xfId="2232"/>
    <cellStyle name="Note 13 5 10 2" xfId="7511"/>
    <cellStyle name="Note 13 5 10 2 2" xfId="60317"/>
    <cellStyle name="Note 13 5 10 2 3" xfId="60318"/>
    <cellStyle name="Note 13 5 10 2 4" xfId="60319"/>
    <cellStyle name="Note 13 5 10 2 5" xfId="60320"/>
    <cellStyle name="Note 13 5 10 3" xfId="11273"/>
    <cellStyle name="Note 13 5 10 4" xfId="60321"/>
    <cellStyle name="Note 13 5 10 5" xfId="60322"/>
    <cellStyle name="Note 13 5 10 6" xfId="60323"/>
    <cellStyle name="Note 13 5 10 7" xfId="60324"/>
    <cellStyle name="Note 13 5 11" xfId="6274"/>
    <cellStyle name="Note 13 5 11 2" xfId="60325"/>
    <cellStyle name="Note 13 5 11 3" xfId="60326"/>
    <cellStyle name="Note 13 5 11 4" xfId="60327"/>
    <cellStyle name="Note 13 5 11 5" xfId="60328"/>
    <cellStyle name="Note 13 5 12" xfId="60329"/>
    <cellStyle name="Note 13 5 13" xfId="60330"/>
    <cellStyle name="Note 13 5 2" xfId="1612"/>
    <cellStyle name="Note 13 5 2 2" xfId="2846"/>
    <cellStyle name="Note 13 5 2 2 2" xfId="8125"/>
    <cellStyle name="Note 13 5 2 2 2 2" xfId="60331"/>
    <cellStyle name="Note 13 5 2 2 2 3" xfId="60332"/>
    <cellStyle name="Note 13 5 2 2 2 4" xfId="60333"/>
    <cellStyle name="Note 13 5 2 2 2 5" xfId="60334"/>
    <cellStyle name="Note 13 5 2 2 3" xfId="13186"/>
    <cellStyle name="Note 13 5 2 2 4" xfId="60335"/>
    <cellStyle name="Note 13 5 2 2 5" xfId="60336"/>
    <cellStyle name="Note 13 5 2 2 6" xfId="60337"/>
    <cellStyle name="Note 13 5 2 2 7" xfId="60338"/>
    <cellStyle name="Note 13 5 2 3" xfId="6891"/>
    <cellStyle name="Note 13 5 2 3 2" xfId="60339"/>
    <cellStyle name="Note 13 5 2 3 3" xfId="60340"/>
    <cellStyle name="Note 13 5 2 3 4" xfId="60341"/>
    <cellStyle name="Note 13 5 2 3 5" xfId="60342"/>
    <cellStyle name="Note 13 5 2 3 6" xfId="60343"/>
    <cellStyle name="Note 13 5 2 4" xfId="13185"/>
    <cellStyle name="Note 13 5 2 5" xfId="60344"/>
    <cellStyle name="Note 13 5 3" xfId="3824"/>
    <cellStyle name="Note 13 5 3 2" xfId="9103"/>
    <cellStyle name="Note 13 5 3 2 2" xfId="60345"/>
    <cellStyle name="Note 13 5 3 2 3" xfId="60346"/>
    <cellStyle name="Note 13 5 3 2 4" xfId="60347"/>
    <cellStyle name="Note 13 5 3 2 5" xfId="60348"/>
    <cellStyle name="Note 13 5 3 2 6" xfId="60349"/>
    <cellStyle name="Note 13 5 3 3" xfId="13187"/>
    <cellStyle name="Note 13 5 3 4" xfId="60350"/>
    <cellStyle name="Note 13 5 3 5" xfId="60351"/>
    <cellStyle name="Note 13 5 3 6" xfId="60352"/>
    <cellStyle name="Note 13 5 3 7" xfId="60353"/>
    <cellStyle name="Note 13 5 3 8" xfId="60354"/>
    <cellStyle name="Note 13 5 4" xfId="3825"/>
    <cellStyle name="Note 13 5 4 2" xfId="9104"/>
    <cellStyle name="Note 13 5 4 2 2" xfId="60355"/>
    <cellStyle name="Note 13 5 4 2 3" xfId="60356"/>
    <cellStyle name="Note 13 5 4 2 4" xfId="60357"/>
    <cellStyle name="Note 13 5 4 2 5" xfId="60358"/>
    <cellStyle name="Note 13 5 4 2 6" xfId="60359"/>
    <cellStyle name="Note 13 5 4 3" xfId="13188"/>
    <cellStyle name="Note 13 5 4 4" xfId="60360"/>
    <cellStyle name="Note 13 5 4 5" xfId="60361"/>
    <cellStyle name="Note 13 5 4 6" xfId="60362"/>
    <cellStyle name="Note 13 5 4 7" xfId="60363"/>
    <cellStyle name="Note 13 5 4 8" xfId="60364"/>
    <cellStyle name="Note 13 5 5" xfId="3826"/>
    <cellStyle name="Note 13 5 5 2" xfId="9105"/>
    <cellStyle name="Note 13 5 5 2 2" xfId="60365"/>
    <cellStyle name="Note 13 5 5 2 3" xfId="60366"/>
    <cellStyle name="Note 13 5 5 2 4" xfId="60367"/>
    <cellStyle name="Note 13 5 5 2 5" xfId="60368"/>
    <cellStyle name="Note 13 5 5 2 6" xfId="60369"/>
    <cellStyle name="Note 13 5 5 3" xfId="13189"/>
    <cellStyle name="Note 13 5 5 4" xfId="60370"/>
    <cellStyle name="Note 13 5 5 5" xfId="60371"/>
    <cellStyle name="Note 13 5 5 6" xfId="60372"/>
    <cellStyle name="Note 13 5 5 7" xfId="60373"/>
    <cellStyle name="Note 13 5 5 8" xfId="60374"/>
    <cellStyle name="Note 13 5 6" xfId="3827"/>
    <cellStyle name="Note 13 5 6 2" xfId="9106"/>
    <cellStyle name="Note 13 5 6 2 2" xfId="60375"/>
    <cellStyle name="Note 13 5 6 2 3" xfId="60376"/>
    <cellStyle name="Note 13 5 6 2 4" xfId="60377"/>
    <cellStyle name="Note 13 5 6 2 5" xfId="60378"/>
    <cellStyle name="Note 13 5 6 2 6" xfId="60379"/>
    <cellStyle name="Note 13 5 6 3" xfId="13190"/>
    <cellStyle name="Note 13 5 6 4" xfId="60380"/>
    <cellStyle name="Note 13 5 6 5" xfId="60381"/>
    <cellStyle name="Note 13 5 6 6" xfId="60382"/>
    <cellStyle name="Note 13 5 6 7" xfId="60383"/>
    <cellStyle name="Note 13 5 6 8" xfId="60384"/>
    <cellStyle name="Note 13 5 7" xfId="3828"/>
    <cellStyle name="Note 13 5 7 2" xfId="9107"/>
    <cellStyle name="Note 13 5 7 2 2" xfId="60385"/>
    <cellStyle name="Note 13 5 7 2 3" xfId="60386"/>
    <cellStyle name="Note 13 5 7 2 4" xfId="60387"/>
    <cellStyle name="Note 13 5 7 2 5" xfId="60388"/>
    <cellStyle name="Note 13 5 7 2 6" xfId="60389"/>
    <cellStyle name="Note 13 5 7 3" xfId="13191"/>
    <cellStyle name="Note 13 5 7 4" xfId="60390"/>
    <cellStyle name="Note 13 5 7 5" xfId="60391"/>
    <cellStyle name="Note 13 5 7 6" xfId="60392"/>
    <cellStyle name="Note 13 5 7 7" xfId="60393"/>
    <cellStyle name="Note 13 5 7 8" xfId="60394"/>
    <cellStyle name="Note 13 5 8" xfId="3829"/>
    <cellStyle name="Note 13 5 8 2" xfId="9108"/>
    <cellStyle name="Note 13 5 8 2 2" xfId="60395"/>
    <cellStyle name="Note 13 5 8 2 3" xfId="60396"/>
    <cellStyle name="Note 13 5 8 2 4" xfId="60397"/>
    <cellStyle name="Note 13 5 8 2 5" xfId="60398"/>
    <cellStyle name="Note 13 5 8 2 6" xfId="60399"/>
    <cellStyle name="Note 13 5 8 3" xfId="13192"/>
    <cellStyle name="Note 13 5 8 4" xfId="60400"/>
    <cellStyle name="Note 13 5 8 5" xfId="60401"/>
    <cellStyle name="Note 13 5 8 6" xfId="60402"/>
    <cellStyle name="Note 13 5 8 7" xfId="60403"/>
    <cellStyle name="Note 13 5 8 8" xfId="60404"/>
    <cellStyle name="Note 13 5 9" xfId="3830"/>
    <cellStyle name="Note 13 5 9 2" xfId="9109"/>
    <cellStyle name="Note 13 5 9 2 2" xfId="60405"/>
    <cellStyle name="Note 13 5 9 2 3" xfId="60406"/>
    <cellStyle name="Note 13 5 9 2 4" xfId="60407"/>
    <cellStyle name="Note 13 5 9 2 5" xfId="60408"/>
    <cellStyle name="Note 13 5 9 2 6" xfId="60409"/>
    <cellStyle name="Note 13 5 9 3" xfId="13193"/>
    <cellStyle name="Note 13 5 9 4" xfId="60410"/>
    <cellStyle name="Note 13 5 9 5" xfId="60411"/>
    <cellStyle name="Note 13 5 9 6" xfId="60412"/>
    <cellStyle name="Note 13 5 9 7" xfId="60413"/>
    <cellStyle name="Note 13 5 9 8" xfId="60414"/>
    <cellStyle name="Note 13 6" xfId="996"/>
    <cellStyle name="Note 13 6 10" xfId="2233"/>
    <cellStyle name="Note 13 6 10 2" xfId="7512"/>
    <cellStyle name="Note 13 6 10 2 2" xfId="60415"/>
    <cellStyle name="Note 13 6 10 2 3" xfId="60416"/>
    <cellStyle name="Note 13 6 10 2 4" xfId="60417"/>
    <cellStyle name="Note 13 6 10 2 5" xfId="60418"/>
    <cellStyle name="Note 13 6 10 3" xfId="11274"/>
    <cellStyle name="Note 13 6 10 4" xfId="60419"/>
    <cellStyle name="Note 13 6 10 5" xfId="60420"/>
    <cellStyle name="Note 13 6 10 6" xfId="60421"/>
    <cellStyle name="Note 13 6 10 7" xfId="60422"/>
    <cellStyle name="Note 13 6 11" xfId="6275"/>
    <cellStyle name="Note 13 6 11 2" xfId="60423"/>
    <cellStyle name="Note 13 6 11 3" xfId="60424"/>
    <cellStyle name="Note 13 6 11 4" xfId="60425"/>
    <cellStyle name="Note 13 6 11 5" xfId="60426"/>
    <cellStyle name="Note 13 6 12" xfId="60427"/>
    <cellStyle name="Note 13 6 13" xfId="60428"/>
    <cellStyle name="Note 13 6 2" xfId="1613"/>
    <cellStyle name="Note 13 6 2 2" xfId="2847"/>
    <cellStyle name="Note 13 6 2 2 2" xfId="8126"/>
    <cellStyle name="Note 13 6 2 2 2 2" xfId="60429"/>
    <cellStyle name="Note 13 6 2 2 2 3" xfId="60430"/>
    <cellStyle name="Note 13 6 2 2 2 4" xfId="60431"/>
    <cellStyle name="Note 13 6 2 2 2 5" xfId="60432"/>
    <cellStyle name="Note 13 6 2 2 3" xfId="13195"/>
    <cellStyle name="Note 13 6 2 2 4" xfId="60433"/>
    <cellStyle name="Note 13 6 2 2 5" xfId="60434"/>
    <cellStyle name="Note 13 6 2 2 6" xfId="60435"/>
    <cellStyle name="Note 13 6 2 2 7" xfId="60436"/>
    <cellStyle name="Note 13 6 2 3" xfId="6892"/>
    <cellStyle name="Note 13 6 2 3 2" xfId="60437"/>
    <cellStyle name="Note 13 6 2 3 3" xfId="60438"/>
    <cellStyle name="Note 13 6 2 3 4" xfId="60439"/>
    <cellStyle name="Note 13 6 2 3 5" xfId="60440"/>
    <cellStyle name="Note 13 6 2 3 6" xfId="60441"/>
    <cellStyle name="Note 13 6 2 4" xfId="13194"/>
    <cellStyle name="Note 13 6 2 5" xfId="60442"/>
    <cellStyle name="Note 13 6 3" xfId="3831"/>
    <cellStyle name="Note 13 6 3 2" xfId="9110"/>
    <cellStyle name="Note 13 6 3 2 2" xfId="60443"/>
    <cellStyle name="Note 13 6 3 2 3" xfId="60444"/>
    <cellStyle name="Note 13 6 3 2 4" xfId="60445"/>
    <cellStyle name="Note 13 6 3 2 5" xfId="60446"/>
    <cellStyle name="Note 13 6 3 2 6" xfId="60447"/>
    <cellStyle name="Note 13 6 3 3" xfId="13196"/>
    <cellStyle name="Note 13 6 3 4" xfId="60448"/>
    <cellStyle name="Note 13 6 3 5" xfId="60449"/>
    <cellStyle name="Note 13 6 3 6" xfId="60450"/>
    <cellStyle name="Note 13 6 3 7" xfId="60451"/>
    <cellStyle name="Note 13 6 3 8" xfId="60452"/>
    <cellStyle name="Note 13 6 4" xfId="3832"/>
    <cellStyle name="Note 13 6 4 2" xfId="9111"/>
    <cellStyle name="Note 13 6 4 2 2" xfId="60453"/>
    <cellStyle name="Note 13 6 4 2 3" xfId="60454"/>
    <cellStyle name="Note 13 6 4 2 4" xfId="60455"/>
    <cellStyle name="Note 13 6 4 2 5" xfId="60456"/>
    <cellStyle name="Note 13 6 4 2 6" xfId="60457"/>
    <cellStyle name="Note 13 6 4 3" xfId="13197"/>
    <cellStyle name="Note 13 6 4 4" xfId="60458"/>
    <cellStyle name="Note 13 6 4 5" xfId="60459"/>
    <cellStyle name="Note 13 6 4 6" xfId="60460"/>
    <cellStyle name="Note 13 6 4 7" xfId="60461"/>
    <cellStyle name="Note 13 6 4 8" xfId="60462"/>
    <cellStyle name="Note 13 6 5" xfId="3833"/>
    <cellStyle name="Note 13 6 5 2" xfId="9112"/>
    <cellStyle name="Note 13 6 5 2 2" xfId="60463"/>
    <cellStyle name="Note 13 6 5 2 3" xfId="60464"/>
    <cellStyle name="Note 13 6 5 2 4" xfId="60465"/>
    <cellStyle name="Note 13 6 5 2 5" xfId="60466"/>
    <cellStyle name="Note 13 6 5 2 6" xfId="60467"/>
    <cellStyle name="Note 13 6 5 3" xfId="13198"/>
    <cellStyle name="Note 13 6 5 4" xfId="60468"/>
    <cellStyle name="Note 13 6 5 5" xfId="60469"/>
    <cellStyle name="Note 13 6 5 6" xfId="60470"/>
    <cellStyle name="Note 13 6 5 7" xfId="60471"/>
    <cellStyle name="Note 13 6 5 8" xfId="60472"/>
    <cellStyle name="Note 13 6 6" xfId="3834"/>
    <cellStyle name="Note 13 6 6 2" xfId="9113"/>
    <cellStyle name="Note 13 6 6 2 2" xfId="60473"/>
    <cellStyle name="Note 13 6 6 2 3" xfId="60474"/>
    <cellStyle name="Note 13 6 6 2 4" xfId="60475"/>
    <cellStyle name="Note 13 6 6 2 5" xfId="60476"/>
    <cellStyle name="Note 13 6 6 2 6" xfId="60477"/>
    <cellStyle name="Note 13 6 6 3" xfId="13199"/>
    <cellStyle name="Note 13 6 6 4" xfId="60478"/>
    <cellStyle name="Note 13 6 6 5" xfId="60479"/>
    <cellStyle name="Note 13 6 6 6" xfId="60480"/>
    <cellStyle name="Note 13 6 6 7" xfId="60481"/>
    <cellStyle name="Note 13 6 6 8" xfId="60482"/>
    <cellStyle name="Note 13 6 7" xfId="3835"/>
    <cellStyle name="Note 13 6 7 2" xfId="9114"/>
    <cellStyle name="Note 13 6 7 2 2" xfId="60483"/>
    <cellStyle name="Note 13 6 7 2 3" xfId="60484"/>
    <cellStyle name="Note 13 6 7 2 4" xfId="60485"/>
    <cellStyle name="Note 13 6 7 2 5" xfId="60486"/>
    <cellStyle name="Note 13 6 7 2 6" xfId="60487"/>
    <cellStyle name="Note 13 6 7 3" xfId="13200"/>
    <cellStyle name="Note 13 6 7 4" xfId="60488"/>
    <cellStyle name="Note 13 6 7 5" xfId="60489"/>
    <cellStyle name="Note 13 6 7 6" xfId="60490"/>
    <cellStyle name="Note 13 6 7 7" xfId="60491"/>
    <cellStyle name="Note 13 6 7 8" xfId="60492"/>
    <cellStyle name="Note 13 6 8" xfId="3836"/>
    <cellStyle name="Note 13 6 8 2" xfId="9115"/>
    <cellStyle name="Note 13 6 8 2 2" xfId="60493"/>
    <cellStyle name="Note 13 6 8 2 3" xfId="60494"/>
    <cellStyle name="Note 13 6 8 2 4" xfId="60495"/>
    <cellStyle name="Note 13 6 8 2 5" xfId="60496"/>
    <cellStyle name="Note 13 6 8 2 6" xfId="60497"/>
    <cellStyle name="Note 13 6 8 3" xfId="13201"/>
    <cellStyle name="Note 13 6 8 4" xfId="60498"/>
    <cellStyle name="Note 13 6 8 5" xfId="60499"/>
    <cellStyle name="Note 13 6 8 6" xfId="60500"/>
    <cellStyle name="Note 13 6 8 7" xfId="60501"/>
    <cellStyle name="Note 13 6 8 8" xfId="60502"/>
    <cellStyle name="Note 13 6 9" xfId="3837"/>
    <cellStyle name="Note 13 6 9 2" xfId="9116"/>
    <cellStyle name="Note 13 6 9 2 2" xfId="60503"/>
    <cellStyle name="Note 13 6 9 2 3" xfId="60504"/>
    <cellStyle name="Note 13 6 9 2 4" xfId="60505"/>
    <cellStyle name="Note 13 6 9 2 5" xfId="60506"/>
    <cellStyle name="Note 13 6 9 2 6" xfId="60507"/>
    <cellStyle name="Note 13 6 9 3" xfId="13202"/>
    <cellStyle name="Note 13 6 9 4" xfId="60508"/>
    <cellStyle name="Note 13 6 9 5" xfId="60509"/>
    <cellStyle name="Note 13 6 9 6" xfId="60510"/>
    <cellStyle name="Note 13 6 9 7" xfId="60511"/>
    <cellStyle name="Note 13 6 9 8" xfId="60512"/>
    <cellStyle name="Note 13 7" xfId="997"/>
    <cellStyle name="Note 13 7 10" xfId="2234"/>
    <cellStyle name="Note 13 7 10 2" xfId="7513"/>
    <cellStyle name="Note 13 7 10 2 2" xfId="60513"/>
    <cellStyle name="Note 13 7 10 2 3" xfId="60514"/>
    <cellStyle name="Note 13 7 10 2 4" xfId="60515"/>
    <cellStyle name="Note 13 7 10 2 5" xfId="60516"/>
    <cellStyle name="Note 13 7 10 3" xfId="11275"/>
    <cellStyle name="Note 13 7 10 4" xfId="60517"/>
    <cellStyle name="Note 13 7 10 5" xfId="60518"/>
    <cellStyle name="Note 13 7 10 6" xfId="60519"/>
    <cellStyle name="Note 13 7 10 7" xfId="60520"/>
    <cellStyle name="Note 13 7 11" xfId="6276"/>
    <cellStyle name="Note 13 7 11 2" xfId="60521"/>
    <cellStyle name="Note 13 7 11 3" xfId="60522"/>
    <cellStyle name="Note 13 7 11 4" xfId="60523"/>
    <cellStyle name="Note 13 7 11 5" xfId="60524"/>
    <cellStyle name="Note 13 7 12" xfId="60525"/>
    <cellStyle name="Note 13 7 13" xfId="60526"/>
    <cellStyle name="Note 13 7 2" xfId="1614"/>
    <cellStyle name="Note 13 7 2 2" xfId="2848"/>
    <cellStyle name="Note 13 7 2 2 2" xfId="8127"/>
    <cellStyle name="Note 13 7 2 2 2 2" xfId="60527"/>
    <cellStyle name="Note 13 7 2 2 2 3" xfId="60528"/>
    <cellStyle name="Note 13 7 2 2 2 4" xfId="60529"/>
    <cellStyle name="Note 13 7 2 2 2 5" xfId="60530"/>
    <cellStyle name="Note 13 7 2 2 3" xfId="13204"/>
    <cellStyle name="Note 13 7 2 2 4" xfId="60531"/>
    <cellStyle name="Note 13 7 2 2 5" xfId="60532"/>
    <cellStyle name="Note 13 7 2 2 6" xfId="60533"/>
    <cellStyle name="Note 13 7 2 2 7" xfId="60534"/>
    <cellStyle name="Note 13 7 2 3" xfId="6893"/>
    <cellStyle name="Note 13 7 2 3 2" xfId="60535"/>
    <cellStyle name="Note 13 7 2 3 3" xfId="60536"/>
    <cellStyle name="Note 13 7 2 3 4" xfId="60537"/>
    <cellStyle name="Note 13 7 2 3 5" xfId="60538"/>
    <cellStyle name="Note 13 7 2 3 6" xfId="60539"/>
    <cellStyle name="Note 13 7 2 4" xfId="13203"/>
    <cellStyle name="Note 13 7 2 5" xfId="60540"/>
    <cellStyle name="Note 13 7 3" xfId="3838"/>
    <cellStyle name="Note 13 7 3 2" xfId="9117"/>
    <cellStyle name="Note 13 7 3 2 2" xfId="60541"/>
    <cellStyle name="Note 13 7 3 2 3" xfId="60542"/>
    <cellStyle name="Note 13 7 3 2 4" xfId="60543"/>
    <cellStyle name="Note 13 7 3 2 5" xfId="60544"/>
    <cellStyle name="Note 13 7 3 2 6" xfId="60545"/>
    <cellStyle name="Note 13 7 3 3" xfId="13205"/>
    <cellStyle name="Note 13 7 3 4" xfId="60546"/>
    <cellStyle name="Note 13 7 3 5" xfId="60547"/>
    <cellStyle name="Note 13 7 3 6" xfId="60548"/>
    <cellStyle name="Note 13 7 3 7" xfId="60549"/>
    <cellStyle name="Note 13 7 3 8" xfId="60550"/>
    <cellStyle name="Note 13 7 4" xfId="3839"/>
    <cellStyle name="Note 13 7 4 2" xfId="9118"/>
    <cellStyle name="Note 13 7 4 2 2" xfId="60551"/>
    <cellStyle name="Note 13 7 4 2 3" xfId="60552"/>
    <cellStyle name="Note 13 7 4 2 4" xfId="60553"/>
    <cellStyle name="Note 13 7 4 2 5" xfId="60554"/>
    <cellStyle name="Note 13 7 4 2 6" xfId="60555"/>
    <cellStyle name="Note 13 7 4 3" xfId="13206"/>
    <cellStyle name="Note 13 7 4 4" xfId="60556"/>
    <cellStyle name="Note 13 7 4 5" xfId="60557"/>
    <cellStyle name="Note 13 7 4 6" xfId="60558"/>
    <cellStyle name="Note 13 7 4 7" xfId="60559"/>
    <cellStyle name="Note 13 7 4 8" xfId="60560"/>
    <cellStyle name="Note 13 7 5" xfId="3840"/>
    <cellStyle name="Note 13 7 5 2" xfId="9119"/>
    <cellStyle name="Note 13 7 5 2 2" xfId="60561"/>
    <cellStyle name="Note 13 7 5 2 3" xfId="60562"/>
    <cellStyle name="Note 13 7 5 2 4" xfId="60563"/>
    <cellStyle name="Note 13 7 5 2 5" xfId="60564"/>
    <cellStyle name="Note 13 7 5 2 6" xfId="60565"/>
    <cellStyle name="Note 13 7 5 3" xfId="13207"/>
    <cellStyle name="Note 13 7 5 4" xfId="60566"/>
    <cellStyle name="Note 13 7 5 5" xfId="60567"/>
    <cellStyle name="Note 13 7 5 6" xfId="60568"/>
    <cellStyle name="Note 13 7 5 7" xfId="60569"/>
    <cellStyle name="Note 13 7 5 8" xfId="60570"/>
    <cellStyle name="Note 13 7 6" xfId="3841"/>
    <cellStyle name="Note 13 7 6 2" xfId="9120"/>
    <cellStyle name="Note 13 7 6 2 2" xfId="60571"/>
    <cellStyle name="Note 13 7 6 2 3" xfId="60572"/>
    <cellStyle name="Note 13 7 6 2 4" xfId="60573"/>
    <cellStyle name="Note 13 7 6 2 5" xfId="60574"/>
    <cellStyle name="Note 13 7 6 2 6" xfId="60575"/>
    <cellStyle name="Note 13 7 6 3" xfId="13208"/>
    <cellStyle name="Note 13 7 6 4" xfId="60576"/>
    <cellStyle name="Note 13 7 6 5" xfId="60577"/>
    <cellStyle name="Note 13 7 6 6" xfId="60578"/>
    <cellStyle name="Note 13 7 6 7" xfId="60579"/>
    <cellStyle name="Note 13 7 6 8" xfId="60580"/>
    <cellStyle name="Note 13 7 7" xfId="3842"/>
    <cellStyle name="Note 13 7 7 2" xfId="9121"/>
    <cellStyle name="Note 13 7 7 2 2" xfId="60581"/>
    <cellStyle name="Note 13 7 7 2 3" xfId="60582"/>
    <cellStyle name="Note 13 7 7 2 4" xfId="60583"/>
    <cellStyle name="Note 13 7 7 2 5" xfId="60584"/>
    <cellStyle name="Note 13 7 7 2 6" xfId="60585"/>
    <cellStyle name="Note 13 7 7 3" xfId="13209"/>
    <cellStyle name="Note 13 7 7 4" xfId="60586"/>
    <cellStyle name="Note 13 7 7 5" xfId="60587"/>
    <cellStyle name="Note 13 7 7 6" xfId="60588"/>
    <cellStyle name="Note 13 7 7 7" xfId="60589"/>
    <cellStyle name="Note 13 7 7 8" xfId="60590"/>
    <cellStyle name="Note 13 7 8" xfId="3843"/>
    <cellStyle name="Note 13 7 8 2" xfId="9122"/>
    <cellStyle name="Note 13 7 8 2 2" xfId="60591"/>
    <cellStyle name="Note 13 7 8 2 3" xfId="60592"/>
    <cellStyle name="Note 13 7 8 2 4" xfId="60593"/>
    <cellStyle name="Note 13 7 8 2 5" xfId="60594"/>
    <cellStyle name="Note 13 7 8 2 6" xfId="60595"/>
    <cellStyle name="Note 13 7 8 3" xfId="13210"/>
    <cellStyle name="Note 13 7 8 4" xfId="60596"/>
    <cellStyle name="Note 13 7 8 5" xfId="60597"/>
    <cellStyle name="Note 13 7 8 6" xfId="60598"/>
    <cellStyle name="Note 13 7 8 7" xfId="60599"/>
    <cellStyle name="Note 13 7 8 8" xfId="60600"/>
    <cellStyle name="Note 13 7 9" xfId="3844"/>
    <cellStyle name="Note 13 7 9 2" xfId="9123"/>
    <cellStyle name="Note 13 7 9 2 2" xfId="60601"/>
    <cellStyle name="Note 13 7 9 2 3" xfId="60602"/>
    <cellStyle name="Note 13 7 9 2 4" xfId="60603"/>
    <cellStyle name="Note 13 7 9 2 5" xfId="60604"/>
    <cellStyle name="Note 13 7 9 2 6" xfId="60605"/>
    <cellStyle name="Note 13 7 9 3" xfId="13211"/>
    <cellStyle name="Note 13 7 9 4" xfId="60606"/>
    <cellStyle name="Note 13 7 9 5" xfId="60607"/>
    <cellStyle name="Note 13 7 9 6" xfId="60608"/>
    <cellStyle name="Note 13 7 9 7" xfId="60609"/>
    <cellStyle name="Note 13 7 9 8" xfId="60610"/>
    <cellStyle name="Note 13 8" xfId="1276"/>
    <cellStyle name="Note 13 8 2" xfId="2510"/>
    <cellStyle name="Note 13 8 2 2" xfId="7789"/>
    <cellStyle name="Note 13 8 2 2 2" xfId="60611"/>
    <cellStyle name="Note 13 8 2 2 3" xfId="60612"/>
    <cellStyle name="Note 13 8 2 2 4" xfId="60613"/>
    <cellStyle name="Note 13 8 2 2 5" xfId="60614"/>
    <cellStyle name="Note 13 8 2 3" xfId="13213"/>
    <cellStyle name="Note 13 8 2 4" xfId="60615"/>
    <cellStyle name="Note 13 8 2 5" xfId="60616"/>
    <cellStyle name="Note 13 8 2 6" xfId="60617"/>
    <cellStyle name="Note 13 8 2 7" xfId="60618"/>
    <cellStyle name="Note 13 8 3" xfId="6555"/>
    <cellStyle name="Note 13 8 3 2" xfId="60619"/>
    <cellStyle name="Note 13 8 3 3" xfId="60620"/>
    <cellStyle name="Note 13 8 3 4" xfId="60621"/>
    <cellStyle name="Note 13 8 3 5" xfId="60622"/>
    <cellStyle name="Note 13 8 3 6" xfId="60623"/>
    <cellStyle name="Note 13 8 4" xfId="13212"/>
    <cellStyle name="Note 13 8 5" xfId="60624"/>
    <cellStyle name="Note 13 9" xfId="3845"/>
    <cellStyle name="Note 13 9 2" xfId="9124"/>
    <cellStyle name="Note 13 9 2 2" xfId="60625"/>
    <cellStyle name="Note 13 9 2 3" xfId="60626"/>
    <cellStyle name="Note 13 9 2 4" xfId="60627"/>
    <cellStyle name="Note 13 9 2 5" xfId="60628"/>
    <cellStyle name="Note 13 9 2 6" xfId="60629"/>
    <cellStyle name="Note 13 9 3" xfId="13214"/>
    <cellStyle name="Note 13 9 4" xfId="60630"/>
    <cellStyle name="Note 13 9 5" xfId="60631"/>
    <cellStyle name="Note 13 9 6" xfId="60632"/>
    <cellStyle name="Note 13 9 7" xfId="60633"/>
    <cellStyle name="Note 13 9 8" xfId="60634"/>
    <cellStyle name="Note 14" xfId="589"/>
    <cellStyle name="Note 14 10" xfId="3846"/>
    <cellStyle name="Note 14 10 2" xfId="9125"/>
    <cellStyle name="Note 14 10 2 2" xfId="60635"/>
    <cellStyle name="Note 14 10 2 3" xfId="60636"/>
    <cellStyle name="Note 14 10 2 4" xfId="60637"/>
    <cellStyle name="Note 14 10 2 5" xfId="60638"/>
    <cellStyle name="Note 14 10 2 6" xfId="60639"/>
    <cellStyle name="Note 14 10 3" xfId="13215"/>
    <cellStyle name="Note 14 10 4" xfId="60640"/>
    <cellStyle name="Note 14 10 5" xfId="60641"/>
    <cellStyle name="Note 14 10 6" xfId="60642"/>
    <cellStyle name="Note 14 10 7" xfId="60643"/>
    <cellStyle name="Note 14 10 8" xfId="60644"/>
    <cellStyle name="Note 14 11" xfId="3847"/>
    <cellStyle name="Note 14 11 2" xfId="9126"/>
    <cellStyle name="Note 14 11 2 2" xfId="60645"/>
    <cellStyle name="Note 14 11 2 3" xfId="60646"/>
    <cellStyle name="Note 14 11 2 4" xfId="60647"/>
    <cellStyle name="Note 14 11 2 5" xfId="60648"/>
    <cellStyle name="Note 14 11 2 6" xfId="60649"/>
    <cellStyle name="Note 14 11 3" xfId="13216"/>
    <cellStyle name="Note 14 11 4" xfId="60650"/>
    <cellStyle name="Note 14 11 5" xfId="60651"/>
    <cellStyle name="Note 14 11 6" xfId="60652"/>
    <cellStyle name="Note 14 11 7" xfId="60653"/>
    <cellStyle name="Note 14 11 8" xfId="60654"/>
    <cellStyle name="Note 14 12" xfId="3848"/>
    <cellStyle name="Note 14 12 2" xfId="9127"/>
    <cellStyle name="Note 14 12 2 2" xfId="60655"/>
    <cellStyle name="Note 14 12 2 3" xfId="60656"/>
    <cellStyle name="Note 14 12 2 4" xfId="60657"/>
    <cellStyle name="Note 14 12 2 5" xfId="60658"/>
    <cellStyle name="Note 14 12 2 6" xfId="60659"/>
    <cellStyle name="Note 14 12 3" xfId="13217"/>
    <cellStyle name="Note 14 12 4" xfId="60660"/>
    <cellStyle name="Note 14 12 5" xfId="60661"/>
    <cellStyle name="Note 14 12 6" xfId="60662"/>
    <cellStyle name="Note 14 12 7" xfId="60663"/>
    <cellStyle name="Note 14 12 8" xfId="60664"/>
    <cellStyle name="Note 14 13" xfId="1965"/>
    <cellStyle name="Note 14 13 2" xfId="7244"/>
    <cellStyle name="Note 14 13 2 2" xfId="60665"/>
    <cellStyle name="Note 14 13 2 3" xfId="60666"/>
    <cellStyle name="Note 14 13 2 4" xfId="60667"/>
    <cellStyle name="Note 14 13 2 5" xfId="60668"/>
    <cellStyle name="Note 14 13 3" xfId="11276"/>
    <cellStyle name="Note 14 13 4" xfId="60669"/>
    <cellStyle name="Note 14 13 5" xfId="60670"/>
    <cellStyle name="Note 14 13 6" xfId="60671"/>
    <cellStyle name="Note 14 14" xfId="5940"/>
    <cellStyle name="Note 14 14 2" xfId="60672"/>
    <cellStyle name="Note 14 14 3" xfId="60673"/>
    <cellStyle name="Note 14 14 4" xfId="60674"/>
    <cellStyle name="Note 14 14 5" xfId="60675"/>
    <cellStyle name="Note 14 15" xfId="60676"/>
    <cellStyle name="Note 14 16" xfId="60677"/>
    <cellStyle name="Note 14 2" xfId="590"/>
    <cellStyle name="Note 14 2 10" xfId="3849"/>
    <cellStyle name="Note 14 2 10 2" xfId="9128"/>
    <cellStyle name="Note 14 2 10 2 2" xfId="60678"/>
    <cellStyle name="Note 14 2 10 2 3" xfId="60679"/>
    <cellStyle name="Note 14 2 10 2 4" xfId="60680"/>
    <cellStyle name="Note 14 2 10 2 5" xfId="60681"/>
    <cellStyle name="Note 14 2 10 2 6" xfId="60682"/>
    <cellStyle name="Note 14 2 10 3" xfId="13218"/>
    <cellStyle name="Note 14 2 10 4" xfId="60683"/>
    <cellStyle name="Note 14 2 10 5" xfId="60684"/>
    <cellStyle name="Note 14 2 10 6" xfId="60685"/>
    <cellStyle name="Note 14 2 10 7" xfId="60686"/>
    <cellStyle name="Note 14 2 10 8" xfId="60687"/>
    <cellStyle name="Note 14 2 11" xfId="3850"/>
    <cellStyle name="Note 14 2 11 2" xfId="9129"/>
    <cellStyle name="Note 14 2 11 2 2" xfId="60688"/>
    <cellStyle name="Note 14 2 11 2 3" xfId="60689"/>
    <cellStyle name="Note 14 2 11 2 4" xfId="60690"/>
    <cellStyle name="Note 14 2 11 2 5" xfId="60691"/>
    <cellStyle name="Note 14 2 11 2 6" xfId="60692"/>
    <cellStyle name="Note 14 2 11 3" xfId="13219"/>
    <cellStyle name="Note 14 2 11 4" xfId="60693"/>
    <cellStyle name="Note 14 2 11 5" xfId="60694"/>
    <cellStyle name="Note 14 2 11 6" xfId="60695"/>
    <cellStyle name="Note 14 2 11 7" xfId="60696"/>
    <cellStyle name="Note 14 2 11 8" xfId="60697"/>
    <cellStyle name="Note 14 2 12" xfId="1966"/>
    <cellStyle name="Note 14 2 12 2" xfId="7245"/>
    <cellStyle name="Note 14 2 12 2 2" xfId="60698"/>
    <cellStyle name="Note 14 2 12 2 3" xfId="60699"/>
    <cellStyle name="Note 14 2 12 2 4" xfId="60700"/>
    <cellStyle name="Note 14 2 12 2 5" xfId="60701"/>
    <cellStyle name="Note 14 2 12 3" xfId="11277"/>
    <cellStyle name="Note 14 2 12 4" xfId="60702"/>
    <cellStyle name="Note 14 2 12 5" xfId="60703"/>
    <cellStyle name="Note 14 2 12 6" xfId="60704"/>
    <cellStyle name="Note 14 2 13" xfId="5941"/>
    <cellStyle name="Note 14 2 13 2" xfId="60705"/>
    <cellStyle name="Note 14 2 13 3" xfId="60706"/>
    <cellStyle name="Note 14 2 13 4" xfId="60707"/>
    <cellStyle name="Note 14 2 13 5" xfId="60708"/>
    <cellStyle name="Note 14 2 14" xfId="60709"/>
    <cellStyle name="Note 14 2 15" xfId="60710"/>
    <cellStyle name="Note 14 2 2" xfId="781"/>
    <cellStyle name="Note 14 2 2 10" xfId="60711"/>
    <cellStyle name="Note 14 2 2 11" xfId="60712"/>
    <cellStyle name="Note 14 2 2 2" xfId="1408"/>
    <cellStyle name="Note 14 2 2 2 2" xfId="2642"/>
    <cellStyle name="Note 14 2 2 2 2 2" xfId="7921"/>
    <cellStyle name="Note 14 2 2 2 2 2 2" xfId="60713"/>
    <cellStyle name="Note 14 2 2 2 2 2 3" xfId="60714"/>
    <cellStyle name="Note 14 2 2 2 2 2 4" xfId="60715"/>
    <cellStyle name="Note 14 2 2 2 2 2 5" xfId="60716"/>
    <cellStyle name="Note 14 2 2 2 2 3" xfId="13222"/>
    <cellStyle name="Note 14 2 2 2 2 4" xfId="60717"/>
    <cellStyle name="Note 14 2 2 2 2 5" xfId="60718"/>
    <cellStyle name="Note 14 2 2 2 2 6" xfId="60719"/>
    <cellStyle name="Note 14 2 2 2 2 7" xfId="60720"/>
    <cellStyle name="Note 14 2 2 2 3" xfId="6687"/>
    <cellStyle name="Note 14 2 2 2 3 2" xfId="60721"/>
    <cellStyle name="Note 14 2 2 2 3 3" xfId="60722"/>
    <cellStyle name="Note 14 2 2 2 3 4" xfId="60723"/>
    <cellStyle name="Note 14 2 2 2 3 5" xfId="60724"/>
    <cellStyle name="Note 14 2 2 2 3 6" xfId="60725"/>
    <cellStyle name="Note 14 2 2 2 4" xfId="13221"/>
    <cellStyle name="Note 14 2 2 2 5" xfId="60726"/>
    <cellStyle name="Note 14 2 2 3" xfId="1885"/>
    <cellStyle name="Note 14 2 2 3 2" xfId="3119"/>
    <cellStyle name="Note 14 2 2 3 2 2" xfId="8398"/>
    <cellStyle name="Note 14 2 2 3 2 2 2" xfId="60727"/>
    <cellStyle name="Note 14 2 2 3 2 2 3" xfId="60728"/>
    <cellStyle name="Note 14 2 2 3 2 2 4" xfId="60729"/>
    <cellStyle name="Note 14 2 2 3 2 2 5" xfId="60730"/>
    <cellStyle name="Note 14 2 2 3 2 3" xfId="13224"/>
    <cellStyle name="Note 14 2 2 3 2 4" xfId="60731"/>
    <cellStyle name="Note 14 2 2 3 2 5" xfId="60732"/>
    <cellStyle name="Note 14 2 2 3 2 6" xfId="60733"/>
    <cellStyle name="Note 14 2 2 3 2 7" xfId="60734"/>
    <cellStyle name="Note 14 2 2 3 3" xfId="7164"/>
    <cellStyle name="Note 14 2 2 3 3 2" xfId="60735"/>
    <cellStyle name="Note 14 2 2 3 3 3" xfId="60736"/>
    <cellStyle name="Note 14 2 2 3 3 4" xfId="60737"/>
    <cellStyle name="Note 14 2 2 3 3 5" xfId="60738"/>
    <cellStyle name="Note 14 2 2 3 3 6" xfId="60739"/>
    <cellStyle name="Note 14 2 2 3 4" xfId="13223"/>
    <cellStyle name="Note 14 2 2 3 5" xfId="60740"/>
    <cellStyle name="Note 14 2 2 4" xfId="3851"/>
    <cellStyle name="Note 14 2 2 4 2" xfId="9130"/>
    <cellStyle name="Note 14 2 2 4 2 2" xfId="60741"/>
    <cellStyle name="Note 14 2 2 4 2 3" xfId="60742"/>
    <cellStyle name="Note 14 2 2 4 2 4" xfId="60743"/>
    <cellStyle name="Note 14 2 2 4 2 5" xfId="60744"/>
    <cellStyle name="Note 14 2 2 4 2 6" xfId="60745"/>
    <cellStyle name="Note 14 2 2 4 3" xfId="13225"/>
    <cellStyle name="Note 14 2 2 4 4" xfId="60746"/>
    <cellStyle name="Note 14 2 2 4 5" xfId="60747"/>
    <cellStyle name="Note 14 2 2 4 6" xfId="60748"/>
    <cellStyle name="Note 14 2 2 4 7" xfId="60749"/>
    <cellStyle name="Note 14 2 2 4 8" xfId="60750"/>
    <cellStyle name="Note 14 2 2 5" xfId="3852"/>
    <cellStyle name="Note 14 2 2 5 2" xfId="9131"/>
    <cellStyle name="Note 14 2 2 5 2 2" xfId="60751"/>
    <cellStyle name="Note 14 2 2 5 2 3" xfId="60752"/>
    <cellStyle name="Note 14 2 2 5 2 4" xfId="60753"/>
    <cellStyle name="Note 14 2 2 5 2 5" xfId="60754"/>
    <cellStyle name="Note 14 2 2 5 2 6" xfId="60755"/>
    <cellStyle name="Note 14 2 2 5 3" xfId="13226"/>
    <cellStyle name="Note 14 2 2 5 4" xfId="60756"/>
    <cellStyle name="Note 14 2 2 5 5" xfId="60757"/>
    <cellStyle name="Note 14 2 2 5 6" xfId="60758"/>
    <cellStyle name="Note 14 2 2 5 7" xfId="60759"/>
    <cellStyle name="Note 14 2 2 5 8" xfId="60760"/>
    <cellStyle name="Note 14 2 2 6" xfId="3853"/>
    <cellStyle name="Note 14 2 2 6 2" xfId="9132"/>
    <cellStyle name="Note 14 2 2 6 2 2" xfId="60761"/>
    <cellStyle name="Note 14 2 2 6 2 3" xfId="60762"/>
    <cellStyle name="Note 14 2 2 6 2 4" xfId="60763"/>
    <cellStyle name="Note 14 2 2 6 2 5" xfId="60764"/>
    <cellStyle name="Note 14 2 2 6 2 6" xfId="60765"/>
    <cellStyle name="Note 14 2 2 6 3" xfId="13227"/>
    <cellStyle name="Note 14 2 2 6 4" xfId="60766"/>
    <cellStyle name="Note 14 2 2 6 5" xfId="60767"/>
    <cellStyle name="Note 14 2 2 6 6" xfId="60768"/>
    <cellStyle name="Note 14 2 2 6 7" xfId="60769"/>
    <cellStyle name="Note 14 2 2 6 8" xfId="60770"/>
    <cellStyle name="Note 14 2 2 7" xfId="3854"/>
    <cellStyle name="Note 14 2 2 7 2" xfId="9133"/>
    <cellStyle name="Note 14 2 2 7 2 2" xfId="60771"/>
    <cellStyle name="Note 14 2 2 7 2 3" xfId="60772"/>
    <cellStyle name="Note 14 2 2 7 2 4" xfId="60773"/>
    <cellStyle name="Note 14 2 2 7 2 5" xfId="60774"/>
    <cellStyle name="Note 14 2 2 7 2 6" xfId="60775"/>
    <cellStyle name="Note 14 2 2 7 3" xfId="13228"/>
    <cellStyle name="Note 14 2 2 7 4" xfId="60776"/>
    <cellStyle name="Note 14 2 2 7 5" xfId="60777"/>
    <cellStyle name="Note 14 2 2 7 6" xfId="60778"/>
    <cellStyle name="Note 14 2 2 7 7" xfId="60779"/>
    <cellStyle name="Note 14 2 2 7 8" xfId="60780"/>
    <cellStyle name="Note 14 2 2 8" xfId="6070"/>
    <cellStyle name="Note 14 2 2 8 2" xfId="60781"/>
    <cellStyle name="Note 14 2 2 8 3" xfId="60782"/>
    <cellStyle name="Note 14 2 2 8 4" xfId="60783"/>
    <cellStyle name="Note 14 2 2 8 5" xfId="60784"/>
    <cellStyle name="Note 14 2 2 8 6" xfId="60785"/>
    <cellStyle name="Note 14 2 2 9" xfId="13220"/>
    <cellStyle name="Note 14 2 2 9 2" xfId="60786"/>
    <cellStyle name="Note 14 2 3" xfId="998"/>
    <cellStyle name="Note 14 2 3 10" xfId="2235"/>
    <cellStyle name="Note 14 2 3 10 2" xfId="7514"/>
    <cellStyle name="Note 14 2 3 10 2 2" xfId="60787"/>
    <cellStyle name="Note 14 2 3 10 2 3" xfId="60788"/>
    <cellStyle name="Note 14 2 3 10 2 4" xfId="60789"/>
    <cellStyle name="Note 14 2 3 10 2 5" xfId="60790"/>
    <cellStyle name="Note 14 2 3 10 3" xfId="11278"/>
    <cellStyle name="Note 14 2 3 10 4" xfId="60791"/>
    <cellStyle name="Note 14 2 3 10 5" xfId="60792"/>
    <cellStyle name="Note 14 2 3 10 6" xfId="60793"/>
    <cellStyle name="Note 14 2 3 10 7" xfId="60794"/>
    <cellStyle name="Note 14 2 3 11" xfId="6277"/>
    <cellStyle name="Note 14 2 3 11 2" xfId="60795"/>
    <cellStyle name="Note 14 2 3 11 3" xfId="60796"/>
    <cellStyle name="Note 14 2 3 11 4" xfId="60797"/>
    <cellStyle name="Note 14 2 3 11 5" xfId="60798"/>
    <cellStyle name="Note 14 2 3 12" xfId="60799"/>
    <cellStyle name="Note 14 2 3 13" xfId="60800"/>
    <cellStyle name="Note 14 2 3 2" xfId="1615"/>
    <cellStyle name="Note 14 2 3 2 2" xfId="2849"/>
    <cellStyle name="Note 14 2 3 2 2 2" xfId="8128"/>
    <cellStyle name="Note 14 2 3 2 2 2 2" xfId="60801"/>
    <cellStyle name="Note 14 2 3 2 2 2 3" xfId="60802"/>
    <cellStyle name="Note 14 2 3 2 2 2 4" xfId="60803"/>
    <cellStyle name="Note 14 2 3 2 2 2 5" xfId="60804"/>
    <cellStyle name="Note 14 2 3 2 2 3" xfId="13230"/>
    <cellStyle name="Note 14 2 3 2 2 4" xfId="60805"/>
    <cellStyle name="Note 14 2 3 2 2 5" xfId="60806"/>
    <cellStyle name="Note 14 2 3 2 2 6" xfId="60807"/>
    <cellStyle name="Note 14 2 3 2 2 7" xfId="60808"/>
    <cellStyle name="Note 14 2 3 2 3" xfId="6894"/>
    <cellStyle name="Note 14 2 3 2 3 2" xfId="60809"/>
    <cellStyle name="Note 14 2 3 2 3 3" xfId="60810"/>
    <cellStyle name="Note 14 2 3 2 3 4" xfId="60811"/>
    <cellStyle name="Note 14 2 3 2 3 5" xfId="60812"/>
    <cellStyle name="Note 14 2 3 2 3 6" xfId="60813"/>
    <cellStyle name="Note 14 2 3 2 4" xfId="13229"/>
    <cellStyle name="Note 14 2 3 2 5" xfId="60814"/>
    <cellStyle name="Note 14 2 3 3" xfId="3855"/>
    <cellStyle name="Note 14 2 3 3 2" xfId="9134"/>
    <cellStyle name="Note 14 2 3 3 2 2" xfId="60815"/>
    <cellStyle name="Note 14 2 3 3 2 3" xfId="60816"/>
    <cellStyle name="Note 14 2 3 3 2 4" xfId="60817"/>
    <cellStyle name="Note 14 2 3 3 2 5" xfId="60818"/>
    <cellStyle name="Note 14 2 3 3 2 6" xfId="60819"/>
    <cellStyle name="Note 14 2 3 3 3" xfId="13231"/>
    <cellStyle name="Note 14 2 3 3 4" xfId="60820"/>
    <cellStyle name="Note 14 2 3 3 5" xfId="60821"/>
    <cellStyle name="Note 14 2 3 3 6" xfId="60822"/>
    <cellStyle name="Note 14 2 3 3 7" xfId="60823"/>
    <cellStyle name="Note 14 2 3 3 8" xfId="60824"/>
    <cellStyle name="Note 14 2 3 4" xfId="3856"/>
    <cellStyle name="Note 14 2 3 4 2" xfId="9135"/>
    <cellStyle name="Note 14 2 3 4 2 2" xfId="60825"/>
    <cellStyle name="Note 14 2 3 4 2 3" xfId="60826"/>
    <cellStyle name="Note 14 2 3 4 2 4" xfId="60827"/>
    <cellStyle name="Note 14 2 3 4 2 5" xfId="60828"/>
    <cellStyle name="Note 14 2 3 4 2 6" xfId="60829"/>
    <cellStyle name="Note 14 2 3 4 3" xfId="13232"/>
    <cellStyle name="Note 14 2 3 4 4" xfId="60830"/>
    <cellStyle name="Note 14 2 3 4 5" xfId="60831"/>
    <cellStyle name="Note 14 2 3 4 6" xfId="60832"/>
    <cellStyle name="Note 14 2 3 4 7" xfId="60833"/>
    <cellStyle name="Note 14 2 3 4 8" xfId="60834"/>
    <cellStyle name="Note 14 2 3 5" xfId="3857"/>
    <cellStyle name="Note 14 2 3 5 2" xfId="9136"/>
    <cellStyle name="Note 14 2 3 5 2 2" xfId="60835"/>
    <cellStyle name="Note 14 2 3 5 2 3" xfId="60836"/>
    <cellStyle name="Note 14 2 3 5 2 4" xfId="60837"/>
    <cellStyle name="Note 14 2 3 5 2 5" xfId="60838"/>
    <cellStyle name="Note 14 2 3 5 2 6" xfId="60839"/>
    <cellStyle name="Note 14 2 3 5 3" xfId="13233"/>
    <cellStyle name="Note 14 2 3 5 4" xfId="60840"/>
    <cellStyle name="Note 14 2 3 5 5" xfId="60841"/>
    <cellStyle name="Note 14 2 3 5 6" xfId="60842"/>
    <cellStyle name="Note 14 2 3 5 7" xfId="60843"/>
    <cellStyle name="Note 14 2 3 5 8" xfId="60844"/>
    <cellStyle name="Note 14 2 3 6" xfId="3858"/>
    <cellStyle name="Note 14 2 3 6 2" xfId="9137"/>
    <cellStyle name="Note 14 2 3 6 2 2" xfId="60845"/>
    <cellStyle name="Note 14 2 3 6 2 3" xfId="60846"/>
    <cellStyle name="Note 14 2 3 6 2 4" xfId="60847"/>
    <cellStyle name="Note 14 2 3 6 2 5" xfId="60848"/>
    <cellStyle name="Note 14 2 3 6 2 6" xfId="60849"/>
    <cellStyle name="Note 14 2 3 6 3" xfId="13234"/>
    <cellStyle name="Note 14 2 3 6 4" xfId="60850"/>
    <cellStyle name="Note 14 2 3 6 5" xfId="60851"/>
    <cellStyle name="Note 14 2 3 6 6" xfId="60852"/>
    <cellStyle name="Note 14 2 3 6 7" xfId="60853"/>
    <cellStyle name="Note 14 2 3 6 8" xfId="60854"/>
    <cellStyle name="Note 14 2 3 7" xfId="3859"/>
    <cellStyle name="Note 14 2 3 7 2" xfId="9138"/>
    <cellStyle name="Note 14 2 3 7 2 2" xfId="60855"/>
    <cellStyle name="Note 14 2 3 7 2 3" xfId="60856"/>
    <cellStyle name="Note 14 2 3 7 2 4" xfId="60857"/>
    <cellStyle name="Note 14 2 3 7 2 5" xfId="60858"/>
    <cellStyle name="Note 14 2 3 7 2 6" xfId="60859"/>
    <cellStyle name="Note 14 2 3 7 3" xfId="13235"/>
    <cellStyle name="Note 14 2 3 7 4" xfId="60860"/>
    <cellStyle name="Note 14 2 3 7 5" xfId="60861"/>
    <cellStyle name="Note 14 2 3 7 6" xfId="60862"/>
    <cellStyle name="Note 14 2 3 7 7" xfId="60863"/>
    <cellStyle name="Note 14 2 3 7 8" xfId="60864"/>
    <cellStyle name="Note 14 2 3 8" xfId="3860"/>
    <cellStyle name="Note 14 2 3 8 2" xfId="9139"/>
    <cellStyle name="Note 14 2 3 8 2 2" xfId="60865"/>
    <cellStyle name="Note 14 2 3 8 2 3" xfId="60866"/>
    <cellStyle name="Note 14 2 3 8 2 4" xfId="60867"/>
    <cellStyle name="Note 14 2 3 8 2 5" xfId="60868"/>
    <cellStyle name="Note 14 2 3 8 2 6" xfId="60869"/>
    <cellStyle name="Note 14 2 3 8 3" xfId="13236"/>
    <cellStyle name="Note 14 2 3 8 4" xfId="60870"/>
    <cellStyle name="Note 14 2 3 8 5" xfId="60871"/>
    <cellStyle name="Note 14 2 3 8 6" xfId="60872"/>
    <cellStyle name="Note 14 2 3 8 7" xfId="60873"/>
    <cellStyle name="Note 14 2 3 8 8" xfId="60874"/>
    <cellStyle name="Note 14 2 3 9" xfId="3861"/>
    <cellStyle name="Note 14 2 3 9 2" xfId="9140"/>
    <cellStyle name="Note 14 2 3 9 2 2" xfId="60875"/>
    <cellStyle name="Note 14 2 3 9 2 3" xfId="60876"/>
    <cellStyle name="Note 14 2 3 9 2 4" xfId="60877"/>
    <cellStyle name="Note 14 2 3 9 2 5" xfId="60878"/>
    <cellStyle name="Note 14 2 3 9 2 6" xfId="60879"/>
    <cellStyle name="Note 14 2 3 9 3" xfId="13237"/>
    <cellStyle name="Note 14 2 3 9 4" xfId="60880"/>
    <cellStyle name="Note 14 2 3 9 5" xfId="60881"/>
    <cellStyle name="Note 14 2 3 9 6" xfId="60882"/>
    <cellStyle name="Note 14 2 3 9 7" xfId="60883"/>
    <cellStyle name="Note 14 2 3 9 8" xfId="60884"/>
    <cellStyle name="Note 14 2 4" xfId="999"/>
    <cellStyle name="Note 14 2 4 10" xfId="2236"/>
    <cellStyle name="Note 14 2 4 10 2" xfId="7515"/>
    <cellStyle name="Note 14 2 4 10 2 2" xfId="60885"/>
    <cellStyle name="Note 14 2 4 10 2 3" xfId="60886"/>
    <cellStyle name="Note 14 2 4 10 2 4" xfId="60887"/>
    <cellStyle name="Note 14 2 4 10 2 5" xfId="60888"/>
    <cellStyle name="Note 14 2 4 10 3" xfId="11279"/>
    <cellStyle name="Note 14 2 4 10 4" xfId="60889"/>
    <cellStyle name="Note 14 2 4 10 5" xfId="60890"/>
    <cellStyle name="Note 14 2 4 10 6" xfId="60891"/>
    <cellStyle name="Note 14 2 4 10 7" xfId="60892"/>
    <cellStyle name="Note 14 2 4 11" xfId="6278"/>
    <cellStyle name="Note 14 2 4 11 2" xfId="60893"/>
    <cellStyle name="Note 14 2 4 11 3" xfId="60894"/>
    <cellStyle name="Note 14 2 4 11 4" xfId="60895"/>
    <cellStyle name="Note 14 2 4 11 5" xfId="60896"/>
    <cellStyle name="Note 14 2 4 12" xfId="60897"/>
    <cellStyle name="Note 14 2 4 13" xfId="60898"/>
    <cellStyle name="Note 14 2 4 2" xfId="1616"/>
    <cellStyle name="Note 14 2 4 2 2" xfId="2850"/>
    <cellStyle name="Note 14 2 4 2 2 2" xfId="8129"/>
    <cellStyle name="Note 14 2 4 2 2 2 2" xfId="60899"/>
    <cellStyle name="Note 14 2 4 2 2 2 3" xfId="60900"/>
    <cellStyle name="Note 14 2 4 2 2 2 4" xfId="60901"/>
    <cellStyle name="Note 14 2 4 2 2 2 5" xfId="60902"/>
    <cellStyle name="Note 14 2 4 2 2 3" xfId="13239"/>
    <cellStyle name="Note 14 2 4 2 2 4" xfId="60903"/>
    <cellStyle name="Note 14 2 4 2 2 5" xfId="60904"/>
    <cellStyle name="Note 14 2 4 2 2 6" xfId="60905"/>
    <cellStyle name="Note 14 2 4 2 2 7" xfId="60906"/>
    <cellStyle name="Note 14 2 4 2 3" xfId="6895"/>
    <cellStyle name="Note 14 2 4 2 3 2" xfId="60907"/>
    <cellStyle name="Note 14 2 4 2 3 3" xfId="60908"/>
    <cellStyle name="Note 14 2 4 2 3 4" xfId="60909"/>
    <cellStyle name="Note 14 2 4 2 3 5" xfId="60910"/>
    <cellStyle name="Note 14 2 4 2 3 6" xfId="60911"/>
    <cellStyle name="Note 14 2 4 2 4" xfId="13238"/>
    <cellStyle name="Note 14 2 4 2 5" xfId="60912"/>
    <cellStyle name="Note 14 2 4 3" xfId="3862"/>
    <cellStyle name="Note 14 2 4 3 2" xfId="9141"/>
    <cellStyle name="Note 14 2 4 3 2 2" xfId="60913"/>
    <cellStyle name="Note 14 2 4 3 2 3" xfId="60914"/>
    <cellStyle name="Note 14 2 4 3 2 4" xfId="60915"/>
    <cellStyle name="Note 14 2 4 3 2 5" xfId="60916"/>
    <cellStyle name="Note 14 2 4 3 2 6" xfId="60917"/>
    <cellStyle name="Note 14 2 4 3 3" xfId="13240"/>
    <cellStyle name="Note 14 2 4 3 4" xfId="60918"/>
    <cellStyle name="Note 14 2 4 3 5" xfId="60919"/>
    <cellStyle name="Note 14 2 4 3 6" xfId="60920"/>
    <cellStyle name="Note 14 2 4 3 7" xfId="60921"/>
    <cellStyle name="Note 14 2 4 3 8" xfId="60922"/>
    <cellStyle name="Note 14 2 4 4" xfId="3863"/>
    <cellStyle name="Note 14 2 4 4 2" xfId="9142"/>
    <cellStyle name="Note 14 2 4 4 2 2" xfId="60923"/>
    <cellStyle name="Note 14 2 4 4 2 3" xfId="60924"/>
    <cellStyle name="Note 14 2 4 4 2 4" xfId="60925"/>
    <cellStyle name="Note 14 2 4 4 2 5" xfId="60926"/>
    <cellStyle name="Note 14 2 4 4 2 6" xfId="60927"/>
    <cellStyle name="Note 14 2 4 4 3" xfId="13241"/>
    <cellStyle name="Note 14 2 4 4 4" xfId="60928"/>
    <cellStyle name="Note 14 2 4 4 5" xfId="60929"/>
    <cellStyle name="Note 14 2 4 4 6" xfId="60930"/>
    <cellStyle name="Note 14 2 4 4 7" xfId="60931"/>
    <cellStyle name="Note 14 2 4 4 8" xfId="60932"/>
    <cellStyle name="Note 14 2 4 5" xfId="3864"/>
    <cellStyle name="Note 14 2 4 5 2" xfId="9143"/>
    <cellStyle name="Note 14 2 4 5 2 2" xfId="60933"/>
    <cellStyle name="Note 14 2 4 5 2 3" xfId="60934"/>
    <cellStyle name="Note 14 2 4 5 2 4" xfId="60935"/>
    <cellStyle name="Note 14 2 4 5 2 5" xfId="60936"/>
    <cellStyle name="Note 14 2 4 5 2 6" xfId="60937"/>
    <cellStyle name="Note 14 2 4 5 3" xfId="13242"/>
    <cellStyle name="Note 14 2 4 5 4" xfId="60938"/>
    <cellStyle name="Note 14 2 4 5 5" xfId="60939"/>
    <cellStyle name="Note 14 2 4 5 6" xfId="60940"/>
    <cellStyle name="Note 14 2 4 5 7" xfId="60941"/>
    <cellStyle name="Note 14 2 4 5 8" xfId="60942"/>
    <cellStyle name="Note 14 2 4 6" xfId="3865"/>
    <cellStyle name="Note 14 2 4 6 2" xfId="9144"/>
    <cellStyle name="Note 14 2 4 6 2 2" xfId="60943"/>
    <cellStyle name="Note 14 2 4 6 2 3" xfId="60944"/>
    <cellStyle name="Note 14 2 4 6 2 4" xfId="60945"/>
    <cellStyle name="Note 14 2 4 6 2 5" xfId="60946"/>
    <cellStyle name="Note 14 2 4 6 2 6" xfId="60947"/>
    <cellStyle name="Note 14 2 4 6 3" xfId="13243"/>
    <cellStyle name="Note 14 2 4 6 4" xfId="60948"/>
    <cellStyle name="Note 14 2 4 6 5" xfId="60949"/>
    <cellStyle name="Note 14 2 4 6 6" xfId="60950"/>
    <cellStyle name="Note 14 2 4 6 7" xfId="60951"/>
    <cellStyle name="Note 14 2 4 6 8" xfId="60952"/>
    <cellStyle name="Note 14 2 4 7" xfId="3866"/>
    <cellStyle name="Note 14 2 4 7 2" xfId="9145"/>
    <cellStyle name="Note 14 2 4 7 2 2" xfId="60953"/>
    <cellStyle name="Note 14 2 4 7 2 3" xfId="60954"/>
    <cellStyle name="Note 14 2 4 7 2 4" xfId="60955"/>
    <cellStyle name="Note 14 2 4 7 2 5" xfId="60956"/>
    <cellStyle name="Note 14 2 4 7 2 6" xfId="60957"/>
    <cellStyle name="Note 14 2 4 7 3" xfId="13244"/>
    <cellStyle name="Note 14 2 4 7 4" xfId="60958"/>
    <cellStyle name="Note 14 2 4 7 5" xfId="60959"/>
    <cellStyle name="Note 14 2 4 7 6" xfId="60960"/>
    <cellStyle name="Note 14 2 4 7 7" xfId="60961"/>
    <cellStyle name="Note 14 2 4 7 8" xfId="60962"/>
    <cellStyle name="Note 14 2 4 8" xfId="3867"/>
    <cellStyle name="Note 14 2 4 8 2" xfId="9146"/>
    <cellStyle name="Note 14 2 4 8 2 2" xfId="60963"/>
    <cellStyle name="Note 14 2 4 8 2 3" xfId="60964"/>
    <cellStyle name="Note 14 2 4 8 2 4" xfId="60965"/>
    <cellStyle name="Note 14 2 4 8 2 5" xfId="60966"/>
    <cellStyle name="Note 14 2 4 8 2 6" xfId="60967"/>
    <cellStyle name="Note 14 2 4 8 3" xfId="13245"/>
    <cellStyle name="Note 14 2 4 8 4" xfId="60968"/>
    <cellStyle name="Note 14 2 4 8 5" xfId="60969"/>
    <cellStyle name="Note 14 2 4 8 6" xfId="60970"/>
    <cellStyle name="Note 14 2 4 8 7" xfId="60971"/>
    <cellStyle name="Note 14 2 4 8 8" xfId="60972"/>
    <cellStyle name="Note 14 2 4 9" xfId="3868"/>
    <cellStyle name="Note 14 2 4 9 2" xfId="9147"/>
    <cellStyle name="Note 14 2 4 9 2 2" xfId="60973"/>
    <cellStyle name="Note 14 2 4 9 2 3" xfId="60974"/>
    <cellStyle name="Note 14 2 4 9 2 4" xfId="60975"/>
    <cellStyle name="Note 14 2 4 9 2 5" xfId="60976"/>
    <cellStyle name="Note 14 2 4 9 2 6" xfId="60977"/>
    <cellStyle name="Note 14 2 4 9 3" xfId="13246"/>
    <cellStyle name="Note 14 2 4 9 4" xfId="60978"/>
    <cellStyle name="Note 14 2 4 9 5" xfId="60979"/>
    <cellStyle name="Note 14 2 4 9 6" xfId="60980"/>
    <cellStyle name="Note 14 2 4 9 7" xfId="60981"/>
    <cellStyle name="Note 14 2 4 9 8" xfId="60982"/>
    <cellStyle name="Note 14 2 5" xfId="1000"/>
    <cellStyle name="Note 14 2 5 10" xfId="2237"/>
    <cellStyle name="Note 14 2 5 10 2" xfId="7516"/>
    <cellStyle name="Note 14 2 5 10 2 2" xfId="60983"/>
    <cellStyle name="Note 14 2 5 10 2 3" xfId="60984"/>
    <cellStyle name="Note 14 2 5 10 2 4" xfId="60985"/>
    <cellStyle name="Note 14 2 5 10 2 5" xfId="60986"/>
    <cellStyle name="Note 14 2 5 10 3" xfId="11280"/>
    <cellStyle name="Note 14 2 5 10 4" xfId="60987"/>
    <cellStyle name="Note 14 2 5 10 5" xfId="60988"/>
    <cellStyle name="Note 14 2 5 10 6" xfId="60989"/>
    <cellStyle name="Note 14 2 5 10 7" xfId="60990"/>
    <cellStyle name="Note 14 2 5 11" xfId="6279"/>
    <cellStyle name="Note 14 2 5 11 2" xfId="60991"/>
    <cellStyle name="Note 14 2 5 11 3" xfId="60992"/>
    <cellStyle name="Note 14 2 5 11 4" xfId="60993"/>
    <cellStyle name="Note 14 2 5 11 5" xfId="60994"/>
    <cellStyle name="Note 14 2 5 12" xfId="60995"/>
    <cellStyle name="Note 14 2 5 13" xfId="60996"/>
    <cellStyle name="Note 14 2 5 2" xfId="1617"/>
    <cellStyle name="Note 14 2 5 2 2" xfId="2851"/>
    <cellStyle name="Note 14 2 5 2 2 2" xfId="8130"/>
    <cellStyle name="Note 14 2 5 2 2 2 2" xfId="60997"/>
    <cellStyle name="Note 14 2 5 2 2 2 3" xfId="60998"/>
    <cellStyle name="Note 14 2 5 2 2 2 4" xfId="60999"/>
    <cellStyle name="Note 14 2 5 2 2 2 5" xfId="61000"/>
    <cellStyle name="Note 14 2 5 2 2 3" xfId="13248"/>
    <cellStyle name="Note 14 2 5 2 2 4" xfId="61001"/>
    <cellStyle name="Note 14 2 5 2 2 5" xfId="61002"/>
    <cellStyle name="Note 14 2 5 2 2 6" xfId="61003"/>
    <cellStyle name="Note 14 2 5 2 2 7" xfId="61004"/>
    <cellStyle name="Note 14 2 5 2 3" xfId="6896"/>
    <cellStyle name="Note 14 2 5 2 3 2" xfId="61005"/>
    <cellStyle name="Note 14 2 5 2 3 3" xfId="61006"/>
    <cellStyle name="Note 14 2 5 2 3 4" xfId="61007"/>
    <cellStyle name="Note 14 2 5 2 3 5" xfId="61008"/>
    <cellStyle name="Note 14 2 5 2 3 6" xfId="61009"/>
    <cellStyle name="Note 14 2 5 2 4" xfId="13247"/>
    <cellStyle name="Note 14 2 5 2 5" xfId="61010"/>
    <cellStyle name="Note 14 2 5 3" xfId="3869"/>
    <cellStyle name="Note 14 2 5 3 2" xfId="9148"/>
    <cellStyle name="Note 14 2 5 3 2 2" xfId="61011"/>
    <cellStyle name="Note 14 2 5 3 2 3" xfId="61012"/>
    <cellStyle name="Note 14 2 5 3 2 4" xfId="61013"/>
    <cellStyle name="Note 14 2 5 3 2 5" xfId="61014"/>
    <cellStyle name="Note 14 2 5 3 2 6" xfId="61015"/>
    <cellStyle name="Note 14 2 5 3 3" xfId="13249"/>
    <cellStyle name="Note 14 2 5 3 4" xfId="61016"/>
    <cellStyle name="Note 14 2 5 3 5" xfId="61017"/>
    <cellStyle name="Note 14 2 5 3 6" xfId="61018"/>
    <cellStyle name="Note 14 2 5 3 7" xfId="61019"/>
    <cellStyle name="Note 14 2 5 3 8" xfId="61020"/>
    <cellStyle name="Note 14 2 5 4" xfId="3870"/>
    <cellStyle name="Note 14 2 5 4 2" xfId="9149"/>
    <cellStyle name="Note 14 2 5 4 2 2" xfId="61021"/>
    <cellStyle name="Note 14 2 5 4 2 3" xfId="61022"/>
    <cellStyle name="Note 14 2 5 4 2 4" xfId="61023"/>
    <cellStyle name="Note 14 2 5 4 2 5" xfId="61024"/>
    <cellStyle name="Note 14 2 5 4 2 6" xfId="61025"/>
    <cellStyle name="Note 14 2 5 4 3" xfId="13250"/>
    <cellStyle name="Note 14 2 5 4 4" xfId="61026"/>
    <cellStyle name="Note 14 2 5 4 5" xfId="61027"/>
    <cellStyle name="Note 14 2 5 4 6" xfId="61028"/>
    <cellStyle name="Note 14 2 5 4 7" xfId="61029"/>
    <cellStyle name="Note 14 2 5 4 8" xfId="61030"/>
    <cellStyle name="Note 14 2 5 5" xfId="3871"/>
    <cellStyle name="Note 14 2 5 5 2" xfId="9150"/>
    <cellStyle name="Note 14 2 5 5 2 2" xfId="61031"/>
    <cellStyle name="Note 14 2 5 5 2 3" xfId="61032"/>
    <cellStyle name="Note 14 2 5 5 2 4" xfId="61033"/>
    <cellStyle name="Note 14 2 5 5 2 5" xfId="61034"/>
    <cellStyle name="Note 14 2 5 5 2 6" xfId="61035"/>
    <cellStyle name="Note 14 2 5 5 3" xfId="13251"/>
    <cellStyle name="Note 14 2 5 5 4" xfId="61036"/>
    <cellStyle name="Note 14 2 5 5 5" xfId="61037"/>
    <cellStyle name="Note 14 2 5 5 6" xfId="61038"/>
    <cellStyle name="Note 14 2 5 5 7" xfId="61039"/>
    <cellStyle name="Note 14 2 5 5 8" xfId="61040"/>
    <cellStyle name="Note 14 2 5 6" xfId="3872"/>
    <cellStyle name="Note 14 2 5 6 2" xfId="9151"/>
    <cellStyle name="Note 14 2 5 6 2 2" xfId="61041"/>
    <cellStyle name="Note 14 2 5 6 2 3" xfId="61042"/>
    <cellStyle name="Note 14 2 5 6 2 4" xfId="61043"/>
    <cellStyle name="Note 14 2 5 6 2 5" xfId="61044"/>
    <cellStyle name="Note 14 2 5 6 2 6" xfId="61045"/>
    <cellStyle name="Note 14 2 5 6 3" xfId="13252"/>
    <cellStyle name="Note 14 2 5 6 4" xfId="61046"/>
    <cellStyle name="Note 14 2 5 6 5" xfId="61047"/>
    <cellStyle name="Note 14 2 5 6 6" xfId="61048"/>
    <cellStyle name="Note 14 2 5 6 7" xfId="61049"/>
    <cellStyle name="Note 14 2 5 6 8" xfId="61050"/>
    <cellStyle name="Note 14 2 5 7" xfId="3873"/>
    <cellStyle name="Note 14 2 5 7 2" xfId="9152"/>
    <cellStyle name="Note 14 2 5 7 2 2" xfId="61051"/>
    <cellStyle name="Note 14 2 5 7 2 3" xfId="61052"/>
    <cellStyle name="Note 14 2 5 7 2 4" xfId="61053"/>
    <cellStyle name="Note 14 2 5 7 2 5" xfId="61054"/>
    <cellStyle name="Note 14 2 5 7 2 6" xfId="61055"/>
    <cellStyle name="Note 14 2 5 7 3" xfId="13253"/>
    <cellStyle name="Note 14 2 5 7 4" xfId="61056"/>
    <cellStyle name="Note 14 2 5 7 5" xfId="61057"/>
    <cellStyle name="Note 14 2 5 7 6" xfId="61058"/>
    <cellStyle name="Note 14 2 5 7 7" xfId="61059"/>
    <cellStyle name="Note 14 2 5 7 8" xfId="61060"/>
    <cellStyle name="Note 14 2 5 8" xfId="3874"/>
    <cellStyle name="Note 14 2 5 8 2" xfId="9153"/>
    <cellStyle name="Note 14 2 5 8 2 2" xfId="61061"/>
    <cellStyle name="Note 14 2 5 8 2 3" xfId="61062"/>
    <cellStyle name="Note 14 2 5 8 2 4" xfId="61063"/>
    <cellStyle name="Note 14 2 5 8 2 5" xfId="61064"/>
    <cellStyle name="Note 14 2 5 8 2 6" xfId="61065"/>
    <cellStyle name="Note 14 2 5 8 3" xfId="13254"/>
    <cellStyle name="Note 14 2 5 8 4" xfId="61066"/>
    <cellStyle name="Note 14 2 5 8 5" xfId="61067"/>
    <cellStyle name="Note 14 2 5 8 6" xfId="61068"/>
    <cellStyle name="Note 14 2 5 8 7" xfId="61069"/>
    <cellStyle name="Note 14 2 5 8 8" xfId="61070"/>
    <cellStyle name="Note 14 2 5 9" xfId="3875"/>
    <cellStyle name="Note 14 2 5 9 2" xfId="9154"/>
    <cellStyle name="Note 14 2 5 9 2 2" xfId="61071"/>
    <cellStyle name="Note 14 2 5 9 2 3" xfId="61072"/>
    <cellStyle name="Note 14 2 5 9 2 4" xfId="61073"/>
    <cellStyle name="Note 14 2 5 9 2 5" xfId="61074"/>
    <cellStyle name="Note 14 2 5 9 2 6" xfId="61075"/>
    <cellStyle name="Note 14 2 5 9 3" xfId="13255"/>
    <cellStyle name="Note 14 2 5 9 4" xfId="61076"/>
    <cellStyle name="Note 14 2 5 9 5" xfId="61077"/>
    <cellStyle name="Note 14 2 5 9 6" xfId="61078"/>
    <cellStyle name="Note 14 2 5 9 7" xfId="61079"/>
    <cellStyle name="Note 14 2 5 9 8" xfId="61080"/>
    <cellStyle name="Note 14 2 6" xfId="1001"/>
    <cellStyle name="Note 14 2 6 10" xfId="2238"/>
    <cellStyle name="Note 14 2 6 10 2" xfId="7517"/>
    <cellStyle name="Note 14 2 6 10 2 2" xfId="61081"/>
    <cellStyle name="Note 14 2 6 10 2 3" xfId="61082"/>
    <cellStyle name="Note 14 2 6 10 2 4" xfId="61083"/>
    <cellStyle name="Note 14 2 6 10 2 5" xfId="61084"/>
    <cellStyle name="Note 14 2 6 10 3" xfId="11281"/>
    <cellStyle name="Note 14 2 6 10 4" xfId="61085"/>
    <cellStyle name="Note 14 2 6 10 5" xfId="61086"/>
    <cellStyle name="Note 14 2 6 10 6" xfId="61087"/>
    <cellStyle name="Note 14 2 6 10 7" xfId="61088"/>
    <cellStyle name="Note 14 2 6 11" xfId="6280"/>
    <cellStyle name="Note 14 2 6 11 2" xfId="61089"/>
    <cellStyle name="Note 14 2 6 11 3" xfId="61090"/>
    <cellStyle name="Note 14 2 6 11 4" xfId="61091"/>
    <cellStyle name="Note 14 2 6 11 5" xfId="61092"/>
    <cellStyle name="Note 14 2 6 12" xfId="61093"/>
    <cellStyle name="Note 14 2 6 13" xfId="61094"/>
    <cellStyle name="Note 14 2 6 2" xfId="1618"/>
    <cellStyle name="Note 14 2 6 2 2" xfId="2852"/>
    <cellStyle name="Note 14 2 6 2 2 2" xfId="8131"/>
    <cellStyle name="Note 14 2 6 2 2 2 2" xfId="61095"/>
    <cellStyle name="Note 14 2 6 2 2 2 3" xfId="61096"/>
    <cellStyle name="Note 14 2 6 2 2 2 4" xfId="61097"/>
    <cellStyle name="Note 14 2 6 2 2 2 5" xfId="61098"/>
    <cellStyle name="Note 14 2 6 2 2 3" xfId="13257"/>
    <cellStyle name="Note 14 2 6 2 2 4" xfId="61099"/>
    <cellStyle name="Note 14 2 6 2 2 5" xfId="61100"/>
    <cellStyle name="Note 14 2 6 2 2 6" xfId="61101"/>
    <cellStyle name="Note 14 2 6 2 2 7" xfId="61102"/>
    <cellStyle name="Note 14 2 6 2 3" xfId="6897"/>
    <cellStyle name="Note 14 2 6 2 3 2" xfId="61103"/>
    <cellStyle name="Note 14 2 6 2 3 3" xfId="61104"/>
    <cellStyle name="Note 14 2 6 2 3 4" xfId="61105"/>
    <cellStyle name="Note 14 2 6 2 3 5" xfId="61106"/>
    <cellStyle name="Note 14 2 6 2 3 6" xfId="61107"/>
    <cellStyle name="Note 14 2 6 2 4" xfId="13256"/>
    <cellStyle name="Note 14 2 6 2 5" xfId="61108"/>
    <cellStyle name="Note 14 2 6 3" xfId="3876"/>
    <cellStyle name="Note 14 2 6 3 2" xfId="9155"/>
    <cellStyle name="Note 14 2 6 3 2 2" xfId="61109"/>
    <cellStyle name="Note 14 2 6 3 2 3" xfId="61110"/>
    <cellStyle name="Note 14 2 6 3 2 4" xfId="61111"/>
    <cellStyle name="Note 14 2 6 3 2 5" xfId="61112"/>
    <cellStyle name="Note 14 2 6 3 2 6" xfId="61113"/>
    <cellStyle name="Note 14 2 6 3 3" xfId="13258"/>
    <cellStyle name="Note 14 2 6 3 4" xfId="61114"/>
    <cellStyle name="Note 14 2 6 3 5" xfId="61115"/>
    <cellStyle name="Note 14 2 6 3 6" xfId="61116"/>
    <cellStyle name="Note 14 2 6 3 7" xfId="61117"/>
    <cellStyle name="Note 14 2 6 3 8" xfId="61118"/>
    <cellStyle name="Note 14 2 6 4" xfId="3877"/>
    <cellStyle name="Note 14 2 6 4 2" xfId="9156"/>
    <cellStyle name="Note 14 2 6 4 2 2" xfId="61119"/>
    <cellStyle name="Note 14 2 6 4 2 3" xfId="61120"/>
    <cellStyle name="Note 14 2 6 4 2 4" xfId="61121"/>
    <cellStyle name="Note 14 2 6 4 2 5" xfId="61122"/>
    <cellStyle name="Note 14 2 6 4 2 6" xfId="61123"/>
    <cellStyle name="Note 14 2 6 4 3" xfId="13259"/>
    <cellStyle name="Note 14 2 6 4 4" xfId="61124"/>
    <cellStyle name="Note 14 2 6 4 5" xfId="61125"/>
    <cellStyle name="Note 14 2 6 4 6" xfId="61126"/>
    <cellStyle name="Note 14 2 6 4 7" xfId="61127"/>
    <cellStyle name="Note 14 2 6 4 8" xfId="61128"/>
    <cellStyle name="Note 14 2 6 5" xfId="3878"/>
    <cellStyle name="Note 14 2 6 5 2" xfId="9157"/>
    <cellStyle name="Note 14 2 6 5 2 2" xfId="61129"/>
    <cellStyle name="Note 14 2 6 5 2 3" xfId="61130"/>
    <cellStyle name="Note 14 2 6 5 2 4" xfId="61131"/>
    <cellStyle name="Note 14 2 6 5 2 5" xfId="61132"/>
    <cellStyle name="Note 14 2 6 5 2 6" xfId="61133"/>
    <cellStyle name="Note 14 2 6 5 3" xfId="13260"/>
    <cellStyle name="Note 14 2 6 5 4" xfId="61134"/>
    <cellStyle name="Note 14 2 6 5 5" xfId="61135"/>
    <cellStyle name="Note 14 2 6 5 6" xfId="61136"/>
    <cellStyle name="Note 14 2 6 5 7" xfId="61137"/>
    <cellStyle name="Note 14 2 6 5 8" xfId="61138"/>
    <cellStyle name="Note 14 2 6 6" xfId="3879"/>
    <cellStyle name="Note 14 2 6 6 2" xfId="9158"/>
    <cellStyle name="Note 14 2 6 6 2 2" xfId="61139"/>
    <cellStyle name="Note 14 2 6 6 2 3" xfId="61140"/>
    <cellStyle name="Note 14 2 6 6 2 4" xfId="61141"/>
    <cellStyle name="Note 14 2 6 6 2 5" xfId="61142"/>
    <cellStyle name="Note 14 2 6 6 2 6" xfId="61143"/>
    <cellStyle name="Note 14 2 6 6 3" xfId="13261"/>
    <cellStyle name="Note 14 2 6 6 4" xfId="61144"/>
    <cellStyle name="Note 14 2 6 6 5" xfId="61145"/>
    <cellStyle name="Note 14 2 6 6 6" xfId="61146"/>
    <cellStyle name="Note 14 2 6 6 7" xfId="61147"/>
    <cellStyle name="Note 14 2 6 6 8" xfId="61148"/>
    <cellStyle name="Note 14 2 6 7" xfId="3880"/>
    <cellStyle name="Note 14 2 6 7 2" xfId="9159"/>
    <cellStyle name="Note 14 2 6 7 2 2" xfId="61149"/>
    <cellStyle name="Note 14 2 6 7 2 3" xfId="61150"/>
    <cellStyle name="Note 14 2 6 7 2 4" xfId="61151"/>
    <cellStyle name="Note 14 2 6 7 2 5" xfId="61152"/>
    <cellStyle name="Note 14 2 6 7 2 6" xfId="61153"/>
    <cellStyle name="Note 14 2 6 7 3" xfId="13262"/>
    <cellStyle name="Note 14 2 6 7 4" xfId="61154"/>
    <cellStyle name="Note 14 2 6 7 5" xfId="61155"/>
    <cellStyle name="Note 14 2 6 7 6" xfId="61156"/>
    <cellStyle name="Note 14 2 6 7 7" xfId="61157"/>
    <cellStyle name="Note 14 2 6 7 8" xfId="61158"/>
    <cellStyle name="Note 14 2 6 8" xfId="3881"/>
    <cellStyle name="Note 14 2 6 8 2" xfId="9160"/>
    <cellStyle name="Note 14 2 6 8 2 2" xfId="61159"/>
    <cellStyle name="Note 14 2 6 8 2 3" xfId="61160"/>
    <cellStyle name="Note 14 2 6 8 2 4" xfId="61161"/>
    <cellStyle name="Note 14 2 6 8 2 5" xfId="61162"/>
    <cellStyle name="Note 14 2 6 8 2 6" xfId="61163"/>
    <cellStyle name="Note 14 2 6 8 3" xfId="13263"/>
    <cellStyle name="Note 14 2 6 8 4" xfId="61164"/>
    <cellStyle name="Note 14 2 6 8 5" xfId="61165"/>
    <cellStyle name="Note 14 2 6 8 6" xfId="61166"/>
    <cellStyle name="Note 14 2 6 8 7" xfId="61167"/>
    <cellStyle name="Note 14 2 6 8 8" xfId="61168"/>
    <cellStyle name="Note 14 2 6 9" xfId="3882"/>
    <cellStyle name="Note 14 2 6 9 2" xfId="9161"/>
    <cellStyle name="Note 14 2 6 9 2 2" xfId="61169"/>
    <cellStyle name="Note 14 2 6 9 2 3" xfId="61170"/>
    <cellStyle name="Note 14 2 6 9 2 4" xfId="61171"/>
    <cellStyle name="Note 14 2 6 9 2 5" xfId="61172"/>
    <cellStyle name="Note 14 2 6 9 2 6" xfId="61173"/>
    <cellStyle name="Note 14 2 6 9 3" xfId="13264"/>
    <cellStyle name="Note 14 2 6 9 4" xfId="61174"/>
    <cellStyle name="Note 14 2 6 9 5" xfId="61175"/>
    <cellStyle name="Note 14 2 6 9 6" xfId="61176"/>
    <cellStyle name="Note 14 2 6 9 7" xfId="61177"/>
    <cellStyle name="Note 14 2 6 9 8" xfId="61178"/>
    <cellStyle name="Note 14 2 7" xfId="1279"/>
    <cellStyle name="Note 14 2 7 2" xfId="2513"/>
    <cellStyle name="Note 14 2 7 2 2" xfId="7792"/>
    <cellStyle name="Note 14 2 7 2 2 2" xfId="61179"/>
    <cellStyle name="Note 14 2 7 2 2 3" xfId="61180"/>
    <cellStyle name="Note 14 2 7 2 2 4" xfId="61181"/>
    <cellStyle name="Note 14 2 7 2 2 5" xfId="61182"/>
    <cellStyle name="Note 14 2 7 2 3" xfId="13266"/>
    <cellStyle name="Note 14 2 7 2 4" xfId="61183"/>
    <cellStyle name="Note 14 2 7 2 5" xfId="61184"/>
    <cellStyle name="Note 14 2 7 2 6" xfId="61185"/>
    <cellStyle name="Note 14 2 7 2 7" xfId="61186"/>
    <cellStyle name="Note 14 2 7 3" xfId="6558"/>
    <cellStyle name="Note 14 2 7 3 2" xfId="61187"/>
    <cellStyle name="Note 14 2 7 3 3" xfId="61188"/>
    <cellStyle name="Note 14 2 7 3 4" xfId="61189"/>
    <cellStyle name="Note 14 2 7 3 5" xfId="61190"/>
    <cellStyle name="Note 14 2 7 3 6" xfId="61191"/>
    <cellStyle name="Note 14 2 7 4" xfId="13265"/>
    <cellStyle name="Note 14 2 7 5" xfId="61192"/>
    <cellStyle name="Note 14 2 8" xfId="3883"/>
    <cellStyle name="Note 14 2 8 2" xfId="9162"/>
    <cellStyle name="Note 14 2 8 2 2" xfId="61193"/>
    <cellStyle name="Note 14 2 8 2 3" xfId="61194"/>
    <cellStyle name="Note 14 2 8 2 4" xfId="61195"/>
    <cellStyle name="Note 14 2 8 2 5" xfId="61196"/>
    <cellStyle name="Note 14 2 8 2 6" xfId="61197"/>
    <cellStyle name="Note 14 2 8 3" xfId="13267"/>
    <cellStyle name="Note 14 2 8 4" xfId="61198"/>
    <cellStyle name="Note 14 2 8 5" xfId="61199"/>
    <cellStyle name="Note 14 2 8 6" xfId="61200"/>
    <cellStyle name="Note 14 2 8 7" xfId="61201"/>
    <cellStyle name="Note 14 2 8 8" xfId="61202"/>
    <cellStyle name="Note 14 2 9" xfId="3884"/>
    <cellStyle name="Note 14 2 9 2" xfId="9163"/>
    <cellStyle name="Note 14 2 9 2 2" xfId="61203"/>
    <cellStyle name="Note 14 2 9 2 3" xfId="61204"/>
    <cellStyle name="Note 14 2 9 2 4" xfId="61205"/>
    <cellStyle name="Note 14 2 9 2 5" xfId="61206"/>
    <cellStyle name="Note 14 2 9 2 6" xfId="61207"/>
    <cellStyle name="Note 14 2 9 3" xfId="13268"/>
    <cellStyle name="Note 14 2 9 4" xfId="61208"/>
    <cellStyle name="Note 14 2 9 5" xfId="61209"/>
    <cellStyle name="Note 14 2 9 6" xfId="61210"/>
    <cellStyle name="Note 14 2 9 7" xfId="61211"/>
    <cellStyle name="Note 14 2 9 8" xfId="61212"/>
    <cellStyle name="Note 14 3" xfId="819"/>
    <cellStyle name="Note 14 3 10" xfId="61213"/>
    <cellStyle name="Note 14 3 11" xfId="61214"/>
    <cellStyle name="Note 14 3 2" xfId="1446"/>
    <cellStyle name="Note 14 3 2 2" xfId="2680"/>
    <cellStyle name="Note 14 3 2 2 2" xfId="7959"/>
    <cellStyle name="Note 14 3 2 2 2 2" xfId="61215"/>
    <cellStyle name="Note 14 3 2 2 2 3" xfId="61216"/>
    <cellStyle name="Note 14 3 2 2 2 4" xfId="61217"/>
    <cellStyle name="Note 14 3 2 2 2 5" xfId="61218"/>
    <cellStyle name="Note 14 3 2 2 3" xfId="13271"/>
    <cellStyle name="Note 14 3 2 2 4" xfId="61219"/>
    <cellStyle name="Note 14 3 2 2 5" xfId="61220"/>
    <cellStyle name="Note 14 3 2 2 6" xfId="61221"/>
    <cellStyle name="Note 14 3 2 2 7" xfId="61222"/>
    <cellStyle name="Note 14 3 2 3" xfId="6725"/>
    <cellStyle name="Note 14 3 2 3 2" xfId="61223"/>
    <cellStyle name="Note 14 3 2 3 3" xfId="61224"/>
    <cellStyle name="Note 14 3 2 3 4" xfId="61225"/>
    <cellStyle name="Note 14 3 2 3 5" xfId="61226"/>
    <cellStyle name="Note 14 3 2 3 6" xfId="61227"/>
    <cellStyle name="Note 14 3 2 4" xfId="13270"/>
    <cellStyle name="Note 14 3 2 5" xfId="61228"/>
    <cellStyle name="Note 14 3 3" xfId="1901"/>
    <cellStyle name="Note 14 3 3 2" xfId="3135"/>
    <cellStyle name="Note 14 3 3 2 2" xfId="8414"/>
    <cellStyle name="Note 14 3 3 2 2 2" xfId="61229"/>
    <cellStyle name="Note 14 3 3 2 2 3" xfId="61230"/>
    <cellStyle name="Note 14 3 3 2 2 4" xfId="61231"/>
    <cellStyle name="Note 14 3 3 2 2 5" xfId="61232"/>
    <cellStyle name="Note 14 3 3 2 3" xfId="13273"/>
    <cellStyle name="Note 14 3 3 2 4" xfId="61233"/>
    <cellStyle name="Note 14 3 3 2 5" xfId="61234"/>
    <cellStyle name="Note 14 3 3 2 6" xfId="61235"/>
    <cellStyle name="Note 14 3 3 2 7" xfId="61236"/>
    <cellStyle name="Note 14 3 3 3" xfId="7180"/>
    <cellStyle name="Note 14 3 3 3 2" xfId="61237"/>
    <cellStyle name="Note 14 3 3 3 3" xfId="61238"/>
    <cellStyle name="Note 14 3 3 3 4" xfId="61239"/>
    <cellStyle name="Note 14 3 3 3 5" xfId="61240"/>
    <cellStyle name="Note 14 3 3 3 6" xfId="61241"/>
    <cellStyle name="Note 14 3 3 4" xfId="13272"/>
    <cellStyle name="Note 14 3 3 5" xfId="61242"/>
    <cellStyle name="Note 14 3 4" xfId="3885"/>
    <cellStyle name="Note 14 3 4 2" xfId="9164"/>
    <cellStyle name="Note 14 3 4 2 2" xfId="61243"/>
    <cellStyle name="Note 14 3 4 2 3" xfId="61244"/>
    <cellStyle name="Note 14 3 4 2 4" xfId="61245"/>
    <cellStyle name="Note 14 3 4 2 5" xfId="61246"/>
    <cellStyle name="Note 14 3 4 2 6" xfId="61247"/>
    <cellStyle name="Note 14 3 4 3" xfId="13274"/>
    <cellStyle name="Note 14 3 4 4" xfId="61248"/>
    <cellStyle name="Note 14 3 4 5" xfId="61249"/>
    <cellStyle name="Note 14 3 4 6" xfId="61250"/>
    <cellStyle name="Note 14 3 4 7" xfId="61251"/>
    <cellStyle name="Note 14 3 4 8" xfId="61252"/>
    <cellStyle name="Note 14 3 5" xfId="3886"/>
    <cellStyle name="Note 14 3 5 2" xfId="9165"/>
    <cellStyle name="Note 14 3 5 2 2" xfId="61253"/>
    <cellStyle name="Note 14 3 5 2 3" xfId="61254"/>
    <cellStyle name="Note 14 3 5 2 4" xfId="61255"/>
    <cellStyle name="Note 14 3 5 2 5" xfId="61256"/>
    <cellStyle name="Note 14 3 5 2 6" xfId="61257"/>
    <cellStyle name="Note 14 3 5 3" xfId="13275"/>
    <cellStyle name="Note 14 3 5 4" xfId="61258"/>
    <cellStyle name="Note 14 3 5 5" xfId="61259"/>
    <cellStyle name="Note 14 3 5 6" xfId="61260"/>
    <cellStyle name="Note 14 3 5 7" xfId="61261"/>
    <cellStyle name="Note 14 3 5 8" xfId="61262"/>
    <cellStyle name="Note 14 3 6" xfId="3887"/>
    <cellStyle name="Note 14 3 6 2" xfId="9166"/>
    <cellStyle name="Note 14 3 6 2 2" xfId="61263"/>
    <cellStyle name="Note 14 3 6 2 3" xfId="61264"/>
    <cellStyle name="Note 14 3 6 2 4" xfId="61265"/>
    <cellStyle name="Note 14 3 6 2 5" xfId="61266"/>
    <cellStyle name="Note 14 3 6 2 6" xfId="61267"/>
    <cellStyle name="Note 14 3 6 3" xfId="13276"/>
    <cellStyle name="Note 14 3 6 4" xfId="61268"/>
    <cellStyle name="Note 14 3 6 5" xfId="61269"/>
    <cellStyle name="Note 14 3 6 6" xfId="61270"/>
    <cellStyle name="Note 14 3 6 7" xfId="61271"/>
    <cellStyle name="Note 14 3 6 8" xfId="61272"/>
    <cellStyle name="Note 14 3 7" xfId="3888"/>
    <cellStyle name="Note 14 3 7 2" xfId="9167"/>
    <cellStyle name="Note 14 3 7 2 2" xfId="61273"/>
    <cellStyle name="Note 14 3 7 2 3" xfId="61274"/>
    <cellStyle name="Note 14 3 7 2 4" xfId="61275"/>
    <cellStyle name="Note 14 3 7 2 5" xfId="61276"/>
    <cellStyle name="Note 14 3 7 2 6" xfId="61277"/>
    <cellStyle name="Note 14 3 7 3" xfId="13277"/>
    <cellStyle name="Note 14 3 7 4" xfId="61278"/>
    <cellStyle name="Note 14 3 7 5" xfId="61279"/>
    <cellStyle name="Note 14 3 7 6" xfId="61280"/>
    <cellStyle name="Note 14 3 7 7" xfId="61281"/>
    <cellStyle name="Note 14 3 7 8" xfId="61282"/>
    <cellStyle name="Note 14 3 8" xfId="6108"/>
    <cellStyle name="Note 14 3 8 2" xfId="61283"/>
    <cellStyle name="Note 14 3 8 3" xfId="61284"/>
    <cellStyle name="Note 14 3 8 4" xfId="61285"/>
    <cellStyle name="Note 14 3 8 5" xfId="61286"/>
    <cellStyle name="Note 14 3 8 6" xfId="61287"/>
    <cellStyle name="Note 14 3 9" xfId="13269"/>
    <cellStyle name="Note 14 3 9 2" xfId="61288"/>
    <cellStyle name="Note 14 4" xfId="1002"/>
    <cellStyle name="Note 14 4 10" xfId="2239"/>
    <cellStyle name="Note 14 4 10 2" xfId="7518"/>
    <cellStyle name="Note 14 4 10 2 2" xfId="61289"/>
    <cellStyle name="Note 14 4 10 2 3" xfId="61290"/>
    <cellStyle name="Note 14 4 10 2 4" xfId="61291"/>
    <cellStyle name="Note 14 4 10 2 5" xfId="61292"/>
    <cellStyle name="Note 14 4 10 3" xfId="11282"/>
    <cellStyle name="Note 14 4 10 4" xfId="61293"/>
    <cellStyle name="Note 14 4 10 5" xfId="61294"/>
    <cellStyle name="Note 14 4 10 6" xfId="61295"/>
    <cellStyle name="Note 14 4 10 7" xfId="61296"/>
    <cellStyle name="Note 14 4 11" xfId="6281"/>
    <cellStyle name="Note 14 4 11 2" xfId="61297"/>
    <cellStyle name="Note 14 4 11 3" xfId="61298"/>
    <cellStyle name="Note 14 4 11 4" xfId="61299"/>
    <cellStyle name="Note 14 4 11 5" xfId="61300"/>
    <cellStyle name="Note 14 4 12" xfId="61301"/>
    <cellStyle name="Note 14 4 13" xfId="61302"/>
    <cellStyle name="Note 14 4 2" xfId="1619"/>
    <cellStyle name="Note 14 4 2 2" xfId="2853"/>
    <cellStyle name="Note 14 4 2 2 2" xfId="8132"/>
    <cellStyle name="Note 14 4 2 2 2 2" xfId="61303"/>
    <cellStyle name="Note 14 4 2 2 2 3" xfId="61304"/>
    <cellStyle name="Note 14 4 2 2 2 4" xfId="61305"/>
    <cellStyle name="Note 14 4 2 2 2 5" xfId="61306"/>
    <cellStyle name="Note 14 4 2 2 3" xfId="13279"/>
    <cellStyle name="Note 14 4 2 2 4" xfId="61307"/>
    <cellStyle name="Note 14 4 2 2 5" xfId="61308"/>
    <cellStyle name="Note 14 4 2 2 6" xfId="61309"/>
    <cellStyle name="Note 14 4 2 2 7" xfId="61310"/>
    <cellStyle name="Note 14 4 2 3" xfId="6898"/>
    <cellStyle name="Note 14 4 2 3 2" xfId="61311"/>
    <cellStyle name="Note 14 4 2 3 3" xfId="61312"/>
    <cellStyle name="Note 14 4 2 3 4" xfId="61313"/>
    <cellStyle name="Note 14 4 2 3 5" xfId="61314"/>
    <cellStyle name="Note 14 4 2 3 6" xfId="61315"/>
    <cellStyle name="Note 14 4 2 4" xfId="13278"/>
    <cellStyle name="Note 14 4 2 5" xfId="61316"/>
    <cellStyle name="Note 14 4 3" xfId="3889"/>
    <cellStyle name="Note 14 4 3 2" xfId="9168"/>
    <cellStyle name="Note 14 4 3 2 2" xfId="61317"/>
    <cellStyle name="Note 14 4 3 2 3" xfId="61318"/>
    <cellStyle name="Note 14 4 3 2 4" xfId="61319"/>
    <cellStyle name="Note 14 4 3 2 5" xfId="61320"/>
    <cellStyle name="Note 14 4 3 2 6" xfId="61321"/>
    <cellStyle name="Note 14 4 3 3" xfId="13280"/>
    <cellStyle name="Note 14 4 3 4" xfId="61322"/>
    <cellStyle name="Note 14 4 3 5" xfId="61323"/>
    <cellStyle name="Note 14 4 3 6" xfId="61324"/>
    <cellStyle name="Note 14 4 3 7" xfId="61325"/>
    <cellStyle name="Note 14 4 3 8" xfId="61326"/>
    <cellStyle name="Note 14 4 4" xfId="3890"/>
    <cellStyle name="Note 14 4 4 2" xfId="9169"/>
    <cellStyle name="Note 14 4 4 2 2" xfId="61327"/>
    <cellStyle name="Note 14 4 4 2 3" xfId="61328"/>
    <cellStyle name="Note 14 4 4 2 4" xfId="61329"/>
    <cellStyle name="Note 14 4 4 2 5" xfId="61330"/>
    <cellStyle name="Note 14 4 4 2 6" xfId="61331"/>
    <cellStyle name="Note 14 4 4 3" xfId="13281"/>
    <cellStyle name="Note 14 4 4 4" xfId="61332"/>
    <cellStyle name="Note 14 4 4 5" xfId="61333"/>
    <cellStyle name="Note 14 4 4 6" xfId="61334"/>
    <cellStyle name="Note 14 4 4 7" xfId="61335"/>
    <cellStyle name="Note 14 4 4 8" xfId="61336"/>
    <cellStyle name="Note 14 4 5" xfId="3891"/>
    <cellStyle name="Note 14 4 5 2" xfId="9170"/>
    <cellStyle name="Note 14 4 5 2 2" xfId="61337"/>
    <cellStyle name="Note 14 4 5 2 3" xfId="61338"/>
    <cellStyle name="Note 14 4 5 2 4" xfId="61339"/>
    <cellStyle name="Note 14 4 5 2 5" xfId="61340"/>
    <cellStyle name="Note 14 4 5 2 6" xfId="61341"/>
    <cellStyle name="Note 14 4 5 3" xfId="13282"/>
    <cellStyle name="Note 14 4 5 4" xfId="61342"/>
    <cellStyle name="Note 14 4 5 5" xfId="61343"/>
    <cellStyle name="Note 14 4 5 6" xfId="61344"/>
    <cellStyle name="Note 14 4 5 7" xfId="61345"/>
    <cellStyle name="Note 14 4 5 8" xfId="61346"/>
    <cellStyle name="Note 14 4 6" xfId="3892"/>
    <cellStyle name="Note 14 4 6 2" xfId="9171"/>
    <cellStyle name="Note 14 4 6 2 2" xfId="61347"/>
    <cellStyle name="Note 14 4 6 2 3" xfId="61348"/>
    <cellStyle name="Note 14 4 6 2 4" xfId="61349"/>
    <cellStyle name="Note 14 4 6 2 5" xfId="61350"/>
    <cellStyle name="Note 14 4 6 2 6" xfId="61351"/>
    <cellStyle name="Note 14 4 6 3" xfId="13283"/>
    <cellStyle name="Note 14 4 6 4" xfId="61352"/>
    <cellStyle name="Note 14 4 6 5" xfId="61353"/>
    <cellStyle name="Note 14 4 6 6" xfId="61354"/>
    <cellStyle name="Note 14 4 6 7" xfId="61355"/>
    <cellStyle name="Note 14 4 6 8" xfId="61356"/>
    <cellStyle name="Note 14 4 7" xfId="3893"/>
    <cellStyle name="Note 14 4 7 2" xfId="9172"/>
    <cellStyle name="Note 14 4 7 2 2" xfId="61357"/>
    <cellStyle name="Note 14 4 7 2 3" xfId="61358"/>
    <cellStyle name="Note 14 4 7 2 4" xfId="61359"/>
    <cellStyle name="Note 14 4 7 2 5" xfId="61360"/>
    <cellStyle name="Note 14 4 7 2 6" xfId="61361"/>
    <cellStyle name="Note 14 4 7 3" xfId="13284"/>
    <cellStyle name="Note 14 4 7 4" xfId="61362"/>
    <cellStyle name="Note 14 4 7 5" xfId="61363"/>
    <cellStyle name="Note 14 4 7 6" xfId="61364"/>
    <cellStyle name="Note 14 4 7 7" xfId="61365"/>
    <cellStyle name="Note 14 4 7 8" xfId="61366"/>
    <cellStyle name="Note 14 4 8" xfId="3894"/>
    <cellStyle name="Note 14 4 8 2" xfId="9173"/>
    <cellStyle name="Note 14 4 8 2 2" xfId="61367"/>
    <cellStyle name="Note 14 4 8 2 3" xfId="61368"/>
    <cellStyle name="Note 14 4 8 2 4" xfId="61369"/>
    <cellStyle name="Note 14 4 8 2 5" xfId="61370"/>
    <cellStyle name="Note 14 4 8 2 6" xfId="61371"/>
    <cellStyle name="Note 14 4 8 3" xfId="13285"/>
    <cellStyle name="Note 14 4 8 4" xfId="61372"/>
    <cellStyle name="Note 14 4 8 5" xfId="61373"/>
    <cellStyle name="Note 14 4 8 6" xfId="61374"/>
    <cellStyle name="Note 14 4 8 7" xfId="61375"/>
    <cellStyle name="Note 14 4 8 8" xfId="61376"/>
    <cellStyle name="Note 14 4 9" xfId="3895"/>
    <cellStyle name="Note 14 4 9 2" xfId="9174"/>
    <cellStyle name="Note 14 4 9 2 2" xfId="61377"/>
    <cellStyle name="Note 14 4 9 2 3" xfId="61378"/>
    <cellStyle name="Note 14 4 9 2 4" xfId="61379"/>
    <cellStyle name="Note 14 4 9 2 5" xfId="61380"/>
    <cellStyle name="Note 14 4 9 2 6" xfId="61381"/>
    <cellStyle name="Note 14 4 9 3" xfId="13286"/>
    <cellStyle name="Note 14 4 9 4" xfId="61382"/>
    <cellStyle name="Note 14 4 9 5" xfId="61383"/>
    <cellStyle name="Note 14 4 9 6" xfId="61384"/>
    <cellStyle name="Note 14 4 9 7" xfId="61385"/>
    <cellStyle name="Note 14 4 9 8" xfId="61386"/>
    <cellStyle name="Note 14 5" xfId="1003"/>
    <cellStyle name="Note 14 5 10" xfId="2240"/>
    <cellStyle name="Note 14 5 10 2" xfId="7519"/>
    <cellStyle name="Note 14 5 10 2 2" xfId="61387"/>
    <cellStyle name="Note 14 5 10 2 3" xfId="61388"/>
    <cellStyle name="Note 14 5 10 2 4" xfId="61389"/>
    <cellStyle name="Note 14 5 10 2 5" xfId="61390"/>
    <cellStyle name="Note 14 5 10 3" xfId="11283"/>
    <cellStyle name="Note 14 5 10 4" xfId="61391"/>
    <cellStyle name="Note 14 5 10 5" xfId="61392"/>
    <cellStyle name="Note 14 5 10 6" xfId="61393"/>
    <cellStyle name="Note 14 5 10 7" xfId="61394"/>
    <cellStyle name="Note 14 5 11" xfId="6282"/>
    <cellStyle name="Note 14 5 11 2" xfId="61395"/>
    <cellStyle name="Note 14 5 11 3" xfId="61396"/>
    <cellStyle name="Note 14 5 11 4" xfId="61397"/>
    <cellStyle name="Note 14 5 11 5" xfId="61398"/>
    <cellStyle name="Note 14 5 12" xfId="61399"/>
    <cellStyle name="Note 14 5 13" xfId="61400"/>
    <cellStyle name="Note 14 5 2" xfId="1620"/>
    <cellStyle name="Note 14 5 2 2" xfId="2854"/>
    <cellStyle name="Note 14 5 2 2 2" xfId="8133"/>
    <cellStyle name="Note 14 5 2 2 2 2" xfId="61401"/>
    <cellStyle name="Note 14 5 2 2 2 3" xfId="61402"/>
    <cellStyle name="Note 14 5 2 2 2 4" xfId="61403"/>
    <cellStyle name="Note 14 5 2 2 2 5" xfId="61404"/>
    <cellStyle name="Note 14 5 2 2 3" xfId="13288"/>
    <cellStyle name="Note 14 5 2 2 4" xfId="61405"/>
    <cellStyle name="Note 14 5 2 2 5" xfId="61406"/>
    <cellStyle name="Note 14 5 2 2 6" xfId="61407"/>
    <cellStyle name="Note 14 5 2 2 7" xfId="61408"/>
    <cellStyle name="Note 14 5 2 3" xfId="6899"/>
    <cellStyle name="Note 14 5 2 3 2" xfId="61409"/>
    <cellStyle name="Note 14 5 2 3 3" xfId="61410"/>
    <cellStyle name="Note 14 5 2 3 4" xfId="61411"/>
    <cellStyle name="Note 14 5 2 3 5" xfId="61412"/>
    <cellStyle name="Note 14 5 2 3 6" xfId="61413"/>
    <cellStyle name="Note 14 5 2 4" xfId="13287"/>
    <cellStyle name="Note 14 5 2 5" xfId="61414"/>
    <cellStyle name="Note 14 5 3" xfId="3896"/>
    <cellStyle name="Note 14 5 3 2" xfId="9175"/>
    <cellStyle name="Note 14 5 3 2 2" xfId="61415"/>
    <cellStyle name="Note 14 5 3 2 3" xfId="61416"/>
    <cellStyle name="Note 14 5 3 2 4" xfId="61417"/>
    <cellStyle name="Note 14 5 3 2 5" xfId="61418"/>
    <cellStyle name="Note 14 5 3 2 6" xfId="61419"/>
    <cellStyle name="Note 14 5 3 3" xfId="13289"/>
    <cellStyle name="Note 14 5 3 4" xfId="61420"/>
    <cellStyle name="Note 14 5 3 5" xfId="61421"/>
    <cellStyle name="Note 14 5 3 6" xfId="61422"/>
    <cellStyle name="Note 14 5 3 7" xfId="61423"/>
    <cellStyle name="Note 14 5 3 8" xfId="61424"/>
    <cellStyle name="Note 14 5 4" xfId="3897"/>
    <cellStyle name="Note 14 5 4 2" xfId="9176"/>
    <cellStyle name="Note 14 5 4 2 2" xfId="61425"/>
    <cellStyle name="Note 14 5 4 2 3" xfId="61426"/>
    <cellStyle name="Note 14 5 4 2 4" xfId="61427"/>
    <cellStyle name="Note 14 5 4 2 5" xfId="61428"/>
    <cellStyle name="Note 14 5 4 2 6" xfId="61429"/>
    <cellStyle name="Note 14 5 4 3" xfId="13290"/>
    <cellStyle name="Note 14 5 4 4" xfId="61430"/>
    <cellStyle name="Note 14 5 4 5" xfId="61431"/>
    <cellStyle name="Note 14 5 4 6" xfId="61432"/>
    <cellStyle name="Note 14 5 4 7" xfId="61433"/>
    <cellStyle name="Note 14 5 4 8" xfId="61434"/>
    <cellStyle name="Note 14 5 5" xfId="3898"/>
    <cellStyle name="Note 14 5 5 2" xfId="9177"/>
    <cellStyle name="Note 14 5 5 2 2" xfId="61435"/>
    <cellStyle name="Note 14 5 5 2 3" xfId="61436"/>
    <cellStyle name="Note 14 5 5 2 4" xfId="61437"/>
    <cellStyle name="Note 14 5 5 2 5" xfId="61438"/>
    <cellStyle name="Note 14 5 5 2 6" xfId="61439"/>
    <cellStyle name="Note 14 5 5 3" xfId="13291"/>
    <cellStyle name="Note 14 5 5 4" xfId="61440"/>
    <cellStyle name="Note 14 5 5 5" xfId="61441"/>
    <cellStyle name="Note 14 5 5 6" xfId="61442"/>
    <cellStyle name="Note 14 5 5 7" xfId="61443"/>
    <cellStyle name="Note 14 5 5 8" xfId="61444"/>
    <cellStyle name="Note 14 5 6" xfId="3899"/>
    <cellStyle name="Note 14 5 6 2" xfId="9178"/>
    <cellStyle name="Note 14 5 6 2 2" xfId="61445"/>
    <cellStyle name="Note 14 5 6 2 3" xfId="61446"/>
    <cellStyle name="Note 14 5 6 2 4" xfId="61447"/>
    <cellStyle name="Note 14 5 6 2 5" xfId="61448"/>
    <cellStyle name="Note 14 5 6 2 6" xfId="61449"/>
    <cellStyle name="Note 14 5 6 3" xfId="13292"/>
    <cellStyle name="Note 14 5 6 4" xfId="61450"/>
    <cellStyle name="Note 14 5 6 5" xfId="61451"/>
    <cellStyle name="Note 14 5 6 6" xfId="61452"/>
    <cellStyle name="Note 14 5 6 7" xfId="61453"/>
    <cellStyle name="Note 14 5 6 8" xfId="61454"/>
    <cellStyle name="Note 14 5 7" xfId="3900"/>
    <cellStyle name="Note 14 5 7 2" xfId="9179"/>
    <cellStyle name="Note 14 5 7 2 2" xfId="61455"/>
    <cellStyle name="Note 14 5 7 2 3" xfId="61456"/>
    <cellStyle name="Note 14 5 7 2 4" xfId="61457"/>
    <cellStyle name="Note 14 5 7 2 5" xfId="61458"/>
    <cellStyle name="Note 14 5 7 2 6" xfId="61459"/>
    <cellStyle name="Note 14 5 7 3" xfId="13293"/>
    <cellStyle name="Note 14 5 7 4" xfId="61460"/>
    <cellStyle name="Note 14 5 7 5" xfId="61461"/>
    <cellStyle name="Note 14 5 7 6" xfId="61462"/>
    <cellStyle name="Note 14 5 7 7" xfId="61463"/>
    <cellStyle name="Note 14 5 7 8" xfId="61464"/>
    <cellStyle name="Note 14 5 8" xfId="3901"/>
    <cellStyle name="Note 14 5 8 2" xfId="9180"/>
    <cellStyle name="Note 14 5 8 2 2" xfId="61465"/>
    <cellStyle name="Note 14 5 8 2 3" xfId="61466"/>
    <cellStyle name="Note 14 5 8 2 4" xfId="61467"/>
    <cellStyle name="Note 14 5 8 2 5" xfId="61468"/>
    <cellStyle name="Note 14 5 8 2 6" xfId="61469"/>
    <cellStyle name="Note 14 5 8 3" xfId="13294"/>
    <cellStyle name="Note 14 5 8 4" xfId="61470"/>
    <cellStyle name="Note 14 5 8 5" xfId="61471"/>
    <cellStyle name="Note 14 5 8 6" xfId="61472"/>
    <cellStyle name="Note 14 5 8 7" xfId="61473"/>
    <cellStyle name="Note 14 5 8 8" xfId="61474"/>
    <cellStyle name="Note 14 5 9" xfId="3902"/>
    <cellStyle name="Note 14 5 9 2" xfId="9181"/>
    <cellStyle name="Note 14 5 9 2 2" xfId="61475"/>
    <cellStyle name="Note 14 5 9 2 3" xfId="61476"/>
    <cellStyle name="Note 14 5 9 2 4" xfId="61477"/>
    <cellStyle name="Note 14 5 9 2 5" xfId="61478"/>
    <cellStyle name="Note 14 5 9 2 6" xfId="61479"/>
    <cellStyle name="Note 14 5 9 3" xfId="13295"/>
    <cellStyle name="Note 14 5 9 4" xfId="61480"/>
    <cellStyle name="Note 14 5 9 5" xfId="61481"/>
    <cellStyle name="Note 14 5 9 6" xfId="61482"/>
    <cellStyle name="Note 14 5 9 7" xfId="61483"/>
    <cellStyle name="Note 14 5 9 8" xfId="61484"/>
    <cellStyle name="Note 14 6" xfId="1004"/>
    <cellStyle name="Note 14 6 10" xfId="2241"/>
    <cellStyle name="Note 14 6 10 2" xfId="7520"/>
    <cellStyle name="Note 14 6 10 2 2" xfId="61485"/>
    <cellStyle name="Note 14 6 10 2 3" xfId="61486"/>
    <cellStyle name="Note 14 6 10 2 4" xfId="61487"/>
    <cellStyle name="Note 14 6 10 2 5" xfId="61488"/>
    <cellStyle name="Note 14 6 10 3" xfId="11284"/>
    <cellStyle name="Note 14 6 10 4" xfId="61489"/>
    <cellStyle name="Note 14 6 10 5" xfId="61490"/>
    <cellStyle name="Note 14 6 10 6" xfId="61491"/>
    <cellStyle name="Note 14 6 10 7" xfId="61492"/>
    <cellStyle name="Note 14 6 11" xfId="6283"/>
    <cellStyle name="Note 14 6 11 2" xfId="61493"/>
    <cellStyle name="Note 14 6 11 3" xfId="61494"/>
    <cellStyle name="Note 14 6 11 4" xfId="61495"/>
    <cellStyle name="Note 14 6 11 5" xfId="61496"/>
    <cellStyle name="Note 14 6 12" xfId="61497"/>
    <cellStyle name="Note 14 6 13" xfId="61498"/>
    <cellStyle name="Note 14 6 2" xfId="1621"/>
    <cellStyle name="Note 14 6 2 2" xfId="2855"/>
    <cellStyle name="Note 14 6 2 2 2" xfId="8134"/>
    <cellStyle name="Note 14 6 2 2 2 2" xfId="61499"/>
    <cellStyle name="Note 14 6 2 2 2 3" xfId="61500"/>
    <cellStyle name="Note 14 6 2 2 2 4" xfId="61501"/>
    <cellStyle name="Note 14 6 2 2 2 5" xfId="61502"/>
    <cellStyle name="Note 14 6 2 2 3" xfId="13297"/>
    <cellStyle name="Note 14 6 2 2 4" xfId="61503"/>
    <cellStyle name="Note 14 6 2 2 5" xfId="61504"/>
    <cellStyle name="Note 14 6 2 2 6" xfId="61505"/>
    <cellStyle name="Note 14 6 2 2 7" xfId="61506"/>
    <cellStyle name="Note 14 6 2 3" xfId="6900"/>
    <cellStyle name="Note 14 6 2 3 2" xfId="61507"/>
    <cellStyle name="Note 14 6 2 3 3" xfId="61508"/>
    <cellStyle name="Note 14 6 2 3 4" xfId="61509"/>
    <cellStyle name="Note 14 6 2 3 5" xfId="61510"/>
    <cellStyle name="Note 14 6 2 3 6" xfId="61511"/>
    <cellStyle name="Note 14 6 2 4" xfId="13296"/>
    <cellStyle name="Note 14 6 2 5" xfId="61512"/>
    <cellStyle name="Note 14 6 3" xfId="3903"/>
    <cellStyle name="Note 14 6 3 2" xfId="9182"/>
    <cellStyle name="Note 14 6 3 2 2" xfId="61513"/>
    <cellStyle name="Note 14 6 3 2 3" xfId="61514"/>
    <cellStyle name="Note 14 6 3 2 4" xfId="61515"/>
    <cellStyle name="Note 14 6 3 2 5" xfId="61516"/>
    <cellStyle name="Note 14 6 3 2 6" xfId="61517"/>
    <cellStyle name="Note 14 6 3 3" xfId="13298"/>
    <cellStyle name="Note 14 6 3 4" xfId="61518"/>
    <cellStyle name="Note 14 6 3 5" xfId="61519"/>
    <cellStyle name="Note 14 6 3 6" xfId="61520"/>
    <cellStyle name="Note 14 6 3 7" xfId="61521"/>
    <cellStyle name="Note 14 6 3 8" xfId="61522"/>
    <cellStyle name="Note 14 6 4" xfId="3904"/>
    <cellStyle name="Note 14 6 4 2" xfId="9183"/>
    <cellStyle name="Note 14 6 4 2 2" xfId="61523"/>
    <cellStyle name="Note 14 6 4 2 3" xfId="61524"/>
    <cellStyle name="Note 14 6 4 2 4" xfId="61525"/>
    <cellStyle name="Note 14 6 4 2 5" xfId="61526"/>
    <cellStyle name="Note 14 6 4 2 6" xfId="61527"/>
    <cellStyle name="Note 14 6 4 3" xfId="13299"/>
    <cellStyle name="Note 14 6 4 4" xfId="61528"/>
    <cellStyle name="Note 14 6 4 5" xfId="61529"/>
    <cellStyle name="Note 14 6 4 6" xfId="61530"/>
    <cellStyle name="Note 14 6 4 7" xfId="61531"/>
    <cellStyle name="Note 14 6 4 8" xfId="61532"/>
    <cellStyle name="Note 14 6 5" xfId="3905"/>
    <cellStyle name="Note 14 6 5 2" xfId="9184"/>
    <cellStyle name="Note 14 6 5 2 2" xfId="61533"/>
    <cellStyle name="Note 14 6 5 2 3" xfId="61534"/>
    <cellStyle name="Note 14 6 5 2 4" xfId="61535"/>
    <cellStyle name="Note 14 6 5 2 5" xfId="61536"/>
    <cellStyle name="Note 14 6 5 2 6" xfId="61537"/>
    <cellStyle name="Note 14 6 5 3" xfId="13300"/>
    <cellStyle name="Note 14 6 5 4" xfId="61538"/>
    <cellStyle name="Note 14 6 5 5" xfId="61539"/>
    <cellStyle name="Note 14 6 5 6" xfId="61540"/>
    <cellStyle name="Note 14 6 5 7" xfId="61541"/>
    <cellStyle name="Note 14 6 5 8" xfId="61542"/>
    <cellStyle name="Note 14 6 6" xfId="3906"/>
    <cellStyle name="Note 14 6 6 2" xfId="9185"/>
    <cellStyle name="Note 14 6 6 2 2" xfId="61543"/>
    <cellStyle name="Note 14 6 6 2 3" xfId="61544"/>
    <cellStyle name="Note 14 6 6 2 4" xfId="61545"/>
    <cellStyle name="Note 14 6 6 2 5" xfId="61546"/>
    <cellStyle name="Note 14 6 6 2 6" xfId="61547"/>
    <cellStyle name="Note 14 6 6 3" xfId="13301"/>
    <cellStyle name="Note 14 6 6 4" xfId="61548"/>
    <cellStyle name="Note 14 6 6 5" xfId="61549"/>
    <cellStyle name="Note 14 6 6 6" xfId="61550"/>
    <cellStyle name="Note 14 6 6 7" xfId="61551"/>
    <cellStyle name="Note 14 6 6 8" xfId="61552"/>
    <cellStyle name="Note 14 6 7" xfId="3907"/>
    <cellStyle name="Note 14 6 7 2" xfId="9186"/>
    <cellStyle name="Note 14 6 7 2 2" xfId="61553"/>
    <cellStyle name="Note 14 6 7 2 3" xfId="61554"/>
    <cellStyle name="Note 14 6 7 2 4" xfId="61555"/>
    <cellStyle name="Note 14 6 7 2 5" xfId="61556"/>
    <cellStyle name="Note 14 6 7 2 6" xfId="61557"/>
    <cellStyle name="Note 14 6 7 3" xfId="13302"/>
    <cellStyle name="Note 14 6 7 4" xfId="61558"/>
    <cellStyle name="Note 14 6 7 5" xfId="61559"/>
    <cellStyle name="Note 14 6 7 6" xfId="61560"/>
    <cellStyle name="Note 14 6 7 7" xfId="61561"/>
    <cellStyle name="Note 14 6 7 8" xfId="61562"/>
    <cellStyle name="Note 14 6 8" xfId="3908"/>
    <cellStyle name="Note 14 6 8 2" xfId="9187"/>
    <cellStyle name="Note 14 6 8 2 2" xfId="61563"/>
    <cellStyle name="Note 14 6 8 2 3" xfId="61564"/>
    <cellStyle name="Note 14 6 8 2 4" xfId="61565"/>
    <cellStyle name="Note 14 6 8 2 5" xfId="61566"/>
    <cellStyle name="Note 14 6 8 2 6" xfId="61567"/>
    <cellStyle name="Note 14 6 8 3" xfId="13303"/>
    <cellStyle name="Note 14 6 8 4" xfId="61568"/>
    <cellStyle name="Note 14 6 8 5" xfId="61569"/>
    <cellStyle name="Note 14 6 8 6" xfId="61570"/>
    <cellStyle name="Note 14 6 8 7" xfId="61571"/>
    <cellStyle name="Note 14 6 8 8" xfId="61572"/>
    <cellStyle name="Note 14 6 9" xfId="3909"/>
    <cellStyle name="Note 14 6 9 2" xfId="9188"/>
    <cellStyle name="Note 14 6 9 2 2" xfId="61573"/>
    <cellStyle name="Note 14 6 9 2 3" xfId="61574"/>
    <cellStyle name="Note 14 6 9 2 4" xfId="61575"/>
    <cellStyle name="Note 14 6 9 2 5" xfId="61576"/>
    <cellStyle name="Note 14 6 9 2 6" xfId="61577"/>
    <cellStyle name="Note 14 6 9 3" xfId="13304"/>
    <cellStyle name="Note 14 6 9 4" xfId="61578"/>
    <cellStyle name="Note 14 6 9 5" xfId="61579"/>
    <cellStyle name="Note 14 6 9 6" xfId="61580"/>
    <cellStyle name="Note 14 6 9 7" xfId="61581"/>
    <cellStyle name="Note 14 6 9 8" xfId="61582"/>
    <cellStyle name="Note 14 7" xfId="1005"/>
    <cellStyle name="Note 14 7 10" xfId="2242"/>
    <cellStyle name="Note 14 7 10 2" xfId="7521"/>
    <cellStyle name="Note 14 7 10 2 2" xfId="61583"/>
    <cellStyle name="Note 14 7 10 2 3" xfId="61584"/>
    <cellStyle name="Note 14 7 10 2 4" xfId="61585"/>
    <cellStyle name="Note 14 7 10 2 5" xfId="61586"/>
    <cellStyle name="Note 14 7 10 3" xfId="11285"/>
    <cellStyle name="Note 14 7 10 4" xfId="61587"/>
    <cellStyle name="Note 14 7 10 5" xfId="61588"/>
    <cellStyle name="Note 14 7 10 6" xfId="61589"/>
    <cellStyle name="Note 14 7 10 7" xfId="61590"/>
    <cellStyle name="Note 14 7 11" xfId="6284"/>
    <cellStyle name="Note 14 7 11 2" xfId="61591"/>
    <cellStyle name="Note 14 7 11 3" xfId="61592"/>
    <cellStyle name="Note 14 7 11 4" xfId="61593"/>
    <cellStyle name="Note 14 7 11 5" xfId="61594"/>
    <cellStyle name="Note 14 7 12" xfId="61595"/>
    <cellStyle name="Note 14 7 13" xfId="61596"/>
    <cellStyle name="Note 14 7 2" xfId="1622"/>
    <cellStyle name="Note 14 7 2 2" xfId="2856"/>
    <cellStyle name="Note 14 7 2 2 2" xfId="8135"/>
    <cellStyle name="Note 14 7 2 2 2 2" xfId="61597"/>
    <cellStyle name="Note 14 7 2 2 2 3" xfId="61598"/>
    <cellStyle name="Note 14 7 2 2 2 4" xfId="61599"/>
    <cellStyle name="Note 14 7 2 2 2 5" xfId="61600"/>
    <cellStyle name="Note 14 7 2 2 3" xfId="13306"/>
    <cellStyle name="Note 14 7 2 2 4" xfId="61601"/>
    <cellStyle name="Note 14 7 2 2 5" xfId="61602"/>
    <cellStyle name="Note 14 7 2 2 6" xfId="61603"/>
    <cellStyle name="Note 14 7 2 2 7" xfId="61604"/>
    <cellStyle name="Note 14 7 2 3" xfId="6901"/>
    <cellStyle name="Note 14 7 2 3 2" xfId="61605"/>
    <cellStyle name="Note 14 7 2 3 3" xfId="61606"/>
    <cellStyle name="Note 14 7 2 3 4" xfId="61607"/>
    <cellStyle name="Note 14 7 2 3 5" xfId="61608"/>
    <cellStyle name="Note 14 7 2 3 6" xfId="61609"/>
    <cellStyle name="Note 14 7 2 4" xfId="13305"/>
    <cellStyle name="Note 14 7 2 5" xfId="61610"/>
    <cellStyle name="Note 14 7 3" xfId="3910"/>
    <cellStyle name="Note 14 7 3 2" xfId="9189"/>
    <cellStyle name="Note 14 7 3 2 2" xfId="61611"/>
    <cellStyle name="Note 14 7 3 2 3" xfId="61612"/>
    <cellStyle name="Note 14 7 3 2 4" xfId="61613"/>
    <cellStyle name="Note 14 7 3 2 5" xfId="61614"/>
    <cellStyle name="Note 14 7 3 2 6" xfId="61615"/>
    <cellStyle name="Note 14 7 3 3" xfId="13307"/>
    <cellStyle name="Note 14 7 3 4" xfId="61616"/>
    <cellStyle name="Note 14 7 3 5" xfId="61617"/>
    <cellStyle name="Note 14 7 3 6" xfId="61618"/>
    <cellStyle name="Note 14 7 3 7" xfId="61619"/>
    <cellStyle name="Note 14 7 3 8" xfId="61620"/>
    <cellStyle name="Note 14 7 4" xfId="3911"/>
    <cellStyle name="Note 14 7 4 2" xfId="9190"/>
    <cellStyle name="Note 14 7 4 2 2" xfId="61621"/>
    <cellStyle name="Note 14 7 4 2 3" xfId="61622"/>
    <cellStyle name="Note 14 7 4 2 4" xfId="61623"/>
    <cellStyle name="Note 14 7 4 2 5" xfId="61624"/>
    <cellStyle name="Note 14 7 4 2 6" xfId="61625"/>
    <cellStyle name="Note 14 7 4 3" xfId="13308"/>
    <cellStyle name="Note 14 7 4 4" xfId="61626"/>
    <cellStyle name="Note 14 7 4 5" xfId="61627"/>
    <cellStyle name="Note 14 7 4 6" xfId="61628"/>
    <cellStyle name="Note 14 7 4 7" xfId="61629"/>
    <cellStyle name="Note 14 7 4 8" xfId="61630"/>
    <cellStyle name="Note 14 7 5" xfId="3912"/>
    <cellStyle name="Note 14 7 5 2" xfId="9191"/>
    <cellStyle name="Note 14 7 5 2 2" xfId="61631"/>
    <cellStyle name="Note 14 7 5 2 3" xfId="61632"/>
    <cellStyle name="Note 14 7 5 2 4" xfId="61633"/>
    <cellStyle name="Note 14 7 5 2 5" xfId="61634"/>
    <cellStyle name="Note 14 7 5 2 6" xfId="61635"/>
    <cellStyle name="Note 14 7 5 3" xfId="13309"/>
    <cellStyle name="Note 14 7 5 4" xfId="61636"/>
    <cellStyle name="Note 14 7 5 5" xfId="61637"/>
    <cellStyle name="Note 14 7 5 6" xfId="61638"/>
    <cellStyle name="Note 14 7 5 7" xfId="61639"/>
    <cellStyle name="Note 14 7 5 8" xfId="61640"/>
    <cellStyle name="Note 14 7 6" xfId="3913"/>
    <cellStyle name="Note 14 7 6 2" xfId="9192"/>
    <cellStyle name="Note 14 7 6 2 2" xfId="61641"/>
    <cellStyle name="Note 14 7 6 2 3" xfId="61642"/>
    <cellStyle name="Note 14 7 6 2 4" xfId="61643"/>
    <cellStyle name="Note 14 7 6 2 5" xfId="61644"/>
    <cellStyle name="Note 14 7 6 2 6" xfId="61645"/>
    <cellStyle name="Note 14 7 6 3" xfId="13310"/>
    <cellStyle name="Note 14 7 6 4" xfId="61646"/>
    <cellStyle name="Note 14 7 6 5" xfId="61647"/>
    <cellStyle name="Note 14 7 6 6" xfId="61648"/>
    <cellStyle name="Note 14 7 6 7" xfId="61649"/>
    <cellStyle name="Note 14 7 6 8" xfId="61650"/>
    <cellStyle name="Note 14 7 7" xfId="3914"/>
    <cellStyle name="Note 14 7 7 2" xfId="9193"/>
    <cellStyle name="Note 14 7 7 2 2" xfId="61651"/>
    <cellStyle name="Note 14 7 7 2 3" xfId="61652"/>
    <cellStyle name="Note 14 7 7 2 4" xfId="61653"/>
    <cellStyle name="Note 14 7 7 2 5" xfId="61654"/>
    <cellStyle name="Note 14 7 7 2 6" xfId="61655"/>
    <cellStyle name="Note 14 7 7 3" xfId="13311"/>
    <cellStyle name="Note 14 7 7 4" xfId="61656"/>
    <cellStyle name="Note 14 7 7 5" xfId="61657"/>
    <cellStyle name="Note 14 7 7 6" xfId="61658"/>
    <cellStyle name="Note 14 7 7 7" xfId="61659"/>
    <cellStyle name="Note 14 7 7 8" xfId="61660"/>
    <cellStyle name="Note 14 7 8" xfId="3915"/>
    <cellStyle name="Note 14 7 8 2" xfId="9194"/>
    <cellStyle name="Note 14 7 8 2 2" xfId="61661"/>
    <cellStyle name="Note 14 7 8 2 3" xfId="61662"/>
    <cellStyle name="Note 14 7 8 2 4" xfId="61663"/>
    <cellStyle name="Note 14 7 8 2 5" xfId="61664"/>
    <cellStyle name="Note 14 7 8 2 6" xfId="61665"/>
    <cellStyle name="Note 14 7 8 3" xfId="13312"/>
    <cellStyle name="Note 14 7 8 4" xfId="61666"/>
    <cellStyle name="Note 14 7 8 5" xfId="61667"/>
    <cellStyle name="Note 14 7 8 6" xfId="61668"/>
    <cellStyle name="Note 14 7 8 7" xfId="61669"/>
    <cellStyle name="Note 14 7 8 8" xfId="61670"/>
    <cellStyle name="Note 14 7 9" xfId="3916"/>
    <cellStyle name="Note 14 7 9 2" xfId="9195"/>
    <cellStyle name="Note 14 7 9 2 2" xfId="61671"/>
    <cellStyle name="Note 14 7 9 2 3" xfId="61672"/>
    <cellStyle name="Note 14 7 9 2 4" xfId="61673"/>
    <cellStyle name="Note 14 7 9 2 5" xfId="61674"/>
    <cellStyle name="Note 14 7 9 2 6" xfId="61675"/>
    <cellStyle name="Note 14 7 9 3" xfId="13313"/>
    <cellStyle name="Note 14 7 9 4" xfId="61676"/>
    <cellStyle name="Note 14 7 9 5" xfId="61677"/>
    <cellStyle name="Note 14 7 9 6" xfId="61678"/>
    <cellStyle name="Note 14 7 9 7" xfId="61679"/>
    <cellStyle name="Note 14 7 9 8" xfId="61680"/>
    <cellStyle name="Note 14 8" xfId="1278"/>
    <cellStyle name="Note 14 8 2" xfId="2512"/>
    <cellStyle name="Note 14 8 2 2" xfId="7791"/>
    <cellStyle name="Note 14 8 2 2 2" xfId="61681"/>
    <cellStyle name="Note 14 8 2 2 3" xfId="61682"/>
    <cellStyle name="Note 14 8 2 2 4" xfId="61683"/>
    <cellStyle name="Note 14 8 2 2 5" xfId="61684"/>
    <cellStyle name="Note 14 8 2 3" xfId="13315"/>
    <cellStyle name="Note 14 8 2 4" xfId="61685"/>
    <cellStyle name="Note 14 8 2 5" xfId="61686"/>
    <cellStyle name="Note 14 8 2 6" xfId="61687"/>
    <cellStyle name="Note 14 8 2 7" xfId="61688"/>
    <cellStyle name="Note 14 8 3" xfId="6557"/>
    <cellStyle name="Note 14 8 3 2" xfId="61689"/>
    <cellStyle name="Note 14 8 3 3" xfId="61690"/>
    <cellStyle name="Note 14 8 3 4" xfId="61691"/>
    <cellStyle name="Note 14 8 3 5" xfId="61692"/>
    <cellStyle name="Note 14 8 3 6" xfId="61693"/>
    <cellStyle name="Note 14 8 4" xfId="13314"/>
    <cellStyle name="Note 14 8 5" xfId="61694"/>
    <cellStyle name="Note 14 9" xfId="3917"/>
    <cellStyle name="Note 14 9 2" xfId="9196"/>
    <cellStyle name="Note 14 9 2 2" xfId="61695"/>
    <cellStyle name="Note 14 9 2 3" xfId="61696"/>
    <cellStyle name="Note 14 9 2 4" xfId="61697"/>
    <cellStyle name="Note 14 9 2 5" xfId="61698"/>
    <cellStyle name="Note 14 9 2 6" xfId="61699"/>
    <cellStyle name="Note 14 9 3" xfId="13316"/>
    <cellStyle name="Note 14 9 4" xfId="61700"/>
    <cellStyle name="Note 14 9 5" xfId="61701"/>
    <cellStyle name="Note 14 9 6" xfId="61702"/>
    <cellStyle name="Note 14 9 7" xfId="61703"/>
    <cellStyle name="Note 14 9 8" xfId="61704"/>
    <cellStyle name="Note 15" xfId="591"/>
    <cellStyle name="Note 15 10" xfId="3918"/>
    <cellStyle name="Note 15 10 2" xfId="9197"/>
    <cellStyle name="Note 15 10 2 2" xfId="61705"/>
    <cellStyle name="Note 15 10 2 3" xfId="61706"/>
    <cellStyle name="Note 15 10 2 4" xfId="61707"/>
    <cellStyle name="Note 15 10 2 5" xfId="61708"/>
    <cellStyle name="Note 15 10 2 6" xfId="61709"/>
    <cellStyle name="Note 15 10 3" xfId="13317"/>
    <cellStyle name="Note 15 10 4" xfId="61710"/>
    <cellStyle name="Note 15 10 5" xfId="61711"/>
    <cellStyle name="Note 15 10 6" xfId="61712"/>
    <cellStyle name="Note 15 10 7" xfId="61713"/>
    <cellStyle name="Note 15 10 8" xfId="61714"/>
    <cellStyle name="Note 15 11" xfId="3919"/>
    <cellStyle name="Note 15 11 2" xfId="9198"/>
    <cellStyle name="Note 15 11 2 2" xfId="61715"/>
    <cellStyle name="Note 15 11 2 3" xfId="61716"/>
    <cellStyle name="Note 15 11 2 4" xfId="61717"/>
    <cellStyle name="Note 15 11 2 5" xfId="61718"/>
    <cellStyle name="Note 15 11 2 6" xfId="61719"/>
    <cellStyle name="Note 15 11 3" xfId="13318"/>
    <cellStyle name="Note 15 11 4" xfId="61720"/>
    <cellStyle name="Note 15 11 5" xfId="61721"/>
    <cellStyle name="Note 15 11 6" xfId="61722"/>
    <cellStyle name="Note 15 11 7" xfId="61723"/>
    <cellStyle name="Note 15 11 8" xfId="61724"/>
    <cellStyle name="Note 15 12" xfId="3920"/>
    <cellStyle name="Note 15 12 2" xfId="9199"/>
    <cellStyle name="Note 15 12 2 2" xfId="61725"/>
    <cellStyle name="Note 15 12 2 3" xfId="61726"/>
    <cellStyle name="Note 15 12 2 4" xfId="61727"/>
    <cellStyle name="Note 15 12 2 5" xfId="61728"/>
    <cellStyle name="Note 15 12 2 6" xfId="61729"/>
    <cellStyle name="Note 15 12 3" xfId="13319"/>
    <cellStyle name="Note 15 12 4" xfId="61730"/>
    <cellStyle name="Note 15 12 5" xfId="61731"/>
    <cellStyle name="Note 15 12 6" xfId="61732"/>
    <cellStyle name="Note 15 12 7" xfId="61733"/>
    <cellStyle name="Note 15 12 8" xfId="61734"/>
    <cellStyle name="Note 15 13" xfId="1967"/>
    <cellStyle name="Note 15 13 2" xfId="7246"/>
    <cellStyle name="Note 15 13 2 2" xfId="61735"/>
    <cellStyle name="Note 15 13 2 3" xfId="61736"/>
    <cellStyle name="Note 15 13 2 4" xfId="61737"/>
    <cellStyle name="Note 15 13 2 5" xfId="61738"/>
    <cellStyle name="Note 15 13 3" xfId="11286"/>
    <cellStyle name="Note 15 13 4" xfId="61739"/>
    <cellStyle name="Note 15 13 5" xfId="61740"/>
    <cellStyle name="Note 15 13 6" xfId="61741"/>
    <cellStyle name="Note 15 14" xfId="5942"/>
    <cellStyle name="Note 15 14 2" xfId="61742"/>
    <cellStyle name="Note 15 14 3" xfId="61743"/>
    <cellStyle name="Note 15 14 4" xfId="61744"/>
    <cellStyle name="Note 15 14 5" xfId="61745"/>
    <cellStyle name="Note 15 15" xfId="61746"/>
    <cellStyle name="Note 15 16" xfId="61747"/>
    <cellStyle name="Note 15 2" xfId="592"/>
    <cellStyle name="Note 15 2 10" xfId="3921"/>
    <cellStyle name="Note 15 2 10 2" xfId="9200"/>
    <cellStyle name="Note 15 2 10 2 2" xfId="61748"/>
    <cellStyle name="Note 15 2 10 2 3" xfId="61749"/>
    <cellStyle name="Note 15 2 10 2 4" xfId="61750"/>
    <cellStyle name="Note 15 2 10 2 5" xfId="61751"/>
    <cellStyle name="Note 15 2 10 2 6" xfId="61752"/>
    <cellStyle name="Note 15 2 10 3" xfId="13320"/>
    <cellStyle name="Note 15 2 10 4" xfId="61753"/>
    <cellStyle name="Note 15 2 10 5" xfId="61754"/>
    <cellStyle name="Note 15 2 10 6" xfId="61755"/>
    <cellStyle name="Note 15 2 10 7" xfId="61756"/>
    <cellStyle name="Note 15 2 10 8" xfId="61757"/>
    <cellStyle name="Note 15 2 11" xfId="3922"/>
    <cellStyle name="Note 15 2 11 2" xfId="9201"/>
    <cellStyle name="Note 15 2 11 2 2" xfId="61758"/>
    <cellStyle name="Note 15 2 11 2 3" xfId="61759"/>
    <cellStyle name="Note 15 2 11 2 4" xfId="61760"/>
    <cellStyle name="Note 15 2 11 2 5" xfId="61761"/>
    <cellStyle name="Note 15 2 11 2 6" xfId="61762"/>
    <cellStyle name="Note 15 2 11 3" xfId="13321"/>
    <cellStyle name="Note 15 2 11 4" xfId="61763"/>
    <cellStyle name="Note 15 2 11 5" xfId="61764"/>
    <cellStyle name="Note 15 2 11 6" xfId="61765"/>
    <cellStyle name="Note 15 2 11 7" xfId="61766"/>
    <cellStyle name="Note 15 2 11 8" xfId="61767"/>
    <cellStyle name="Note 15 2 12" xfId="1968"/>
    <cellStyle name="Note 15 2 12 2" xfId="7247"/>
    <cellStyle name="Note 15 2 12 2 2" xfId="61768"/>
    <cellStyle name="Note 15 2 12 2 3" xfId="61769"/>
    <cellStyle name="Note 15 2 12 2 4" xfId="61770"/>
    <cellStyle name="Note 15 2 12 2 5" xfId="61771"/>
    <cellStyle name="Note 15 2 12 3" xfId="11287"/>
    <cellStyle name="Note 15 2 12 4" xfId="61772"/>
    <cellStyle name="Note 15 2 12 5" xfId="61773"/>
    <cellStyle name="Note 15 2 12 6" xfId="61774"/>
    <cellStyle name="Note 15 2 13" xfId="5943"/>
    <cellStyle name="Note 15 2 13 2" xfId="61775"/>
    <cellStyle name="Note 15 2 13 3" xfId="61776"/>
    <cellStyle name="Note 15 2 13 4" xfId="61777"/>
    <cellStyle name="Note 15 2 13 5" xfId="61778"/>
    <cellStyle name="Note 15 2 14" xfId="61779"/>
    <cellStyle name="Note 15 2 15" xfId="61780"/>
    <cellStyle name="Note 15 2 2" xfId="779"/>
    <cellStyle name="Note 15 2 2 10" xfId="61781"/>
    <cellStyle name="Note 15 2 2 11" xfId="61782"/>
    <cellStyle name="Note 15 2 2 2" xfId="1406"/>
    <cellStyle name="Note 15 2 2 2 2" xfId="2640"/>
    <cellStyle name="Note 15 2 2 2 2 2" xfId="7919"/>
    <cellStyle name="Note 15 2 2 2 2 2 2" xfId="61783"/>
    <cellStyle name="Note 15 2 2 2 2 2 3" xfId="61784"/>
    <cellStyle name="Note 15 2 2 2 2 2 4" xfId="61785"/>
    <cellStyle name="Note 15 2 2 2 2 2 5" xfId="61786"/>
    <cellStyle name="Note 15 2 2 2 2 3" xfId="13324"/>
    <cellStyle name="Note 15 2 2 2 2 4" xfId="61787"/>
    <cellStyle name="Note 15 2 2 2 2 5" xfId="61788"/>
    <cellStyle name="Note 15 2 2 2 2 6" xfId="61789"/>
    <cellStyle name="Note 15 2 2 2 2 7" xfId="61790"/>
    <cellStyle name="Note 15 2 2 2 3" xfId="6685"/>
    <cellStyle name="Note 15 2 2 2 3 2" xfId="61791"/>
    <cellStyle name="Note 15 2 2 2 3 3" xfId="61792"/>
    <cellStyle name="Note 15 2 2 2 3 4" xfId="61793"/>
    <cellStyle name="Note 15 2 2 2 3 5" xfId="61794"/>
    <cellStyle name="Note 15 2 2 2 3 6" xfId="61795"/>
    <cellStyle name="Note 15 2 2 2 4" xfId="13323"/>
    <cellStyle name="Note 15 2 2 2 5" xfId="61796"/>
    <cellStyle name="Note 15 2 2 3" xfId="1883"/>
    <cellStyle name="Note 15 2 2 3 2" xfId="3117"/>
    <cellStyle name="Note 15 2 2 3 2 2" xfId="8396"/>
    <cellStyle name="Note 15 2 2 3 2 2 2" xfId="61797"/>
    <cellStyle name="Note 15 2 2 3 2 2 3" xfId="61798"/>
    <cellStyle name="Note 15 2 2 3 2 2 4" xfId="61799"/>
    <cellStyle name="Note 15 2 2 3 2 2 5" xfId="61800"/>
    <cellStyle name="Note 15 2 2 3 2 3" xfId="13326"/>
    <cellStyle name="Note 15 2 2 3 2 4" xfId="61801"/>
    <cellStyle name="Note 15 2 2 3 2 5" xfId="61802"/>
    <cellStyle name="Note 15 2 2 3 2 6" xfId="61803"/>
    <cellStyle name="Note 15 2 2 3 2 7" xfId="61804"/>
    <cellStyle name="Note 15 2 2 3 3" xfId="7162"/>
    <cellStyle name="Note 15 2 2 3 3 2" xfId="61805"/>
    <cellStyle name="Note 15 2 2 3 3 3" xfId="61806"/>
    <cellStyle name="Note 15 2 2 3 3 4" xfId="61807"/>
    <cellStyle name="Note 15 2 2 3 3 5" xfId="61808"/>
    <cellStyle name="Note 15 2 2 3 3 6" xfId="61809"/>
    <cellStyle name="Note 15 2 2 3 4" xfId="13325"/>
    <cellStyle name="Note 15 2 2 3 5" xfId="61810"/>
    <cellStyle name="Note 15 2 2 4" xfId="3923"/>
    <cellStyle name="Note 15 2 2 4 2" xfId="9202"/>
    <cellStyle name="Note 15 2 2 4 2 2" xfId="61811"/>
    <cellStyle name="Note 15 2 2 4 2 3" xfId="61812"/>
    <cellStyle name="Note 15 2 2 4 2 4" xfId="61813"/>
    <cellStyle name="Note 15 2 2 4 2 5" xfId="61814"/>
    <cellStyle name="Note 15 2 2 4 2 6" xfId="61815"/>
    <cellStyle name="Note 15 2 2 4 3" xfId="13327"/>
    <cellStyle name="Note 15 2 2 4 4" xfId="61816"/>
    <cellStyle name="Note 15 2 2 4 5" xfId="61817"/>
    <cellStyle name="Note 15 2 2 4 6" xfId="61818"/>
    <cellStyle name="Note 15 2 2 4 7" xfId="61819"/>
    <cellStyle name="Note 15 2 2 4 8" xfId="61820"/>
    <cellStyle name="Note 15 2 2 5" xfId="3924"/>
    <cellStyle name="Note 15 2 2 5 2" xfId="9203"/>
    <cellStyle name="Note 15 2 2 5 2 2" xfId="61821"/>
    <cellStyle name="Note 15 2 2 5 2 3" xfId="61822"/>
    <cellStyle name="Note 15 2 2 5 2 4" xfId="61823"/>
    <cellStyle name="Note 15 2 2 5 2 5" xfId="61824"/>
    <cellStyle name="Note 15 2 2 5 2 6" xfId="61825"/>
    <cellStyle name="Note 15 2 2 5 3" xfId="13328"/>
    <cellStyle name="Note 15 2 2 5 4" xfId="61826"/>
    <cellStyle name="Note 15 2 2 5 5" xfId="61827"/>
    <cellStyle name="Note 15 2 2 5 6" xfId="61828"/>
    <cellStyle name="Note 15 2 2 5 7" xfId="61829"/>
    <cellStyle name="Note 15 2 2 5 8" xfId="61830"/>
    <cellStyle name="Note 15 2 2 6" xfId="3925"/>
    <cellStyle name="Note 15 2 2 6 2" xfId="9204"/>
    <cellStyle name="Note 15 2 2 6 2 2" xfId="61831"/>
    <cellStyle name="Note 15 2 2 6 2 3" xfId="61832"/>
    <cellStyle name="Note 15 2 2 6 2 4" xfId="61833"/>
    <cellStyle name="Note 15 2 2 6 2 5" xfId="61834"/>
    <cellStyle name="Note 15 2 2 6 2 6" xfId="61835"/>
    <cellStyle name="Note 15 2 2 6 3" xfId="13329"/>
    <cellStyle name="Note 15 2 2 6 4" xfId="61836"/>
    <cellStyle name="Note 15 2 2 6 5" xfId="61837"/>
    <cellStyle name="Note 15 2 2 6 6" xfId="61838"/>
    <cellStyle name="Note 15 2 2 6 7" xfId="61839"/>
    <cellStyle name="Note 15 2 2 6 8" xfId="61840"/>
    <cellStyle name="Note 15 2 2 7" xfId="3926"/>
    <cellStyle name="Note 15 2 2 7 2" xfId="9205"/>
    <cellStyle name="Note 15 2 2 7 2 2" xfId="61841"/>
    <cellStyle name="Note 15 2 2 7 2 3" xfId="61842"/>
    <cellStyle name="Note 15 2 2 7 2 4" xfId="61843"/>
    <cellStyle name="Note 15 2 2 7 2 5" xfId="61844"/>
    <cellStyle name="Note 15 2 2 7 2 6" xfId="61845"/>
    <cellStyle name="Note 15 2 2 7 3" xfId="13330"/>
    <cellStyle name="Note 15 2 2 7 4" xfId="61846"/>
    <cellStyle name="Note 15 2 2 7 5" xfId="61847"/>
    <cellStyle name="Note 15 2 2 7 6" xfId="61848"/>
    <cellStyle name="Note 15 2 2 7 7" xfId="61849"/>
    <cellStyle name="Note 15 2 2 7 8" xfId="61850"/>
    <cellStyle name="Note 15 2 2 8" xfId="6068"/>
    <cellStyle name="Note 15 2 2 8 2" xfId="61851"/>
    <cellStyle name="Note 15 2 2 8 3" xfId="61852"/>
    <cellStyle name="Note 15 2 2 8 4" xfId="61853"/>
    <cellStyle name="Note 15 2 2 8 5" xfId="61854"/>
    <cellStyle name="Note 15 2 2 8 6" xfId="61855"/>
    <cellStyle name="Note 15 2 2 9" xfId="13322"/>
    <cellStyle name="Note 15 2 2 9 2" xfId="61856"/>
    <cellStyle name="Note 15 2 3" xfId="1006"/>
    <cellStyle name="Note 15 2 3 10" xfId="2243"/>
    <cellStyle name="Note 15 2 3 10 2" xfId="7522"/>
    <cellStyle name="Note 15 2 3 10 2 2" xfId="61857"/>
    <cellStyle name="Note 15 2 3 10 2 3" xfId="61858"/>
    <cellStyle name="Note 15 2 3 10 2 4" xfId="61859"/>
    <cellStyle name="Note 15 2 3 10 2 5" xfId="61860"/>
    <cellStyle name="Note 15 2 3 10 3" xfId="11288"/>
    <cellStyle name="Note 15 2 3 10 4" xfId="61861"/>
    <cellStyle name="Note 15 2 3 10 5" xfId="61862"/>
    <cellStyle name="Note 15 2 3 10 6" xfId="61863"/>
    <cellStyle name="Note 15 2 3 10 7" xfId="61864"/>
    <cellStyle name="Note 15 2 3 11" xfId="6285"/>
    <cellStyle name="Note 15 2 3 11 2" xfId="61865"/>
    <cellStyle name="Note 15 2 3 11 3" xfId="61866"/>
    <cellStyle name="Note 15 2 3 11 4" xfId="61867"/>
    <cellStyle name="Note 15 2 3 11 5" xfId="61868"/>
    <cellStyle name="Note 15 2 3 12" xfId="61869"/>
    <cellStyle name="Note 15 2 3 13" xfId="61870"/>
    <cellStyle name="Note 15 2 3 2" xfId="1623"/>
    <cellStyle name="Note 15 2 3 2 2" xfId="2857"/>
    <cellStyle name="Note 15 2 3 2 2 2" xfId="8136"/>
    <cellStyle name="Note 15 2 3 2 2 2 2" xfId="61871"/>
    <cellStyle name="Note 15 2 3 2 2 2 3" xfId="61872"/>
    <cellStyle name="Note 15 2 3 2 2 2 4" xfId="61873"/>
    <cellStyle name="Note 15 2 3 2 2 2 5" xfId="61874"/>
    <cellStyle name="Note 15 2 3 2 2 3" xfId="13332"/>
    <cellStyle name="Note 15 2 3 2 2 4" xfId="61875"/>
    <cellStyle name="Note 15 2 3 2 2 5" xfId="61876"/>
    <cellStyle name="Note 15 2 3 2 2 6" xfId="61877"/>
    <cellStyle name="Note 15 2 3 2 2 7" xfId="61878"/>
    <cellStyle name="Note 15 2 3 2 3" xfId="6902"/>
    <cellStyle name="Note 15 2 3 2 3 2" xfId="61879"/>
    <cellStyle name="Note 15 2 3 2 3 3" xfId="61880"/>
    <cellStyle name="Note 15 2 3 2 3 4" xfId="61881"/>
    <cellStyle name="Note 15 2 3 2 3 5" xfId="61882"/>
    <cellStyle name="Note 15 2 3 2 3 6" xfId="61883"/>
    <cellStyle name="Note 15 2 3 2 4" xfId="13331"/>
    <cellStyle name="Note 15 2 3 2 5" xfId="61884"/>
    <cellStyle name="Note 15 2 3 3" xfId="3927"/>
    <cellStyle name="Note 15 2 3 3 2" xfId="9206"/>
    <cellStyle name="Note 15 2 3 3 2 2" xfId="61885"/>
    <cellStyle name="Note 15 2 3 3 2 3" xfId="61886"/>
    <cellStyle name="Note 15 2 3 3 2 4" xfId="61887"/>
    <cellStyle name="Note 15 2 3 3 2 5" xfId="61888"/>
    <cellStyle name="Note 15 2 3 3 2 6" xfId="61889"/>
    <cellStyle name="Note 15 2 3 3 3" xfId="13333"/>
    <cellStyle name="Note 15 2 3 3 4" xfId="61890"/>
    <cellStyle name="Note 15 2 3 3 5" xfId="61891"/>
    <cellStyle name="Note 15 2 3 3 6" xfId="61892"/>
    <cellStyle name="Note 15 2 3 3 7" xfId="61893"/>
    <cellStyle name="Note 15 2 3 3 8" xfId="61894"/>
    <cellStyle name="Note 15 2 3 4" xfId="3928"/>
    <cellStyle name="Note 15 2 3 4 2" xfId="9207"/>
    <cellStyle name="Note 15 2 3 4 2 2" xfId="61895"/>
    <cellStyle name="Note 15 2 3 4 2 3" xfId="61896"/>
    <cellStyle name="Note 15 2 3 4 2 4" xfId="61897"/>
    <cellStyle name="Note 15 2 3 4 2 5" xfId="61898"/>
    <cellStyle name="Note 15 2 3 4 2 6" xfId="61899"/>
    <cellStyle name="Note 15 2 3 4 3" xfId="13334"/>
    <cellStyle name="Note 15 2 3 4 4" xfId="61900"/>
    <cellStyle name="Note 15 2 3 4 5" xfId="61901"/>
    <cellStyle name="Note 15 2 3 4 6" xfId="61902"/>
    <cellStyle name="Note 15 2 3 4 7" xfId="61903"/>
    <cellStyle name="Note 15 2 3 4 8" xfId="61904"/>
    <cellStyle name="Note 15 2 3 5" xfId="3929"/>
    <cellStyle name="Note 15 2 3 5 2" xfId="9208"/>
    <cellStyle name="Note 15 2 3 5 2 2" xfId="61905"/>
    <cellStyle name="Note 15 2 3 5 2 3" xfId="61906"/>
    <cellStyle name="Note 15 2 3 5 2 4" xfId="61907"/>
    <cellStyle name="Note 15 2 3 5 2 5" xfId="61908"/>
    <cellStyle name="Note 15 2 3 5 2 6" xfId="61909"/>
    <cellStyle name="Note 15 2 3 5 3" xfId="13335"/>
    <cellStyle name="Note 15 2 3 5 4" xfId="61910"/>
    <cellStyle name="Note 15 2 3 5 5" xfId="61911"/>
    <cellStyle name="Note 15 2 3 5 6" xfId="61912"/>
    <cellStyle name="Note 15 2 3 5 7" xfId="61913"/>
    <cellStyle name="Note 15 2 3 5 8" xfId="61914"/>
    <cellStyle name="Note 15 2 3 6" xfId="3930"/>
    <cellStyle name="Note 15 2 3 6 2" xfId="9209"/>
    <cellStyle name="Note 15 2 3 6 2 2" xfId="61915"/>
    <cellStyle name="Note 15 2 3 6 2 3" xfId="61916"/>
    <cellStyle name="Note 15 2 3 6 2 4" xfId="61917"/>
    <cellStyle name="Note 15 2 3 6 2 5" xfId="61918"/>
    <cellStyle name="Note 15 2 3 6 2 6" xfId="61919"/>
    <cellStyle name="Note 15 2 3 6 3" xfId="13336"/>
    <cellStyle name="Note 15 2 3 6 4" xfId="61920"/>
    <cellStyle name="Note 15 2 3 6 5" xfId="61921"/>
    <cellStyle name="Note 15 2 3 6 6" xfId="61922"/>
    <cellStyle name="Note 15 2 3 6 7" xfId="61923"/>
    <cellStyle name="Note 15 2 3 6 8" xfId="61924"/>
    <cellStyle name="Note 15 2 3 7" xfId="3931"/>
    <cellStyle name="Note 15 2 3 7 2" xfId="9210"/>
    <cellStyle name="Note 15 2 3 7 2 2" xfId="61925"/>
    <cellStyle name="Note 15 2 3 7 2 3" xfId="61926"/>
    <cellStyle name="Note 15 2 3 7 2 4" xfId="61927"/>
    <cellStyle name="Note 15 2 3 7 2 5" xfId="61928"/>
    <cellStyle name="Note 15 2 3 7 2 6" xfId="61929"/>
    <cellStyle name="Note 15 2 3 7 3" xfId="13337"/>
    <cellStyle name="Note 15 2 3 7 4" xfId="61930"/>
    <cellStyle name="Note 15 2 3 7 5" xfId="61931"/>
    <cellStyle name="Note 15 2 3 7 6" xfId="61932"/>
    <cellStyle name="Note 15 2 3 7 7" xfId="61933"/>
    <cellStyle name="Note 15 2 3 7 8" xfId="61934"/>
    <cellStyle name="Note 15 2 3 8" xfId="3932"/>
    <cellStyle name="Note 15 2 3 8 2" xfId="9211"/>
    <cellStyle name="Note 15 2 3 8 2 2" xfId="61935"/>
    <cellStyle name="Note 15 2 3 8 2 3" xfId="61936"/>
    <cellStyle name="Note 15 2 3 8 2 4" xfId="61937"/>
    <cellStyle name="Note 15 2 3 8 2 5" xfId="61938"/>
    <cellStyle name="Note 15 2 3 8 2 6" xfId="61939"/>
    <cellStyle name="Note 15 2 3 8 3" xfId="13338"/>
    <cellStyle name="Note 15 2 3 8 4" xfId="61940"/>
    <cellStyle name="Note 15 2 3 8 5" xfId="61941"/>
    <cellStyle name="Note 15 2 3 8 6" xfId="61942"/>
    <cellStyle name="Note 15 2 3 8 7" xfId="61943"/>
    <cellStyle name="Note 15 2 3 8 8" xfId="61944"/>
    <cellStyle name="Note 15 2 3 9" xfId="3933"/>
    <cellStyle name="Note 15 2 3 9 2" xfId="9212"/>
    <cellStyle name="Note 15 2 3 9 2 2" xfId="61945"/>
    <cellStyle name="Note 15 2 3 9 2 3" xfId="61946"/>
    <cellStyle name="Note 15 2 3 9 2 4" xfId="61947"/>
    <cellStyle name="Note 15 2 3 9 2 5" xfId="61948"/>
    <cellStyle name="Note 15 2 3 9 2 6" xfId="61949"/>
    <cellStyle name="Note 15 2 3 9 3" xfId="13339"/>
    <cellStyle name="Note 15 2 3 9 4" xfId="61950"/>
    <cellStyle name="Note 15 2 3 9 5" xfId="61951"/>
    <cellStyle name="Note 15 2 3 9 6" xfId="61952"/>
    <cellStyle name="Note 15 2 3 9 7" xfId="61953"/>
    <cellStyle name="Note 15 2 3 9 8" xfId="61954"/>
    <cellStyle name="Note 15 2 4" xfId="1007"/>
    <cellStyle name="Note 15 2 4 10" xfId="2244"/>
    <cellStyle name="Note 15 2 4 10 2" xfId="7523"/>
    <cellStyle name="Note 15 2 4 10 2 2" xfId="61955"/>
    <cellStyle name="Note 15 2 4 10 2 3" xfId="61956"/>
    <cellStyle name="Note 15 2 4 10 2 4" xfId="61957"/>
    <cellStyle name="Note 15 2 4 10 2 5" xfId="61958"/>
    <cellStyle name="Note 15 2 4 10 3" xfId="11289"/>
    <cellStyle name="Note 15 2 4 10 4" xfId="61959"/>
    <cellStyle name="Note 15 2 4 10 5" xfId="61960"/>
    <cellStyle name="Note 15 2 4 10 6" xfId="61961"/>
    <cellStyle name="Note 15 2 4 10 7" xfId="61962"/>
    <cellStyle name="Note 15 2 4 11" xfId="6286"/>
    <cellStyle name="Note 15 2 4 11 2" xfId="61963"/>
    <cellStyle name="Note 15 2 4 11 3" xfId="61964"/>
    <cellStyle name="Note 15 2 4 11 4" xfId="61965"/>
    <cellStyle name="Note 15 2 4 11 5" xfId="61966"/>
    <cellStyle name="Note 15 2 4 12" xfId="61967"/>
    <cellStyle name="Note 15 2 4 13" xfId="61968"/>
    <cellStyle name="Note 15 2 4 2" xfId="1624"/>
    <cellStyle name="Note 15 2 4 2 2" xfId="2858"/>
    <cellStyle name="Note 15 2 4 2 2 2" xfId="8137"/>
    <cellStyle name="Note 15 2 4 2 2 2 2" xfId="61969"/>
    <cellStyle name="Note 15 2 4 2 2 2 3" xfId="61970"/>
    <cellStyle name="Note 15 2 4 2 2 2 4" xfId="61971"/>
    <cellStyle name="Note 15 2 4 2 2 2 5" xfId="61972"/>
    <cellStyle name="Note 15 2 4 2 2 3" xfId="13341"/>
    <cellStyle name="Note 15 2 4 2 2 4" xfId="61973"/>
    <cellStyle name="Note 15 2 4 2 2 5" xfId="61974"/>
    <cellStyle name="Note 15 2 4 2 2 6" xfId="61975"/>
    <cellStyle name="Note 15 2 4 2 2 7" xfId="61976"/>
    <cellStyle name="Note 15 2 4 2 3" xfId="6903"/>
    <cellStyle name="Note 15 2 4 2 3 2" xfId="61977"/>
    <cellStyle name="Note 15 2 4 2 3 3" xfId="61978"/>
    <cellStyle name="Note 15 2 4 2 3 4" xfId="61979"/>
    <cellStyle name="Note 15 2 4 2 3 5" xfId="61980"/>
    <cellStyle name="Note 15 2 4 2 3 6" xfId="61981"/>
    <cellStyle name="Note 15 2 4 2 4" xfId="13340"/>
    <cellStyle name="Note 15 2 4 2 5" xfId="61982"/>
    <cellStyle name="Note 15 2 4 3" xfId="3934"/>
    <cellStyle name="Note 15 2 4 3 2" xfId="9213"/>
    <cellStyle name="Note 15 2 4 3 2 2" xfId="61983"/>
    <cellStyle name="Note 15 2 4 3 2 3" xfId="61984"/>
    <cellStyle name="Note 15 2 4 3 2 4" xfId="61985"/>
    <cellStyle name="Note 15 2 4 3 2 5" xfId="61986"/>
    <cellStyle name="Note 15 2 4 3 2 6" xfId="61987"/>
    <cellStyle name="Note 15 2 4 3 3" xfId="13342"/>
    <cellStyle name="Note 15 2 4 3 4" xfId="61988"/>
    <cellStyle name="Note 15 2 4 3 5" xfId="61989"/>
    <cellStyle name="Note 15 2 4 3 6" xfId="61990"/>
    <cellStyle name="Note 15 2 4 3 7" xfId="61991"/>
    <cellStyle name="Note 15 2 4 3 8" xfId="61992"/>
    <cellStyle name="Note 15 2 4 4" xfId="3935"/>
    <cellStyle name="Note 15 2 4 4 2" xfId="9214"/>
    <cellStyle name="Note 15 2 4 4 2 2" xfId="61993"/>
    <cellStyle name="Note 15 2 4 4 2 3" xfId="61994"/>
    <cellStyle name="Note 15 2 4 4 2 4" xfId="61995"/>
    <cellStyle name="Note 15 2 4 4 2 5" xfId="61996"/>
    <cellStyle name="Note 15 2 4 4 2 6" xfId="61997"/>
    <cellStyle name="Note 15 2 4 4 3" xfId="13343"/>
    <cellStyle name="Note 15 2 4 4 4" xfId="61998"/>
    <cellStyle name="Note 15 2 4 4 5" xfId="61999"/>
    <cellStyle name="Note 15 2 4 4 6" xfId="62000"/>
    <cellStyle name="Note 15 2 4 4 7" xfId="62001"/>
    <cellStyle name="Note 15 2 4 4 8" xfId="62002"/>
    <cellStyle name="Note 15 2 4 5" xfId="3936"/>
    <cellStyle name="Note 15 2 4 5 2" xfId="9215"/>
    <cellStyle name="Note 15 2 4 5 2 2" xfId="62003"/>
    <cellStyle name="Note 15 2 4 5 2 3" xfId="62004"/>
    <cellStyle name="Note 15 2 4 5 2 4" xfId="62005"/>
    <cellStyle name="Note 15 2 4 5 2 5" xfId="62006"/>
    <cellStyle name="Note 15 2 4 5 2 6" xfId="62007"/>
    <cellStyle name="Note 15 2 4 5 3" xfId="13344"/>
    <cellStyle name="Note 15 2 4 5 4" xfId="62008"/>
    <cellStyle name="Note 15 2 4 5 5" xfId="62009"/>
    <cellStyle name="Note 15 2 4 5 6" xfId="62010"/>
    <cellStyle name="Note 15 2 4 5 7" xfId="62011"/>
    <cellStyle name="Note 15 2 4 5 8" xfId="62012"/>
    <cellStyle name="Note 15 2 4 6" xfId="3937"/>
    <cellStyle name="Note 15 2 4 6 2" xfId="9216"/>
    <cellStyle name="Note 15 2 4 6 2 2" xfId="62013"/>
    <cellStyle name="Note 15 2 4 6 2 3" xfId="62014"/>
    <cellStyle name="Note 15 2 4 6 2 4" xfId="62015"/>
    <cellStyle name="Note 15 2 4 6 2 5" xfId="62016"/>
    <cellStyle name="Note 15 2 4 6 2 6" xfId="62017"/>
    <cellStyle name="Note 15 2 4 6 3" xfId="13345"/>
    <cellStyle name="Note 15 2 4 6 4" xfId="62018"/>
    <cellStyle name="Note 15 2 4 6 5" xfId="62019"/>
    <cellStyle name="Note 15 2 4 6 6" xfId="62020"/>
    <cellStyle name="Note 15 2 4 6 7" xfId="62021"/>
    <cellStyle name="Note 15 2 4 6 8" xfId="62022"/>
    <cellStyle name="Note 15 2 4 7" xfId="3938"/>
    <cellStyle name="Note 15 2 4 7 2" xfId="9217"/>
    <cellStyle name="Note 15 2 4 7 2 2" xfId="62023"/>
    <cellStyle name="Note 15 2 4 7 2 3" xfId="62024"/>
    <cellStyle name="Note 15 2 4 7 2 4" xfId="62025"/>
    <cellStyle name="Note 15 2 4 7 2 5" xfId="62026"/>
    <cellStyle name="Note 15 2 4 7 2 6" xfId="62027"/>
    <cellStyle name="Note 15 2 4 7 3" xfId="13346"/>
    <cellStyle name="Note 15 2 4 7 4" xfId="62028"/>
    <cellStyle name="Note 15 2 4 7 5" xfId="62029"/>
    <cellStyle name="Note 15 2 4 7 6" xfId="62030"/>
    <cellStyle name="Note 15 2 4 7 7" xfId="62031"/>
    <cellStyle name="Note 15 2 4 7 8" xfId="62032"/>
    <cellStyle name="Note 15 2 4 8" xfId="3939"/>
    <cellStyle name="Note 15 2 4 8 2" xfId="9218"/>
    <cellStyle name="Note 15 2 4 8 2 2" xfId="62033"/>
    <cellStyle name="Note 15 2 4 8 2 3" xfId="62034"/>
    <cellStyle name="Note 15 2 4 8 2 4" xfId="62035"/>
    <cellStyle name="Note 15 2 4 8 2 5" xfId="62036"/>
    <cellStyle name="Note 15 2 4 8 2 6" xfId="62037"/>
    <cellStyle name="Note 15 2 4 8 3" xfId="13347"/>
    <cellStyle name="Note 15 2 4 8 4" xfId="62038"/>
    <cellStyle name="Note 15 2 4 8 5" xfId="62039"/>
    <cellStyle name="Note 15 2 4 8 6" xfId="62040"/>
    <cellStyle name="Note 15 2 4 8 7" xfId="62041"/>
    <cellStyle name="Note 15 2 4 8 8" xfId="62042"/>
    <cellStyle name="Note 15 2 4 9" xfId="3940"/>
    <cellStyle name="Note 15 2 4 9 2" xfId="9219"/>
    <cellStyle name="Note 15 2 4 9 2 2" xfId="62043"/>
    <cellStyle name="Note 15 2 4 9 2 3" xfId="62044"/>
    <cellStyle name="Note 15 2 4 9 2 4" xfId="62045"/>
    <cellStyle name="Note 15 2 4 9 2 5" xfId="62046"/>
    <cellStyle name="Note 15 2 4 9 2 6" xfId="62047"/>
    <cellStyle name="Note 15 2 4 9 3" xfId="13348"/>
    <cellStyle name="Note 15 2 4 9 4" xfId="62048"/>
    <cellStyle name="Note 15 2 4 9 5" xfId="62049"/>
    <cellStyle name="Note 15 2 4 9 6" xfId="62050"/>
    <cellStyle name="Note 15 2 4 9 7" xfId="62051"/>
    <cellStyle name="Note 15 2 4 9 8" xfId="62052"/>
    <cellStyle name="Note 15 2 5" xfId="1008"/>
    <cellStyle name="Note 15 2 5 10" xfId="2245"/>
    <cellStyle name="Note 15 2 5 10 2" xfId="7524"/>
    <cellStyle name="Note 15 2 5 10 2 2" xfId="62053"/>
    <cellStyle name="Note 15 2 5 10 2 3" xfId="62054"/>
    <cellStyle name="Note 15 2 5 10 2 4" xfId="62055"/>
    <cellStyle name="Note 15 2 5 10 2 5" xfId="62056"/>
    <cellStyle name="Note 15 2 5 10 3" xfId="11290"/>
    <cellStyle name="Note 15 2 5 10 4" xfId="62057"/>
    <cellStyle name="Note 15 2 5 10 5" xfId="62058"/>
    <cellStyle name="Note 15 2 5 10 6" xfId="62059"/>
    <cellStyle name="Note 15 2 5 10 7" xfId="62060"/>
    <cellStyle name="Note 15 2 5 11" xfId="6287"/>
    <cellStyle name="Note 15 2 5 11 2" xfId="62061"/>
    <cellStyle name="Note 15 2 5 11 3" xfId="62062"/>
    <cellStyle name="Note 15 2 5 11 4" xfId="62063"/>
    <cellStyle name="Note 15 2 5 11 5" xfId="62064"/>
    <cellStyle name="Note 15 2 5 12" xfId="62065"/>
    <cellStyle name="Note 15 2 5 13" xfId="62066"/>
    <cellStyle name="Note 15 2 5 2" xfId="1625"/>
    <cellStyle name="Note 15 2 5 2 2" xfId="2859"/>
    <cellStyle name="Note 15 2 5 2 2 2" xfId="8138"/>
    <cellStyle name="Note 15 2 5 2 2 2 2" xfId="62067"/>
    <cellStyle name="Note 15 2 5 2 2 2 3" xfId="62068"/>
    <cellStyle name="Note 15 2 5 2 2 2 4" xfId="62069"/>
    <cellStyle name="Note 15 2 5 2 2 2 5" xfId="62070"/>
    <cellStyle name="Note 15 2 5 2 2 3" xfId="13350"/>
    <cellStyle name="Note 15 2 5 2 2 4" xfId="62071"/>
    <cellStyle name="Note 15 2 5 2 2 5" xfId="62072"/>
    <cellStyle name="Note 15 2 5 2 2 6" xfId="62073"/>
    <cellStyle name="Note 15 2 5 2 2 7" xfId="62074"/>
    <cellStyle name="Note 15 2 5 2 3" xfId="6904"/>
    <cellStyle name="Note 15 2 5 2 3 2" xfId="62075"/>
    <cellStyle name="Note 15 2 5 2 3 3" xfId="62076"/>
    <cellStyle name="Note 15 2 5 2 3 4" xfId="62077"/>
    <cellStyle name="Note 15 2 5 2 3 5" xfId="62078"/>
    <cellStyle name="Note 15 2 5 2 3 6" xfId="62079"/>
    <cellStyle name="Note 15 2 5 2 4" xfId="13349"/>
    <cellStyle name="Note 15 2 5 2 5" xfId="62080"/>
    <cellStyle name="Note 15 2 5 3" xfId="3941"/>
    <cellStyle name="Note 15 2 5 3 2" xfId="9220"/>
    <cellStyle name="Note 15 2 5 3 2 2" xfId="62081"/>
    <cellStyle name="Note 15 2 5 3 2 3" xfId="62082"/>
    <cellStyle name="Note 15 2 5 3 2 4" xfId="62083"/>
    <cellStyle name="Note 15 2 5 3 2 5" xfId="62084"/>
    <cellStyle name="Note 15 2 5 3 2 6" xfId="62085"/>
    <cellStyle name="Note 15 2 5 3 3" xfId="13351"/>
    <cellStyle name="Note 15 2 5 3 4" xfId="62086"/>
    <cellStyle name="Note 15 2 5 3 5" xfId="62087"/>
    <cellStyle name="Note 15 2 5 3 6" xfId="62088"/>
    <cellStyle name="Note 15 2 5 3 7" xfId="62089"/>
    <cellStyle name="Note 15 2 5 3 8" xfId="62090"/>
    <cellStyle name="Note 15 2 5 4" xfId="3942"/>
    <cellStyle name="Note 15 2 5 4 2" xfId="9221"/>
    <cellStyle name="Note 15 2 5 4 2 2" xfId="62091"/>
    <cellStyle name="Note 15 2 5 4 2 3" xfId="62092"/>
    <cellStyle name="Note 15 2 5 4 2 4" xfId="62093"/>
    <cellStyle name="Note 15 2 5 4 2 5" xfId="62094"/>
    <cellStyle name="Note 15 2 5 4 2 6" xfId="62095"/>
    <cellStyle name="Note 15 2 5 4 3" xfId="13352"/>
    <cellStyle name="Note 15 2 5 4 4" xfId="62096"/>
    <cellStyle name="Note 15 2 5 4 5" xfId="62097"/>
    <cellStyle name="Note 15 2 5 4 6" xfId="62098"/>
    <cellStyle name="Note 15 2 5 4 7" xfId="62099"/>
    <cellStyle name="Note 15 2 5 4 8" xfId="62100"/>
    <cellStyle name="Note 15 2 5 5" xfId="3943"/>
    <cellStyle name="Note 15 2 5 5 2" xfId="9222"/>
    <cellStyle name="Note 15 2 5 5 2 2" xfId="62101"/>
    <cellStyle name="Note 15 2 5 5 2 3" xfId="62102"/>
    <cellStyle name="Note 15 2 5 5 2 4" xfId="62103"/>
    <cellStyle name="Note 15 2 5 5 2 5" xfId="62104"/>
    <cellStyle name="Note 15 2 5 5 2 6" xfId="62105"/>
    <cellStyle name="Note 15 2 5 5 3" xfId="13353"/>
    <cellStyle name="Note 15 2 5 5 4" xfId="62106"/>
    <cellStyle name="Note 15 2 5 5 5" xfId="62107"/>
    <cellStyle name="Note 15 2 5 5 6" xfId="62108"/>
    <cellStyle name="Note 15 2 5 5 7" xfId="62109"/>
    <cellStyle name="Note 15 2 5 5 8" xfId="62110"/>
    <cellStyle name="Note 15 2 5 6" xfId="3944"/>
    <cellStyle name="Note 15 2 5 6 2" xfId="9223"/>
    <cellStyle name="Note 15 2 5 6 2 2" xfId="62111"/>
    <cellStyle name="Note 15 2 5 6 2 3" xfId="62112"/>
    <cellStyle name="Note 15 2 5 6 2 4" xfId="62113"/>
    <cellStyle name="Note 15 2 5 6 2 5" xfId="62114"/>
    <cellStyle name="Note 15 2 5 6 2 6" xfId="62115"/>
    <cellStyle name="Note 15 2 5 6 3" xfId="13354"/>
    <cellStyle name="Note 15 2 5 6 4" xfId="62116"/>
    <cellStyle name="Note 15 2 5 6 5" xfId="62117"/>
    <cellStyle name="Note 15 2 5 6 6" xfId="62118"/>
    <cellStyle name="Note 15 2 5 6 7" xfId="62119"/>
    <cellStyle name="Note 15 2 5 6 8" xfId="62120"/>
    <cellStyle name="Note 15 2 5 7" xfId="3945"/>
    <cellStyle name="Note 15 2 5 7 2" xfId="9224"/>
    <cellStyle name="Note 15 2 5 7 2 2" xfId="62121"/>
    <cellStyle name="Note 15 2 5 7 2 3" xfId="62122"/>
    <cellStyle name="Note 15 2 5 7 2 4" xfId="62123"/>
    <cellStyle name="Note 15 2 5 7 2 5" xfId="62124"/>
    <cellStyle name="Note 15 2 5 7 2 6" xfId="62125"/>
    <cellStyle name="Note 15 2 5 7 3" xfId="13355"/>
    <cellStyle name="Note 15 2 5 7 4" xfId="62126"/>
    <cellStyle name="Note 15 2 5 7 5" xfId="62127"/>
    <cellStyle name="Note 15 2 5 7 6" xfId="62128"/>
    <cellStyle name="Note 15 2 5 7 7" xfId="62129"/>
    <cellStyle name="Note 15 2 5 7 8" xfId="62130"/>
    <cellStyle name="Note 15 2 5 8" xfId="3946"/>
    <cellStyle name="Note 15 2 5 8 2" xfId="9225"/>
    <cellStyle name="Note 15 2 5 8 2 2" xfId="62131"/>
    <cellStyle name="Note 15 2 5 8 2 3" xfId="62132"/>
    <cellStyle name="Note 15 2 5 8 2 4" xfId="62133"/>
    <cellStyle name="Note 15 2 5 8 2 5" xfId="62134"/>
    <cellStyle name="Note 15 2 5 8 2 6" xfId="62135"/>
    <cellStyle name="Note 15 2 5 8 3" xfId="13356"/>
    <cellStyle name="Note 15 2 5 8 4" xfId="62136"/>
    <cellStyle name="Note 15 2 5 8 5" xfId="62137"/>
    <cellStyle name="Note 15 2 5 8 6" xfId="62138"/>
    <cellStyle name="Note 15 2 5 8 7" xfId="62139"/>
    <cellStyle name="Note 15 2 5 8 8" xfId="62140"/>
    <cellStyle name="Note 15 2 5 9" xfId="3947"/>
    <cellStyle name="Note 15 2 5 9 2" xfId="9226"/>
    <cellStyle name="Note 15 2 5 9 2 2" xfId="62141"/>
    <cellStyle name="Note 15 2 5 9 2 3" xfId="62142"/>
    <cellStyle name="Note 15 2 5 9 2 4" xfId="62143"/>
    <cellStyle name="Note 15 2 5 9 2 5" xfId="62144"/>
    <cellStyle name="Note 15 2 5 9 2 6" xfId="62145"/>
    <cellStyle name="Note 15 2 5 9 3" xfId="13357"/>
    <cellStyle name="Note 15 2 5 9 4" xfId="62146"/>
    <cellStyle name="Note 15 2 5 9 5" xfId="62147"/>
    <cellStyle name="Note 15 2 5 9 6" xfId="62148"/>
    <cellStyle name="Note 15 2 5 9 7" xfId="62149"/>
    <cellStyle name="Note 15 2 5 9 8" xfId="62150"/>
    <cellStyle name="Note 15 2 6" xfId="1009"/>
    <cellStyle name="Note 15 2 6 10" xfId="2246"/>
    <cellStyle name="Note 15 2 6 10 2" xfId="7525"/>
    <cellStyle name="Note 15 2 6 10 2 2" xfId="62151"/>
    <cellStyle name="Note 15 2 6 10 2 3" xfId="62152"/>
    <cellStyle name="Note 15 2 6 10 2 4" xfId="62153"/>
    <cellStyle name="Note 15 2 6 10 2 5" xfId="62154"/>
    <cellStyle name="Note 15 2 6 10 3" xfId="11291"/>
    <cellStyle name="Note 15 2 6 10 4" xfId="62155"/>
    <cellStyle name="Note 15 2 6 10 5" xfId="62156"/>
    <cellStyle name="Note 15 2 6 10 6" xfId="62157"/>
    <cellStyle name="Note 15 2 6 10 7" xfId="62158"/>
    <cellStyle name="Note 15 2 6 11" xfId="6288"/>
    <cellStyle name="Note 15 2 6 11 2" xfId="62159"/>
    <cellStyle name="Note 15 2 6 11 3" xfId="62160"/>
    <cellStyle name="Note 15 2 6 11 4" xfId="62161"/>
    <cellStyle name="Note 15 2 6 11 5" xfId="62162"/>
    <cellStyle name="Note 15 2 6 12" xfId="62163"/>
    <cellStyle name="Note 15 2 6 13" xfId="62164"/>
    <cellStyle name="Note 15 2 6 2" xfId="1626"/>
    <cellStyle name="Note 15 2 6 2 2" xfId="2860"/>
    <cellStyle name="Note 15 2 6 2 2 2" xfId="8139"/>
    <cellStyle name="Note 15 2 6 2 2 2 2" xfId="62165"/>
    <cellStyle name="Note 15 2 6 2 2 2 3" xfId="62166"/>
    <cellStyle name="Note 15 2 6 2 2 2 4" xfId="62167"/>
    <cellStyle name="Note 15 2 6 2 2 2 5" xfId="62168"/>
    <cellStyle name="Note 15 2 6 2 2 3" xfId="13359"/>
    <cellStyle name="Note 15 2 6 2 2 4" xfId="62169"/>
    <cellStyle name="Note 15 2 6 2 2 5" xfId="62170"/>
    <cellStyle name="Note 15 2 6 2 2 6" xfId="62171"/>
    <cellStyle name="Note 15 2 6 2 2 7" xfId="62172"/>
    <cellStyle name="Note 15 2 6 2 3" xfId="6905"/>
    <cellStyle name="Note 15 2 6 2 3 2" xfId="62173"/>
    <cellStyle name="Note 15 2 6 2 3 3" xfId="62174"/>
    <cellStyle name="Note 15 2 6 2 3 4" xfId="62175"/>
    <cellStyle name="Note 15 2 6 2 3 5" xfId="62176"/>
    <cellStyle name="Note 15 2 6 2 3 6" xfId="62177"/>
    <cellStyle name="Note 15 2 6 2 4" xfId="13358"/>
    <cellStyle name="Note 15 2 6 2 5" xfId="62178"/>
    <cellStyle name="Note 15 2 6 3" xfId="3948"/>
    <cellStyle name="Note 15 2 6 3 2" xfId="9227"/>
    <cellStyle name="Note 15 2 6 3 2 2" xfId="62179"/>
    <cellStyle name="Note 15 2 6 3 2 3" xfId="62180"/>
    <cellStyle name="Note 15 2 6 3 2 4" xfId="62181"/>
    <cellStyle name="Note 15 2 6 3 2 5" xfId="62182"/>
    <cellStyle name="Note 15 2 6 3 2 6" xfId="62183"/>
    <cellStyle name="Note 15 2 6 3 3" xfId="13360"/>
    <cellStyle name="Note 15 2 6 3 4" xfId="62184"/>
    <cellStyle name="Note 15 2 6 3 5" xfId="62185"/>
    <cellStyle name="Note 15 2 6 3 6" xfId="62186"/>
    <cellStyle name="Note 15 2 6 3 7" xfId="62187"/>
    <cellStyle name="Note 15 2 6 3 8" xfId="62188"/>
    <cellStyle name="Note 15 2 6 4" xfId="3949"/>
    <cellStyle name="Note 15 2 6 4 2" xfId="9228"/>
    <cellStyle name="Note 15 2 6 4 2 2" xfId="62189"/>
    <cellStyle name="Note 15 2 6 4 2 3" xfId="62190"/>
    <cellStyle name="Note 15 2 6 4 2 4" xfId="62191"/>
    <cellStyle name="Note 15 2 6 4 2 5" xfId="62192"/>
    <cellStyle name="Note 15 2 6 4 2 6" xfId="62193"/>
    <cellStyle name="Note 15 2 6 4 3" xfId="13361"/>
    <cellStyle name="Note 15 2 6 4 4" xfId="62194"/>
    <cellStyle name="Note 15 2 6 4 5" xfId="62195"/>
    <cellStyle name="Note 15 2 6 4 6" xfId="62196"/>
    <cellStyle name="Note 15 2 6 4 7" xfId="62197"/>
    <cellStyle name="Note 15 2 6 4 8" xfId="62198"/>
    <cellStyle name="Note 15 2 6 5" xfId="3950"/>
    <cellStyle name="Note 15 2 6 5 2" xfId="9229"/>
    <cellStyle name="Note 15 2 6 5 2 2" xfId="62199"/>
    <cellStyle name="Note 15 2 6 5 2 3" xfId="62200"/>
    <cellStyle name="Note 15 2 6 5 2 4" xfId="62201"/>
    <cellStyle name="Note 15 2 6 5 2 5" xfId="62202"/>
    <cellStyle name="Note 15 2 6 5 2 6" xfId="62203"/>
    <cellStyle name="Note 15 2 6 5 3" xfId="13362"/>
    <cellStyle name="Note 15 2 6 5 4" xfId="62204"/>
    <cellStyle name="Note 15 2 6 5 5" xfId="62205"/>
    <cellStyle name="Note 15 2 6 5 6" xfId="62206"/>
    <cellStyle name="Note 15 2 6 5 7" xfId="62207"/>
    <cellStyle name="Note 15 2 6 5 8" xfId="62208"/>
    <cellStyle name="Note 15 2 6 6" xfId="3951"/>
    <cellStyle name="Note 15 2 6 6 2" xfId="9230"/>
    <cellStyle name="Note 15 2 6 6 2 2" xfId="62209"/>
    <cellStyle name="Note 15 2 6 6 2 3" xfId="62210"/>
    <cellStyle name="Note 15 2 6 6 2 4" xfId="62211"/>
    <cellStyle name="Note 15 2 6 6 2 5" xfId="62212"/>
    <cellStyle name="Note 15 2 6 6 2 6" xfId="62213"/>
    <cellStyle name="Note 15 2 6 6 3" xfId="13363"/>
    <cellStyle name="Note 15 2 6 6 4" xfId="62214"/>
    <cellStyle name="Note 15 2 6 6 5" xfId="62215"/>
    <cellStyle name="Note 15 2 6 6 6" xfId="62216"/>
    <cellStyle name="Note 15 2 6 6 7" xfId="62217"/>
    <cellStyle name="Note 15 2 6 6 8" xfId="62218"/>
    <cellStyle name="Note 15 2 6 7" xfId="3952"/>
    <cellStyle name="Note 15 2 6 7 2" xfId="9231"/>
    <cellStyle name="Note 15 2 6 7 2 2" xfId="62219"/>
    <cellStyle name="Note 15 2 6 7 2 3" xfId="62220"/>
    <cellStyle name="Note 15 2 6 7 2 4" xfId="62221"/>
    <cellStyle name="Note 15 2 6 7 2 5" xfId="62222"/>
    <cellStyle name="Note 15 2 6 7 2 6" xfId="62223"/>
    <cellStyle name="Note 15 2 6 7 3" xfId="13364"/>
    <cellStyle name="Note 15 2 6 7 4" xfId="62224"/>
    <cellStyle name="Note 15 2 6 7 5" xfId="62225"/>
    <cellStyle name="Note 15 2 6 7 6" xfId="62226"/>
    <cellStyle name="Note 15 2 6 7 7" xfId="62227"/>
    <cellStyle name="Note 15 2 6 7 8" xfId="62228"/>
    <cellStyle name="Note 15 2 6 8" xfId="3953"/>
    <cellStyle name="Note 15 2 6 8 2" xfId="9232"/>
    <cellStyle name="Note 15 2 6 8 2 2" xfId="62229"/>
    <cellStyle name="Note 15 2 6 8 2 3" xfId="62230"/>
    <cellStyle name="Note 15 2 6 8 2 4" xfId="62231"/>
    <cellStyle name="Note 15 2 6 8 2 5" xfId="62232"/>
    <cellStyle name="Note 15 2 6 8 2 6" xfId="62233"/>
    <cellStyle name="Note 15 2 6 8 3" xfId="13365"/>
    <cellStyle name="Note 15 2 6 8 4" xfId="62234"/>
    <cellStyle name="Note 15 2 6 8 5" xfId="62235"/>
    <cellStyle name="Note 15 2 6 8 6" xfId="62236"/>
    <cellStyle name="Note 15 2 6 8 7" xfId="62237"/>
    <cellStyle name="Note 15 2 6 8 8" xfId="62238"/>
    <cellStyle name="Note 15 2 6 9" xfId="3954"/>
    <cellStyle name="Note 15 2 6 9 2" xfId="9233"/>
    <cellStyle name="Note 15 2 6 9 2 2" xfId="62239"/>
    <cellStyle name="Note 15 2 6 9 2 3" xfId="62240"/>
    <cellStyle name="Note 15 2 6 9 2 4" xfId="62241"/>
    <cellStyle name="Note 15 2 6 9 2 5" xfId="62242"/>
    <cellStyle name="Note 15 2 6 9 2 6" xfId="62243"/>
    <cellStyle name="Note 15 2 6 9 3" xfId="13366"/>
    <cellStyle name="Note 15 2 6 9 4" xfId="62244"/>
    <cellStyle name="Note 15 2 6 9 5" xfId="62245"/>
    <cellStyle name="Note 15 2 6 9 6" xfId="62246"/>
    <cellStyle name="Note 15 2 6 9 7" xfId="62247"/>
    <cellStyle name="Note 15 2 6 9 8" xfId="62248"/>
    <cellStyle name="Note 15 2 7" xfId="1281"/>
    <cellStyle name="Note 15 2 7 2" xfId="2515"/>
    <cellStyle name="Note 15 2 7 2 2" xfId="7794"/>
    <cellStyle name="Note 15 2 7 2 2 2" xfId="62249"/>
    <cellStyle name="Note 15 2 7 2 2 3" xfId="62250"/>
    <cellStyle name="Note 15 2 7 2 2 4" xfId="62251"/>
    <cellStyle name="Note 15 2 7 2 2 5" xfId="62252"/>
    <cellStyle name="Note 15 2 7 2 3" xfId="13368"/>
    <cellStyle name="Note 15 2 7 2 4" xfId="62253"/>
    <cellStyle name="Note 15 2 7 2 5" xfId="62254"/>
    <cellStyle name="Note 15 2 7 2 6" xfId="62255"/>
    <cellStyle name="Note 15 2 7 2 7" xfId="62256"/>
    <cellStyle name="Note 15 2 7 3" xfId="6560"/>
    <cellStyle name="Note 15 2 7 3 2" xfId="62257"/>
    <cellStyle name="Note 15 2 7 3 3" xfId="62258"/>
    <cellStyle name="Note 15 2 7 3 4" xfId="62259"/>
    <cellStyle name="Note 15 2 7 3 5" xfId="62260"/>
    <cellStyle name="Note 15 2 7 3 6" xfId="62261"/>
    <cellStyle name="Note 15 2 7 4" xfId="13367"/>
    <cellStyle name="Note 15 2 7 5" xfId="62262"/>
    <cellStyle name="Note 15 2 8" xfId="3955"/>
    <cellStyle name="Note 15 2 8 2" xfId="9234"/>
    <cellStyle name="Note 15 2 8 2 2" xfId="62263"/>
    <cellStyle name="Note 15 2 8 2 3" xfId="62264"/>
    <cellStyle name="Note 15 2 8 2 4" xfId="62265"/>
    <cellStyle name="Note 15 2 8 2 5" xfId="62266"/>
    <cellStyle name="Note 15 2 8 2 6" xfId="62267"/>
    <cellStyle name="Note 15 2 8 3" xfId="13369"/>
    <cellStyle name="Note 15 2 8 4" xfId="62268"/>
    <cellStyle name="Note 15 2 8 5" xfId="62269"/>
    <cellStyle name="Note 15 2 8 6" xfId="62270"/>
    <cellStyle name="Note 15 2 8 7" xfId="62271"/>
    <cellStyle name="Note 15 2 8 8" xfId="62272"/>
    <cellStyle name="Note 15 2 9" xfId="3956"/>
    <cellStyle name="Note 15 2 9 2" xfId="9235"/>
    <cellStyle name="Note 15 2 9 2 2" xfId="62273"/>
    <cellStyle name="Note 15 2 9 2 3" xfId="62274"/>
    <cellStyle name="Note 15 2 9 2 4" xfId="62275"/>
    <cellStyle name="Note 15 2 9 2 5" xfId="62276"/>
    <cellStyle name="Note 15 2 9 2 6" xfId="62277"/>
    <cellStyle name="Note 15 2 9 3" xfId="13370"/>
    <cellStyle name="Note 15 2 9 4" xfId="62278"/>
    <cellStyle name="Note 15 2 9 5" xfId="62279"/>
    <cellStyle name="Note 15 2 9 6" xfId="62280"/>
    <cellStyle name="Note 15 2 9 7" xfId="62281"/>
    <cellStyle name="Note 15 2 9 8" xfId="62282"/>
    <cellStyle name="Note 15 3" xfId="780"/>
    <cellStyle name="Note 15 3 10" xfId="62283"/>
    <cellStyle name="Note 15 3 11" xfId="62284"/>
    <cellStyle name="Note 15 3 2" xfId="1407"/>
    <cellStyle name="Note 15 3 2 2" xfId="2641"/>
    <cellStyle name="Note 15 3 2 2 2" xfId="7920"/>
    <cellStyle name="Note 15 3 2 2 2 2" xfId="62285"/>
    <cellStyle name="Note 15 3 2 2 2 3" xfId="62286"/>
    <cellStyle name="Note 15 3 2 2 2 4" xfId="62287"/>
    <cellStyle name="Note 15 3 2 2 2 5" xfId="62288"/>
    <cellStyle name="Note 15 3 2 2 3" xfId="13373"/>
    <cellStyle name="Note 15 3 2 2 4" xfId="62289"/>
    <cellStyle name="Note 15 3 2 2 5" xfId="62290"/>
    <cellStyle name="Note 15 3 2 2 6" xfId="62291"/>
    <cellStyle name="Note 15 3 2 2 7" xfId="62292"/>
    <cellStyle name="Note 15 3 2 3" xfId="6686"/>
    <cellStyle name="Note 15 3 2 3 2" xfId="62293"/>
    <cellStyle name="Note 15 3 2 3 3" xfId="62294"/>
    <cellStyle name="Note 15 3 2 3 4" xfId="62295"/>
    <cellStyle name="Note 15 3 2 3 5" xfId="62296"/>
    <cellStyle name="Note 15 3 2 3 6" xfId="62297"/>
    <cellStyle name="Note 15 3 2 4" xfId="13372"/>
    <cellStyle name="Note 15 3 2 5" xfId="62298"/>
    <cellStyle name="Note 15 3 3" xfId="1884"/>
    <cellStyle name="Note 15 3 3 2" xfId="3118"/>
    <cellStyle name="Note 15 3 3 2 2" xfId="8397"/>
    <cellStyle name="Note 15 3 3 2 2 2" xfId="62299"/>
    <cellStyle name="Note 15 3 3 2 2 3" xfId="62300"/>
    <cellStyle name="Note 15 3 3 2 2 4" xfId="62301"/>
    <cellStyle name="Note 15 3 3 2 2 5" xfId="62302"/>
    <cellStyle name="Note 15 3 3 2 3" xfId="13375"/>
    <cellStyle name="Note 15 3 3 2 4" xfId="62303"/>
    <cellStyle name="Note 15 3 3 2 5" xfId="62304"/>
    <cellStyle name="Note 15 3 3 2 6" xfId="62305"/>
    <cellStyle name="Note 15 3 3 2 7" xfId="62306"/>
    <cellStyle name="Note 15 3 3 3" xfId="7163"/>
    <cellStyle name="Note 15 3 3 3 2" xfId="62307"/>
    <cellStyle name="Note 15 3 3 3 3" xfId="62308"/>
    <cellStyle name="Note 15 3 3 3 4" xfId="62309"/>
    <cellStyle name="Note 15 3 3 3 5" xfId="62310"/>
    <cellStyle name="Note 15 3 3 3 6" xfId="62311"/>
    <cellStyle name="Note 15 3 3 4" xfId="13374"/>
    <cellStyle name="Note 15 3 3 5" xfId="62312"/>
    <cellStyle name="Note 15 3 4" xfId="3957"/>
    <cellStyle name="Note 15 3 4 2" xfId="9236"/>
    <cellStyle name="Note 15 3 4 2 2" xfId="62313"/>
    <cellStyle name="Note 15 3 4 2 3" xfId="62314"/>
    <cellStyle name="Note 15 3 4 2 4" xfId="62315"/>
    <cellStyle name="Note 15 3 4 2 5" xfId="62316"/>
    <cellStyle name="Note 15 3 4 2 6" xfId="62317"/>
    <cellStyle name="Note 15 3 4 3" xfId="13376"/>
    <cellStyle name="Note 15 3 4 4" xfId="62318"/>
    <cellStyle name="Note 15 3 4 5" xfId="62319"/>
    <cellStyle name="Note 15 3 4 6" xfId="62320"/>
    <cellStyle name="Note 15 3 4 7" xfId="62321"/>
    <cellStyle name="Note 15 3 4 8" xfId="62322"/>
    <cellStyle name="Note 15 3 5" xfId="3958"/>
    <cellStyle name="Note 15 3 5 2" xfId="9237"/>
    <cellStyle name="Note 15 3 5 2 2" xfId="62323"/>
    <cellStyle name="Note 15 3 5 2 3" xfId="62324"/>
    <cellStyle name="Note 15 3 5 2 4" xfId="62325"/>
    <cellStyle name="Note 15 3 5 2 5" xfId="62326"/>
    <cellStyle name="Note 15 3 5 2 6" xfId="62327"/>
    <cellStyle name="Note 15 3 5 3" xfId="13377"/>
    <cellStyle name="Note 15 3 5 4" xfId="62328"/>
    <cellStyle name="Note 15 3 5 5" xfId="62329"/>
    <cellStyle name="Note 15 3 5 6" xfId="62330"/>
    <cellStyle name="Note 15 3 5 7" xfId="62331"/>
    <cellStyle name="Note 15 3 5 8" xfId="62332"/>
    <cellStyle name="Note 15 3 6" xfId="3959"/>
    <cellStyle name="Note 15 3 6 2" xfId="9238"/>
    <cellStyle name="Note 15 3 6 2 2" xfId="62333"/>
    <cellStyle name="Note 15 3 6 2 3" xfId="62334"/>
    <cellStyle name="Note 15 3 6 2 4" xfId="62335"/>
    <cellStyle name="Note 15 3 6 2 5" xfId="62336"/>
    <cellStyle name="Note 15 3 6 2 6" xfId="62337"/>
    <cellStyle name="Note 15 3 6 3" xfId="13378"/>
    <cellStyle name="Note 15 3 6 4" xfId="62338"/>
    <cellStyle name="Note 15 3 6 5" xfId="62339"/>
    <cellStyle name="Note 15 3 6 6" xfId="62340"/>
    <cellStyle name="Note 15 3 6 7" xfId="62341"/>
    <cellStyle name="Note 15 3 6 8" xfId="62342"/>
    <cellStyle name="Note 15 3 7" xfId="3960"/>
    <cellStyle name="Note 15 3 7 2" xfId="9239"/>
    <cellStyle name="Note 15 3 7 2 2" xfId="62343"/>
    <cellStyle name="Note 15 3 7 2 3" xfId="62344"/>
    <cellStyle name="Note 15 3 7 2 4" xfId="62345"/>
    <cellStyle name="Note 15 3 7 2 5" xfId="62346"/>
    <cellStyle name="Note 15 3 7 2 6" xfId="62347"/>
    <cellStyle name="Note 15 3 7 3" xfId="13379"/>
    <cellStyle name="Note 15 3 7 4" xfId="62348"/>
    <cellStyle name="Note 15 3 7 5" xfId="62349"/>
    <cellStyle name="Note 15 3 7 6" xfId="62350"/>
    <cellStyle name="Note 15 3 7 7" xfId="62351"/>
    <cellStyle name="Note 15 3 7 8" xfId="62352"/>
    <cellStyle name="Note 15 3 8" xfId="6069"/>
    <cellStyle name="Note 15 3 8 2" xfId="62353"/>
    <cellStyle name="Note 15 3 8 3" xfId="62354"/>
    <cellStyle name="Note 15 3 8 4" xfId="62355"/>
    <cellStyle name="Note 15 3 8 5" xfId="62356"/>
    <cellStyle name="Note 15 3 8 6" xfId="62357"/>
    <cellStyle name="Note 15 3 9" xfId="13371"/>
    <cellStyle name="Note 15 3 9 2" xfId="62358"/>
    <cellStyle name="Note 15 4" xfId="1010"/>
    <cellStyle name="Note 15 4 10" xfId="2247"/>
    <cellStyle name="Note 15 4 10 2" xfId="7526"/>
    <cellStyle name="Note 15 4 10 2 2" xfId="62359"/>
    <cellStyle name="Note 15 4 10 2 3" xfId="62360"/>
    <cellStyle name="Note 15 4 10 2 4" xfId="62361"/>
    <cellStyle name="Note 15 4 10 2 5" xfId="62362"/>
    <cellStyle name="Note 15 4 10 3" xfId="11292"/>
    <cellStyle name="Note 15 4 10 4" xfId="62363"/>
    <cellStyle name="Note 15 4 10 5" xfId="62364"/>
    <cellStyle name="Note 15 4 10 6" xfId="62365"/>
    <cellStyle name="Note 15 4 10 7" xfId="62366"/>
    <cellStyle name="Note 15 4 11" xfId="6289"/>
    <cellStyle name="Note 15 4 11 2" xfId="62367"/>
    <cellStyle name="Note 15 4 11 3" xfId="62368"/>
    <cellStyle name="Note 15 4 11 4" xfId="62369"/>
    <cellStyle name="Note 15 4 11 5" xfId="62370"/>
    <cellStyle name="Note 15 4 12" xfId="62371"/>
    <cellStyle name="Note 15 4 13" xfId="62372"/>
    <cellStyle name="Note 15 4 2" xfId="1627"/>
    <cellStyle name="Note 15 4 2 2" xfId="2861"/>
    <cellStyle name="Note 15 4 2 2 2" xfId="8140"/>
    <cellStyle name="Note 15 4 2 2 2 2" xfId="62373"/>
    <cellStyle name="Note 15 4 2 2 2 3" xfId="62374"/>
    <cellStyle name="Note 15 4 2 2 2 4" xfId="62375"/>
    <cellStyle name="Note 15 4 2 2 2 5" xfId="62376"/>
    <cellStyle name="Note 15 4 2 2 3" xfId="13381"/>
    <cellStyle name="Note 15 4 2 2 4" xfId="62377"/>
    <cellStyle name="Note 15 4 2 2 5" xfId="62378"/>
    <cellStyle name="Note 15 4 2 2 6" xfId="62379"/>
    <cellStyle name="Note 15 4 2 2 7" xfId="62380"/>
    <cellStyle name="Note 15 4 2 3" xfId="6906"/>
    <cellStyle name="Note 15 4 2 3 2" xfId="62381"/>
    <cellStyle name="Note 15 4 2 3 3" xfId="62382"/>
    <cellStyle name="Note 15 4 2 3 4" xfId="62383"/>
    <cellStyle name="Note 15 4 2 3 5" xfId="62384"/>
    <cellStyle name="Note 15 4 2 3 6" xfId="62385"/>
    <cellStyle name="Note 15 4 2 4" xfId="13380"/>
    <cellStyle name="Note 15 4 2 5" xfId="62386"/>
    <cellStyle name="Note 15 4 3" xfId="3961"/>
    <cellStyle name="Note 15 4 3 2" xfId="9240"/>
    <cellStyle name="Note 15 4 3 2 2" xfId="62387"/>
    <cellStyle name="Note 15 4 3 2 3" xfId="62388"/>
    <cellStyle name="Note 15 4 3 2 4" xfId="62389"/>
    <cellStyle name="Note 15 4 3 2 5" xfId="62390"/>
    <cellStyle name="Note 15 4 3 2 6" xfId="62391"/>
    <cellStyle name="Note 15 4 3 3" xfId="13382"/>
    <cellStyle name="Note 15 4 3 4" xfId="62392"/>
    <cellStyle name="Note 15 4 3 5" xfId="62393"/>
    <cellStyle name="Note 15 4 3 6" xfId="62394"/>
    <cellStyle name="Note 15 4 3 7" xfId="62395"/>
    <cellStyle name="Note 15 4 3 8" xfId="62396"/>
    <cellStyle name="Note 15 4 4" xfId="3962"/>
    <cellStyle name="Note 15 4 4 2" xfId="9241"/>
    <cellStyle name="Note 15 4 4 2 2" xfId="62397"/>
    <cellStyle name="Note 15 4 4 2 3" xfId="62398"/>
    <cellStyle name="Note 15 4 4 2 4" xfId="62399"/>
    <cellStyle name="Note 15 4 4 2 5" xfId="62400"/>
    <cellStyle name="Note 15 4 4 2 6" xfId="62401"/>
    <cellStyle name="Note 15 4 4 3" xfId="13383"/>
    <cellStyle name="Note 15 4 4 4" xfId="62402"/>
    <cellStyle name="Note 15 4 4 5" xfId="62403"/>
    <cellStyle name="Note 15 4 4 6" xfId="62404"/>
    <cellStyle name="Note 15 4 4 7" xfId="62405"/>
    <cellStyle name="Note 15 4 4 8" xfId="62406"/>
    <cellStyle name="Note 15 4 5" xfId="3963"/>
    <cellStyle name="Note 15 4 5 2" xfId="9242"/>
    <cellStyle name="Note 15 4 5 2 2" xfId="62407"/>
    <cellStyle name="Note 15 4 5 2 3" xfId="62408"/>
    <cellStyle name="Note 15 4 5 2 4" xfId="62409"/>
    <cellStyle name="Note 15 4 5 2 5" xfId="62410"/>
    <cellStyle name="Note 15 4 5 2 6" xfId="62411"/>
    <cellStyle name="Note 15 4 5 3" xfId="13384"/>
    <cellStyle name="Note 15 4 5 4" xfId="62412"/>
    <cellStyle name="Note 15 4 5 5" xfId="62413"/>
    <cellStyle name="Note 15 4 5 6" xfId="62414"/>
    <cellStyle name="Note 15 4 5 7" xfId="62415"/>
    <cellStyle name="Note 15 4 5 8" xfId="62416"/>
    <cellStyle name="Note 15 4 6" xfId="3964"/>
    <cellStyle name="Note 15 4 6 2" xfId="9243"/>
    <cellStyle name="Note 15 4 6 2 2" xfId="62417"/>
    <cellStyle name="Note 15 4 6 2 3" xfId="62418"/>
    <cellStyle name="Note 15 4 6 2 4" xfId="62419"/>
    <cellStyle name="Note 15 4 6 2 5" xfId="62420"/>
    <cellStyle name="Note 15 4 6 2 6" xfId="62421"/>
    <cellStyle name="Note 15 4 6 3" xfId="13385"/>
    <cellStyle name="Note 15 4 6 4" xfId="62422"/>
    <cellStyle name="Note 15 4 6 5" xfId="62423"/>
    <cellStyle name="Note 15 4 6 6" xfId="62424"/>
    <cellStyle name="Note 15 4 6 7" xfId="62425"/>
    <cellStyle name="Note 15 4 6 8" xfId="62426"/>
    <cellStyle name="Note 15 4 7" xfId="3965"/>
    <cellStyle name="Note 15 4 7 2" xfId="9244"/>
    <cellStyle name="Note 15 4 7 2 2" xfId="62427"/>
    <cellStyle name="Note 15 4 7 2 3" xfId="62428"/>
    <cellStyle name="Note 15 4 7 2 4" xfId="62429"/>
    <cellStyle name="Note 15 4 7 2 5" xfId="62430"/>
    <cellStyle name="Note 15 4 7 2 6" xfId="62431"/>
    <cellStyle name="Note 15 4 7 3" xfId="13386"/>
    <cellStyle name="Note 15 4 7 4" xfId="62432"/>
    <cellStyle name="Note 15 4 7 5" xfId="62433"/>
    <cellStyle name="Note 15 4 7 6" xfId="62434"/>
    <cellStyle name="Note 15 4 7 7" xfId="62435"/>
    <cellStyle name="Note 15 4 7 8" xfId="62436"/>
    <cellStyle name="Note 15 4 8" xfId="3966"/>
    <cellStyle name="Note 15 4 8 2" xfId="9245"/>
    <cellStyle name="Note 15 4 8 2 2" xfId="62437"/>
    <cellStyle name="Note 15 4 8 2 3" xfId="62438"/>
    <cellStyle name="Note 15 4 8 2 4" xfId="62439"/>
    <cellStyle name="Note 15 4 8 2 5" xfId="62440"/>
    <cellStyle name="Note 15 4 8 2 6" xfId="62441"/>
    <cellStyle name="Note 15 4 8 3" xfId="13387"/>
    <cellStyle name="Note 15 4 8 4" xfId="62442"/>
    <cellStyle name="Note 15 4 8 5" xfId="62443"/>
    <cellStyle name="Note 15 4 8 6" xfId="62444"/>
    <cellStyle name="Note 15 4 8 7" xfId="62445"/>
    <cellStyle name="Note 15 4 8 8" xfId="62446"/>
    <cellStyle name="Note 15 4 9" xfId="3967"/>
    <cellStyle name="Note 15 4 9 2" xfId="9246"/>
    <cellStyle name="Note 15 4 9 2 2" xfId="62447"/>
    <cellStyle name="Note 15 4 9 2 3" xfId="62448"/>
    <cellStyle name="Note 15 4 9 2 4" xfId="62449"/>
    <cellStyle name="Note 15 4 9 2 5" xfId="62450"/>
    <cellStyle name="Note 15 4 9 2 6" xfId="62451"/>
    <cellStyle name="Note 15 4 9 3" xfId="13388"/>
    <cellStyle name="Note 15 4 9 4" xfId="62452"/>
    <cellStyle name="Note 15 4 9 5" xfId="62453"/>
    <cellStyle name="Note 15 4 9 6" xfId="62454"/>
    <cellStyle name="Note 15 4 9 7" xfId="62455"/>
    <cellStyle name="Note 15 4 9 8" xfId="62456"/>
    <cellStyle name="Note 15 5" xfId="1011"/>
    <cellStyle name="Note 15 5 10" xfId="2248"/>
    <cellStyle name="Note 15 5 10 2" xfId="7527"/>
    <cellStyle name="Note 15 5 10 2 2" xfId="62457"/>
    <cellStyle name="Note 15 5 10 2 3" xfId="62458"/>
    <cellStyle name="Note 15 5 10 2 4" xfId="62459"/>
    <cellStyle name="Note 15 5 10 2 5" xfId="62460"/>
    <cellStyle name="Note 15 5 10 3" xfId="11293"/>
    <cellStyle name="Note 15 5 10 4" xfId="62461"/>
    <cellStyle name="Note 15 5 10 5" xfId="62462"/>
    <cellStyle name="Note 15 5 10 6" xfId="62463"/>
    <cellStyle name="Note 15 5 10 7" xfId="62464"/>
    <cellStyle name="Note 15 5 11" xfId="6290"/>
    <cellStyle name="Note 15 5 11 2" xfId="62465"/>
    <cellStyle name="Note 15 5 11 3" xfId="62466"/>
    <cellStyle name="Note 15 5 11 4" xfId="62467"/>
    <cellStyle name="Note 15 5 11 5" xfId="62468"/>
    <cellStyle name="Note 15 5 12" xfId="62469"/>
    <cellStyle name="Note 15 5 13" xfId="62470"/>
    <cellStyle name="Note 15 5 2" xfId="1628"/>
    <cellStyle name="Note 15 5 2 2" xfId="2862"/>
    <cellStyle name="Note 15 5 2 2 2" xfId="8141"/>
    <cellStyle name="Note 15 5 2 2 2 2" xfId="62471"/>
    <cellStyle name="Note 15 5 2 2 2 3" xfId="62472"/>
    <cellStyle name="Note 15 5 2 2 2 4" xfId="62473"/>
    <cellStyle name="Note 15 5 2 2 2 5" xfId="62474"/>
    <cellStyle name="Note 15 5 2 2 3" xfId="13390"/>
    <cellStyle name="Note 15 5 2 2 4" xfId="62475"/>
    <cellStyle name="Note 15 5 2 2 5" xfId="62476"/>
    <cellStyle name="Note 15 5 2 2 6" xfId="62477"/>
    <cellStyle name="Note 15 5 2 2 7" xfId="62478"/>
    <cellStyle name="Note 15 5 2 3" xfId="6907"/>
    <cellStyle name="Note 15 5 2 3 2" xfId="62479"/>
    <cellStyle name="Note 15 5 2 3 3" xfId="62480"/>
    <cellStyle name="Note 15 5 2 3 4" xfId="62481"/>
    <cellStyle name="Note 15 5 2 3 5" xfId="62482"/>
    <cellStyle name="Note 15 5 2 3 6" xfId="62483"/>
    <cellStyle name="Note 15 5 2 4" xfId="13389"/>
    <cellStyle name="Note 15 5 2 5" xfId="62484"/>
    <cellStyle name="Note 15 5 3" xfId="3968"/>
    <cellStyle name="Note 15 5 3 2" xfId="9247"/>
    <cellStyle name="Note 15 5 3 2 2" xfId="62485"/>
    <cellStyle name="Note 15 5 3 2 3" xfId="62486"/>
    <cellStyle name="Note 15 5 3 2 4" xfId="62487"/>
    <cellStyle name="Note 15 5 3 2 5" xfId="62488"/>
    <cellStyle name="Note 15 5 3 2 6" xfId="62489"/>
    <cellStyle name="Note 15 5 3 3" xfId="13391"/>
    <cellStyle name="Note 15 5 3 4" xfId="62490"/>
    <cellStyle name="Note 15 5 3 5" xfId="62491"/>
    <cellStyle name="Note 15 5 3 6" xfId="62492"/>
    <cellStyle name="Note 15 5 3 7" xfId="62493"/>
    <cellStyle name="Note 15 5 3 8" xfId="62494"/>
    <cellStyle name="Note 15 5 4" xfId="3969"/>
    <cellStyle name="Note 15 5 4 2" xfId="9248"/>
    <cellStyle name="Note 15 5 4 2 2" xfId="62495"/>
    <cellStyle name="Note 15 5 4 2 3" xfId="62496"/>
    <cellStyle name="Note 15 5 4 2 4" xfId="62497"/>
    <cellStyle name="Note 15 5 4 2 5" xfId="62498"/>
    <cellStyle name="Note 15 5 4 2 6" xfId="62499"/>
    <cellStyle name="Note 15 5 4 3" xfId="13392"/>
    <cellStyle name="Note 15 5 4 4" xfId="62500"/>
    <cellStyle name="Note 15 5 4 5" xfId="62501"/>
    <cellStyle name="Note 15 5 4 6" xfId="62502"/>
    <cellStyle name="Note 15 5 4 7" xfId="62503"/>
    <cellStyle name="Note 15 5 4 8" xfId="62504"/>
    <cellStyle name="Note 15 5 5" xfId="3970"/>
    <cellStyle name="Note 15 5 5 2" xfId="9249"/>
    <cellStyle name="Note 15 5 5 2 2" xfId="62505"/>
    <cellStyle name="Note 15 5 5 2 3" xfId="62506"/>
    <cellStyle name="Note 15 5 5 2 4" xfId="62507"/>
    <cellStyle name="Note 15 5 5 2 5" xfId="62508"/>
    <cellStyle name="Note 15 5 5 2 6" xfId="62509"/>
    <cellStyle name="Note 15 5 5 3" xfId="13393"/>
    <cellStyle name="Note 15 5 5 4" xfId="62510"/>
    <cellStyle name="Note 15 5 5 5" xfId="62511"/>
    <cellStyle name="Note 15 5 5 6" xfId="62512"/>
    <cellStyle name="Note 15 5 5 7" xfId="62513"/>
    <cellStyle name="Note 15 5 5 8" xfId="62514"/>
    <cellStyle name="Note 15 5 6" xfId="3971"/>
    <cellStyle name="Note 15 5 6 2" xfId="9250"/>
    <cellStyle name="Note 15 5 6 2 2" xfId="62515"/>
    <cellStyle name="Note 15 5 6 2 3" xfId="62516"/>
    <cellStyle name="Note 15 5 6 2 4" xfId="62517"/>
    <cellStyle name="Note 15 5 6 2 5" xfId="62518"/>
    <cellStyle name="Note 15 5 6 2 6" xfId="62519"/>
    <cellStyle name="Note 15 5 6 3" xfId="13394"/>
    <cellStyle name="Note 15 5 6 4" xfId="62520"/>
    <cellStyle name="Note 15 5 6 5" xfId="62521"/>
    <cellStyle name="Note 15 5 6 6" xfId="62522"/>
    <cellStyle name="Note 15 5 6 7" xfId="62523"/>
    <cellStyle name="Note 15 5 6 8" xfId="62524"/>
    <cellStyle name="Note 15 5 7" xfId="3972"/>
    <cellStyle name="Note 15 5 7 2" xfId="9251"/>
    <cellStyle name="Note 15 5 7 2 2" xfId="62525"/>
    <cellStyle name="Note 15 5 7 2 3" xfId="62526"/>
    <cellStyle name="Note 15 5 7 2 4" xfId="62527"/>
    <cellStyle name="Note 15 5 7 2 5" xfId="62528"/>
    <cellStyle name="Note 15 5 7 2 6" xfId="62529"/>
    <cellStyle name="Note 15 5 7 3" xfId="13395"/>
    <cellStyle name="Note 15 5 7 4" xfId="62530"/>
    <cellStyle name="Note 15 5 7 5" xfId="62531"/>
    <cellStyle name="Note 15 5 7 6" xfId="62532"/>
    <cellStyle name="Note 15 5 7 7" xfId="62533"/>
    <cellStyle name="Note 15 5 7 8" xfId="62534"/>
    <cellStyle name="Note 15 5 8" xfId="3973"/>
    <cellStyle name="Note 15 5 8 2" xfId="9252"/>
    <cellStyle name="Note 15 5 8 2 2" xfId="62535"/>
    <cellStyle name="Note 15 5 8 2 3" xfId="62536"/>
    <cellStyle name="Note 15 5 8 2 4" xfId="62537"/>
    <cellStyle name="Note 15 5 8 2 5" xfId="62538"/>
    <cellStyle name="Note 15 5 8 2 6" xfId="62539"/>
    <cellStyle name="Note 15 5 8 3" xfId="13396"/>
    <cellStyle name="Note 15 5 8 4" xfId="62540"/>
    <cellStyle name="Note 15 5 8 5" xfId="62541"/>
    <cellStyle name="Note 15 5 8 6" xfId="62542"/>
    <cellStyle name="Note 15 5 8 7" xfId="62543"/>
    <cellStyle name="Note 15 5 8 8" xfId="62544"/>
    <cellStyle name="Note 15 5 9" xfId="3974"/>
    <cellStyle name="Note 15 5 9 2" xfId="9253"/>
    <cellStyle name="Note 15 5 9 2 2" xfId="62545"/>
    <cellStyle name="Note 15 5 9 2 3" xfId="62546"/>
    <cellStyle name="Note 15 5 9 2 4" xfId="62547"/>
    <cellStyle name="Note 15 5 9 2 5" xfId="62548"/>
    <cellStyle name="Note 15 5 9 2 6" xfId="62549"/>
    <cellStyle name="Note 15 5 9 3" xfId="13397"/>
    <cellStyle name="Note 15 5 9 4" xfId="62550"/>
    <cellStyle name="Note 15 5 9 5" xfId="62551"/>
    <cellStyle name="Note 15 5 9 6" xfId="62552"/>
    <cellStyle name="Note 15 5 9 7" xfId="62553"/>
    <cellStyle name="Note 15 5 9 8" xfId="62554"/>
    <cellStyle name="Note 15 6" xfId="1012"/>
    <cellStyle name="Note 15 6 10" xfId="2249"/>
    <cellStyle name="Note 15 6 10 2" xfId="7528"/>
    <cellStyle name="Note 15 6 10 2 2" xfId="62555"/>
    <cellStyle name="Note 15 6 10 2 3" xfId="62556"/>
    <cellStyle name="Note 15 6 10 2 4" xfId="62557"/>
    <cellStyle name="Note 15 6 10 2 5" xfId="62558"/>
    <cellStyle name="Note 15 6 10 3" xfId="11294"/>
    <cellStyle name="Note 15 6 10 4" xfId="62559"/>
    <cellStyle name="Note 15 6 10 5" xfId="62560"/>
    <cellStyle name="Note 15 6 10 6" xfId="62561"/>
    <cellStyle name="Note 15 6 10 7" xfId="62562"/>
    <cellStyle name="Note 15 6 11" xfId="6291"/>
    <cellStyle name="Note 15 6 11 2" xfId="62563"/>
    <cellStyle name="Note 15 6 11 3" xfId="62564"/>
    <cellStyle name="Note 15 6 11 4" xfId="62565"/>
    <cellStyle name="Note 15 6 11 5" xfId="62566"/>
    <cellStyle name="Note 15 6 12" xfId="62567"/>
    <cellStyle name="Note 15 6 13" xfId="62568"/>
    <cellStyle name="Note 15 6 2" xfId="1629"/>
    <cellStyle name="Note 15 6 2 2" xfId="2863"/>
    <cellStyle name="Note 15 6 2 2 2" xfId="8142"/>
    <cellStyle name="Note 15 6 2 2 2 2" xfId="62569"/>
    <cellStyle name="Note 15 6 2 2 2 3" xfId="62570"/>
    <cellStyle name="Note 15 6 2 2 3" xfId="13399"/>
    <cellStyle name="Note 15 6 2 3" xfId="6908"/>
    <cellStyle name="Note 15 6 2 4" xfId="13398"/>
    <cellStyle name="Note 15 6 3" xfId="3975"/>
    <cellStyle name="Note 15 6 3 2" xfId="9254"/>
    <cellStyle name="Note 15 6 3 3" xfId="13400"/>
    <cellStyle name="Note 15 6 4" xfId="3976"/>
    <cellStyle name="Note 15 6 4 2" xfId="9255"/>
    <cellStyle name="Note 15 6 4 3" xfId="13401"/>
    <cellStyle name="Note 15 6 5" xfId="3977"/>
    <cellStyle name="Note 15 6 5 2" xfId="9256"/>
    <cellStyle name="Note 15 6 5 3" xfId="13402"/>
    <cellStyle name="Note 15 6 6" xfId="3978"/>
    <cellStyle name="Note 15 6 6 2" xfId="9257"/>
    <cellStyle name="Note 15 6 6 3" xfId="13403"/>
    <cellStyle name="Note 15 6 7" xfId="3979"/>
    <cellStyle name="Note 15 6 7 2" xfId="9258"/>
    <cellStyle name="Note 15 6 7 3" xfId="13404"/>
    <cellStyle name="Note 15 6 8" xfId="3980"/>
    <cellStyle name="Note 15 6 8 2" xfId="9259"/>
    <cellStyle name="Note 15 6 8 3" xfId="13405"/>
    <cellStyle name="Note 15 6 9" xfId="3981"/>
    <cellStyle name="Note 15 6 9 2" xfId="9260"/>
    <cellStyle name="Note 15 6 9 3" xfId="13406"/>
    <cellStyle name="Note 15 7" xfId="1013"/>
    <cellStyle name="Note 15 7 10" xfId="2250"/>
    <cellStyle name="Note 15 7 10 2" xfId="7529"/>
    <cellStyle name="Note 15 7 10 3" xfId="11295"/>
    <cellStyle name="Note 15 7 11" xfId="6292"/>
    <cellStyle name="Note 15 7 2" xfId="1630"/>
    <cellStyle name="Note 15 7 2 2" xfId="2864"/>
    <cellStyle name="Note 15 7 2 2 2" xfId="8143"/>
    <cellStyle name="Note 15 7 2 2 3" xfId="13408"/>
    <cellStyle name="Note 15 7 2 3" xfId="6909"/>
    <cellStyle name="Note 15 7 2 4" xfId="13407"/>
    <cellStyle name="Note 15 7 3" xfId="3982"/>
    <cellStyle name="Note 15 7 3 2" xfId="9261"/>
    <cellStyle name="Note 15 7 3 3" xfId="13409"/>
    <cellStyle name="Note 15 7 4" xfId="3983"/>
    <cellStyle name="Note 15 7 4 2" xfId="9262"/>
    <cellStyle name="Note 15 7 4 3" xfId="13410"/>
    <cellStyle name="Note 15 7 5" xfId="3984"/>
    <cellStyle name="Note 15 7 5 2" xfId="9263"/>
    <cellStyle name="Note 15 7 5 3" xfId="13411"/>
    <cellStyle name="Note 15 7 6" xfId="3985"/>
    <cellStyle name="Note 15 7 6 2" xfId="9264"/>
    <cellStyle name="Note 15 7 6 3" xfId="13412"/>
    <cellStyle name="Note 15 7 7" xfId="3986"/>
    <cellStyle name="Note 15 7 7 2" xfId="9265"/>
    <cellStyle name="Note 15 7 7 3" xfId="13413"/>
    <cellStyle name="Note 15 7 8" xfId="3987"/>
    <cellStyle name="Note 15 7 8 2" xfId="9266"/>
    <cellStyle name="Note 15 7 8 3" xfId="13414"/>
    <cellStyle name="Note 15 7 9" xfId="3988"/>
    <cellStyle name="Note 15 7 9 2" xfId="9267"/>
    <cellStyle name="Note 15 7 9 3" xfId="13415"/>
    <cellStyle name="Note 15 8" xfId="1280"/>
    <cellStyle name="Note 15 8 2" xfId="2514"/>
    <cellStyle name="Note 15 8 2 2" xfId="7793"/>
    <cellStyle name="Note 15 8 2 3" xfId="13417"/>
    <cellStyle name="Note 15 8 3" xfId="6559"/>
    <cellStyle name="Note 15 8 4" xfId="13416"/>
    <cellStyle name="Note 15 9" xfId="3989"/>
    <cellStyle name="Note 15 9 2" xfId="9268"/>
    <cellStyle name="Note 15 9 3" xfId="13418"/>
    <cellStyle name="Note 16" xfId="593"/>
    <cellStyle name="Note 16 10" xfId="3990"/>
    <cellStyle name="Note 16 10 2" xfId="9269"/>
    <cellStyle name="Note 16 10 3" xfId="13419"/>
    <cellStyle name="Note 16 11" xfId="3991"/>
    <cellStyle name="Note 16 11 2" xfId="9270"/>
    <cellStyle name="Note 16 11 3" xfId="13420"/>
    <cellStyle name="Note 16 12" xfId="1969"/>
    <cellStyle name="Note 16 12 2" xfId="7248"/>
    <cellStyle name="Note 16 12 3" xfId="11296"/>
    <cellStyle name="Note 16 13" xfId="5944"/>
    <cellStyle name="Note 16 2" xfId="778"/>
    <cellStyle name="Note 16 2 2" xfId="1405"/>
    <cellStyle name="Note 16 2 2 2" xfId="2639"/>
    <cellStyle name="Note 16 2 2 2 2" xfId="7918"/>
    <cellStyle name="Note 16 2 2 2 3" xfId="13423"/>
    <cellStyle name="Note 16 2 2 3" xfId="6684"/>
    <cellStyle name="Note 16 2 2 4" xfId="13422"/>
    <cellStyle name="Note 16 2 3" xfId="1882"/>
    <cellStyle name="Note 16 2 3 2" xfId="3116"/>
    <cellStyle name="Note 16 2 3 2 2" xfId="8395"/>
    <cellStyle name="Note 16 2 3 2 3" xfId="13425"/>
    <cellStyle name="Note 16 2 3 3" xfId="7161"/>
    <cellStyle name="Note 16 2 3 4" xfId="13424"/>
    <cellStyle name="Note 16 2 4" xfId="3992"/>
    <cellStyle name="Note 16 2 4 2" xfId="9271"/>
    <cellStyle name="Note 16 2 4 3" xfId="13426"/>
    <cellStyle name="Note 16 2 5" xfId="3993"/>
    <cellStyle name="Note 16 2 5 2" xfId="9272"/>
    <cellStyle name="Note 16 2 5 3" xfId="13427"/>
    <cellStyle name="Note 16 2 6" xfId="3994"/>
    <cellStyle name="Note 16 2 6 2" xfId="9273"/>
    <cellStyle name="Note 16 2 6 3" xfId="13428"/>
    <cellStyle name="Note 16 2 7" xfId="3995"/>
    <cellStyle name="Note 16 2 7 2" xfId="9274"/>
    <cellStyle name="Note 16 2 7 3" xfId="13429"/>
    <cellStyle name="Note 16 2 8" xfId="6067"/>
    <cellStyle name="Note 16 2 9" xfId="13421"/>
    <cellStyle name="Note 16 3" xfId="1014"/>
    <cellStyle name="Note 16 3 10" xfId="2251"/>
    <cellStyle name="Note 16 3 10 2" xfId="7530"/>
    <cellStyle name="Note 16 3 10 3" xfId="11297"/>
    <cellStyle name="Note 16 3 11" xfId="6293"/>
    <cellStyle name="Note 16 3 2" xfId="1631"/>
    <cellStyle name="Note 16 3 2 2" xfId="2865"/>
    <cellStyle name="Note 16 3 2 2 2" xfId="8144"/>
    <cellStyle name="Note 16 3 2 2 3" xfId="13431"/>
    <cellStyle name="Note 16 3 2 3" xfId="6910"/>
    <cellStyle name="Note 16 3 2 4" xfId="13430"/>
    <cellStyle name="Note 16 3 3" xfId="3996"/>
    <cellStyle name="Note 16 3 3 2" xfId="9275"/>
    <cellStyle name="Note 16 3 3 3" xfId="13432"/>
    <cellStyle name="Note 16 3 4" xfId="3997"/>
    <cellStyle name="Note 16 3 4 2" xfId="9276"/>
    <cellStyle name="Note 16 3 4 3" xfId="13433"/>
    <cellStyle name="Note 16 3 5" xfId="3998"/>
    <cellStyle name="Note 16 3 5 2" xfId="9277"/>
    <cellStyle name="Note 16 3 5 3" xfId="13434"/>
    <cellStyle name="Note 16 3 6" xfId="3999"/>
    <cellStyle name="Note 16 3 6 2" xfId="9278"/>
    <cellStyle name="Note 16 3 6 3" xfId="13435"/>
    <cellStyle name="Note 16 3 7" xfId="4000"/>
    <cellStyle name="Note 16 3 7 2" xfId="9279"/>
    <cellStyle name="Note 16 3 7 3" xfId="13436"/>
    <cellStyle name="Note 16 3 8" xfId="4001"/>
    <cellStyle name="Note 16 3 8 2" xfId="9280"/>
    <cellStyle name="Note 16 3 8 3" xfId="13437"/>
    <cellStyle name="Note 16 3 9" xfId="4002"/>
    <cellStyle name="Note 16 3 9 2" xfId="9281"/>
    <cellStyle name="Note 16 3 9 3" xfId="13438"/>
    <cellStyle name="Note 16 4" xfId="1015"/>
    <cellStyle name="Note 16 4 10" xfId="2252"/>
    <cellStyle name="Note 16 4 10 2" xfId="7531"/>
    <cellStyle name="Note 16 4 10 3" xfId="11298"/>
    <cellStyle name="Note 16 4 11" xfId="6294"/>
    <cellStyle name="Note 16 4 2" xfId="1632"/>
    <cellStyle name="Note 16 4 2 2" xfId="2866"/>
    <cellStyle name="Note 16 4 2 2 2" xfId="8145"/>
    <cellStyle name="Note 16 4 2 2 3" xfId="13440"/>
    <cellStyle name="Note 16 4 2 3" xfId="6911"/>
    <cellStyle name="Note 16 4 2 4" xfId="13439"/>
    <cellStyle name="Note 16 4 3" xfId="4003"/>
    <cellStyle name="Note 16 4 3 2" xfId="9282"/>
    <cellStyle name="Note 16 4 3 3" xfId="13441"/>
    <cellStyle name="Note 16 4 4" xfId="4004"/>
    <cellStyle name="Note 16 4 4 2" xfId="9283"/>
    <cellStyle name="Note 16 4 4 3" xfId="13442"/>
    <cellStyle name="Note 16 4 5" xfId="4005"/>
    <cellStyle name="Note 16 4 5 2" xfId="9284"/>
    <cellStyle name="Note 16 4 5 3" xfId="13443"/>
    <cellStyle name="Note 16 4 6" xfId="4006"/>
    <cellStyle name="Note 16 4 6 2" xfId="9285"/>
    <cellStyle name="Note 16 4 6 3" xfId="13444"/>
    <cellStyle name="Note 16 4 7" xfId="4007"/>
    <cellStyle name="Note 16 4 7 2" xfId="9286"/>
    <cellStyle name="Note 16 4 7 3" xfId="13445"/>
    <cellStyle name="Note 16 4 8" xfId="4008"/>
    <cellStyle name="Note 16 4 8 2" xfId="9287"/>
    <cellStyle name="Note 16 4 8 3" xfId="13446"/>
    <cellStyle name="Note 16 4 9" xfId="4009"/>
    <cellStyle name="Note 16 4 9 2" xfId="9288"/>
    <cellStyle name="Note 16 4 9 3" xfId="13447"/>
    <cellStyle name="Note 16 5" xfId="1016"/>
    <cellStyle name="Note 16 5 10" xfId="2253"/>
    <cellStyle name="Note 16 5 10 2" xfId="7532"/>
    <cellStyle name="Note 16 5 10 3" xfId="11299"/>
    <cellStyle name="Note 16 5 11" xfId="6295"/>
    <cellStyle name="Note 16 5 2" xfId="1633"/>
    <cellStyle name="Note 16 5 2 2" xfId="2867"/>
    <cellStyle name="Note 16 5 2 2 2" xfId="8146"/>
    <cellStyle name="Note 16 5 2 2 3" xfId="13449"/>
    <cellStyle name="Note 16 5 2 3" xfId="6912"/>
    <cellStyle name="Note 16 5 2 4" xfId="13448"/>
    <cellStyle name="Note 16 5 3" xfId="4010"/>
    <cellStyle name="Note 16 5 3 2" xfId="9289"/>
    <cellStyle name="Note 16 5 3 3" xfId="13450"/>
    <cellStyle name="Note 16 5 4" xfId="4011"/>
    <cellStyle name="Note 16 5 4 2" xfId="9290"/>
    <cellStyle name="Note 16 5 4 3" xfId="13451"/>
    <cellStyle name="Note 16 5 5" xfId="4012"/>
    <cellStyle name="Note 16 5 5 2" xfId="9291"/>
    <cellStyle name="Note 16 5 5 3" xfId="13452"/>
    <cellStyle name="Note 16 5 6" xfId="4013"/>
    <cellStyle name="Note 16 5 6 2" xfId="9292"/>
    <cellStyle name="Note 16 5 6 3" xfId="13453"/>
    <cellStyle name="Note 16 5 7" xfId="4014"/>
    <cellStyle name="Note 16 5 7 2" xfId="9293"/>
    <cellStyle name="Note 16 5 7 3" xfId="13454"/>
    <cellStyle name="Note 16 5 8" xfId="4015"/>
    <cellStyle name="Note 16 5 8 2" xfId="9294"/>
    <cellStyle name="Note 16 5 8 3" xfId="13455"/>
    <cellStyle name="Note 16 5 9" xfId="4016"/>
    <cellStyle name="Note 16 5 9 2" xfId="9295"/>
    <cellStyle name="Note 16 5 9 3" xfId="13456"/>
    <cellStyle name="Note 16 6" xfId="1017"/>
    <cellStyle name="Note 16 6 10" xfId="2254"/>
    <cellStyle name="Note 16 6 10 2" xfId="7533"/>
    <cellStyle name="Note 16 6 10 3" xfId="11300"/>
    <cellStyle name="Note 16 6 11" xfId="6296"/>
    <cellStyle name="Note 16 6 2" xfId="1634"/>
    <cellStyle name="Note 16 6 2 2" xfId="2868"/>
    <cellStyle name="Note 16 6 2 2 2" xfId="8147"/>
    <cellStyle name="Note 16 6 2 2 3" xfId="13458"/>
    <cellStyle name="Note 16 6 2 3" xfId="6913"/>
    <cellStyle name="Note 16 6 2 4" xfId="13457"/>
    <cellStyle name="Note 16 6 3" xfId="4017"/>
    <cellStyle name="Note 16 6 3 2" xfId="9296"/>
    <cellStyle name="Note 16 6 3 3" xfId="13459"/>
    <cellStyle name="Note 16 6 4" xfId="4018"/>
    <cellStyle name="Note 16 6 4 2" xfId="9297"/>
    <cellStyle name="Note 16 6 4 3" xfId="13460"/>
    <cellStyle name="Note 16 6 5" xfId="4019"/>
    <cellStyle name="Note 16 6 5 2" xfId="9298"/>
    <cellStyle name="Note 16 6 5 3" xfId="13461"/>
    <cellStyle name="Note 16 6 6" xfId="4020"/>
    <cellStyle name="Note 16 6 6 2" xfId="9299"/>
    <cellStyle name="Note 16 6 6 3" xfId="13462"/>
    <cellStyle name="Note 16 6 7" xfId="4021"/>
    <cellStyle name="Note 16 6 7 2" xfId="9300"/>
    <cellStyle name="Note 16 6 7 3" xfId="13463"/>
    <cellStyle name="Note 16 6 8" xfId="4022"/>
    <cellStyle name="Note 16 6 8 2" xfId="9301"/>
    <cellStyle name="Note 16 6 8 3" xfId="13464"/>
    <cellStyle name="Note 16 6 9" xfId="4023"/>
    <cellStyle name="Note 16 6 9 2" xfId="9302"/>
    <cellStyle name="Note 16 6 9 3" xfId="13465"/>
    <cellStyle name="Note 16 7" xfId="1282"/>
    <cellStyle name="Note 16 7 2" xfId="2516"/>
    <cellStyle name="Note 16 7 2 2" xfId="7795"/>
    <cellStyle name="Note 16 7 2 3" xfId="13467"/>
    <cellStyle name="Note 16 7 3" xfId="6561"/>
    <cellStyle name="Note 16 7 4" xfId="13466"/>
    <cellStyle name="Note 16 8" xfId="4024"/>
    <cellStyle name="Note 16 8 2" xfId="9303"/>
    <cellStyle name="Note 16 8 3" xfId="13468"/>
    <cellStyle name="Note 16 9" xfId="4025"/>
    <cellStyle name="Note 16 9 2" xfId="9304"/>
    <cellStyle name="Note 16 9 3" xfId="13469"/>
    <cellStyle name="Note 2" xfId="594"/>
    <cellStyle name="Note 2 10" xfId="4026"/>
    <cellStyle name="Note 2 10 2" xfId="9305"/>
    <cellStyle name="Note 2 10 3" xfId="13470"/>
    <cellStyle name="Note 2 11" xfId="4027"/>
    <cellStyle name="Note 2 11 2" xfId="9306"/>
    <cellStyle name="Note 2 11 3" xfId="13471"/>
    <cellStyle name="Note 2 12" xfId="4028"/>
    <cellStyle name="Note 2 12 2" xfId="9307"/>
    <cellStyle name="Note 2 12 3" xfId="13472"/>
    <cellStyle name="Note 2 13" xfId="1970"/>
    <cellStyle name="Note 2 13 2" xfId="7249"/>
    <cellStyle name="Note 2 13 3" xfId="11301"/>
    <cellStyle name="Note 2 14" xfId="5945"/>
    <cellStyle name="Note 2 15" xfId="52127"/>
    <cellStyle name="Note 2 16" xfId="52128"/>
    <cellStyle name="Note 2 17" xfId="52129"/>
    <cellStyle name="Note 2 18" xfId="52130"/>
    <cellStyle name="Note 2 2" xfId="595"/>
    <cellStyle name="Note 2 2 10" xfId="4029"/>
    <cellStyle name="Note 2 2 10 2" xfId="9308"/>
    <cellStyle name="Note 2 2 10 3" xfId="13473"/>
    <cellStyle name="Note 2 2 11" xfId="4030"/>
    <cellStyle name="Note 2 2 11 2" xfId="9309"/>
    <cellStyle name="Note 2 2 11 3" xfId="13474"/>
    <cellStyle name="Note 2 2 12" xfId="1971"/>
    <cellStyle name="Note 2 2 12 2" xfId="7250"/>
    <cellStyle name="Note 2 2 12 3" xfId="11302"/>
    <cellStyle name="Note 2 2 13" xfId="5946"/>
    <cellStyle name="Note 2 2 2" xfId="776"/>
    <cellStyle name="Note 2 2 2 2" xfId="1403"/>
    <cellStyle name="Note 2 2 2 2 2" xfId="2637"/>
    <cellStyle name="Note 2 2 2 2 2 2" xfId="7916"/>
    <cellStyle name="Note 2 2 2 2 2 3" xfId="13477"/>
    <cellStyle name="Note 2 2 2 2 3" xfId="6682"/>
    <cellStyle name="Note 2 2 2 2 4" xfId="13476"/>
    <cellStyle name="Note 2 2 2 3" xfId="1880"/>
    <cellStyle name="Note 2 2 2 3 2" xfId="3114"/>
    <cellStyle name="Note 2 2 2 3 2 2" xfId="8393"/>
    <cellStyle name="Note 2 2 2 3 2 3" xfId="13479"/>
    <cellStyle name="Note 2 2 2 3 3" xfId="7159"/>
    <cellStyle name="Note 2 2 2 3 4" xfId="13478"/>
    <cellStyle name="Note 2 2 2 4" xfId="4031"/>
    <cellStyle name="Note 2 2 2 4 2" xfId="9310"/>
    <cellStyle name="Note 2 2 2 4 3" xfId="13480"/>
    <cellStyle name="Note 2 2 2 5" xfId="4032"/>
    <cellStyle name="Note 2 2 2 5 2" xfId="9311"/>
    <cellStyle name="Note 2 2 2 5 3" xfId="13481"/>
    <cellStyle name="Note 2 2 2 6" xfId="4033"/>
    <cellStyle name="Note 2 2 2 6 2" xfId="9312"/>
    <cellStyle name="Note 2 2 2 6 3" xfId="13482"/>
    <cellStyle name="Note 2 2 2 7" xfId="4034"/>
    <cellStyle name="Note 2 2 2 7 2" xfId="9313"/>
    <cellStyle name="Note 2 2 2 7 3" xfId="13483"/>
    <cellStyle name="Note 2 2 2 8" xfId="6065"/>
    <cellStyle name="Note 2 2 2 9" xfId="13475"/>
    <cellStyle name="Note 2 2 3" xfId="1018"/>
    <cellStyle name="Note 2 2 3 10" xfId="2255"/>
    <cellStyle name="Note 2 2 3 10 2" xfId="7534"/>
    <cellStyle name="Note 2 2 3 10 3" xfId="11303"/>
    <cellStyle name="Note 2 2 3 11" xfId="6297"/>
    <cellStyle name="Note 2 2 3 2" xfId="1635"/>
    <cellStyle name="Note 2 2 3 2 2" xfId="2869"/>
    <cellStyle name="Note 2 2 3 2 2 2" xfId="8148"/>
    <cellStyle name="Note 2 2 3 2 2 3" xfId="13485"/>
    <cellStyle name="Note 2 2 3 2 3" xfId="6914"/>
    <cellStyle name="Note 2 2 3 2 4" xfId="13484"/>
    <cellStyle name="Note 2 2 3 3" xfId="4035"/>
    <cellStyle name="Note 2 2 3 3 2" xfId="9314"/>
    <cellStyle name="Note 2 2 3 3 3" xfId="13486"/>
    <cellStyle name="Note 2 2 3 4" xfId="4036"/>
    <cellStyle name="Note 2 2 3 4 2" xfId="9315"/>
    <cellStyle name="Note 2 2 3 4 3" xfId="13487"/>
    <cellStyle name="Note 2 2 3 5" xfId="4037"/>
    <cellStyle name="Note 2 2 3 5 2" xfId="9316"/>
    <cellStyle name="Note 2 2 3 5 3" xfId="13488"/>
    <cellStyle name="Note 2 2 3 6" xfId="4038"/>
    <cellStyle name="Note 2 2 3 6 2" xfId="9317"/>
    <cellStyle name="Note 2 2 3 6 3" xfId="13489"/>
    <cellStyle name="Note 2 2 3 7" xfId="4039"/>
    <cellStyle name="Note 2 2 3 7 2" xfId="9318"/>
    <cellStyle name="Note 2 2 3 7 3" xfId="13490"/>
    <cellStyle name="Note 2 2 3 8" xfId="4040"/>
    <cellStyle name="Note 2 2 3 8 2" xfId="9319"/>
    <cellStyle name="Note 2 2 3 8 3" xfId="13491"/>
    <cellStyle name="Note 2 2 3 9" xfId="4041"/>
    <cellStyle name="Note 2 2 3 9 2" xfId="9320"/>
    <cellStyle name="Note 2 2 3 9 3" xfId="13492"/>
    <cellStyle name="Note 2 2 4" xfId="1019"/>
    <cellStyle name="Note 2 2 4 10" xfId="2256"/>
    <cellStyle name="Note 2 2 4 10 2" xfId="7535"/>
    <cellStyle name="Note 2 2 4 10 3" xfId="11304"/>
    <cellStyle name="Note 2 2 4 11" xfId="6298"/>
    <cellStyle name="Note 2 2 4 2" xfId="1636"/>
    <cellStyle name="Note 2 2 4 2 2" xfId="2870"/>
    <cellStyle name="Note 2 2 4 2 2 2" xfId="8149"/>
    <cellStyle name="Note 2 2 4 2 2 3" xfId="13494"/>
    <cellStyle name="Note 2 2 4 2 3" xfId="6915"/>
    <cellStyle name="Note 2 2 4 2 4" xfId="13493"/>
    <cellStyle name="Note 2 2 4 3" xfId="4042"/>
    <cellStyle name="Note 2 2 4 3 2" xfId="9321"/>
    <cellStyle name="Note 2 2 4 3 3" xfId="13495"/>
    <cellStyle name="Note 2 2 4 4" xfId="4043"/>
    <cellStyle name="Note 2 2 4 4 2" xfId="9322"/>
    <cellStyle name="Note 2 2 4 4 3" xfId="13496"/>
    <cellStyle name="Note 2 2 4 5" xfId="4044"/>
    <cellStyle name="Note 2 2 4 5 2" xfId="9323"/>
    <cellStyle name="Note 2 2 4 5 3" xfId="13497"/>
    <cellStyle name="Note 2 2 4 6" xfId="4045"/>
    <cellStyle name="Note 2 2 4 6 2" xfId="9324"/>
    <cellStyle name="Note 2 2 4 6 3" xfId="13498"/>
    <cellStyle name="Note 2 2 4 7" xfId="4046"/>
    <cellStyle name="Note 2 2 4 7 2" xfId="9325"/>
    <cellStyle name="Note 2 2 4 7 3" xfId="13499"/>
    <cellStyle name="Note 2 2 4 8" xfId="4047"/>
    <cellStyle name="Note 2 2 4 8 2" xfId="9326"/>
    <cellStyle name="Note 2 2 4 8 3" xfId="13500"/>
    <cellStyle name="Note 2 2 4 9" xfId="4048"/>
    <cellStyle name="Note 2 2 4 9 2" xfId="9327"/>
    <cellStyle name="Note 2 2 4 9 3" xfId="13501"/>
    <cellStyle name="Note 2 2 5" xfId="1020"/>
    <cellStyle name="Note 2 2 5 10" xfId="2257"/>
    <cellStyle name="Note 2 2 5 10 2" xfId="7536"/>
    <cellStyle name="Note 2 2 5 10 3" xfId="11305"/>
    <cellStyle name="Note 2 2 5 11" xfId="6299"/>
    <cellStyle name="Note 2 2 5 2" xfId="1637"/>
    <cellStyle name="Note 2 2 5 2 2" xfId="2871"/>
    <cellStyle name="Note 2 2 5 2 2 2" xfId="8150"/>
    <cellStyle name="Note 2 2 5 2 2 3" xfId="13503"/>
    <cellStyle name="Note 2 2 5 2 3" xfId="6916"/>
    <cellStyle name="Note 2 2 5 2 4" xfId="13502"/>
    <cellStyle name="Note 2 2 5 3" xfId="4049"/>
    <cellStyle name="Note 2 2 5 3 2" xfId="9328"/>
    <cellStyle name="Note 2 2 5 3 3" xfId="13504"/>
    <cellStyle name="Note 2 2 5 4" xfId="4050"/>
    <cellStyle name="Note 2 2 5 4 2" xfId="9329"/>
    <cellStyle name="Note 2 2 5 4 3" xfId="13505"/>
    <cellStyle name="Note 2 2 5 5" xfId="4051"/>
    <cellStyle name="Note 2 2 5 5 2" xfId="9330"/>
    <cellStyle name="Note 2 2 5 5 3" xfId="13506"/>
    <cellStyle name="Note 2 2 5 6" xfId="4052"/>
    <cellStyle name="Note 2 2 5 6 2" xfId="9331"/>
    <cellStyle name="Note 2 2 5 6 3" xfId="13507"/>
    <cellStyle name="Note 2 2 5 7" xfId="4053"/>
    <cellStyle name="Note 2 2 5 7 2" xfId="9332"/>
    <cellStyle name="Note 2 2 5 7 3" xfId="13508"/>
    <cellStyle name="Note 2 2 5 8" xfId="4054"/>
    <cellStyle name="Note 2 2 5 8 2" xfId="9333"/>
    <cellStyle name="Note 2 2 5 8 3" xfId="13509"/>
    <cellStyle name="Note 2 2 5 9" xfId="4055"/>
    <cellStyle name="Note 2 2 5 9 2" xfId="9334"/>
    <cellStyle name="Note 2 2 5 9 3" xfId="13510"/>
    <cellStyle name="Note 2 2 6" xfId="1021"/>
    <cellStyle name="Note 2 2 6 10" xfId="2258"/>
    <cellStyle name="Note 2 2 6 10 2" xfId="7537"/>
    <cellStyle name="Note 2 2 6 10 3" xfId="11306"/>
    <cellStyle name="Note 2 2 6 11" xfId="6300"/>
    <cellStyle name="Note 2 2 6 2" xfId="1638"/>
    <cellStyle name="Note 2 2 6 2 2" xfId="2872"/>
    <cellStyle name="Note 2 2 6 2 2 2" xfId="8151"/>
    <cellStyle name="Note 2 2 6 2 2 3" xfId="13512"/>
    <cellStyle name="Note 2 2 6 2 3" xfId="6917"/>
    <cellStyle name="Note 2 2 6 2 4" xfId="13511"/>
    <cellStyle name="Note 2 2 6 3" xfId="4056"/>
    <cellStyle name="Note 2 2 6 3 2" xfId="9335"/>
    <cellStyle name="Note 2 2 6 3 3" xfId="13513"/>
    <cellStyle name="Note 2 2 6 4" xfId="4057"/>
    <cellStyle name="Note 2 2 6 4 2" xfId="9336"/>
    <cellStyle name="Note 2 2 6 4 3" xfId="13514"/>
    <cellStyle name="Note 2 2 6 5" xfId="4058"/>
    <cellStyle name="Note 2 2 6 5 2" xfId="9337"/>
    <cellStyle name="Note 2 2 6 5 3" xfId="13515"/>
    <cellStyle name="Note 2 2 6 6" xfId="4059"/>
    <cellStyle name="Note 2 2 6 6 2" xfId="9338"/>
    <cellStyle name="Note 2 2 6 6 3" xfId="13516"/>
    <cellStyle name="Note 2 2 6 7" xfId="4060"/>
    <cellStyle name="Note 2 2 6 7 2" xfId="9339"/>
    <cellStyle name="Note 2 2 6 7 3" xfId="13517"/>
    <cellStyle name="Note 2 2 6 8" xfId="4061"/>
    <cellStyle name="Note 2 2 6 8 2" xfId="9340"/>
    <cellStyle name="Note 2 2 6 8 3" xfId="13518"/>
    <cellStyle name="Note 2 2 6 9" xfId="4062"/>
    <cellStyle name="Note 2 2 6 9 2" xfId="9341"/>
    <cellStyle name="Note 2 2 6 9 3" xfId="13519"/>
    <cellStyle name="Note 2 2 7" xfId="1284"/>
    <cellStyle name="Note 2 2 7 2" xfId="2518"/>
    <cellStyle name="Note 2 2 7 2 2" xfId="7797"/>
    <cellStyle name="Note 2 2 7 2 3" xfId="13521"/>
    <cellStyle name="Note 2 2 7 3" xfId="6563"/>
    <cellStyle name="Note 2 2 7 4" xfId="13520"/>
    <cellStyle name="Note 2 2 8" xfId="4063"/>
    <cellStyle name="Note 2 2 8 2" xfId="9342"/>
    <cellStyle name="Note 2 2 8 3" xfId="13522"/>
    <cellStyle name="Note 2 2 9" xfId="4064"/>
    <cellStyle name="Note 2 2 9 2" xfId="9343"/>
    <cellStyle name="Note 2 2 9 3" xfId="13523"/>
    <cellStyle name="Note 2 3" xfId="777"/>
    <cellStyle name="Note 2 3 2" xfId="1404"/>
    <cellStyle name="Note 2 3 2 2" xfId="2638"/>
    <cellStyle name="Note 2 3 2 2 2" xfId="7917"/>
    <cellStyle name="Note 2 3 2 2 3" xfId="13526"/>
    <cellStyle name="Note 2 3 2 3" xfId="6683"/>
    <cellStyle name="Note 2 3 2 4" xfId="13525"/>
    <cellStyle name="Note 2 3 3" xfId="1881"/>
    <cellStyle name="Note 2 3 3 2" xfId="3115"/>
    <cellStyle name="Note 2 3 3 2 2" xfId="8394"/>
    <cellStyle name="Note 2 3 3 2 3" xfId="13528"/>
    <cellStyle name="Note 2 3 3 3" xfId="7160"/>
    <cellStyle name="Note 2 3 3 4" xfId="13527"/>
    <cellStyle name="Note 2 3 4" xfId="4065"/>
    <cellStyle name="Note 2 3 4 2" xfId="9344"/>
    <cellStyle name="Note 2 3 4 3" xfId="13529"/>
    <cellStyle name="Note 2 3 5" xfId="4066"/>
    <cellStyle name="Note 2 3 5 2" xfId="9345"/>
    <cellStyle name="Note 2 3 5 3" xfId="13530"/>
    <cellStyle name="Note 2 3 6" xfId="4067"/>
    <cellStyle name="Note 2 3 6 2" xfId="9346"/>
    <cellStyle name="Note 2 3 6 3" xfId="13531"/>
    <cellStyle name="Note 2 3 7" xfId="4068"/>
    <cellStyle name="Note 2 3 7 2" xfId="9347"/>
    <cellStyle name="Note 2 3 7 3" xfId="13532"/>
    <cellStyle name="Note 2 3 8" xfId="6066"/>
    <cellStyle name="Note 2 3 9" xfId="13524"/>
    <cellStyle name="Note 2 4" xfId="1022"/>
    <cellStyle name="Note 2 4 10" xfId="2259"/>
    <cellStyle name="Note 2 4 10 2" xfId="7538"/>
    <cellStyle name="Note 2 4 10 3" xfId="11307"/>
    <cellStyle name="Note 2 4 11" xfId="6301"/>
    <cellStyle name="Note 2 4 2" xfId="1639"/>
    <cellStyle name="Note 2 4 2 2" xfId="2873"/>
    <cellStyle name="Note 2 4 2 2 2" xfId="8152"/>
    <cellStyle name="Note 2 4 2 2 3" xfId="13534"/>
    <cellStyle name="Note 2 4 2 3" xfId="6918"/>
    <cellStyle name="Note 2 4 2 4" xfId="13533"/>
    <cellStyle name="Note 2 4 3" xfId="4069"/>
    <cellStyle name="Note 2 4 3 2" xfId="9348"/>
    <cellStyle name="Note 2 4 3 3" xfId="13535"/>
    <cellStyle name="Note 2 4 4" xfId="4070"/>
    <cellStyle name="Note 2 4 4 2" xfId="9349"/>
    <cellStyle name="Note 2 4 4 3" xfId="13536"/>
    <cellStyle name="Note 2 4 5" xfId="4071"/>
    <cellStyle name="Note 2 4 5 2" xfId="9350"/>
    <cellStyle name="Note 2 4 5 3" xfId="13537"/>
    <cellStyle name="Note 2 4 6" xfId="4072"/>
    <cellStyle name="Note 2 4 6 2" xfId="9351"/>
    <cellStyle name="Note 2 4 6 3" xfId="13538"/>
    <cellStyle name="Note 2 4 7" xfId="4073"/>
    <cellStyle name="Note 2 4 7 2" xfId="9352"/>
    <cellStyle name="Note 2 4 7 3" xfId="13539"/>
    <cellStyle name="Note 2 4 8" xfId="4074"/>
    <cellStyle name="Note 2 4 8 2" xfId="9353"/>
    <cellStyle name="Note 2 4 8 3" xfId="13540"/>
    <cellStyle name="Note 2 4 9" xfId="4075"/>
    <cellStyle name="Note 2 4 9 2" xfId="9354"/>
    <cellStyle name="Note 2 4 9 3" xfId="13541"/>
    <cellStyle name="Note 2 5" xfId="1023"/>
    <cellStyle name="Note 2 5 10" xfId="2260"/>
    <cellStyle name="Note 2 5 10 2" xfId="7539"/>
    <cellStyle name="Note 2 5 10 3" xfId="11308"/>
    <cellStyle name="Note 2 5 11" xfId="6302"/>
    <cellStyle name="Note 2 5 2" xfId="1640"/>
    <cellStyle name="Note 2 5 2 2" xfId="2874"/>
    <cellStyle name="Note 2 5 2 2 2" xfId="8153"/>
    <cellStyle name="Note 2 5 2 2 3" xfId="13543"/>
    <cellStyle name="Note 2 5 2 3" xfId="6919"/>
    <cellStyle name="Note 2 5 2 4" xfId="13542"/>
    <cellStyle name="Note 2 5 3" xfId="4076"/>
    <cellStyle name="Note 2 5 3 2" xfId="9355"/>
    <cellStyle name="Note 2 5 3 3" xfId="13544"/>
    <cellStyle name="Note 2 5 4" xfId="4077"/>
    <cellStyle name="Note 2 5 4 2" xfId="9356"/>
    <cellStyle name="Note 2 5 4 3" xfId="13545"/>
    <cellStyle name="Note 2 5 5" xfId="4078"/>
    <cellStyle name="Note 2 5 5 2" xfId="9357"/>
    <cellStyle name="Note 2 5 5 3" xfId="13546"/>
    <cellStyle name="Note 2 5 6" xfId="4079"/>
    <cellStyle name="Note 2 5 6 2" xfId="9358"/>
    <cellStyle name="Note 2 5 6 3" xfId="13547"/>
    <cellStyle name="Note 2 5 7" xfId="4080"/>
    <cellStyle name="Note 2 5 7 2" xfId="9359"/>
    <cellStyle name="Note 2 5 7 3" xfId="13548"/>
    <cellStyle name="Note 2 5 8" xfId="4081"/>
    <cellStyle name="Note 2 5 8 2" xfId="9360"/>
    <cellStyle name="Note 2 5 8 3" xfId="13549"/>
    <cellStyle name="Note 2 5 9" xfId="4082"/>
    <cellStyle name="Note 2 5 9 2" xfId="9361"/>
    <cellStyle name="Note 2 5 9 3" xfId="13550"/>
    <cellStyle name="Note 2 6" xfId="1024"/>
    <cellStyle name="Note 2 6 10" xfId="2261"/>
    <cellStyle name="Note 2 6 10 2" xfId="7540"/>
    <cellStyle name="Note 2 6 10 3" xfId="11309"/>
    <cellStyle name="Note 2 6 11" xfId="6303"/>
    <cellStyle name="Note 2 6 2" xfId="1641"/>
    <cellStyle name="Note 2 6 2 2" xfId="2875"/>
    <cellStyle name="Note 2 6 2 2 2" xfId="8154"/>
    <cellStyle name="Note 2 6 2 2 3" xfId="13552"/>
    <cellStyle name="Note 2 6 2 3" xfId="6920"/>
    <cellStyle name="Note 2 6 2 4" xfId="13551"/>
    <cellStyle name="Note 2 6 3" xfId="4083"/>
    <cellStyle name="Note 2 6 3 2" xfId="9362"/>
    <cellStyle name="Note 2 6 3 3" xfId="13553"/>
    <cellStyle name="Note 2 6 4" xfId="4084"/>
    <cellStyle name="Note 2 6 4 2" xfId="9363"/>
    <cellStyle name="Note 2 6 4 3" xfId="13554"/>
    <cellStyle name="Note 2 6 5" xfId="4085"/>
    <cellStyle name="Note 2 6 5 2" xfId="9364"/>
    <cellStyle name="Note 2 6 5 3" xfId="13555"/>
    <cellStyle name="Note 2 6 6" xfId="4086"/>
    <cellStyle name="Note 2 6 6 2" xfId="9365"/>
    <cellStyle name="Note 2 6 6 3" xfId="13556"/>
    <cellStyle name="Note 2 6 7" xfId="4087"/>
    <cellStyle name="Note 2 6 7 2" xfId="9366"/>
    <cellStyle name="Note 2 6 7 3" xfId="13557"/>
    <cellStyle name="Note 2 6 8" xfId="4088"/>
    <cellStyle name="Note 2 6 8 2" xfId="9367"/>
    <cellStyle name="Note 2 6 8 3" xfId="13558"/>
    <cellStyle name="Note 2 6 9" xfId="4089"/>
    <cellStyle name="Note 2 6 9 2" xfId="9368"/>
    <cellStyle name="Note 2 6 9 3" xfId="13559"/>
    <cellStyle name="Note 2 7" xfId="1025"/>
    <cellStyle name="Note 2 7 10" xfId="2262"/>
    <cellStyle name="Note 2 7 10 2" xfId="7541"/>
    <cellStyle name="Note 2 7 10 3" xfId="11310"/>
    <cellStyle name="Note 2 7 11" xfId="6304"/>
    <cellStyle name="Note 2 7 2" xfId="1642"/>
    <cellStyle name="Note 2 7 2 2" xfId="2876"/>
    <cellStyle name="Note 2 7 2 2 2" xfId="8155"/>
    <cellStyle name="Note 2 7 2 2 3" xfId="13561"/>
    <cellStyle name="Note 2 7 2 3" xfId="6921"/>
    <cellStyle name="Note 2 7 2 4" xfId="13560"/>
    <cellStyle name="Note 2 7 3" xfId="4090"/>
    <cellStyle name="Note 2 7 3 2" xfId="9369"/>
    <cellStyle name="Note 2 7 3 3" xfId="13562"/>
    <cellStyle name="Note 2 7 4" xfId="4091"/>
    <cellStyle name="Note 2 7 4 2" xfId="9370"/>
    <cellStyle name="Note 2 7 4 3" xfId="13563"/>
    <cellStyle name="Note 2 7 5" xfId="4092"/>
    <cellStyle name="Note 2 7 5 2" xfId="9371"/>
    <cellStyle name="Note 2 7 5 3" xfId="13564"/>
    <cellStyle name="Note 2 7 6" xfId="4093"/>
    <cellStyle name="Note 2 7 6 2" xfId="9372"/>
    <cellStyle name="Note 2 7 6 3" xfId="13565"/>
    <cellStyle name="Note 2 7 7" xfId="4094"/>
    <cellStyle name="Note 2 7 7 2" xfId="9373"/>
    <cellStyle name="Note 2 7 7 3" xfId="13566"/>
    <cellStyle name="Note 2 7 8" xfId="4095"/>
    <cellStyle name="Note 2 7 8 2" xfId="9374"/>
    <cellStyle name="Note 2 7 8 3" xfId="13567"/>
    <cellStyle name="Note 2 7 9" xfId="4096"/>
    <cellStyle name="Note 2 7 9 2" xfId="9375"/>
    <cellStyle name="Note 2 7 9 3" xfId="13568"/>
    <cellStyle name="Note 2 8" xfId="1283"/>
    <cellStyle name="Note 2 8 2" xfId="2517"/>
    <cellStyle name="Note 2 8 2 2" xfId="7796"/>
    <cellStyle name="Note 2 8 2 3" xfId="13570"/>
    <cellStyle name="Note 2 8 3" xfId="6562"/>
    <cellStyle name="Note 2 8 4" xfId="13569"/>
    <cellStyle name="Note 2 9" xfId="4097"/>
    <cellStyle name="Note 2 9 2" xfId="9376"/>
    <cellStyle name="Note 2 9 3" xfId="13571"/>
    <cellStyle name="Note 3" xfId="596"/>
    <cellStyle name="Note 3 10" xfId="4098"/>
    <cellStyle name="Note 3 10 2" xfId="9377"/>
    <cellStyle name="Note 3 10 3" xfId="13572"/>
    <cellStyle name="Note 3 11" xfId="4099"/>
    <cellStyle name="Note 3 11 2" xfId="9378"/>
    <cellStyle name="Note 3 11 3" xfId="13573"/>
    <cellStyle name="Note 3 12" xfId="4100"/>
    <cellStyle name="Note 3 12 2" xfId="9379"/>
    <cellStyle name="Note 3 12 3" xfId="13574"/>
    <cellStyle name="Note 3 13" xfId="1972"/>
    <cellStyle name="Note 3 13 2" xfId="7251"/>
    <cellStyle name="Note 3 13 3" xfId="11311"/>
    <cellStyle name="Note 3 14" xfId="5947"/>
    <cellStyle name="Note 3 15" xfId="52131"/>
    <cellStyle name="Note 3 16" xfId="52132"/>
    <cellStyle name="Note 3 17" xfId="52133"/>
    <cellStyle name="Note 3 18" xfId="52134"/>
    <cellStyle name="Note 3 2" xfId="597"/>
    <cellStyle name="Note 3 2 10" xfId="4101"/>
    <cellStyle name="Note 3 2 10 2" xfId="9380"/>
    <cellStyle name="Note 3 2 10 3" xfId="13575"/>
    <cellStyle name="Note 3 2 11" xfId="4102"/>
    <cellStyle name="Note 3 2 11 2" xfId="9381"/>
    <cellStyle name="Note 3 2 11 3" xfId="13576"/>
    <cellStyle name="Note 3 2 12" xfId="1973"/>
    <cellStyle name="Note 3 2 12 2" xfId="7252"/>
    <cellStyle name="Note 3 2 12 3" xfId="11312"/>
    <cellStyle name="Note 3 2 13" xfId="5948"/>
    <cellStyle name="Note 3 2 2" xfId="774"/>
    <cellStyle name="Note 3 2 2 2" xfId="1401"/>
    <cellStyle name="Note 3 2 2 2 2" xfId="2635"/>
    <cellStyle name="Note 3 2 2 2 2 2" xfId="7914"/>
    <cellStyle name="Note 3 2 2 2 2 3" xfId="13579"/>
    <cellStyle name="Note 3 2 2 2 3" xfId="6680"/>
    <cellStyle name="Note 3 2 2 2 4" xfId="13578"/>
    <cellStyle name="Note 3 2 2 3" xfId="1878"/>
    <cellStyle name="Note 3 2 2 3 2" xfId="3112"/>
    <cellStyle name="Note 3 2 2 3 2 2" xfId="8391"/>
    <cellStyle name="Note 3 2 2 3 2 3" xfId="13581"/>
    <cellStyle name="Note 3 2 2 3 3" xfId="7157"/>
    <cellStyle name="Note 3 2 2 3 4" xfId="13580"/>
    <cellStyle name="Note 3 2 2 4" xfId="4103"/>
    <cellStyle name="Note 3 2 2 4 2" xfId="9382"/>
    <cellStyle name="Note 3 2 2 4 3" xfId="13582"/>
    <cellStyle name="Note 3 2 2 5" xfId="4104"/>
    <cellStyle name="Note 3 2 2 5 2" xfId="9383"/>
    <cellStyle name="Note 3 2 2 5 3" xfId="13583"/>
    <cellStyle name="Note 3 2 2 6" xfId="4105"/>
    <cellStyle name="Note 3 2 2 6 2" xfId="9384"/>
    <cellStyle name="Note 3 2 2 6 3" xfId="13584"/>
    <cellStyle name="Note 3 2 2 7" xfId="4106"/>
    <cellStyle name="Note 3 2 2 7 2" xfId="9385"/>
    <cellStyle name="Note 3 2 2 7 3" xfId="13585"/>
    <cellStyle name="Note 3 2 2 8" xfId="6063"/>
    <cellStyle name="Note 3 2 2 9" xfId="13577"/>
    <cellStyle name="Note 3 2 3" xfId="1026"/>
    <cellStyle name="Note 3 2 3 10" xfId="2263"/>
    <cellStyle name="Note 3 2 3 10 2" xfId="7542"/>
    <cellStyle name="Note 3 2 3 10 3" xfId="11313"/>
    <cellStyle name="Note 3 2 3 11" xfId="6305"/>
    <cellStyle name="Note 3 2 3 2" xfId="1643"/>
    <cellStyle name="Note 3 2 3 2 2" xfId="2877"/>
    <cellStyle name="Note 3 2 3 2 2 2" xfId="8156"/>
    <cellStyle name="Note 3 2 3 2 2 3" xfId="13587"/>
    <cellStyle name="Note 3 2 3 2 3" xfId="6922"/>
    <cellStyle name="Note 3 2 3 2 4" xfId="13586"/>
    <cellStyle name="Note 3 2 3 3" xfId="4107"/>
    <cellStyle name="Note 3 2 3 3 2" xfId="9386"/>
    <cellStyle name="Note 3 2 3 3 3" xfId="13588"/>
    <cellStyle name="Note 3 2 3 4" xfId="4108"/>
    <cellStyle name="Note 3 2 3 4 2" xfId="9387"/>
    <cellStyle name="Note 3 2 3 4 3" xfId="13589"/>
    <cellStyle name="Note 3 2 3 5" xfId="4109"/>
    <cellStyle name="Note 3 2 3 5 2" xfId="9388"/>
    <cellStyle name="Note 3 2 3 5 3" xfId="13590"/>
    <cellStyle name="Note 3 2 3 6" xfId="4110"/>
    <cellStyle name="Note 3 2 3 6 2" xfId="9389"/>
    <cellStyle name="Note 3 2 3 6 3" xfId="13591"/>
    <cellStyle name="Note 3 2 3 7" xfId="4111"/>
    <cellStyle name="Note 3 2 3 7 2" xfId="9390"/>
    <cellStyle name="Note 3 2 3 7 3" xfId="13592"/>
    <cellStyle name="Note 3 2 3 8" xfId="4112"/>
    <cellStyle name="Note 3 2 3 8 2" xfId="9391"/>
    <cellStyle name="Note 3 2 3 8 3" xfId="13593"/>
    <cellStyle name="Note 3 2 3 9" xfId="4113"/>
    <cellStyle name="Note 3 2 3 9 2" xfId="9392"/>
    <cellStyle name="Note 3 2 3 9 3" xfId="13594"/>
    <cellStyle name="Note 3 2 4" xfId="1027"/>
    <cellStyle name="Note 3 2 4 10" xfId="2264"/>
    <cellStyle name="Note 3 2 4 10 2" xfId="7543"/>
    <cellStyle name="Note 3 2 4 10 3" xfId="11314"/>
    <cellStyle name="Note 3 2 4 11" xfId="6306"/>
    <cellStyle name="Note 3 2 4 2" xfId="1644"/>
    <cellStyle name="Note 3 2 4 2 2" xfId="2878"/>
    <cellStyle name="Note 3 2 4 2 2 2" xfId="8157"/>
    <cellStyle name="Note 3 2 4 2 2 3" xfId="13596"/>
    <cellStyle name="Note 3 2 4 2 3" xfId="6923"/>
    <cellStyle name="Note 3 2 4 2 4" xfId="13595"/>
    <cellStyle name="Note 3 2 4 3" xfId="4114"/>
    <cellStyle name="Note 3 2 4 3 2" xfId="9393"/>
    <cellStyle name="Note 3 2 4 3 3" xfId="13597"/>
    <cellStyle name="Note 3 2 4 4" xfId="4115"/>
    <cellStyle name="Note 3 2 4 4 2" xfId="9394"/>
    <cellStyle name="Note 3 2 4 4 3" xfId="13598"/>
    <cellStyle name="Note 3 2 4 5" xfId="4116"/>
    <cellStyle name="Note 3 2 4 5 2" xfId="9395"/>
    <cellStyle name="Note 3 2 4 5 3" xfId="13599"/>
    <cellStyle name="Note 3 2 4 6" xfId="4117"/>
    <cellStyle name="Note 3 2 4 6 2" xfId="9396"/>
    <cellStyle name="Note 3 2 4 6 3" xfId="13600"/>
    <cellStyle name="Note 3 2 4 7" xfId="4118"/>
    <cellStyle name="Note 3 2 4 7 2" xfId="9397"/>
    <cellStyle name="Note 3 2 4 7 3" xfId="13601"/>
    <cellStyle name="Note 3 2 4 8" xfId="4119"/>
    <cellStyle name="Note 3 2 4 8 2" xfId="9398"/>
    <cellStyle name="Note 3 2 4 8 3" xfId="13602"/>
    <cellStyle name="Note 3 2 4 9" xfId="4120"/>
    <cellStyle name="Note 3 2 4 9 2" xfId="9399"/>
    <cellStyle name="Note 3 2 4 9 3" xfId="13603"/>
    <cellStyle name="Note 3 2 5" xfId="1028"/>
    <cellStyle name="Note 3 2 5 10" xfId="2265"/>
    <cellStyle name="Note 3 2 5 10 2" xfId="7544"/>
    <cellStyle name="Note 3 2 5 10 3" xfId="11315"/>
    <cellStyle name="Note 3 2 5 11" xfId="6307"/>
    <cellStyle name="Note 3 2 5 2" xfId="1645"/>
    <cellStyle name="Note 3 2 5 2 2" xfId="2879"/>
    <cellStyle name="Note 3 2 5 2 2 2" xfId="8158"/>
    <cellStyle name="Note 3 2 5 2 2 3" xfId="13605"/>
    <cellStyle name="Note 3 2 5 2 3" xfId="6924"/>
    <cellStyle name="Note 3 2 5 2 4" xfId="13604"/>
    <cellStyle name="Note 3 2 5 3" xfId="4121"/>
    <cellStyle name="Note 3 2 5 3 2" xfId="9400"/>
    <cellStyle name="Note 3 2 5 3 3" xfId="13606"/>
    <cellStyle name="Note 3 2 5 4" xfId="4122"/>
    <cellStyle name="Note 3 2 5 4 2" xfId="9401"/>
    <cellStyle name="Note 3 2 5 4 3" xfId="13607"/>
    <cellStyle name="Note 3 2 5 5" xfId="4123"/>
    <cellStyle name="Note 3 2 5 5 2" xfId="9402"/>
    <cellStyle name="Note 3 2 5 5 3" xfId="13608"/>
    <cellStyle name="Note 3 2 5 6" xfId="4124"/>
    <cellStyle name="Note 3 2 5 6 2" xfId="9403"/>
    <cellStyle name="Note 3 2 5 6 3" xfId="13609"/>
    <cellStyle name="Note 3 2 5 7" xfId="4125"/>
    <cellStyle name="Note 3 2 5 7 2" xfId="9404"/>
    <cellStyle name="Note 3 2 5 7 3" xfId="13610"/>
    <cellStyle name="Note 3 2 5 8" xfId="4126"/>
    <cellStyle name="Note 3 2 5 8 2" xfId="9405"/>
    <cellStyle name="Note 3 2 5 8 3" xfId="13611"/>
    <cellStyle name="Note 3 2 5 9" xfId="4127"/>
    <cellStyle name="Note 3 2 5 9 2" xfId="9406"/>
    <cellStyle name="Note 3 2 5 9 3" xfId="13612"/>
    <cellStyle name="Note 3 2 6" xfId="1029"/>
    <cellStyle name="Note 3 2 6 10" xfId="2266"/>
    <cellStyle name="Note 3 2 6 10 2" xfId="7545"/>
    <cellStyle name="Note 3 2 6 10 3" xfId="11316"/>
    <cellStyle name="Note 3 2 6 11" xfId="6308"/>
    <cellStyle name="Note 3 2 6 2" xfId="1646"/>
    <cellStyle name="Note 3 2 6 2 2" xfId="2880"/>
    <cellStyle name="Note 3 2 6 2 2 2" xfId="8159"/>
    <cellStyle name="Note 3 2 6 2 2 3" xfId="13614"/>
    <cellStyle name="Note 3 2 6 2 3" xfId="6925"/>
    <cellStyle name="Note 3 2 6 2 4" xfId="13613"/>
    <cellStyle name="Note 3 2 6 3" xfId="4128"/>
    <cellStyle name="Note 3 2 6 3 2" xfId="9407"/>
    <cellStyle name="Note 3 2 6 3 3" xfId="13615"/>
    <cellStyle name="Note 3 2 6 4" xfId="4129"/>
    <cellStyle name="Note 3 2 6 4 2" xfId="9408"/>
    <cellStyle name="Note 3 2 6 4 3" xfId="13616"/>
    <cellStyle name="Note 3 2 6 5" xfId="4130"/>
    <cellStyle name="Note 3 2 6 5 2" xfId="9409"/>
    <cellStyle name="Note 3 2 6 5 3" xfId="13617"/>
    <cellStyle name="Note 3 2 6 6" xfId="4131"/>
    <cellStyle name="Note 3 2 6 6 2" xfId="9410"/>
    <cellStyle name="Note 3 2 6 6 3" xfId="13618"/>
    <cellStyle name="Note 3 2 6 7" xfId="4132"/>
    <cellStyle name="Note 3 2 6 7 2" xfId="9411"/>
    <cellStyle name="Note 3 2 6 7 3" xfId="13619"/>
    <cellStyle name="Note 3 2 6 8" xfId="4133"/>
    <cellStyle name="Note 3 2 6 8 2" xfId="9412"/>
    <cellStyle name="Note 3 2 6 8 3" xfId="13620"/>
    <cellStyle name="Note 3 2 6 9" xfId="4134"/>
    <cellStyle name="Note 3 2 6 9 2" xfId="9413"/>
    <cellStyle name="Note 3 2 6 9 3" xfId="13621"/>
    <cellStyle name="Note 3 2 7" xfId="1286"/>
    <cellStyle name="Note 3 2 7 2" xfId="2520"/>
    <cellStyle name="Note 3 2 7 2 2" xfId="7799"/>
    <cellStyle name="Note 3 2 7 2 3" xfId="13623"/>
    <cellStyle name="Note 3 2 7 3" xfId="6565"/>
    <cellStyle name="Note 3 2 7 4" xfId="13622"/>
    <cellStyle name="Note 3 2 8" xfId="4135"/>
    <cellStyle name="Note 3 2 8 2" xfId="9414"/>
    <cellStyle name="Note 3 2 8 3" xfId="13624"/>
    <cellStyle name="Note 3 2 9" xfId="4136"/>
    <cellStyle name="Note 3 2 9 2" xfId="9415"/>
    <cellStyle name="Note 3 2 9 3" xfId="13625"/>
    <cellStyle name="Note 3 3" xfId="775"/>
    <cellStyle name="Note 3 3 2" xfId="1402"/>
    <cellStyle name="Note 3 3 2 2" xfId="2636"/>
    <cellStyle name="Note 3 3 2 2 2" xfId="7915"/>
    <cellStyle name="Note 3 3 2 2 3" xfId="13628"/>
    <cellStyle name="Note 3 3 2 3" xfId="6681"/>
    <cellStyle name="Note 3 3 2 4" xfId="13627"/>
    <cellStyle name="Note 3 3 3" xfId="1879"/>
    <cellStyle name="Note 3 3 3 2" xfId="3113"/>
    <cellStyle name="Note 3 3 3 2 2" xfId="8392"/>
    <cellStyle name="Note 3 3 3 2 3" xfId="13630"/>
    <cellStyle name="Note 3 3 3 3" xfId="7158"/>
    <cellStyle name="Note 3 3 3 4" xfId="13629"/>
    <cellStyle name="Note 3 3 4" xfId="4137"/>
    <cellStyle name="Note 3 3 4 2" xfId="9416"/>
    <cellStyle name="Note 3 3 4 3" xfId="13631"/>
    <cellStyle name="Note 3 3 5" xfId="4138"/>
    <cellStyle name="Note 3 3 5 2" xfId="9417"/>
    <cellStyle name="Note 3 3 5 3" xfId="13632"/>
    <cellStyle name="Note 3 3 6" xfId="4139"/>
    <cellStyle name="Note 3 3 6 2" xfId="9418"/>
    <cellStyle name="Note 3 3 6 3" xfId="13633"/>
    <cellStyle name="Note 3 3 7" xfId="4140"/>
    <cellStyle name="Note 3 3 7 2" xfId="9419"/>
    <cellStyle name="Note 3 3 7 3" xfId="13634"/>
    <cellStyle name="Note 3 3 8" xfId="6064"/>
    <cellStyle name="Note 3 3 9" xfId="13626"/>
    <cellStyle name="Note 3 4" xfId="1030"/>
    <cellStyle name="Note 3 4 10" xfId="2267"/>
    <cellStyle name="Note 3 4 10 2" xfId="7546"/>
    <cellStyle name="Note 3 4 10 3" xfId="11317"/>
    <cellStyle name="Note 3 4 11" xfId="6309"/>
    <cellStyle name="Note 3 4 2" xfId="1647"/>
    <cellStyle name="Note 3 4 2 2" xfId="2881"/>
    <cellStyle name="Note 3 4 2 2 2" xfId="8160"/>
    <cellStyle name="Note 3 4 2 2 3" xfId="13636"/>
    <cellStyle name="Note 3 4 2 3" xfId="6926"/>
    <cellStyle name="Note 3 4 2 4" xfId="13635"/>
    <cellStyle name="Note 3 4 3" xfId="4141"/>
    <cellStyle name="Note 3 4 3 2" xfId="9420"/>
    <cellStyle name="Note 3 4 3 3" xfId="13637"/>
    <cellStyle name="Note 3 4 4" xfId="4142"/>
    <cellStyle name="Note 3 4 4 2" xfId="9421"/>
    <cellStyle name="Note 3 4 4 3" xfId="13638"/>
    <cellStyle name="Note 3 4 5" xfId="4143"/>
    <cellStyle name="Note 3 4 5 2" xfId="9422"/>
    <cellStyle name="Note 3 4 5 3" xfId="13639"/>
    <cellStyle name="Note 3 4 6" xfId="4144"/>
    <cellStyle name="Note 3 4 6 2" xfId="9423"/>
    <cellStyle name="Note 3 4 6 3" xfId="13640"/>
    <cellStyle name="Note 3 4 7" xfId="4145"/>
    <cellStyle name="Note 3 4 7 2" xfId="9424"/>
    <cellStyle name="Note 3 4 7 3" xfId="13641"/>
    <cellStyle name="Note 3 4 8" xfId="4146"/>
    <cellStyle name="Note 3 4 8 2" xfId="9425"/>
    <cellStyle name="Note 3 4 8 3" xfId="13642"/>
    <cellStyle name="Note 3 4 9" xfId="4147"/>
    <cellStyle name="Note 3 4 9 2" xfId="9426"/>
    <cellStyle name="Note 3 4 9 3" xfId="13643"/>
    <cellStyle name="Note 3 5" xfId="1031"/>
    <cellStyle name="Note 3 5 10" xfId="2268"/>
    <cellStyle name="Note 3 5 10 2" xfId="7547"/>
    <cellStyle name="Note 3 5 10 3" xfId="11318"/>
    <cellStyle name="Note 3 5 11" xfId="6310"/>
    <cellStyle name="Note 3 5 2" xfId="1648"/>
    <cellStyle name="Note 3 5 2 2" xfId="2882"/>
    <cellStyle name="Note 3 5 2 2 2" xfId="8161"/>
    <cellStyle name="Note 3 5 2 2 3" xfId="13645"/>
    <cellStyle name="Note 3 5 2 3" xfId="6927"/>
    <cellStyle name="Note 3 5 2 4" xfId="13644"/>
    <cellStyle name="Note 3 5 3" xfId="4148"/>
    <cellStyle name="Note 3 5 3 2" xfId="9427"/>
    <cellStyle name="Note 3 5 3 3" xfId="13646"/>
    <cellStyle name="Note 3 5 4" xfId="4149"/>
    <cellStyle name="Note 3 5 4 2" xfId="9428"/>
    <cellStyle name="Note 3 5 4 3" xfId="13647"/>
    <cellStyle name="Note 3 5 5" xfId="4150"/>
    <cellStyle name="Note 3 5 5 2" xfId="9429"/>
    <cellStyle name="Note 3 5 5 3" xfId="13648"/>
    <cellStyle name="Note 3 5 6" xfId="4151"/>
    <cellStyle name="Note 3 5 6 2" xfId="9430"/>
    <cellStyle name="Note 3 5 6 3" xfId="13649"/>
    <cellStyle name="Note 3 5 7" xfId="4152"/>
    <cellStyle name="Note 3 5 7 2" xfId="9431"/>
    <cellStyle name="Note 3 5 7 3" xfId="13650"/>
    <cellStyle name="Note 3 5 8" xfId="4153"/>
    <cellStyle name="Note 3 5 8 2" xfId="9432"/>
    <cellStyle name="Note 3 5 8 3" xfId="13651"/>
    <cellStyle name="Note 3 5 9" xfId="4154"/>
    <cellStyle name="Note 3 5 9 2" xfId="9433"/>
    <cellStyle name="Note 3 5 9 3" xfId="13652"/>
    <cellStyle name="Note 3 6" xfId="1032"/>
    <cellStyle name="Note 3 6 10" xfId="2269"/>
    <cellStyle name="Note 3 6 10 2" xfId="7548"/>
    <cellStyle name="Note 3 6 10 3" xfId="11319"/>
    <cellStyle name="Note 3 6 11" xfId="6311"/>
    <cellStyle name="Note 3 6 2" xfId="1649"/>
    <cellStyle name="Note 3 6 2 2" xfId="2883"/>
    <cellStyle name="Note 3 6 2 2 2" xfId="8162"/>
    <cellStyle name="Note 3 6 2 2 3" xfId="13654"/>
    <cellStyle name="Note 3 6 2 3" xfId="6928"/>
    <cellStyle name="Note 3 6 2 4" xfId="13653"/>
    <cellStyle name="Note 3 6 3" xfId="4155"/>
    <cellStyle name="Note 3 6 3 2" xfId="9434"/>
    <cellStyle name="Note 3 6 3 3" xfId="13655"/>
    <cellStyle name="Note 3 6 4" xfId="4156"/>
    <cellStyle name="Note 3 6 4 2" xfId="9435"/>
    <cellStyle name="Note 3 6 4 3" xfId="13656"/>
    <cellStyle name="Note 3 6 5" xfId="4157"/>
    <cellStyle name="Note 3 6 5 2" xfId="9436"/>
    <cellStyle name="Note 3 6 5 3" xfId="13657"/>
    <cellStyle name="Note 3 6 6" xfId="4158"/>
    <cellStyle name="Note 3 6 6 2" xfId="9437"/>
    <cellStyle name="Note 3 6 6 3" xfId="13658"/>
    <cellStyle name="Note 3 6 7" xfId="4159"/>
    <cellStyle name="Note 3 6 7 2" xfId="9438"/>
    <cellStyle name="Note 3 6 7 3" xfId="13659"/>
    <cellStyle name="Note 3 6 8" xfId="4160"/>
    <cellStyle name="Note 3 6 8 2" xfId="9439"/>
    <cellStyle name="Note 3 6 8 3" xfId="13660"/>
    <cellStyle name="Note 3 6 9" xfId="4161"/>
    <cellStyle name="Note 3 6 9 2" xfId="9440"/>
    <cellStyle name="Note 3 6 9 3" xfId="13661"/>
    <cellStyle name="Note 3 7" xfId="1033"/>
    <cellStyle name="Note 3 7 10" xfId="2270"/>
    <cellStyle name="Note 3 7 10 2" xfId="7549"/>
    <cellStyle name="Note 3 7 10 3" xfId="11320"/>
    <cellStyle name="Note 3 7 11" xfId="6312"/>
    <cellStyle name="Note 3 7 2" xfId="1650"/>
    <cellStyle name="Note 3 7 2 2" xfId="2884"/>
    <cellStyle name="Note 3 7 2 2 2" xfId="8163"/>
    <cellStyle name="Note 3 7 2 2 3" xfId="13663"/>
    <cellStyle name="Note 3 7 2 3" xfId="6929"/>
    <cellStyle name="Note 3 7 2 4" xfId="13662"/>
    <cellStyle name="Note 3 7 3" xfId="4162"/>
    <cellStyle name="Note 3 7 3 2" xfId="9441"/>
    <cellStyle name="Note 3 7 3 3" xfId="13664"/>
    <cellStyle name="Note 3 7 4" xfId="4163"/>
    <cellStyle name="Note 3 7 4 2" xfId="9442"/>
    <cellStyle name="Note 3 7 4 3" xfId="13665"/>
    <cellStyle name="Note 3 7 5" xfId="4164"/>
    <cellStyle name="Note 3 7 5 2" xfId="9443"/>
    <cellStyle name="Note 3 7 5 3" xfId="13666"/>
    <cellStyle name="Note 3 7 6" xfId="4165"/>
    <cellStyle name="Note 3 7 6 2" xfId="9444"/>
    <cellStyle name="Note 3 7 6 3" xfId="13667"/>
    <cellStyle name="Note 3 7 7" xfId="4166"/>
    <cellStyle name="Note 3 7 7 2" xfId="9445"/>
    <cellStyle name="Note 3 7 7 3" xfId="13668"/>
    <cellStyle name="Note 3 7 8" xfId="4167"/>
    <cellStyle name="Note 3 7 8 2" xfId="9446"/>
    <cellStyle name="Note 3 7 8 3" xfId="13669"/>
    <cellStyle name="Note 3 7 9" xfId="4168"/>
    <cellStyle name="Note 3 7 9 2" xfId="9447"/>
    <cellStyle name="Note 3 7 9 3" xfId="13670"/>
    <cellStyle name="Note 3 8" xfId="1285"/>
    <cellStyle name="Note 3 8 2" xfId="2519"/>
    <cellStyle name="Note 3 8 2 2" xfId="7798"/>
    <cellStyle name="Note 3 8 2 3" xfId="13672"/>
    <cellStyle name="Note 3 8 3" xfId="6564"/>
    <cellStyle name="Note 3 8 4" xfId="13671"/>
    <cellStyle name="Note 3 9" xfId="4169"/>
    <cellStyle name="Note 3 9 2" xfId="9448"/>
    <cellStyle name="Note 3 9 3" xfId="13673"/>
    <cellStyle name="Note 4" xfId="598"/>
    <cellStyle name="Note 4 10" xfId="4170"/>
    <cellStyle name="Note 4 10 2" xfId="9449"/>
    <cellStyle name="Note 4 10 3" xfId="13674"/>
    <cellStyle name="Note 4 11" xfId="4171"/>
    <cellStyle name="Note 4 11 2" xfId="9450"/>
    <cellStyle name="Note 4 11 3" xfId="13675"/>
    <cellStyle name="Note 4 12" xfId="4172"/>
    <cellStyle name="Note 4 12 2" xfId="9451"/>
    <cellStyle name="Note 4 12 3" xfId="13676"/>
    <cellStyle name="Note 4 13" xfId="1974"/>
    <cellStyle name="Note 4 13 2" xfId="7253"/>
    <cellStyle name="Note 4 13 3" xfId="11321"/>
    <cellStyle name="Note 4 14" xfId="5949"/>
    <cellStyle name="Note 4 2" xfId="599"/>
    <cellStyle name="Note 4 2 10" xfId="4173"/>
    <cellStyle name="Note 4 2 10 2" xfId="9452"/>
    <cellStyle name="Note 4 2 10 3" xfId="13677"/>
    <cellStyle name="Note 4 2 11" xfId="4174"/>
    <cellStyle name="Note 4 2 11 2" xfId="9453"/>
    <cellStyle name="Note 4 2 11 3" xfId="13678"/>
    <cellStyle name="Note 4 2 12" xfId="1975"/>
    <cellStyle name="Note 4 2 12 2" xfId="7254"/>
    <cellStyle name="Note 4 2 12 3" xfId="11322"/>
    <cellStyle name="Note 4 2 13" xfId="5950"/>
    <cellStyle name="Note 4 2 2" xfId="772"/>
    <cellStyle name="Note 4 2 2 2" xfId="1399"/>
    <cellStyle name="Note 4 2 2 2 2" xfId="2633"/>
    <cellStyle name="Note 4 2 2 2 2 2" xfId="7912"/>
    <cellStyle name="Note 4 2 2 2 2 3" xfId="13681"/>
    <cellStyle name="Note 4 2 2 2 3" xfId="6678"/>
    <cellStyle name="Note 4 2 2 2 4" xfId="13680"/>
    <cellStyle name="Note 4 2 2 3" xfId="1876"/>
    <cellStyle name="Note 4 2 2 3 2" xfId="3110"/>
    <cellStyle name="Note 4 2 2 3 2 2" xfId="8389"/>
    <cellStyle name="Note 4 2 2 3 2 3" xfId="13683"/>
    <cellStyle name="Note 4 2 2 3 3" xfId="7155"/>
    <cellStyle name="Note 4 2 2 3 4" xfId="13682"/>
    <cellStyle name="Note 4 2 2 4" xfId="4175"/>
    <cellStyle name="Note 4 2 2 4 2" xfId="9454"/>
    <cellStyle name="Note 4 2 2 4 3" xfId="13684"/>
    <cellStyle name="Note 4 2 2 5" xfId="4176"/>
    <cellStyle name="Note 4 2 2 5 2" xfId="9455"/>
    <cellStyle name="Note 4 2 2 5 3" xfId="13685"/>
    <cellStyle name="Note 4 2 2 6" xfId="4177"/>
    <cellStyle name="Note 4 2 2 6 2" xfId="9456"/>
    <cellStyle name="Note 4 2 2 6 3" xfId="13686"/>
    <cellStyle name="Note 4 2 2 7" xfId="4178"/>
    <cellStyle name="Note 4 2 2 7 2" xfId="9457"/>
    <cellStyle name="Note 4 2 2 7 3" xfId="13687"/>
    <cellStyle name="Note 4 2 2 8" xfId="6061"/>
    <cellStyle name="Note 4 2 2 9" xfId="13679"/>
    <cellStyle name="Note 4 2 3" xfId="1034"/>
    <cellStyle name="Note 4 2 3 10" xfId="2271"/>
    <cellStyle name="Note 4 2 3 10 2" xfId="7550"/>
    <cellStyle name="Note 4 2 3 10 3" xfId="11323"/>
    <cellStyle name="Note 4 2 3 11" xfId="6313"/>
    <cellStyle name="Note 4 2 3 2" xfId="1651"/>
    <cellStyle name="Note 4 2 3 2 2" xfId="2885"/>
    <cellStyle name="Note 4 2 3 2 2 2" xfId="8164"/>
    <cellStyle name="Note 4 2 3 2 2 3" xfId="13689"/>
    <cellStyle name="Note 4 2 3 2 3" xfId="6930"/>
    <cellStyle name="Note 4 2 3 2 4" xfId="13688"/>
    <cellStyle name="Note 4 2 3 3" xfId="4179"/>
    <cellStyle name="Note 4 2 3 3 2" xfId="9458"/>
    <cellStyle name="Note 4 2 3 3 3" xfId="13690"/>
    <cellStyle name="Note 4 2 3 4" xfId="4180"/>
    <cellStyle name="Note 4 2 3 4 2" xfId="9459"/>
    <cellStyle name="Note 4 2 3 4 3" xfId="13691"/>
    <cellStyle name="Note 4 2 3 5" xfId="4181"/>
    <cellStyle name="Note 4 2 3 5 2" xfId="9460"/>
    <cellStyle name="Note 4 2 3 5 3" xfId="13692"/>
    <cellStyle name="Note 4 2 3 6" xfId="4182"/>
    <cellStyle name="Note 4 2 3 6 2" xfId="9461"/>
    <cellStyle name="Note 4 2 3 6 3" xfId="13693"/>
    <cellStyle name="Note 4 2 3 7" xfId="4183"/>
    <cellStyle name="Note 4 2 3 7 2" xfId="9462"/>
    <cellStyle name="Note 4 2 3 7 3" xfId="13694"/>
    <cellStyle name="Note 4 2 3 8" xfId="4184"/>
    <cellStyle name="Note 4 2 3 8 2" xfId="9463"/>
    <cellStyle name="Note 4 2 3 8 3" xfId="13695"/>
    <cellStyle name="Note 4 2 3 9" xfId="4185"/>
    <cellStyle name="Note 4 2 3 9 2" xfId="9464"/>
    <cellStyle name="Note 4 2 3 9 3" xfId="13696"/>
    <cellStyle name="Note 4 2 4" xfId="1035"/>
    <cellStyle name="Note 4 2 4 10" xfId="2272"/>
    <cellStyle name="Note 4 2 4 10 2" xfId="7551"/>
    <cellStyle name="Note 4 2 4 10 3" xfId="11324"/>
    <cellStyle name="Note 4 2 4 11" xfId="6314"/>
    <cellStyle name="Note 4 2 4 2" xfId="1652"/>
    <cellStyle name="Note 4 2 4 2 2" xfId="2886"/>
    <cellStyle name="Note 4 2 4 2 2 2" xfId="8165"/>
    <cellStyle name="Note 4 2 4 2 2 3" xfId="13698"/>
    <cellStyle name="Note 4 2 4 2 3" xfId="6931"/>
    <cellStyle name="Note 4 2 4 2 4" xfId="13697"/>
    <cellStyle name="Note 4 2 4 3" xfId="4186"/>
    <cellStyle name="Note 4 2 4 3 2" xfId="9465"/>
    <cellStyle name="Note 4 2 4 3 3" xfId="13699"/>
    <cellStyle name="Note 4 2 4 4" xfId="4187"/>
    <cellStyle name="Note 4 2 4 4 2" xfId="9466"/>
    <cellStyle name="Note 4 2 4 4 3" xfId="13700"/>
    <cellStyle name="Note 4 2 4 5" xfId="4188"/>
    <cellStyle name="Note 4 2 4 5 2" xfId="9467"/>
    <cellStyle name="Note 4 2 4 5 3" xfId="13701"/>
    <cellStyle name="Note 4 2 4 6" xfId="4189"/>
    <cellStyle name="Note 4 2 4 6 2" xfId="9468"/>
    <cellStyle name="Note 4 2 4 6 3" xfId="13702"/>
    <cellStyle name="Note 4 2 4 7" xfId="4190"/>
    <cellStyle name="Note 4 2 4 7 2" xfId="9469"/>
    <cellStyle name="Note 4 2 4 7 3" xfId="13703"/>
    <cellStyle name="Note 4 2 4 8" xfId="4191"/>
    <cellStyle name="Note 4 2 4 8 2" xfId="9470"/>
    <cellStyle name="Note 4 2 4 8 3" xfId="13704"/>
    <cellStyle name="Note 4 2 4 9" xfId="4192"/>
    <cellStyle name="Note 4 2 4 9 2" xfId="9471"/>
    <cellStyle name="Note 4 2 4 9 3" xfId="13705"/>
    <cellStyle name="Note 4 2 5" xfId="1036"/>
    <cellStyle name="Note 4 2 5 10" xfId="2273"/>
    <cellStyle name="Note 4 2 5 10 2" xfId="7552"/>
    <cellStyle name="Note 4 2 5 10 3" xfId="11325"/>
    <cellStyle name="Note 4 2 5 11" xfId="6315"/>
    <cellStyle name="Note 4 2 5 2" xfId="1653"/>
    <cellStyle name="Note 4 2 5 2 2" xfId="2887"/>
    <cellStyle name="Note 4 2 5 2 2 2" xfId="8166"/>
    <cellStyle name="Note 4 2 5 2 2 3" xfId="13707"/>
    <cellStyle name="Note 4 2 5 2 3" xfId="6932"/>
    <cellStyle name="Note 4 2 5 2 4" xfId="13706"/>
    <cellStyle name="Note 4 2 5 3" xfId="4193"/>
    <cellStyle name="Note 4 2 5 3 2" xfId="9472"/>
    <cellStyle name="Note 4 2 5 3 3" xfId="13708"/>
    <cellStyle name="Note 4 2 5 4" xfId="4194"/>
    <cellStyle name="Note 4 2 5 4 2" xfId="9473"/>
    <cellStyle name="Note 4 2 5 4 3" xfId="13709"/>
    <cellStyle name="Note 4 2 5 5" xfId="4195"/>
    <cellStyle name="Note 4 2 5 5 2" xfId="9474"/>
    <cellStyle name="Note 4 2 5 5 3" xfId="13710"/>
    <cellStyle name="Note 4 2 5 6" xfId="4196"/>
    <cellStyle name="Note 4 2 5 6 2" xfId="9475"/>
    <cellStyle name="Note 4 2 5 6 3" xfId="13711"/>
    <cellStyle name="Note 4 2 5 7" xfId="4197"/>
    <cellStyle name="Note 4 2 5 7 2" xfId="9476"/>
    <cellStyle name="Note 4 2 5 7 3" xfId="13712"/>
    <cellStyle name="Note 4 2 5 8" xfId="4198"/>
    <cellStyle name="Note 4 2 5 8 2" xfId="9477"/>
    <cellStyle name="Note 4 2 5 8 3" xfId="13713"/>
    <cellStyle name="Note 4 2 5 9" xfId="4199"/>
    <cellStyle name="Note 4 2 5 9 2" xfId="9478"/>
    <cellStyle name="Note 4 2 5 9 3" xfId="13714"/>
    <cellStyle name="Note 4 2 6" xfId="1037"/>
    <cellStyle name="Note 4 2 6 10" xfId="2274"/>
    <cellStyle name="Note 4 2 6 10 2" xfId="7553"/>
    <cellStyle name="Note 4 2 6 10 3" xfId="11326"/>
    <cellStyle name="Note 4 2 6 11" xfId="6316"/>
    <cellStyle name="Note 4 2 6 2" xfId="1654"/>
    <cellStyle name="Note 4 2 6 2 2" xfId="2888"/>
    <cellStyle name="Note 4 2 6 2 2 2" xfId="8167"/>
    <cellStyle name="Note 4 2 6 2 2 3" xfId="13716"/>
    <cellStyle name="Note 4 2 6 2 3" xfId="6933"/>
    <cellStyle name="Note 4 2 6 2 4" xfId="13715"/>
    <cellStyle name="Note 4 2 6 3" xfId="4200"/>
    <cellStyle name="Note 4 2 6 3 2" xfId="9479"/>
    <cellStyle name="Note 4 2 6 3 3" xfId="13717"/>
    <cellStyle name="Note 4 2 6 4" xfId="4201"/>
    <cellStyle name="Note 4 2 6 4 2" xfId="9480"/>
    <cellStyle name="Note 4 2 6 4 3" xfId="13718"/>
    <cellStyle name="Note 4 2 6 5" xfId="4202"/>
    <cellStyle name="Note 4 2 6 5 2" xfId="9481"/>
    <cellStyle name="Note 4 2 6 5 3" xfId="13719"/>
    <cellStyle name="Note 4 2 6 6" xfId="4203"/>
    <cellStyle name="Note 4 2 6 6 2" xfId="9482"/>
    <cellStyle name="Note 4 2 6 6 3" xfId="13720"/>
    <cellStyle name="Note 4 2 6 7" xfId="4204"/>
    <cellStyle name="Note 4 2 6 7 2" xfId="9483"/>
    <cellStyle name="Note 4 2 6 7 3" xfId="13721"/>
    <cellStyle name="Note 4 2 6 8" xfId="4205"/>
    <cellStyle name="Note 4 2 6 8 2" xfId="9484"/>
    <cellStyle name="Note 4 2 6 8 3" xfId="13722"/>
    <cellStyle name="Note 4 2 6 9" xfId="4206"/>
    <cellStyle name="Note 4 2 6 9 2" xfId="9485"/>
    <cellStyle name="Note 4 2 6 9 3" xfId="13723"/>
    <cellStyle name="Note 4 2 7" xfId="1288"/>
    <cellStyle name="Note 4 2 7 2" xfId="2522"/>
    <cellStyle name="Note 4 2 7 2 2" xfId="7801"/>
    <cellStyle name="Note 4 2 7 2 3" xfId="13725"/>
    <cellStyle name="Note 4 2 7 3" xfId="6567"/>
    <cellStyle name="Note 4 2 7 4" xfId="13724"/>
    <cellStyle name="Note 4 2 8" xfId="4207"/>
    <cellStyle name="Note 4 2 8 2" xfId="9486"/>
    <cellStyle name="Note 4 2 8 3" xfId="13726"/>
    <cellStyle name="Note 4 2 9" xfId="4208"/>
    <cellStyle name="Note 4 2 9 2" xfId="9487"/>
    <cellStyle name="Note 4 2 9 3" xfId="13727"/>
    <cellStyle name="Note 4 3" xfId="773"/>
    <cellStyle name="Note 4 3 2" xfId="1400"/>
    <cellStyle name="Note 4 3 2 2" xfId="2634"/>
    <cellStyle name="Note 4 3 2 2 2" xfId="7913"/>
    <cellStyle name="Note 4 3 2 2 3" xfId="13730"/>
    <cellStyle name="Note 4 3 2 3" xfId="6679"/>
    <cellStyle name="Note 4 3 2 4" xfId="13729"/>
    <cellStyle name="Note 4 3 3" xfId="1877"/>
    <cellStyle name="Note 4 3 3 2" xfId="3111"/>
    <cellStyle name="Note 4 3 3 2 2" xfId="8390"/>
    <cellStyle name="Note 4 3 3 2 3" xfId="13732"/>
    <cellStyle name="Note 4 3 3 3" xfId="7156"/>
    <cellStyle name="Note 4 3 3 4" xfId="13731"/>
    <cellStyle name="Note 4 3 4" xfId="4209"/>
    <cellStyle name="Note 4 3 4 2" xfId="9488"/>
    <cellStyle name="Note 4 3 4 3" xfId="13733"/>
    <cellStyle name="Note 4 3 5" xfId="4210"/>
    <cellStyle name="Note 4 3 5 2" xfId="9489"/>
    <cellStyle name="Note 4 3 5 3" xfId="13734"/>
    <cellStyle name="Note 4 3 6" xfId="4211"/>
    <cellStyle name="Note 4 3 6 2" xfId="9490"/>
    <cellStyle name="Note 4 3 6 3" xfId="13735"/>
    <cellStyle name="Note 4 3 7" xfId="4212"/>
    <cellStyle name="Note 4 3 7 2" xfId="9491"/>
    <cellStyle name="Note 4 3 7 3" xfId="13736"/>
    <cellStyle name="Note 4 3 8" xfId="6062"/>
    <cellStyle name="Note 4 3 9" xfId="13728"/>
    <cellStyle name="Note 4 4" xfId="1038"/>
    <cellStyle name="Note 4 4 10" xfId="2275"/>
    <cellStyle name="Note 4 4 10 2" xfId="7554"/>
    <cellStyle name="Note 4 4 10 3" xfId="11327"/>
    <cellStyle name="Note 4 4 11" xfId="6317"/>
    <cellStyle name="Note 4 4 2" xfId="1655"/>
    <cellStyle name="Note 4 4 2 2" xfId="2889"/>
    <cellStyle name="Note 4 4 2 2 2" xfId="8168"/>
    <cellStyle name="Note 4 4 2 2 3" xfId="13738"/>
    <cellStyle name="Note 4 4 2 3" xfId="6934"/>
    <cellStyle name="Note 4 4 2 4" xfId="13737"/>
    <cellStyle name="Note 4 4 3" xfId="4213"/>
    <cellStyle name="Note 4 4 3 2" xfId="9492"/>
    <cellStyle name="Note 4 4 3 3" xfId="13739"/>
    <cellStyle name="Note 4 4 4" xfId="4214"/>
    <cellStyle name="Note 4 4 4 2" xfId="9493"/>
    <cellStyle name="Note 4 4 4 3" xfId="13740"/>
    <cellStyle name="Note 4 4 5" xfId="4215"/>
    <cellStyle name="Note 4 4 5 2" xfId="9494"/>
    <cellStyle name="Note 4 4 5 3" xfId="13741"/>
    <cellStyle name="Note 4 4 6" xfId="4216"/>
    <cellStyle name="Note 4 4 6 2" xfId="9495"/>
    <cellStyle name="Note 4 4 6 3" xfId="13742"/>
    <cellStyle name="Note 4 4 7" xfId="4217"/>
    <cellStyle name="Note 4 4 7 2" xfId="9496"/>
    <cellStyle name="Note 4 4 7 3" xfId="13743"/>
    <cellStyle name="Note 4 4 8" xfId="4218"/>
    <cellStyle name="Note 4 4 8 2" xfId="9497"/>
    <cellStyle name="Note 4 4 8 3" xfId="13744"/>
    <cellStyle name="Note 4 4 9" xfId="4219"/>
    <cellStyle name="Note 4 4 9 2" xfId="9498"/>
    <cellStyle name="Note 4 4 9 3" xfId="13745"/>
    <cellStyle name="Note 4 5" xfId="1039"/>
    <cellStyle name="Note 4 5 10" xfId="2276"/>
    <cellStyle name="Note 4 5 10 2" xfId="7555"/>
    <cellStyle name="Note 4 5 10 3" xfId="11328"/>
    <cellStyle name="Note 4 5 11" xfId="6318"/>
    <cellStyle name="Note 4 5 2" xfId="1656"/>
    <cellStyle name="Note 4 5 2 2" xfId="2890"/>
    <cellStyle name="Note 4 5 2 2 2" xfId="8169"/>
    <cellStyle name="Note 4 5 2 2 3" xfId="13747"/>
    <cellStyle name="Note 4 5 2 3" xfId="6935"/>
    <cellStyle name="Note 4 5 2 4" xfId="13746"/>
    <cellStyle name="Note 4 5 3" xfId="4220"/>
    <cellStyle name="Note 4 5 3 2" xfId="9499"/>
    <cellStyle name="Note 4 5 3 3" xfId="13748"/>
    <cellStyle name="Note 4 5 4" xfId="4221"/>
    <cellStyle name="Note 4 5 4 2" xfId="9500"/>
    <cellStyle name="Note 4 5 4 3" xfId="13749"/>
    <cellStyle name="Note 4 5 5" xfId="4222"/>
    <cellStyle name="Note 4 5 5 2" xfId="9501"/>
    <cellStyle name="Note 4 5 5 3" xfId="13750"/>
    <cellStyle name="Note 4 5 6" xfId="4223"/>
    <cellStyle name="Note 4 5 6 2" xfId="9502"/>
    <cellStyle name="Note 4 5 6 3" xfId="13751"/>
    <cellStyle name="Note 4 5 7" xfId="4224"/>
    <cellStyle name="Note 4 5 7 2" xfId="9503"/>
    <cellStyle name="Note 4 5 7 3" xfId="13752"/>
    <cellStyle name="Note 4 5 8" xfId="4225"/>
    <cellStyle name="Note 4 5 8 2" xfId="9504"/>
    <cellStyle name="Note 4 5 8 3" xfId="13753"/>
    <cellStyle name="Note 4 5 9" xfId="4226"/>
    <cellStyle name="Note 4 5 9 2" xfId="9505"/>
    <cellStyle name="Note 4 5 9 3" xfId="13754"/>
    <cellStyle name="Note 4 6" xfId="1040"/>
    <cellStyle name="Note 4 6 10" xfId="2277"/>
    <cellStyle name="Note 4 6 10 2" xfId="7556"/>
    <cellStyle name="Note 4 6 10 3" xfId="11329"/>
    <cellStyle name="Note 4 6 11" xfId="6319"/>
    <cellStyle name="Note 4 6 2" xfId="1657"/>
    <cellStyle name="Note 4 6 2 2" xfId="2891"/>
    <cellStyle name="Note 4 6 2 2 2" xfId="8170"/>
    <cellStyle name="Note 4 6 2 2 3" xfId="13756"/>
    <cellStyle name="Note 4 6 2 3" xfId="6936"/>
    <cellStyle name="Note 4 6 2 4" xfId="13755"/>
    <cellStyle name="Note 4 6 3" xfId="4227"/>
    <cellStyle name="Note 4 6 3 2" xfId="9506"/>
    <cellStyle name="Note 4 6 3 3" xfId="13757"/>
    <cellStyle name="Note 4 6 4" xfId="4228"/>
    <cellStyle name="Note 4 6 4 2" xfId="9507"/>
    <cellStyle name="Note 4 6 4 3" xfId="13758"/>
    <cellStyle name="Note 4 6 5" xfId="4229"/>
    <cellStyle name="Note 4 6 5 2" xfId="9508"/>
    <cellStyle name="Note 4 6 5 3" xfId="13759"/>
    <cellStyle name="Note 4 6 6" xfId="4230"/>
    <cellStyle name="Note 4 6 6 2" xfId="9509"/>
    <cellStyle name="Note 4 6 6 3" xfId="13760"/>
    <cellStyle name="Note 4 6 7" xfId="4231"/>
    <cellStyle name="Note 4 6 7 2" xfId="9510"/>
    <cellStyle name="Note 4 6 7 3" xfId="13761"/>
    <cellStyle name="Note 4 6 8" xfId="4232"/>
    <cellStyle name="Note 4 6 8 2" xfId="9511"/>
    <cellStyle name="Note 4 6 8 3" xfId="13762"/>
    <cellStyle name="Note 4 6 9" xfId="4233"/>
    <cellStyle name="Note 4 6 9 2" xfId="9512"/>
    <cellStyle name="Note 4 6 9 3" xfId="13763"/>
    <cellStyle name="Note 4 7" xfId="1041"/>
    <cellStyle name="Note 4 7 10" xfId="2278"/>
    <cellStyle name="Note 4 7 10 2" xfId="7557"/>
    <cellStyle name="Note 4 7 10 3" xfId="11330"/>
    <cellStyle name="Note 4 7 11" xfId="6320"/>
    <cellStyle name="Note 4 7 2" xfId="1658"/>
    <cellStyle name="Note 4 7 2 2" xfId="2892"/>
    <cellStyle name="Note 4 7 2 2 2" xfId="8171"/>
    <cellStyle name="Note 4 7 2 2 3" xfId="13765"/>
    <cellStyle name="Note 4 7 2 3" xfId="6937"/>
    <cellStyle name="Note 4 7 2 4" xfId="13764"/>
    <cellStyle name="Note 4 7 3" xfId="4234"/>
    <cellStyle name="Note 4 7 3 2" xfId="9513"/>
    <cellStyle name="Note 4 7 3 3" xfId="13766"/>
    <cellStyle name="Note 4 7 4" xfId="4235"/>
    <cellStyle name="Note 4 7 4 2" xfId="9514"/>
    <cellStyle name="Note 4 7 4 3" xfId="13767"/>
    <cellStyle name="Note 4 7 5" xfId="4236"/>
    <cellStyle name="Note 4 7 5 2" xfId="9515"/>
    <cellStyle name="Note 4 7 5 3" xfId="13768"/>
    <cellStyle name="Note 4 7 6" xfId="4237"/>
    <cellStyle name="Note 4 7 6 2" xfId="9516"/>
    <cellStyle name="Note 4 7 6 3" xfId="13769"/>
    <cellStyle name="Note 4 7 7" xfId="4238"/>
    <cellStyle name="Note 4 7 7 2" xfId="9517"/>
    <cellStyle name="Note 4 7 7 3" xfId="13770"/>
    <cellStyle name="Note 4 7 8" xfId="4239"/>
    <cellStyle name="Note 4 7 8 2" xfId="9518"/>
    <cellStyle name="Note 4 7 8 3" xfId="13771"/>
    <cellStyle name="Note 4 7 9" xfId="4240"/>
    <cellStyle name="Note 4 7 9 2" xfId="9519"/>
    <cellStyle name="Note 4 7 9 3" xfId="13772"/>
    <cellStyle name="Note 4 8" xfId="1287"/>
    <cellStyle name="Note 4 8 2" xfId="2521"/>
    <cellStyle name="Note 4 8 2 2" xfId="7800"/>
    <cellStyle name="Note 4 8 2 3" xfId="13774"/>
    <cellStyle name="Note 4 8 3" xfId="6566"/>
    <cellStyle name="Note 4 8 4" xfId="13773"/>
    <cellStyle name="Note 4 9" xfId="4241"/>
    <cellStyle name="Note 4 9 2" xfId="9520"/>
    <cellStyle name="Note 4 9 3" xfId="13775"/>
    <cellStyle name="Note 5" xfId="600"/>
    <cellStyle name="Note 5 10" xfId="1289"/>
    <cellStyle name="Note 5 10 2" xfId="2523"/>
    <cellStyle name="Note 5 10 2 2" xfId="7802"/>
    <cellStyle name="Note 5 10 2 3" xfId="13777"/>
    <cellStyle name="Note 5 10 3" xfId="6568"/>
    <cellStyle name="Note 5 10 4" xfId="13776"/>
    <cellStyle name="Note 5 11" xfId="4242"/>
    <cellStyle name="Note 5 11 2" xfId="9521"/>
    <cellStyle name="Note 5 11 3" xfId="13778"/>
    <cellStyle name="Note 5 12" xfId="4243"/>
    <cellStyle name="Note 5 12 2" xfId="9522"/>
    <cellStyle name="Note 5 12 3" xfId="13779"/>
    <cellStyle name="Note 5 13" xfId="4244"/>
    <cellStyle name="Note 5 13 2" xfId="9523"/>
    <cellStyle name="Note 5 13 3" xfId="13780"/>
    <cellStyle name="Note 5 14" xfId="4245"/>
    <cellStyle name="Note 5 14 2" xfId="9524"/>
    <cellStyle name="Note 5 14 3" xfId="13781"/>
    <cellStyle name="Note 5 15" xfId="1976"/>
    <cellStyle name="Note 5 15 2" xfId="7255"/>
    <cellStyle name="Note 5 15 3" xfId="11331"/>
    <cellStyle name="Note 5 16" xfId="5951"/>
    <cellStyle name="Note 5 2" xfId="601"/>
    <cellStyle name="Note 5 2 10" xfId="4246"/>
    <cellStyle name="Note 5 2 10 2" xfId="9525"/>
    <cellStyle name="Note 5 2 10 3" xfId="13782"/>
    <cellStyle name="Note 5 2 11" xfId="4247"/>
    <cellStyle name="Note 5 2 11 2" xfId="9526"/>
    <cellStyle name="Note 5 2 11 3" xfId="13783"/>
    <cellStyle name="Note 5 2 12" xfId="4248"/>
    <cellStyle name="Note 5 2 12 2" xfId="9527"/>
    <cellStyle name="Note 5 2 12 3" xfId="13784"/>
    <cellStyle name="Note 5 2 13" xfId="1977"/>
    <cellStyle name="Note 5 2 13 2" xfId="7256"/>
    <cellStyle name="Note 5 2 13 3" xfId="11332"/>
    <cellStyle name="Note 5 2 14" xfId="5952"/>
    <cellStyle name="Note 5 2 2" xfId="602"/>
    <cellStyle name="Note 5 2 2 10" xfId="4249"/>
    <cellStyle name="Note 5 2 2 10 2" xfId="9528"/>
    <cellStyle name="Note 5 2 2 10 3" xfId="13785"/>
    <cellStyle name="Note 5 2 2 11" xfId="4250"/>
    <cellStyle name="Note 5 2 2 11 2" xfId="9529"/>
    <cellStyle name="Note 5 2 2 11 3" xfId="13786"/>
    <cellStyle name="Note 5 2 2 12" xfId="1978"/>
    <cellStyle name="Note 5 2 2 12 2" xfId="7257"/>
    <cellStyle name="Note 5 2 2 12 3" xfId="11333"/>
    <cellStyle name="Note 5 2 2 13" xfId="5953"/>
    <cellStyle name="Note 5 2 2 2" xfId="769"/>
    <cellStyle name="Note 5 2 2 2 2" xfId="1396"/>
    <cellStyle name="Note 5 2 2 2 2 2" xfId="2630"/>
    <cellStyle name="Note 5 2 2 2 2 2 2" xfId="7909"/>
    <cellStyle name="Note 5 2 2 2 2 2 3" xfId="13789"/>
    <cellStyle name="Note 5 2 2 2 2 3" xfId="6675"/>
    <cellStyle name="Note 5 2 2 2 2 4" xfId="13788"/>
    <cellStyle name="Note 5 2 2 2 3" xfId="1873"/>
    <cellStyle name="Note 5 2 2 2 3 2" xfId="3107"/>
    <cellStyle name="Note 5 2 2 2 3 2 2" xfId="8386"/>
    <cellStyle name="Note 5 2 2 2 3 2 3" xfId="13791"/>
    <cellStyle name="Note 5 2 2 2 3 3" xfId="7152"/>
    <cellStyle name="Note 5 2 2 2 3 4" xfId="13790"/>
    <cellStyle name="Note 5 2 2 2 4" xfId="4251"/>
    <cellStyle name="Note 5 2 2 2 4 2" xfId="9530"/>
    <cellStyle name="Note 5 2 2 2 4 3" xfId="13792"/>
    <cellStyle name="Note 5 2 2 2 5" xfId="4252"/>
    <cellStyle name="Note 5 2 2 2 5 2" xfId="9531"/>
    <cellStyle name="Note 5 2 2 2 5 3" xfId="13793"/>
    <cellStyle name="Note 5 2 2 2 6" xfId="4253"/>
    <cellStyle name="Note 5 2 2 2 6 2" xfId="9532"/>
    <cellStyle name="Note 5 2 2 2 6 3" xfId="13794"/>
    <cellStyle name="Note 5 2 2 2 7" xfId="4254"/>
    <cellStyle name="Note 5 2 2 2 7 2" xfId="9533"/>
    <cellStyle name="Note 5 2 2 2 7 3" xfId="13795"/>
    <cellStyle name="Note 5 2 2 2 8" xfId="6058"/>
    <cellStyle name="Note 5 2 2 2 9" xfId="13787"/>
    <cellStyle name="Note 5 2 2 3" xfId="1042"/>
    <cellStyle name="Note 5 2 2 3 10" xfId="2279"/>
    <cellStyle name="Note 5 2 2 3 10 2" xfId="7558"/>
    <cellStyle name="Note 5 2 2 3 10 3" xfId="11334"/>
    <cellStyle name="Note 5 2 2 3 11" xfId="6321"/>
    <cellStyle name="Note 5 2 2 3 2" xfId="1659"/>
    <cellStyle name="Note 5 2 2 3 2 2" xfId="2893"/>
    <cellStyle name="Note 5 2 2 3 2 2 2" xfId="8172"/>
    <cellStyle name="Note 5 2 2 3 2 2 3" xfId="13797"/>
    <cellStyle name="Note 5 2 2 3 2 3" xfId="6938"/>
    <cellStyle name="Note 5 2 2 3 2 4" xfId="13796"/>
    <cellStyle name="Note 5 2 2 3 3" xfId="4255"/>
    <cellStyle name="Note 5 2 2 3 3 2" xfId="9534"/>
    <cellStyle name="Note 5 2 2 3 3 3" xfId="13798"/>
    <cellStyle name="Note 5 2 2 3 4" xfId="4256"/>
    <cellStyle name="Note 5 2 2 3 4 2" xfId="9535"/>
    <cellStyle name="Note 5 2 2 3 4 3" xfId="13799"/>
    <cellStyle name="Note 5 2 2 3 5" xfId="4257"/>
    <cellStyle name="Note 5 2 2 3 5 2" xfId="9536"/>
    <cellStyle name="Note 5 2 2 3 5 3" xfId="13800"/>
    <cellStyle name="Note 5 2 2 3 6" xfId="4258"/>
    <cellStyle name="Note 5 2 2 3 6 2" xfId="9537"/>
    <cellStyle name="Note 5 2 2 3 6 3" xfId="13801"/>
    <cellStyle name="Note 5 2 2 3 7" xfId="4259"/>
    <cellStyle name="Note 5 2 2 3 7 2" xfId="9538"/>
    <cellStyle name="Note 5 2 2 3 7 3" xfId="13802"/>
    <cellStyle name="Note 5 2 2 3 8" xfId="4260"/>
    <cellStyle name="Note 5 2 2 3 8 2" xfId="9539"/>
    <cellStyle name="Note 5 2 2 3 8 3" xfId="13803"/>
    <cellStyle name="Note 5 2 2 3 9" xfId="4261"/>
    <cellStyle name="Note 5 2 2 3 9 2" xfId="9540"/>
    <cellStyle name="Note 5 2 2 3 9 3" xfId="13804"/>
    <cellStyle name="Note 5 2 2 4" xfId="1043"/>
    <cellStyle name="Note 5 2 2 4 10" xfId="2280"/>
    <cellStyle name="Note 5 2 2 4 10 2" xfId="7559"/>
    <cellStyle name="Note 5 2 2 4 10 3" xfId="11335"/>
    <cellStyle name="Note 5 2 2 4 11" xfId="6322"/>
    <cellStyle name="Note 5 2 2 4 2" xfId="1660"/>
    <cellStyle name="Note 5 2 2 4 2 2" xfId="2894"/>
    <cellStyle name="Note 5 2 2 4 2 2 2" xfId="8173"/>
    <cellStyle name="Note 5 2 2 4 2 2 3" xfId="13806"/>
    <cellStyle name="Note 5 2 2 4 2 3" xfId="6939"/>
    <cellStyle name="Note 5 2 2 4 2 4" xfId="13805"/>
    <cellStyle name="Note 5 2 2 4 3" xfId="4262"/>
    <cellStyle name="Note 5 2 2 4 3 2" xfId="9541"/>
    <cellStyle name="Note 5 2 2 4 3 3" xfId="13807"/>
    <cellStyle name="Note 5 2 2 4 4" xfId="4263"/>
    <cellStyle name="Note 5 2 2 4 4 2" xfId="9542"/>
    <cellStyle name="Note 5 2 2 4 4 3" xfId="13808"/>
    <cellStyle name="Note 5 2 2 4 5" xfId="4264"/>
    <cellStyle name="Note 5 2 2 4 5 2" xfId="9543"/>
    <cellStyle name="Note 5 2 2 4 5 3" xfId="13809"/>
    <cellStyle name="Note 5 2 2 4 6" xfId="4265"/>
    <cellStyle name="Note 5 2 2 4 6 2" xfId="9544"/>
    <cellStyle name="Note 5 2 2 4 6 3" xfId="13810"/>
    <cellStyle name="Note 5 2 2 4 7" xfId="4266"/>
    <cellStyle name="Note 5 2 2 4 7 2" xfId="9545"/>
    <cellStyle name="Note 5 2 2 4 7 3" xfId="13811"/>
    <cellStyle name="Note 5 2 2 4 8" xfId="4267"/>
    <cellStyle name="Note 5 2 2 4 8 2" xfId="9546"/>
    <cellStyle name="Note 5 2 2 4 8 3" xfId="13812"/>
    <cellStyle name="Note 5 2 2 4 9" xfId="4268"/>
    <cellStyle name="Note 5 2 2 4 9 2" xfId="9547"/>
    <cellStyle name="Note 5 2 2 4 9 3" xfId="13813"/>
    <cellStyle name="Note 5 2 2 5" xfId="1044"/>
    <cellStyle name="Note 5 2 2 5 10" xfId="2281"/>
    <cellStyle name="Note 5 2 2 5 10 2" xfId="7560"/>
    <cellStyle name="Note 5 2 2 5 10 3" xfId="11336"/>
    <cellStyle name="Note 5 2 2 5 11" xfId="6323"/>
    <cellStyle name="Note 5 2 2 5 2" xfId="1661"/>
    <cellStyle name="Note 5 2 2 5 2 2" xfId="2895"/>
    <cellStyle name="Note 5 2 2 5 2 2 2" xfId="8174"/>
    <cellStyle name="Note 5 2 2 5 2 2 3" xfId="13815"/>
    <cellStyle name="Note 5 2 2 5 2 3" xfId="6940"/>
    <cellStyle name="Note 5 2 2 5 2 4" xfId="13814"/>
    <cellStyle name="Note 5 2 2 5 3" xfId="4269"/>
    <cellStyle name="Note 5 2 2 5 3 2" xfId="9548"/>
    <cellStyle name="Note 5 2 2 5 3 3" xfId="13816"/>
    <cellStyle name="Note 5 2 2 5 4" xfId="4270"/>
    <cellStyle name="Note 5 2 2 5 4 2" xfId="9549"/>
    <cellStyle name="Note 5 2 2 5 4 3" xfId="13817"/>
    <cellStyle name="Note 5 2 2 5 5" xfId="4271"/>
    <cellStyle name="Note 5 2 2 5 5 2" xfId="9550"/>
    <cellStyle name="Note 5 2 2 5 5 3" xfId="13818"/>
    <cellStyle name="Note 5 2 2 5 6" xfId="4272"/>
    <cellStyle name="Note 5 2 2 5 6 2" xfId="9551"/>
    <cellStyle name="Note 5 2 2 5 6 3" xfId="13819"/>
    <cellStyle name="Note 5 2 2 5 7" xfId="4273"/>
    <cellStyle name="Note 5 2 2 5 7 2" xfId="9552"/>
    <cellStyle name="Note 5 2 2 5 7 3" xfId="13820"/>
    <cellStyle name="Note 5 2 2 5 8" xfId="4274"/>
    <cellStyle name="Note 5 2 2 5 8 2" xfId="9553"/>
    <cellStyle name="Note 5 2 2 5 8 3" xfId="13821"/>
    <cellStyle name="Note 5 2 2 5 9" xfId="4275"/>
    <cellStyle name="Note 5 2 2 5 9 2" xfId="9554"/>
    <cellStyle name="Note 5 2 2 5 9 3" xfId="13822"/>
    <cellStyle name="Note 5 2 2 6" xfId="1045"/>
    <cellStyle name="Note 5 2 2 6 10" xfId="2282"/>
    <cellStyle name="Note 5 2 2 6 10 2" xfId="7561"/>
    <cellStyle name="Note 5 2 2 6 10 3" xfId="11337"/>
    <cellStyle name="Note 5 2 2 6 11" xfId="6324"/>
    <cellStyle name="Note 5 2 2 6 2" xfId="1662"/>
    <cellStyle name="Note 5 2 2 6 2 2" xfId="2896"/>
    <cellStyle name="Note 5 2 2 6 2 2 2" xfId="8175"/>
    <cellStyle name="Note 5 2 2 6 2 2 3" xfId="13824"/>
    <cellStyle name="Note 5 2 2 6 2 3" xfId="6941"/>
    <cellStyle name="Note 5 2 2 6 2 4" xfId="13823"/>
    <cellStyle name="Note 5 2 2 6 3" xfId="4276"/>
    <cellStyle name="Note 5 2 2 6 3 2" xfId="9555"/>
    <cellStyle name="Note 5 2 2 6 3 3" xfId="13825"/>
    <cellStyle name="Note 5 2 2 6 4" xfId="4277"/>
    <cellStyle name="Note 5 2 2 6 4 2" xfId="9556"/>
    <cellStyle name="Note 5 2 2 6 4 3" xfId="13826"/>
    <cellStyle name="Note 5 2 2 6 5" xfId="4278"/>
    <cellStyle name="Note 5 2 2 6 5 2" xfId="9557"/>
    <cellStyle name="Note 5 2 2 6 5 3" xfId="13827"/>
    <cellStyle name="Note 5 2 2 6 6" xfId="4279"/>
    <cellStyle name="Note 5 2 2 6 6 2" xfId="9558"/>
    <cellStyle name="Note 5 2 2 6 6 3" xfId="13828"/>
    <cellStyle name="Note 5 2 2 6 7" xfId="4280"/>
    <cellStyle name="Note 5 2 2 6 7 2" xfId="9559"/>
    <cellStyle name="Note 5 2 2 6 7 3" xfId="13829"/>
    <cellStyle name="Note 5 2 2 6 8" xfId="4281"/>
    <cellStyle name="Note 5 2 2 6 8 2" xfId="9560"/>
    <cellStyle name="Note 5 2 2 6 8 3" xfId="13830"/>
    <cellStyle name="Note 5 2 2 6 9" xfId="4282"/>
    <cellStyle name="Note 5 2 2 6 9 2" xfId="9561"/>
    <cellStyle name="Note 5 2 2 6 9 3" xfId="13831"/>
    <cellStyle name="Note 5 2 2 7" xfId="1291"/>
    <cellStyle name="Note 5 2 2 7 2" xfId="2525"/>
    <cellStyle name="Note 5 2 2 7 2 2" xfId="7804"/>
    <cellStyle name="Note 5 2 2 7 2 3" xfId="13833"/>
    <cellStyle name="Note 5 2 2 7 3" xfId="6570"/>
    <cellStyle name="Note 5 2 2 7 4" xfId="13832"/>
    <cellStyle name="Note 5 2 2 8" xfId="4283"/>
    <cellStyle name="Note 5 2 2 8 2" xfId="9562"/>
    <cellStyle name="Note 5 2 2 8 3" xfId="13834"/>
    <cellStyle name="Note 5 2 2 9" xfId="4284"/>
    <cellStyle name="Note 5 2 2 9 2" xfId="9563"/>
    <cellStyle name="Note 5 2 2 9 3" xfId="13835"/>
    <cellStyle name="Note 5 2 3" xfId="770"/>
    <cellStyle name="Note 5 2 3 2" xfId="1397"/>
    <cellStyle name="Note 5 2 3 2 2" xfId="2631"/>
    <cellStyle name="Note 5 2 3 2 2 2" xfId="7910"/>
    <cellStyle name="Note 5 2 3 2 2 3" xfId="13838"/>
    <cellStyle name="Note 5 2 3 2 3" xfId="6676"/>
    <cellStyle name="Note 5 2 3 2 4" xfId="13837"/>
    <cellStyle name="Note 5 2 3 3" xfId="1874"/>
    <cellStyle name="Note 5 2 3 3 2" xfId="3108"/>
    <cellStyle name="Note 5 2 3 3 2 2" xfId="8387"/>
    <cellStyle name="Note 5 2 3 3 2 3" xfId="13840"/>
    <cellStyle name="Note 5 2 3 3 3" xfId="7153"/>
    <cellStyle name="Note 5 2 3 3 4" xfId="13839"/>
    <cellStyle name="Note 5 2 3 4" xfId="4285"/>
    <cellStyle name="Note 5 2 3 4 2" xfId="9564"/>
    <cellStyle name="Note 5 2 3 4 3" xfId="13841"/>
    <cellStyle name="Note 5 2 3 5" xfId="4286"/>
    <cellStyle name="Note 5 2 3 5 2" xfId="9565"/>
    <cellStyle name="Note 5 2 3 5 3" xfId="13842"/>
    <cellStyle name="Note 5 2 3 6" xfId="4287"/>
    <cellStyle name="Note 5 2 3 6 2" xfId="9566"/>
    <cellStyle name="Note 5 2 3 6 3" xfId="13843"/>
    <cellStyle name="Note 5 2 3 7" xfId="4288"/>
    <cellStyle name="Note 5 2 3 7 2" xfId="9567"/>
    <cellStyle name="Note 5 2 3 7 3" xfId="13844"/>
    <cellStyle name="Note 5 2 3 8" xfId="6059"/>
    <cellStyle name="Note 5 2 3 9" xfId="13836"/>
    <cellStyle name="Note 5 2 4" xfId="1046"/>
    <cellStyle name="Note 5 2 4 10" xfId="2283"/>
    <cellStyle name="Note 5 2 4 10 2" xfId="7562"/>
    <cellStyle name="Note 5 2 4 10 3" xfId="11338"/>
    <cellStyle name="Note 5 2 4 11" xfId="6325"/>
    <cellStyle name="Note 5 2 4 2" xfId="1663"/>
    <cellStyle name="Note 5 2 4 2 2" xfId="2897"/>
    <cellStyle name="Note 5 2 4 2 2 2" xfId="8176"/>
    <cellStyle name="Note 5 2 4 2 2 3" xfId="13846"/>
    <cellStyle name="Note 5 2 4 2 3" xfId="6942"/>
    <cellStyle name="Note 5 2 4 2 4" xfId="13845"/>
    <cellStyle name="Note 5 2 4 3" xfId="4289"/>
    <cellStyle name="Note 5 2 4 3 2" xfId="9568"/>
    <cellStyle name="Note 5 2 4 3 3" xfId="13847"/>
    <cellStyle name="Note 5 2 4 4" xfId="4290"/>
    <cellStyle name="Note 5 2 4 4 2" xfId="9569"/>
    <cellStyle name="Note 5 2 4 4 3" xfId="13848"/>
    <cellStyle name="Note 5 2 4 5" xfId="4291"/>
    <cellStyle name="Note 5 2 4 5 2" xfId="9570"/>
    <cellStyle name="Note 5 2 4 5 3" xfId="13849"/>
    <cellStyle name="Note 5 2 4 6" xfId="4292"/>
    <cellStyle name="Note 5 2 4 6 2" xfId="9571"/>
    <cellStyle name="Note 5 2 4 6 3" xfId="13850"/>
    <cellStyle name="Note 5 2 4 7" xfId="4293"/>
    <cellStyle name="Note 5 2 4 7 2" xfId="9572"/>
    <cellStyle name="Note 5 2 4 7 3" xfId="13851"/>
    <cellStyle name="Note 5 2 4 8" xfId="4294"/>
    <cellStyle name="Note 5 2 4 8 2" xfId="9573"/>
    <cellStyle name="Note 5 2 4 8 3" xfId="13852"/>
    <cellStyle name="Note 5 2 4 9" xfId="4295"/>
    <cellStyle name="Note 5 2 4 9 2" xfId="9574"/>
    <cellStyle name="Note 5 2 4 9 3" xfId="13853"/>
    <cellStyle name="Note 5 2 5" xfId="1047"/>
    <cellStyle name="Note 5 2 5 10" xfId="2284"/>
    <cellStyle name="Note 5 2 5 10 2" xfId="7563"/>
    <cellStyle name="Note 5 2 5 10 3" xfId="11339"/>
    <cellStyle name="Note 5 2 5 11" xfId="6326"/>
    <cellStyle name="Note 5 2 5 2" xfId="1664"/>
    <cellStyle name="Note 5 2 5 2 2" xfId="2898"/>
    <cellStyle name="Note 5 2 5 2 2 2" xfId="8177"/>
    <cellStyle name="Note 5 2 5 2 2 3" xfId="13855"/>
    <cellStyle name="Note 5 2 5 2 3" xfId="6943"/>
    <cellStyle name="Note 5 2 5 2 4" xfId="13854"/>
    <cellStyle name="Note 5 2 5 3" xfId="4296"/>
    <cellStyle name="Note 5 2 5 3 2" xfId="9575"/>
    <cellStyle name="Note 5 2 5 3 3" xfId="13856"/>
    <cellStyle name="Note 5 2 5 4" xfId="4297"/>
    <cellStyle name="Note 5 2 5 4 2" xfId="9576"/>
    <cellStyle name="Note 5 2 5 4 3" xfId="13857"/>
    <cellStyle name="Note 5 2 5 5" xfId="4298"/>
    <cellStyle name="Note 5 2 5 5 2" xfId="9577"/>
    <cellStyle name="Note 5 2 5 5 3" xfId="13858"/>
    <cellStyle name="Note 5 2 5 6" xfId="4299"/>
    <cellStyle name="Note 5 2 5 6 2" xfId="9578"/>
    <cellStyle name="Note 5 2 5 6 3" xfId="13859"/>
    <cellStyle name="Note 5 2 5 7" xfId="4300"/>
    <cellStyle name="Note 5 2 5 7 2" xfId="9579"/>
    <cellStyle name="Note 5 2 5 7 3" xfId="13860"/>
    <cellStyle name="Note 5 2 5 8" xfId="4301"/>
    <cellStyle name="Note 5 2 5 8 2" xfId="9580"/>
    <cellStyle name="Note 5 2 5 8 3" xfId="13861"/>
    <cellStyle name="Note 5 2 5 9" xfId="4302"/>
    <cellStyle name="Note 5 2 5 9 2" xfId="9581"/>
    <cellStyle name="Note 5 2 5 9 3" xfId="13862"/>
    <cellStyle name="Note 5 2 6" xfId="1048"/>
    <cellStyle name="Note 5 2 6 10" xfId="2285"/>
    <cellStyle name="Note 5 2 6 10 2" xfId="7564"/>
    <cellStyle name="Note 5 2 6 10 3" xfId="11340"/>
    <cellStyle name="Note 5 2 6 11" xfId="6327"/>
    <cellStyle name="Note 5 2 6 2" xfId="1665"/>
    <cellStyle name="Note 5 2 6 2 2" xfId="2899"/>
    <cellStyle name="Note 5 2 6 2 2 2" xfId="8178"/>
    <cellStyle name="Note 5 2 6 2 2 3" xfId="13864"/>
    <cellStyle name="Note 5 2 6 2 3" xfId="6944"/>
    <cellStyle name="Note 5 2 6 2 4" xfId="13863"/>
    <cellStyle name="Note 5 2 6 3" xfId="4303"/>
    <cellStyle name="Note 5 2 6 3 2" xfId="9582"/>
    <cellStyle name="Note 5 2 6 3 3" xfId="13865"/>
    <cellStyle name="Note 5 2 6 4" xfId="4304"/>
    <cellStyle name="Note 5 2 6 4 2" xfId="9583"/>
    <cellStyle name="Note 5 2 6 4 3" xfId="13866"/>
    <cellStyle name="Note 5 2 6 5" xfId="4305"/>
    <cellStyle name="Note 5 2 6 5 2" xfId="9584"/>
    <cellStyle name="Note 5 2 6 5 3" xfId="13867"/>
    <cellStyle name="Note 5 2 6 6" xfId="4306"/>
    <cellStyle name="Note 5 2 6 6 2" xfId="9585"/>
    <cellStyle name="Note 5 2 6 6 3" xfId="13868"/>
    <cellStyle name="Note 5 2 6 7" xfId="4307"/>
    <cellStyle name="Note 5 2 6 7 2" xfId="9586"/>
    <cellStyle name="Note 5 2 6 7 3" xfId="13869"/>
    <cellStyle name="Note 5 2 6 8" xfId="4308"/>
    <cellStyle name="Note 5 2 6 8 2" xfId="9587"/>
    <cellStyle name="Note 5 2 6 8 3" xfId="13870"/>
    <cellStyle name="Note 5 2 6 9" xfId="4309"/>
    <cellStyle name="Note 5 2 6 9 2" xfId="9588"/>
    <cellStyle name="Note 5 2 6 9 3" xfId="13871"/>
    <cellStyle name="Note 5 2 7" xfId="1049"/>
    <cellStyle name="Note 5 2 7 10" xfId="2286"/>
    <cellStyle name="Note 5 2 7 10 2" xfId="7565"/>
    <cellStyle name="Note 5 2 7 10 3" xfId="11341"/>
    <cellStyle name="Note 5 2 7 11" xfId="6328"/>
    <cellStyle name="Note 5 2 7 2" xfId="1666"/>
    <cellStyle name="Note 5 2 7 2 2" xfId="2900"/>
    <cellStyle name="Note 5 2 7 2 2 2" xfId="8179"/>
    <cellStyle name="Note 5 2 7 2 2 3" xfId="13873"/>
    <cellStyle name="Note 5 2 7 2 3" xfId="6945"/>
    <cellStyle name="Note 5 2 7 2 4" xfId="13872"/>
    <cellStyle name="Note 5 2 7 3" xfId="4310"/>
    <cellStyle name="Note 5 2 7 3 2" xfId="9589"/>
    <cellStyle name="Note 5 2 7 3 3" xfId="13874"/>
    <cellStyle name="Note 5 2 7 4" xfId="4311"/>
    <cellStyle name="Note 5 2 7 4 2" xfId="9590"/>
    <cellStyle name="Note 5 2 7 4 3" xfId="13875"/>
    <cellStyle name="Note 5 2 7 5" xfId="4312"/>
    <cellStyle name="Note 5 2 7 5 2" xfId="9591"/>
    <cellStyle name="Note 5 2 7 5 3" xfId="13876"/>
    <cellStyle name="Note 5 2 7 6" xfId="4313"/>
    <cellStyle name="Note 5 2 7 6 2" xfId="9592"/>
    <cellStyle name="Note 5 2 7 6 3" xfId="13877"/>
    <cellStyle name="Note 5 2 7 7" xfId="4314"/>
    <cellStyle name="Note 5 2 7 7 2" xfId="9593"/>
    <cellStyle name="Note 5 2 7 7 3" xfId="13878"/>
    <cellStyle name="Note 5 2 7 8" xfId="4315"/>
    <cellStyle name="Note 5 2 7 8 2" xfId="9594"/>
    <cellStyle name="Note 5 2 7 8 3" xfId="13879"/>
    <cellStyle name="Note 5 2 7 9" xfId="4316"/>
    <cellStyle name="Note 5 2 7 9 2" xfId="9595"/>
    <cellStyle name="Note 5 2 7 9 3" xfId="13880"/>
    <cellStyle name="Note 5 2 8" xfId="1290"/>
    <cellStyle name="Note 5 2 8 2" xfId="2524"/>
    <cellStyle name="Note 5 2 8 2 2" xfId="7803"/>
    <cellStyle name="Note 5 2 8 2 3" xfId="13882"/>
    <cellStyle name="Note 5 2 8 3" xfId="6569"/>
    <cellStyle name="Note 5 2 8 4" xfId="13881"/>
    <cellStyle name="Note 5 2 9" xfId="4317"/>
    <cellStyle name="Note 5 2 9 2" xfId="9596"/>
    <cellStyle name="Note 5 2 9 3" xfId="13883"/>
    <cellStyle name="Note 5 3" xfId="603"/>
    <cellStyle name="Note 5 3 10" xfId="4318"/>
    <cellStyle name="Note 5 3 10 2" xfId="9597"/>
    <cellStyle name="Note 5 3 10 3" xfId="13884"/>
    <cellStyle name="Note 5 3 11" xfId="4319"/>
    <cellStyle name="Note 5 3 11 2" xfId="9598"/>
    <cellStyle name="Note 5 3 11 3" xfId="13885"/>
    <cellStyle name="Note 5 3 12" xfId="4320"/>
    <cellStyle name="Note 5 3 12 2" xfId="9599"/>
    <cellStyle name="Note 5 3 12 3" xfId="13886"/>
    <cellStyle name="Note 5 3 13" xfId="1979"/>
    <cellStyle name="Note 5 3 13 2" xfId="7258"/>
    <cellStyle name="Note 5 3 13 3" xfId="11342"/>
    <cellStyle name="Note 5 3 14" xfId="5954"/>
    <cellStyle name="Note 5 3 2" xfId="604"/>
    <cellStyle name="Note 5 3 2 10" xfId="4321"/>
    <cellStyle name="Note 5 3 2 10 2" xfId="9600"/>
    <cellStyle name="Note 5 3 2 10 3" xfId="13887"/>
    <cellStyle name="Note 5 3 2 11" xfId="4322"/>
    <cellStyle name="Note 5 3 2 11 2" xfId="9601"/>
    <cellStyle name="Note 5 3 2 11 3" xfId="13888"/>
    <cellStyle name="Note 5 3 2 12" xfId="1980"/>
    <cellStyle name="Note 5 3 2 12 2" xfId="7259"/>
    <cellStyle name="Note 5 3 2 12 3" xfId="11343"/>
    <cellStyle name="Note 5 3 2 13" xfId="5955"/>
    <cellStyle name="Note 5 3 2 2" xfId="768"/>
    <cellStyle name="Note 5 3 2 2 2" xfId="1395"/>
    <cellStyle name="Note 5 3 2 2 2 2" xfId="2629"/>
    <cellStyle name="Note 5 3 2 2 2 2 2" xfId="7908"/>
    <cellStyle name="Note 5 3 2 2 2 2 3" xfId="13891"/>
    <cellStyle name="Note 5 3 2 2 2 3" xfId="6674"/>
    <cellStyle name="Note 5 3 2 2 2 4" xfId="13890"/>
    <cellStyle name="Note 5 3 2 2 3" xfId="1872"/>
    <cellStyle name="Note 5 3 2 2 3 2" xfId="3106"/>
    <cellStyle name="Note 5 3 2 2 3 2 2" xfId="8385"/>
    <cellStyle name="Note 5 3 2 2 3 2 3" xfId="13893"/>
    <cellStyle name="Note 5 3 2 2 3 3" xfId="7151"/>
    <cellStyle name="Note 5 3 2 2 3 4" xfId="13892"/>
    <cellStyle name="Note 5 3 2 2 4" xfId="4323"/>
    <cellStyle name="Note 5 3 2 2 4 2" xfId="9602"/>
    <cellStyle name="Note 5 3 2 2 4 3" xfId="13894"/>
    <cellStyle name="Note 5 3 2 2 5" xfId="4324"/>
    <cellStyle name="Note 5 3 2 2 5 2" xfId="9603"/>
    <cellStyle name="Note 5 3 2 2 5 3" xfId="13895"/>
    <cellStyle name="Note 5 3 2 2 6" xfId="4325"/>
    <cellStyle name="Note 5 3 2 2 6 2" xfId="9604"/>
    <cellStyle name="Note 5 3 2 2 6 3" xfId="13896"/>
    <cellStyle name="Note 5 3 2 2 7" xfId="4326"/>
    <cellStyle name="Note 5 3 2 2 7 2" xfId="9605"/>
    <cellStyle name="Note 5 3 2 2 7 3" xfId="13897"/>
    <cellStyle name="Note 5 3 2 2 8" xfId="6057"/>
    <cellStyle name="Note 5 3 2 2 9" xfId="13889"/>
    <cellStyle name="Note 5 3 2 3" xfId="1050"/>
    <cellStyle name="Note 5 3 2 3 10" xfId="2287"/>
    <cellStyle name="Note 5 3 2 3 10 2" xfId="7566"/>
    <cellStyle name="Note 5 3 2 3 10 3" xfId="11344"/>
    <cellStyle name="Note 5 3 2 3 11" xfId="6329"/>
    <cellStyle name="Note 5 3 2 3 2" xfId="1667"/>
    <cellStyle name="Note 5 3 2 3 2 2" xfId="2901"/>
    <cellStyle name="Note 5 3 2 3 2 2 2" xfId="8180"/>
    <cellStyle name="Note 5 3 2 3 2 2 3" xfId="13899"/>
    <cellStyle name="Note 5 3 2 3 2 3" xfId="6946"/>
    <cellStyle name="Note 5 3 2 3 2 4" xfId="13898"/>
    <cellStyle name="Note 5 3 2 3 3" xfId="4327"/>
    <cellStyle name="Note 5 3 2 3 3 2" xfId="9606"/>
    <cellStyle name="Note 5 3 2 3 3 3" xfId="13900"/>
    <cellStyle name="Note 5 3 2 3 4" xfId="4328"/>
    <cellStyle name="Note 5 3 2 3 4 2" xfId="9607"/>
    <cellStyle name="Note 5 3 2 3 4 3" xfId="13901"/>
    <cellStyle name="Note 5 3 2 3 5" xfId="4329"/>
    <cellStyle name="Note 5 3 2 3 5 2" xfId="9608"/>
    <cellStyle name="Note 5 3 2 3 5 3" xfId="13902"/>
    <cellStyle name="Note 5 3 2 3 6" xfId="4330"/>
    <cellStyle name="Note 5 3 2 3 6 2" xfId="9609"/>
    <cellStyle name="Note 5 3 2 3 6 3" xfId="13903"/>
    <cellStyle name="Note 5 3 2 3 7" xfId="4331"/>
    <cellStyle name="Note 5 3 2 3 7 2" xfId="9610"/>
    <cellStyle name="Note 5 3 2 3 7 3" xfId="13904"/>
    <cellStyle name="Note 5 3 2 3 8" xfId="4332"/>
    <cellStyle name="Note 5 3 2 3 8 2" xfId="9611"/>
    <cellStyle name="Note 5 3 2 3 8 3" xfId="13905"/>
    <cellStyle name="Note 5 3 2 3 9" xfId="4333"/>
    <cellStyle name="Note 5 3 2 3 9 2" xfId="9612"/>
    <cellStyle name="Note 5 3 2 3 9 3" xfId="13906"/>
    <cellStyle name="Note 5 3 2 4" xfId="1051"/>
    <cellStyle name="Note 5 3 2 4 10" xfId="2288"/>
    <cellStyle name="Note 5 3 2 4 10 2" xfId="7567"/>
    <cellStyle name="Note 5 3 2 4 10 3" xfId="11345"/>
    <cellStyle name="Note 5 3 2 4 11" xfId="6330"/>
    <cellStyle name="Note 5 3 2 4 2" xfId="1668"/>
    <cellStyle name="Note 5 3 2 4 2 2" xfId="2902"/>
    <cellStyle name="Note 5 3 2 4 2 2 2" xfId="8181"/>
    <cellStyle name="Note 5 3 2 4 2 2 3" xfId="13908"/>
    <cellStyle name="Note 5 3 2 4 2 3" xfId="6947"/>
    <cellStyle name="Note 5 3 2 4 2 4" xfId="13907"/>
    <cellStyle name="Note 5 3 2 4 3" xfId="4334"/>
    <cellStyle name="Note 5 3 2 4 3 2" xfId="9613"/>
    <cellStyle name="Note 5 3 2 4 3 3" xfId="13909"/>
    <cellStyle name="Note 5 3 2 4 4" xfId="4335"/>
    <cellStyle name="Note 5 3 2 4 4 2" xfId="9614"/>
    <cellStyle name="Note 5 3 2 4 4 3" xfId="13910"/>
    <cellStyle name="Note 5 3 2 4 5" xfId="4336"/>
    <cellStyle name="Note 5 3 2 4 5 2" xfId="9615"/>
    <cellStyle name="Note 5 3 2 4 5 3" xfId="13911"/>
    <cellStyle name="Note 5 3 2 4 6" xfId="4337"/>
    <cellStyle name="Note 5 3 2 4 6 2" xfId="9616"/>
    <cellStyle name="Note 5 3 2 4 6 3" xfId="13912"/>
    <cellStyle name="Note 5 3 2 4 7" xfId="4338"/>
    <cellStyle name="Note 5 3 2 4 7 2" xfId="9617"/>
    <cellStyle name="Note 5 3 2 4 7 3" xfId="13913"/>
    <cellStyle name="Note 5 3 2 4 8" xfId="4339"/>
    <cellStyle name="Note 5 3 2 4 8 2" xfId="9618"/>
    <cellStyle name="Note 5 3 2 4 8 3" xfId="13914"/>
    <cellStyle name="Note 5 3 2 4 9" xfId="4340"/>
    <cellStyle name="Note 5 3 2 4 9 2" xfId="9619"/>
    <cellStyle name="Note 5 3 2 4 9 3" xfId="13915"/>
    <cellStyle name="Note 5 3 2 5" xfId="1052"/>
    <cellStyle name="Note 5 3 2 5 10" xfId="2289"/>
    <cellStyle name="Note 5 3 2 5 10 2" xfId="7568"/>
    <cellStyle name="Note 5 3 2 5 10 3" xfId="11346"/>
    <cellStyle name="Note 5 3 2 5 11" xfId="6331"/>
    <cellStyle name="Note 5 3 2 5 2" xfId="1669"/>
    <cellStyle name="Note 5 3 2 5 2 2" xfId="2903"/>
    <cellStyle name="Note 5 3 2 5 2 2 2" xfId="8182"/>
    <cellStyle name="Note 5 3 2 5 2 2 3" xfId="13917"/>
    <cellStyle name="Note 5 3 2 5 2 3" xfId="6948"/>
    <cellStyle name="Note 5 3 2 5 2 4" xfId="13916"/>
    <cellStyle name="Note 5 3 2 5 3" xfId="4341"/>
    <cellStyle name="Note 5 3 2 5 3 2" xfId="9620"/>
    <cellStyle name="Note 5 3 2 5 3 3" xfId="13918"/>
    <cellStyle name="Note 5 3 2 5 4" xfId="4342"/>
    <cellStyle name="Note 5 3 2 5 4 2" xfId="9621"/>
    <cellStyle name="Note 5 3 2 5 4 3" xfId="13919"/>
    <cellStyle name="Note 5 3 2 5 5" xfId="4343"/>
    <cellStyle name="Note 5 3 2 5 5 2" xfId="9622"/>
    <cellStyle name="Note 5 3 2 5 5 3" xfId="13920"/>
    <cellStyle name="Note 5 3 2 5 6" xfId="4344"/>
    <cellStyle name="Note 5 3 2 5 6 2" xfId="9623"/>
    <cellStyle name="Note 5 3 2 5 6 3" xfId="13921"/>
    <cellStyle name="Note 5 3 2 5 7" xfId="4345"/>
    <cellStyle name="Note 5 3 2 5 7 2" xfId="9624"/>
    <cellStyle name="Note 5 3 2 5 7 3" xfId="13922"/>
    <cellStyle name="Note 5 3 2 5 8" xfId="4346"/>
    <cellStyle name="Note 5 3 2 5 8 2" xfId="9625"/>
    <cellStyle name="Note 5 3 2 5 8 3" xfId="13923"/>
    <cellStyle name="Note 5 3 2 5 9" xfId="4347"/>
    <cellStyle name="Note 5 3 2 5 9 2" xfId="9626"/>
    <cellStyle name="Note 5 3 2 5 9 3" xfId="13924"/>
    <cellStyle name="Note 5 3 2 6" xfId="1053"/>
    <cellStyle name="Note 5 3 2 6 10" xfId="2290"/>
    <cellStyle name="Note 5 3 2 6 10 2" xfId="7569"/>
    <cellStyle name="Note 5 3 2 6 10 3" xfId="11347"/>
    <cellStyle name="Note 5 3 2 6 11" xfId="6332"/>
    <cellStyle name="Note 5 3 2 6 2" xfId="1670"/>
    <cellStyle name="Note 5 3 2 6 2 2" xfId="2904"/>
    <cellStyle name="Note 5 3 2 6 2 2 2" xfId="8183"/>
    <cellStyle name="Note 5 3 2 6 2 2 3" xfId="13926"/>
    <cellStyle name="Note 5 3 2 6 2 3" xfId="6949"/>
    <cellStyle name="Note 5 3 2 6 2 4" xfId="13925"/>
    <cellStyle name="Note 5 3 2 6 3" xfId="4348"/>
    <cellStyle name="Note 5 3 2 6 3 2" xfId="9627"/>
    <cellStyle name="Note 5 3 2 6 3 3" xfId="13927"/>
    <cellStyle name="Note 5 3 2 6 4" xfId="4349"/>
    <cellStyle name="Note 5 3 2 6 4 2" xfId="9628"/>
    <cellStyle name="Note 5 3 2 6 4 3" xfId="13928"/>
    <cellStyle name="Note 5 3 2 6 5" xfId="4350"/>
    <cellStyle name="Note 5 3 2 6 5 2" xfId="9629"/>
    <cellStyle name="Note 5 3 2 6 5 3" xfId="13929"/>
    <cellStyle name="Note 5 3 2 6 6" xfId="4351"/>
    <cellStyle name="Note 5 3 2 6 6 2" xfId="9630"/>
    <cellStyle name="Note 5 3 2 6 6 3" xfId="13930"/>
    <cellStyle name="Note 5 3 2 6 7" xfId="4352"/>
    <cellStyle name="Note 5 3 2 6 7 2" xfId="9631"/>
    <cellStyle name="Note 5 3 2 6 7 3" xfId="13931"/>
    <cellStyle name="Note 5 3 2 6 8" xfId="4353"/>
    <cellStyle name="Note 5 3 2 6 8 2" xfId="9632"/>
    <cellStyle name="Note 5 3 2 6 8 3" xfId="13932"/>
    <cellStyle name="Note 5 3 2 6 9" xfId="4354"/>
    <cellStyle name="Note 5 3 2 6 9 2" xfId="9633"/>
    <cellStyle name="Note 5 3 2 6 9 3" xfId="13933"/>
    <cellStyle name="Note 5 3 2 7" xfId="1293"/>
    <cellStyle name="Note 5 3 2 7 2" xfId="2527"/>
    <cellStyle name="Note 5 3 2 7 2 2" xfId="7806"/>
    <cellStyle name="Note 5 3 2 7 2 3" xfId="13935"/>
    <cellStyle name="Note 5 3 2 7 3" xfId="6572"/>
    <cellStyle name="Note 5 3 2 7 4" xfId="13934"/>
    <cellStyle name="Note 5 3 2 8" xfId="4355"/>
    <cellStyle name="Note 5 3 2 8 2" xfId="9634"/>
    <cellStyle name="Note 5 3 2 8 3" xfId="13936"/>
    <cellStyle name="Note 5 3 2 9" xfId="4356"/>
    <cellStyle name="Note 5 3 2 9 2" xfId="9635"/>
    <cellStyle name="Note 5 3 2 9 3" xfId="13937"/>
    <cellStyle name="Note 5 3 3" xfId="818"/>
    <cellStyle name="Note 5 3 3 2" xfId="1445"/>
    <cellStyle name="Note 5 3 3 2 2" xfId="2679"/>
    <cellStyle name="Note 5 3 3 2 2 2" xfId="7958"/>
    <cellStyle name="Note 5 3 3 2 2 3" xfId="13940"/>
    <cellStyle name="Note 5 3 3 2 3" xfId="6724"/>
    <cellStyle name="Note 5 3 3 2 4" xfId="13939"/>
    <cellStyle name="Note 5 3 3 3" xfId="1900"/>
    <cellStyle name="Note 5 3 3 3 2" xfId="3134"/>
    <cellStyle name="Note 5 3 3 3 2 2" xfId="8413"/>
    <cellStyle name="Note 5 3 3 3 2 3" xfId="13942"/>
    <cellStyle name="Note 5 3 3 3 3" xfId="7179"/>
    <cellStyle name="Note 5 3 3 3 4" xfId="13941"/>
    <cellStyle name="Note 5 3 3 4" xfId="4357"/>
    <cellStyle name="Note 5 3 3 4 2" xfId="9636"/>
    <cellStyle name="Note 5 3 3 4 3" xfId="13943"/>
    <cellStyle name="Note 5 3 3 5" xfId="4358"/>
    <cellStyle name="Note 5 3 3 5 2" xfId="9637"/>
    <cellStyle name="Note 5 3 3 5 3" xfId="13944"/>
    <cellStyle name="Note 5 3 3 6" xfId="4359"/>
    <cellStyle name="Note 5 3 3 6 2" xfId="9638"/>
    <cellStyle name="Note 5 3 3 6 3" xfId="13945"/>
    <cellStyle name="Note 5 3 3 7" xfId="4360"/>
    <cellStyle name="Note 5 3 3 7 2" xfId="9639"/>
    <cellStyle name="Note 5 3 3 7 3" xfId="13946"/>
    <cellStyle name="Note 5 3 3 8" xfId="6107"/>
    <cellStyle name="Note 5 3 3 9" xfId="13938"/>
    <cellStyle name="Note 5 3 4" xfId="1054"/>
    <cellStyle name="Note 5 3 4 10" xfId="2291"/>
    <cellStyle name="Note 5 3 4 10 2" xfId="7570"/>
    <cellStyle name="Note 5 3 4 10 3" xfId="11348"/>
    <cellStyle name="Note 5 3 4 11" xfId="6333"/>
    <cellStyle name="Note 5 3 4 2" xfId="1671"/>
    <cellStyle name="Note 5 3 4 2 2" xfId="2905"/>
    <cellStyle name="Note 5 3 4 2 2 2" xfId="8184"/>
    <cellStyle name="Note 5 3 4 2 2 3" xfId="13948"/>
    <cellStyle name="Note 5 3 4 2 3" xfId="6950"/>
    <cellStyle name="Note 5 3 4 2 4" xfId="13947"/>
    <cellStyle name="Note 5 3 4 3" xfId="4361"/>
    <cellStyle name="Note 5 3 4 3 2" xfId="9640"/>
    <cellStyle name="Note 5 3 4 3 3" xfId="13949"/>
    <cellStyle name="Note 5 3 4 4" xfId="4362"/>
    <cellStyle name="Note 5 3 4 4 2" xfId="9641"/>
    <cellStyle name="Note 5 3 4 4 3" xfId="13950"/>
    <cellStyle name="Note 5 3 4 5" xfId="4363"/>
    <cellStyle name="Note 5 3 4 5 2" xfId="9642"/>
    <cellStyle name="Note 5 3 4 5 3" xfId="13951"/>
    <cellStyle name="Note 5 3 4 6" xfId="4364"/>
    <cellStyle name="Note 5 3 4 6 2" xfId="9643"/>
    <cellStyle name="Note 5 3 4 6 3" xfId="13952"/>
    <cellStyle name="Note 5 3 4 7" xfId="4365"/>
    <cellStyle name="Note 5 3 4 7 2" xfId="9644"/>
    <cellStyle name="Note 5 3 4 7 3" xfId="13953"/>
    <cellStyle name="Note 5 3 4 8" xfId="4366"/>
    <cellStyle name="Note 5 3 4 8 2" xfId="9645"/>
    <cellStyle name="Note 5 3 4 8 3" xfId="13954"/>
    <cellStyle name="Note 5 3 4 9" xfId="4367"/>
    <cellStyle name="Note 5 3 4 9 2" xfId="9646"/>
    <cellStyle name="Note 5 3 4 9 3" xfId="13955"/>
    <cellStyle name="Note 5 3 5" xfId="1055"/>
    <cellStyle name="Note 5 3 5 10" xfId="2292"/>
    <cellStyle name="Note 5 3 5 10 2" xfId="7571"/>
    <cellStyle name="Note 5 3 5 10 3" xfId="11349"/>
    <cellStyle name="Note 5 3 5 11" xfId="6334"/>
    <cellStyle name="Note 5 3 5 2" xfId="1672"/>
    <cellStyle name="Note 5 3 5 2 2" xfId="2906"/>
    <cellStyle name="Note 5 3 5 2 2 2" xfId="8185"/>
    <cellStyle name="Note 5 3 5 2 2 3" xfId="13957"/>
    <cellStyle name="Note 5 3 5 2 3" xfId="6951"/>
    <cellStyle name="Note 5 3 5 2 4" xfId="13956"/>
    <cellStyle name="Note 5 3 5 3" xfId="4368"/>
    <cellStyle name="Note 5 3 5 3 2" xfId="9647"/>
    <cellStyle name="Note 5 3 5 3 3" xfId="13958"/>
    <cellStyle name="Note 5 3 5 4" xfId="4369"/>
    <cellStyle name="Note 5 3 5 4 2" xfId="9648"/>
    <cellStyle name="Note 5 3 5 4 3" xfId="13959"/>
    <cellStyle name="Note 5 3 5 5" xfId="4370"/>
    <cellStyle name="Note 5 3 5 5 2" xfId="9649"/>
    <cellStyle name="Note 5 3 5 5 3" xfId="13960"/>
    <cellStyle name="Note 5 3 5 6" xfId="4371"/>
    <cellStyle name="Note 5 3 5 6 2" xfId="9650"/>
    <cellStyle name="Note 5 3 5 6 3" xfId="13961"/>
    <cellStyle name="Note 5 3 5 7" xfId="4372"/>
    <cellStyle name="Note 5 3 5 7 2" xfId="9651"/>
    <cellStyle name="Note 5 3 5 7 3" xfId="13962"/>
    <cellStyle name="Note 5 3 5 8" xfId="4373"/>
    <cellStyle name="Note 5 3 5 8 2" xfId="9652"/>
    <cellStyle name="Note 5 3 5 8 3" xfId="13963"/>
    <cellStyle name="Note 5 3 5 9" xfId="4374"/>
    <cellStyle name="Note 5 3 5 9 2" xfId="9653"/>
    <cellStyle name="Note 5 3 5 9 3" xfId="13964"/>
    <cellStyle name="Note 5 3 6" xfId="1056"/>
    <cellStyle name="Note 5 3 6 10" xfId="2293"/>
    <cellStyle name="Note 5 3 6 10 2" xfId="7572"/>
    <cellStyle name="Note 5 3 6 10 3" xfId="11350"/>
    <cellStyle name="Note 5 3 6 11" xfId="6335"/>
    <cellStyle name="Note 5 3 6 2" xfId="1673"/>
    <cellStyle name="Note 5 3 6 2 2" xfId="2907"/>
    <cellStyle name="Note 5 3 6 2 2 2" xfId="8186"/>
    <cellStyle name="Note 5 3 6 2 2 3" xfId="13966"/>
    <cellStyle name="Note 5 3 6 2 3" xfId="6952"/>
    <cellStyle name="Note 5 3 6 2 4" xfId="13965"/>
    <cellStyle name="Note 5 3 6 3" xfId="4375"/>
    <cellStyle name="Note 5 3 6 3 2" xfId="9654"/>
    <cellStyle name="Note 5 3 6 3 3" xfId="13967"/>
    <cellStyle name="Note 5 3 6 4" xfId="4376"/>
    <cellStyle name="Note 5 3 6 4 2" xfId="9655"/>
    <cellStyle name="Note 5 3 6 4 3" xfId="13968"/>
    <cellStyle name="Note 5 3 6 5" xfId="4377"/>
    <cellStyle name="Note 5 3 6 5 2" xfId="9656"/>
    <cellStyle name="Note 5 3 6 5 3" xfId="13969"/>
    <cellStyle name="Note 5 3 6 6" xfId="4378"/>
    <cellStyle name="Note 5 3 6 6 2" xfId="9657"/>
    <cellStyle name="Note 5 3 6 6 3" xfId="13970"/>
    <cellStyle name="Note 5 3 6 7" xfId="4379"/>
    <cellStyle name="Note 5 3 6 7 2" xfId="9658"/>
    <cellStyle name="Note 5 3 6 7 3" xfId="13971"/>
    <cellStyle name="Note 5 3 6 8" xfId="4380"/>
    <cellStyle name="Note 5 3 6 8 2" xfId="9659"/>
    <cellStyle name="Note 5 3 6 8 3" xfId="13972"/>
    <cellStyle name="Note 5 3 6 9" xfId="4381"/>
    <cellStyle name="Note 5 3 6 9 2" xfId="9660"/>
    <cellStyle name="Note 5 3 6 9 3" xfId="13973"/>
    <cellStyle name="Note 5 3 7" xfId="1057"/>
    <cellStyle name="Note 5 3 7 10" xfId="2294"/>
    <cellStyle name="Note 5 3 7 10 2" xfId="7573"/>
    <cellStyle name="Note 5 3 7 10 3" xfId="11351"/>
    <cellStyle name="Note 5 3 7 11" xfId="6336"/>
    <cellStyle name="Note 5 3 7 2" xfId="1674"/>
    <cellStyle name="Note 5 3 7 2 2" xfId="2908"/>
    <cellStyle name="Note 5 3 7 2 2 2" xfId="8187"/>
    <cellStyle name="Note 5 3 7 2 2 3" xfId="13975"/>
    <cellStyle name="Note 5 3 7 2 3" xfId="6953"/>
    <cellStyle name="Note 5 3 7 2 4" xfId="13974"/>
    <cellStyle name="Note 5 3 7 3" xfId="4382"/>
    <cellStyle name="Note 5 3 7 3 2" xfId="9661"/>
    <cellStyle name="Note 5 3 7 3 3" xfId="13976"/>
    <cellStyle name="Note 5 3 7 4" xfId="4383"/>
    <cellStyle name="Note 5 3 7 4 2" xfId="9662"/>
    <cellStyle name="Note 5 3 7 4 3" xfId="13977"/>
    <cellStyle name="Note 5 3 7 5" xfId="4384"/>
    <cellStyle name="Note 5 3 7 5 2" xfId="9663"/>
    <cellStyle name="Note 5 3 7 5 3" xfId="13978"/>
    <cellStyle name="Note 5 3 7 6" xfId="4385"/>
    <cellStyle name="Note 5 3 7 6 2" xfId="9664"/>
    <cellStyle name="Note 5 3 7 6 3" xfId="13979"/>
    <cellStyle name="Note 5 3 7 7" xfId="4386"/>
    <cellStyle name="Note 5 3 7 7 2" xfId="9665"/>
    <cellStyle name="Note 5 3 7 7 3" xfId="13980"/>
    <cellStyle name="Note 5 3 7 8" xfId="4387"/>
    <cellStyle name="Note 5 3 7 8 2" xfId="9666"/>
    <cellStyle name="Note 5 3 7 8 3" xfId="13981"/>
    <cellStyle name="Note 5 3 7 9" xfId="4388"/>
    <cellStyle name="Note 5 3 7 9 2" xfId="9667"/>
    <cellStyle name="Note 5 3 7 9 3" xfId="13982"/>
    <cellStyle name="Note 5 3 8" xfId="1292"/>
    <cellStyle name="Note 5 3 8 2" xfId="2526"/>
    <cellStyle name="Note 5 3 8 2 2" xfId="7805"/>
    <cellStyle name="Note 5 3 8 2 3" xfId="13984"/>
    <cellStyle name="Note 5 3 8 3" xfId="6571"/>
    <cellStyle name="Note 5 3 8 4" xfId="13983"/>
    <cellStyle name="Note 5 3 9" xfId="4389"/>
    <cellStyle name="Note 5 3 9 2" xfId="9668"/>
    <cellStyle name="Note 5 3 9 3" xfId="13985"/>
    <cellStyle name="Note 5 4" xfId="605"/>
    <cellStyle name="Note 5 4 10" xfId="4390"/>
    <cellStyle name="Note 5 4 10 2" xfId="9669"/>
    <cellStyle name="Note 5 4 10 3" xfId="13986"/>
    <cellStyle name="Note 5 4 11" xfId="4391"/>
    <cellStyle name="Note 5 4 11 2" xfId="9670"/>
    <cellStyle name="Note 5 4 11 3" xfId="13987"/>
    <cellStyle name="Note 5 4 12" xfId="1981"/>
    <cellStyle name="Note 5 4 12 2" xfId="7260"/>
    <cellStyle name="Note 5 4 12 3" xfId="11352"/>
    <cellStyle name="Note 5 4 13" xfId="5956"/>
    <cellStyle name="Note 5 4 2" xfId="767"/>
    <cellStyle name="Note 5 4 2 2" xfId="1394"/>
    <cellStyle name="Note 5 4 2 2 2" xfId="2628"/>
    <cellStyle name="Note 5 4 2 2 2 2" xfId="7907"/>
    <cellStyle name="Note 5 4 2 2 2 3" xfId="13990"/>
    <cellStyle name="Note 5 4 2 2 3" xfId="6673"/>
    <cellStyle name="Note 5 4 2 2 4" xfId="13989"/>
    <cellStyle name="Note 5 4 2 3" xfId="1871"/>
    <cellStyle name="Note 5 4 2 3 2" xfId="3105"/>
    <cellStyle name="Note 5 4 2 3 2 2" xfId="8384"/>
    <cellStyle name="Note 5 4 2 3 2 3" xfId="13992"/>
    <cellStyle name="Note 5 4 2 3 3" xfId="7150"/>
    <cellStyle name="Note 5 4 2 3 4" xfId="13991"/>
    <cellStyle name="Note 5 4 2 4" xfId="4392"/>
    <cellStyle name="Note 5 4 2 4 2" xfId="9671"/>
    <cellStyle name="Note 5 4 2 4 3" xfId="13993"/>
    <cellStyle name="Note 5 4 2 5" xfId="4393"/>
    <cellStyle name="Note 5 4 2 5 2" xfId="9672"/>
    <cellStyle name="Note 5 4 2 5 3" xfId="13994"/>
    <cellStyle name="Note 5 4 2 6" xfId="4394"/>
    <cellStyle name="Note 5 4 2 6 2" xfId="9673"/>
    <cellStyle name="Note 5 4 2 6 3" xfId="13995"/>
    <cellStyle name="Note 5 4 2 7" xfId="4395"/>
    <cellStyle name="Note 5 4 2 7 2" xfId="9674"/>
    <cellStyle name="Note 5 4 2 7 3" xfId="13996"/>
    <cellStyle name="Note 5 4 2 8" xfId="6056"/>
    <cellStyle name="Note 5 4 2 9" xfId="13988"/>
    <cellStyle name="Note 5 4 3" xfId="1058"/>
    <cellStyle name="Note 5 4 3 10" xfId="2295"/>
    <cellStyle name="Note 5 4 3 10 2" xfId="7574"/>
    <cellStyle name="Note 5 4 3 10 3" xfId="11353"/>
    <cellStyle name="Note 5 4 3 11" xfId="6337"/>
    <cellStyle name="Note 5 4 3 2" xfId="1675"/>
    <cellStyle name="Note 5 4 3 2 2" xfId="2909"/>
    <cellStyle name="Note 5 4 3 2 2 2" xfId="8188"/>
    <cellStyle name="Note 5 4 3 2 2 3" xfId="13998"/>
    <cellStyle name="Note 5 4 3 2 3" xfId="6954"/>
    <cellStyle name="Note 5 4 3 2 4" xfId="13997"/>
    <cellStyle name="Note 5 4 3 3" xfId="4396"/>
    <cellStyle name="Note 5 4 3 3 2" xfId="9675"/>
    <cellStyle name="Note 5 4 3 3 3" xfId="13999"/>
    <cellStyle name="Note 5 4 3 4" xfId="4397"/>
    <cellStyle name="Note 5 4 3 4 2" xfId="9676"/>
    <cellStyle name="Note 5 4 3 4 3" xfId="14000"/>
    <cellStyle name="Note 5 4 3 5" xfId="4398"/>
    <cellStyle name="Note 5 4 3 5 2" xfId="9677"/>
    <cellStyle name="Note 5 4 3 5 3" xfId="14001"/>
    <cellStyle name="Note 5 4 3 6" xfId="4399"/>
    <cellStyle name="Note 5 4 3 6 2" xfId="9678"/>
    <cellStyle name="Note 5 4 3 6 3" xfId="14002"/>
    <cellStyle name="Note 5 4 3 7" xfId="4400"/>
    <cellStyle name="Note 5 4 3 7 2" xfId="9679"/>
    <cellStyle name="Note 5 4 3 7 3" xfId="14003"/>
    <cellStyle name="Note 5 4 3 8" xfId="4401"/>
    <cellStyle name="Note 5 4 3 8 2" xfId="9680"/>
    <cellStyle name="Note 5 4 3 8 3" xfId="14004"/>
    <cellStyle name="Note 5 4 3 9" xfId="4402"/>
    <cellStyle name="Note 5 4 3 9 2" xfId="9681"/>
    <cellStyle name="Note 5 4 3 9 3" xfId="14005"/>
    <cellStyle name="Note 5 4 4" xfId="1059"/>
    <cellStyle name="Note 5 4 4 10" xfId="2296"/>
    <cellStyle name="Note 5 4 4 10 2" xfId="7575"/>
    <cellStyle name="Note 5 4 4 10 3" xfId="11354"/>
    <cellStyle name="Note 5 4 4 11" xfId="6338"/>
    <cellStyle name="Note 5 4 4 2" xfId="1676"/>
    <cellStyle name="Note 5 4 4 2 2" xfId="2910"/>
    <cellStyle name="Note 5 4 4 2 2 2" xfId="8189"/>
    <cellStyle name="Note 5 4 4 2 2 3" xfId="14007"/>
    <cellStyle name="Note 5 4 4 2 3" xfId="6955"/>
    <cellStyle name="Note 5 4 4 2 4" xfId="14006"/>
    <cellStyle name="Note 5 4 4 3" xfId="4403"/>
    <cellStyle name="Note 5 4 4 3 2" xfId="9682"/>
    <cellStyle name="Note 5 4 4 3 3" xfId="14008"/>
    <cellStyle name="Note 5 4 4 4" xfId="4404"/>
    <cellStyle name="Note 5 4 4 4 2" xfId="9683"/>
    <cellStyle name="Note 5 4 4 4 3" xfId="14009"/>
    <cellStyle name="Note 5 4 4 5" xfId="4405"/>
    <cellStyle name="Note 5 4 4 5 2" xfId="9684"/>
    <cellStyle name="Note 5 4 4 5 3" xfId="14010"/>
    <cellStyle name="Note 5 4 4 6" xfId="4406"/>
    <cellStyle name="Note 5 4 4 6 2" xfId="9685"/>
    <cellStyle name="Note 5 4 4 6 3" xfId="14011"/>
    <cellStyle name="Note 5 4 4 7" xfId="4407"/>
    <cellStyle name="Note 5 4 4 7 2" xfId="9686"/>
    <cellStyle name="Note 5 4 4 7 3" xfId="14012"/>
    <cellStyle name="Note 5 4 4 8" xfId="4408"/>
    <cellStyle name="Note 5 4 4 8 2" xfId="9687"/>
    <cellStyle name="Note 5 4 4 8 3" xfId="14013"/>
    <cellStyle name="Note 5 4 4 9" xfId="4409"/>
    <cellStyle name="Note 5 4 4 9 2" xfId="9688"/>
    <cellStyle name="Note 5 4 4 9 3" xfId="14014"/>
    <cellStyle name="Note 5 4 5" xfId="1060"/>
    <cellStyle name="Note 5 4 5 10" xfId="2297"/>
    <cellStyle name="Note 5 4 5 10 2" xfId="7576"/>
    <cellStyle name="Note 5 4 5 10 3" xfId="11355"/>
    <cellStyle name="Note 5 4 5 11" xfId="6339"/>
    <cellStyle name="Note 5 4 5 2" xfId="1677"/>
    <cellStyle name="Note 5 4 5 2 2" xfId="2911"/>
    <cellStyle name="Note 5 4 5 2 2 2" xfId="8190"/>
    <cellStyle name="Note 5 4 5 2 2 3" xfId="14016"/>
    <cellStyle name="Note 5 4 5 2 3" xfId="6956"/>
    <cellStyle name="Note 5 4 5 2 4" xfId="14015"/>
    <cellStyle name="Note 5 4 5 3" xfId="4410"/>
    <cellStyle name="Note 5 4 5 3 2" xfId="9689"/>
    <cellStyle name="Note 5 4 5 3 3" xfId="14017"/>
    <cellStyle name="Note 5 4 5 4" xfId="4411"/>
    <cellStyle name="Note 5 4 5 4 2" xfId="9690"/>
    <cellStyle name="Note 5 4 5 4 3" xfId="14018"/>
    <cellStyle name="Note 5 4 5 5" xfId="4412"/>
    <cellStyle name="Note 5 4 5 5 2" xfId="9691"/>
    <cellStyle name="Note 5 4 5 5 3" xfId="14019"/>
    <cellStyle name="Note 5 4 5 6" xfId="4413"/>
    <cellStyle name="Note 5 4 5 6 2" xfId="9692"/>
    <cellStyle name="Note 5 4 5 6 3" xfId="14020"/>
    <cellStyle name="Note 5 4 5 7" xfId="4414"/>
    <cellStyle name="Note 5 4 5 7 2" xfId="9693"/>
    <cellStyle name="Note 5 4 5 7 3" xfId="14021"/>
    <cellStyle name="Note 5 4 5 8" xfId="4415"/>
    <cellStyle name="Note 5 4 5 8 2" xfId="9694"/>
    <cellStyle name="Note 5 4 5 8 3" xfId="14022"/>
    <cellStyle name="Note 5 4 5 9" xfId="4416"/>
    <cellStyle name="Note 5 4 5 9 2" xfId="9695"/>
    <cellStyle name="Note 5 4 5 9 3" xfId="14023"/>
    <cellStyle name="Note 5 4 6" xfId="1061"/>
    <cellStyle name="Note 5 4 6 10" xfId="2298"/>
    <cellStyle name="Note 5 4 6 10 2" xfId="7577"/>
    <cellStyle name="Note 5 4 6 10 3" xfId="11356"/>
    <cellStyle name="Note 5 4 6 11" xfId="6340"/>
    <cellStyle name="Note 5 4 6 2" xfId="1678"/>
    <cellStyle name="Note 5 4 6 2 2" xfId="2912"/>
    <cellStyle name="Note 5 4 6 2 2 2" xfId="8191"/>
    <cellStyle name="Note 5 4 6 2 2 3" xfId="14025"/>
    <cellStyle name="Note 5 4 6 2 3" xfId="6957"/>
    <cellStyle name="Note 5 4 6 2 4" xfId="14024"/>
    <cellStyle name="Note 5 4 6 3" xfId="4417"/>
    <cellStyle name="Note 5 4 6 3 2" xfId="9696"/>
    <cellStyle name="Note 5 4 6 3 3" xfId="14026"/>
    <cellStyle name="Note 5 4 6 4" xfId="4418"/>
    <cellStyle name="Note 5 4 6 4 2" xfId="9697"/>
    <cellStyle name="Note 5 4 6 4 3" xfId="14027"/>
    <cellStyle name="Note 5 4 6 5" xfId="4419"/>
    <cellStyle name="Note 5 4 6 5 2" xfId="9698"/>
    <cellStyle name="Note 5 4 6 5 3" xfId="14028"/>
    <cellStyle name="Note 5 4 6 6" xfId="4420"/>
    <cellStyle name="Note 5 4 6 6 2" xfId="9699"/>
    <cellStyle name="Note 5 4 6 6 3" xfId="14029"/>
    <cellStyle name="Note 5 4 6 7" xfId="4421"/>
    <cellStyle name="Note 5 4 6 7 2" xfId="9700"/>
    <cellStyle name="Note 5 4 6 7 3" xfId="14030"/>
    <cellStyle name="Note 5 4 6 8" xfId="4422"/>
    <cellStyle name="Note 5 4 6 8 2" xfId="9701"/>
    <cellStyle name="Note 5 4 6 8 3" xfId="14031"/>
    <cellStyle name="Note 5 4 6 9" xfId="4423"/>
    <cellStyle name="Note 5 4 6 9 2" xfId="9702"/>
    <cellStyle name="Note 5 4 6 9 3" xfId="14032"/>
    <cellStyle name="Note 5 4 7" xfId="1294"/>
    <cellStyle name="Note 5 4 7 2" xfId="2528"/>
    <cellStyle name="Note 5 4 7 2 2" xfId="7807"/>
    <cellStyle name="Note 5 4 7 2 3" xfId="14034"/>
    <cellStyle name="Note 5 4 7 3" xfId="6573"/>
    <cellStyle name="Note 5 4 7 4" xfId="14033"/>
    <cellStyle name="Note 5 4 8" xfId="4424"/>
    <cellStyle name="Note 5 4 8 2" xfId="9703"/>
    <cellStyle name="Note 5 4 8 3" xfId="14035"/>
    <cellStyle name="Note 5 4 9" xfId="4425"/>
    <cellStyle name="Note 5 4 9 2" xfId="9704"/>
    <cellStyle name="Note 5 4 9 3" xfId="14036"/>
    <cellStyle name="Note 5 5" xfId="771"/>
    <cellStyle name="Note 5 5 2" xfId="1398"/>
    <cellStyle name="Note 5 5 2 2" xfId="2632"/>
    <cellStyle name="Note 5 5 2 2 2" xfId="7911"/>
    <cellStyle name="Note 5 5 2 2 3" xfId="14039"/>
    <cellStyle name="Note 5 5 2 3" xfId="6677"/>
    <cellStyle name="Note 5 5 2 4" xfId="14038"/>
    <cellStyle name="Note 5 5 3" xfId="1875"/>
    <cellStyle name="Note 5 5 3 2" xfId="3109"/>
    <cellStyle name="Note 5 5 3 2 2" xfId="8388"/>
    <cellStyle name="Note 5 5 3 2 3" xfId="14041"/>
    <cellStyle name="Note 5 5 3 3" xfId="7154"/>
    <cellStyle name="Note 5 5 3 4" xfId="14040"/>
    <cellStyle name="Note 5 5 4" xfId="4426"/>
    <cellStyle name="Note 5 5 4 2" xfId="9705"/>
    <cellStyle name="Note 5 5 4 3" xfId="14042"/>
    <cellStyle name="Note 5 5 5" xfId="4427"/>
    <cellStyle name="Note 5 5 5 2" xfId="9706"/>
    <cellStyle name="Note 5 5 5 3" xfId="14043"/>
    <cellStyle name="Note 5 5 6" xfId="4428"/>
    <cellStyle name="Note 5 5 6 2" xfId="9707"/>
    <cellStyle name="Note 5 5 6 3" xfId="14044"/>
    <cellStyle name="Note 5 5 7" xfId="4429"/>
    <cellStyle name="Note 5 5 7 2" xfId="9708"/>
    <cellStyle name="Note 5 5 7 3" xfId="14045"/>
    <cellStyle name="Note 5 5 8" xfId="6060"/>
    <cellStyle name="Note 5 5 9" xfId="14037"/>
    <cellStyle name="Note 5 6" xfId="1062"/>
    <cellStyle name="Note 5 6 10" xfId="2299"/>
    <cellStyle name="Note 5 6 10 2" xfId="7578"/>
    <cellStyle name="Note 5 6 10 3" xfId="11357"/>
    <cellStyle name="Note 5 6 11" xfId="6341"/>
    <cellStyle name="Note 5 6 2" xfId="1679"/>
    <cellStyle name="Note 5 6 2 2" xfId="2913"/>
    <cellStyle name="Note 5 6 2 2 2" xfId="8192"/>
    <cellStyle name="Note 5 6 2 2 3" xfId="14047"/>
    <cellStyle name="Note 5 6 2 3" xfId="6958"/>
    <cellStyle name="Note 5 6 2 4" xfId="14046"/>
    <cellStyle name="Note 5 6 3" xfId="4430"/>
    <cellStyle name="Note 5 6 3 2" xfId="9709"/>
    <cellStyle name="Note 5 6 3 3" xfId="14048"/>
    <cellStyle name="Note 5 6 4" xfId="4431"/>
    <cellStyle name="Note 5 6 4 2" xfId="9710"/>
    <cellStyle name="Note 5 6 4 3" xfId="14049"/>
    <cellStyle name="Note 5 6 5" xfId="4432"/>
    <cellStyle name="Note 5 6 5 2" xfId="9711"/>
    <cellStyle name="Note 5 6 5 3" xfId="14050"/>
    <cellStyle name="Note 5 6 6" xfId="4433"/>
    <cellStyle name="Note 5 6 6 2" xfId="9712"/>
    <cellStyle name="Note 5 6 6 3" xfId="14051"/>
    <cellStyle name="Note 5 6 7" xfId="4434"/>
    <cellStyle name="Note 5 6 7 2" xfId="9713"/>
    <cellStyle name="Note 5 6 7 3" xfId="14052"/>
    <cellStyle name="Note 5 6 8" xfId="4435"/>
    <cellStyle name="Note 5 6 8 2" xfId="9714"/>
    <cellStyle name="Note 5 6 8 3" xfId="14053"/>
    <cellStyle name="Note 5 6 9" xfId="4436"/>
    <cellStyle name="Note 5 6 9 2" xfId="9715"/>
    <cellStyle name="Note 5 6 9 3" xfId="14054"/>
    <cellStyle name="Note 5 7" xfId="1063"/>
    <cellStyle name="Note 5 7 10" xfId="2300"/>
    <cellStyle name="Note 5 7 10 2" xfId="7579"/>
    <cellStyle name="Note 5 7 10 3" xfId="11358"/>
    <cellStyle name="Note 5 7 11" xfId="6342"/>
    <cellStyle name="Note 5 7 2" xfId="1680"/>
    <cellStyle name="Note 5 7 2 2" xfId="2914"/>
    <cellStyle name="Note 5 7 2 2 2" xfId="8193"/>
    <cellStyle name="Note 5 7 2 2 3" xfId="14056"/>
    <cellStyle name="Note 5 7 2 3" xfId="6959"/>
    <cellStyle name="Note 5 7 2 4" xfId="14055"/>
    <cellStyle name="Note 5 7 3" xfId="4437"/>
    <cellStyle name="Note 5 7 3 2" xfId="9716"/>
    <cellStyle name="Note 5 7 3 3" xfId="14057"/>
    <cellStyle name="Note 5 7 4" xfId="4438"/>
    <cellStyle name="Note 5 7 4 2" xfId="9717"/>
    <cellStyle name="Note 5 7 4 3" xfId="14058"/>
    <cellStyle name="Note 5 7 5" xfId="4439"/>
    <cellStyle name="Note 5 7 5 2" xfId="9718"/>
    <cellStyle name="Note 5 7 5 3" xfId="14059"/>
    <cellStyle name="Note 5 7 6" xfId="4440"/>
    <cellStyle name="Note 5 7 6 2" xfId="9719"/>
    <cellStyle name="Note 5 7 6 3" xfId="14060"/>
    <cellStyle name="Note 5 7 7" xfId="4441"/>
    <cellStyle name="Note 5 7 7 2" xfId="9720"/>
    <cellStyle name="Note 5 7 7 3" xfId="14061"/>
    <cellStyle name="Note 5 7 8" xfId="4442"/>
    <cellStyle name="Note 5 7 8 2" xfId="9721"/>
    <cellStyle name="Note 5 7 8 3" xfId="14062"/>
    <cellStyle name="Note 5 7 9" xfId="4443"/>
    <cellStyle name="Note 5 7 9 2" xfId="9722"/>
    <cellStyle name="Note 5 7 9 3" xfId="14063"/>
    <cellStyle name="Note 5 8" xfId="1064"/>
    <cellStyle name="Note 5 8 10" xfId="2301"/>
    <cellStyle name="Note 5 8 10 2" xfId="7580"/>
    <cellStyle name="Note 5 8 10 3" xfId="11359"/>
    <cellStyle name="Note 5 8 11" xfId="6343"/>
    <cellStyle name="Note 5 8 2" xfId="1681"/>
    <cellStyle name="Note 5 8 2 2" xfId="2915"/>
    <cellStyle name="Note 5 8 2 2 2" xfId="8194"/>
    <cellStyle name="Note 5 8 2 2 3" xfId="14065"/>
    <cellStyle name="Note 5 8 2 3" xfId="6960"/>
    <cellStyle name="Note 5 8 2 4" xfId="14064"/>
    <cellStyle name="Note 5 8 3" xfId="4444"/>
    <cellStyle name="Note 5 8 3 2" xfId="9723"/>
    <cellStyle name="Note 5 8 3 3" xfId="14066"/>
    <cellStyle name="Note 5 8 4" xfId="4445"/>
    <cellStyle name="Note 5 8 4 2" xfId="9724"/>
    <cellStyle name="Note 5 8 4 3" xfId="14067"/>
    <cellStyle name="Note 5 8 5" xfId="4446"/>
    <cellStyle name="Note 5 8 5 2" xfId="9725"/>
    <cellStyle name="Note 5 8 5 3" xfId="14068"/>
    <cellStyle name="Note 5 8 6" xfId="4447"/>
    <cellStyle name="Note 5 8 6 2" xfId="9726"/>
    <cellStyle name="Note 5 8 6 3" xfId="14069"/>
    <cellStyle name="Note 5 8 7" xfId="4448"/>
    <cellStyle name="Note 5 8 7 2" xfId="9727"/>
    <cellStyle name="Note 5 8 7 3" xfId="14070"/>
    <cellStyle name="Note 5 8 8" xfId="4449"/>
    <cellStyle name="Note 5 8 8 2" xfId="9728"/>
    <cellStyle name="Note 5 8 8 3" xfId="14071"/>
    <cellStyle name="Note 5 8 9" xfId="4450"/>
    <cellStyle name="Note 5 8 9 2" xfId="9729"/>
    <cellStyle name="Note 5 8 9 3" xfId="14072"/>
    <cellStyle name="Note 5 9" xfId="1065"/>
    <cellStyle name="Note 5 9 10" xfId="2302"/>
    <cellStyle name="Note 5 9 10 2" xfId="7581"/>
    <cellStyle name="Note 5 9 10 3" xfId="11360"/>
    <cellStyle name="Note 5 9 11" xfId="6344"/>
    <cellStyle name="Note 5 9 2" xfId="1682"/>
    <cellStyle name="Note 5 9 2 2" xfId="2916"/>
    <cellStyle name="Note 5 9 2 2 2" xfId="8195"/>
    <cellStyle name="Note 5 9 2 2 3" xfId="14074"/>
    <cellStyle name="Note 5 9 2 3" xfId="6961"/>
    <cellStyle name="Note 5 9 2 4" xfId="14073"/>
    <cellStyle name="Note 5 9 3" xfId="4451"/>
    <cellStyle name="Note 5 9 3 2" xfId="9730"/>
    <cellStyle name="Note 5 9 3 3" xfId="14075"/>
    <cellStyle name="Note 5 9 4" xfId="4452"/>
    <cellStyle name="Note 5 9 4 2" xfId="9731"/>
    <cellStyle name="Note 5 9 4 3" xfId="14076"/>
    <cellStyle name="Note 5 9 5" xfId="4453"/>
    <cellStyle name="Note 5 9 5 2" xfId="9732"/>
    <cellStyle name="Note 5 9 5 3" xfId="14077"/>
    <cellStyle name="Note 5 9 6" xfId="4454"/>
    <cellStyle name="Note 5 9 6 2" xfId="9733"/>
    <cellStyle name="Note 5 9 6 3" xfId="14078"/>
    <cellStyle name="Note 5 9 7" xfId="4455"/>
    <cellStyle name="Note 5 9 7 2" xfId="9734"/>
    <cellStyle name="Note 5 9 7 3" xfId="14079"/>
    <cellStyle name="Note 5 9 8" xfId="4456"/>
    <cellStyle name="Note 5 9 8 2" xfId="9735"/>
    <cellStyle name="Note 5 9 8 3" xfId="14080"/>
    <cellStyle name="Note 5 9 9" xfId="4457"/>
    <cellStyle name="Note 5 9 9 2" xfId="9736"/>
    <cellStyle name="Note 5 9 9 3" xfId="14081"/>
    <cellStyle name="Note 6" xfId="606"/>
    <cellStyle name="Note 6 10" xfId="1295"/>
    <cellStyle name="Note 6 10 2" xfId="2529"/>
    <cellStyle name="Note 6 10 2 2" xfId="7808"/>
    <cellStyle name="Note 6 10 2 3" xfId="14083"/>
    <cellStyle name="Note 6 10 3" xfId="6574"/>
    <cellStyle name="Note 6 10 4" xfId="14082"/>
    <cellStyle name="Note 6 11" xfId="4458"/>
    <cellStyle name="Note 6 11 2" xfId="9737"/>
    <cellStyle name="Note 6 11 3" xfId="14084"/>
    <cellStyle name="Note 6 12" xfId="4459"/>
    <cellStyle name="Note 6 12 2" xfId="9738"/>
    <cellStyle name="Note 6 12 3" xfId="14085"/>
    <cellStyle name="Note 6 13" xfId="4460"/>
    <cellStyle name="Note 6 13 2" xfId="9739"/>
    <cellStyle name="Note 6 13 3" xfId="14086"/>
    <cellStyle name="Note 6 14" xfId="4461"/>
    <cellStyle name="Note 6 14 2" xfId="9740"/>
    <cellStyle name="Note 6 14 3" xfId="14087"/>
    <cellStyle name="Note 6 15" xfId="1982"/>
    <cellStyle name="Note 6 15 2" xfId="7261"/>
    <cellStyle name="Note 6 15 3" xfId="11361"/>
    <cellStyle name="Note 6 16" xfId="5957"/>
    <cellStyle name="Note 6 2" xfId="607"/>
    <cellStyle name="Note 6 2 10" xfId="4462"/>
    <cellStyle name="Note 6 2 10 2" xfId="9741"/>
    <cellStyle name="Note 6 2 10 3" xfId="14088"/>
    <cellStyle name="Note 6 2 11" xfId="4463"/>
    <cellStyle name="Note 6 2 11 2" xfId="9742"/>
    <cellStyle name="Note 6 2 11 3" xfId="14089"/>
    <cellStyle name="Note 6 2 12" xfId="4464"/>
    <cellStyle name="Note 6 2 12 2" xfId="9743"/>
    <cellStyle name="Note 6 2 12 3" xfId="14090"/>
    <cellStyle name="Note 6 2 13" xfId="1983"/>
    <cellStyle name="Note 6 2 13 2" xfId="7262"/>
    <cellStyle name="Note 6 2 13 3" xfId="11362"/>
    <cellStyle name="Note 6 2 14" xfId="5958"/>
    <cellStyle name="Note 6 2 2" xfId="608"/>
    <cellStyle name="Note 6 2 2 10" xfId="4465"/>
    <cellStyle name="Note 6 2 2 10 2" xfId="9744"/>
    <cellStyle name="Note 6 2 2 10 3" xfId="14091"/>
    <cellStyle name="Note 6 2 2 11" xfId="4466"/>
    <cellStyle name="Note 6 2 2 11 2" xfId="9745"/>
    <cellStyle name="Note 6 2 2 11 3" xfId="14092"/>
    <cellStyle name="Note 6 2 2 12" xfId="1984"/>
    <cellStyle name="Note 6 2 2 12 2" xfId="7263"/>
    <cellStyle name="Note 6 2 2 12 3" xfId="11363"/>
    <cellStyle name="Note 6 2 2 13" xfId="5959"/>
    <cellStyle name="Note 6 2 2 2" xfId="764"/>
    <cellStyle name="Note 6 2 2 2 2" xfId="1391"/>
    <cellStyle name="Note 6 2 2 2 2 2" xfId="2625"/>
    <cellStyle name="Note 6 2 2 2 2 2 2" xfId="7904"/>
    <cellStyle name="Note 6 2 2 2 2 2 3" xfId="14095"/>
    <cellStyle name="Note 6 2 2 2 2 3" xfId="6670"/>
    <cellStyle name="Note 6 2 2 2 2 4" xfId="14094"/>
    <cellStyle name="Note 6 2 2 2 3" xfId="1868"/>
    <cellStyle name="Note 6 2 2 2 3 2" xfId="3102"/>
    <cellStyle name="Note 6 2 2 2 3 2 2" xfId="8381"/>
    <cellStyle name="Note 6 2 2 2 3 2 3" xfId="14097"/>
    <cellStyle name="Note 6 2 2 2 3 3" xfId="7147"/>
    <cellStyle name="Note 6 2 2 2 3 4" xfId="14096"/>
    <cellStyle name="Note 6 2 2 2 4" xfId="4467"/>
    <cellStyle name="Note 6 2 2 2 4 2" xfId="9746"/>
    <cellStyle name="Note 6 2 2 2 4 3" xfId="14098"/>
    <cellStyle name="Note 6 2 2 2 5" xfId="4468"/>
    <cellStyle name="Note 6 2 2 2 5 2" xfId="9747"/>
    <cellStyle name="Note 6 2 2 2 5 3" xfId="14099"/>
    <cellStyle name="Note 6 2 2 2 6" xfId="4469"/>
    <cellStyle name="Note 6 2 2 2 6 2" xfId="9748"/>
    <cellStyle name="Note 6 2 2 2 6 3" xfId="14100"/>
    <cellStyle name="Note 6 2 2 2 7" xfId="4470"/>
    <cellStyle name="Note 6 2 2 2 7 2" xfId="9749"/>
    <cellStyle name="Note 6 2 2 2 7 3" xfId="14101"/>
    <cellStyle name="Note 6 2 2 2 8" xfId="6053"/>
    <cellStyle name="Note 6 2 2 2 9" xfId="14093"/>
    <cellStyle name="Note 6 2 2 3" xfId="1066"/>
    <cellStyle name="Note 6 2 2 3 10" xfId="2303"/>
    <cellStyle name="Note 6 2 2 3 10 2" xfId="7582"/>
    <cellStyle name="Note 6 2 2 3 10 3" xfId="11364"/>
    <cellStyle name="Note 6 2 2 3 11" xfId="6345"/>
    <cellStyle name="Note 6 2 2 3 2" xfId="1683"/>
    <cellStyle name="Note 6 2 2 3 2 2" xfId="2917"/>
    <cellStyle name="Note 6 2 2 3 2 2 2" xfId="8196"/>
    <cellStyle name="Note 6 2 2 3 2 2 3" xfId="14103"/>
    <cellStyle name="Note 6 2 2 3 2 3" xfId="6962"/>
    <cellStyle name="Note 6 2 2 3 2 4" xfId="14102"/>
    <cellStyle name="Note 6 2 2 3 3" xfId="4471"/>
    <cellStyle name="Note 6 2 2 3 3 2" xfId="9750"/>
    <cellStyle name="Note 6 2 2 3 3 3" xfId="14104"/>
    <cellStyle name="Note 6 2 2 3 4" xfId="4472"/>
    <cellStyle name="Note 6 2 2 3 4 2" xfId="9751"/>
    <cellStyle name="Note 6 2 2 3 4 3" xfId="14105"/>
    <cellStyle name="Note 6 2 2 3 5" xfId="4473"/>
    <cellStyle name="Note 6 2 2 3 5 2" xfId="9752"/>
    <cellStyle name="Note 6 2 2 3 5 3" xfId="14106"/>
    <cellStyle name="Note 6 2 2 3 6" xfId="4474"/>
    <cellStyle name="Note 6 2 2 3 6 2" xfId="9753"/>
    <cellStyle name="Note 6 2 2 3 6 3" xfId="14107"/>
    <cellStyle name="Note 6 2 2 3 7" xfId="4475"/>
    <cellStyle name="Note 6 2 2 3 7 2" xfId="9754"/>
    <cellStyle name="Note 6 2 2 3 7 3" xfId="14108"/>
    <cellStyle name="Note 6 2 2 3 8" xfId="4476"/>
    <cellStyle name="Note 6 2 2 3 8 2" xfId="9755"/>
    <cellStyle name="Note 6 2 2 3 8 3" xfId="14109"/>
    <cellStyle name="Note 6 2 2 3 9" xfId="4477"/>
    <cellStyle name="Note 6 2 2 3 9 2" xfId="9756"/>
    <cellStyle name="Note 6 2 2 3 9 3" xfId="14110"/>
    <cellStyle name="Note 6 2 2 4" xfId="1067"/>
    <cellStyle name="Note 6 2 2 4 10" xfId="2304"/>
    <cellStyle name="Note 6 2 2 4 10 2" xfId="7583"/>
    <cellStyle name="Note 6 2 2 4 10 3" xfId="11365"/>
    <cellStyle name="Note 6 2 2 4 11" xfId="6346"/>
    <cellStyle name="Note 6 2 2 4 2" xfId="1684"/>
    <cellStyle name="Note 6 2 2 4 2 2" xfId="2918"/>
    <cellStyle name="Note 6 2 2 4 2 2 2" xfId="8197"/>
    <cellStyle name="Note 6 2 2 4 2 2 3" xfId="14112"/>
    <cellStyle name="Note 6 2 2 4 2 3" xfId="6963"/>
    <cellStyle name="Note 6 2 2 4 2 4" xfId="14111"/>
    <cellStyle name="Note 6 2 2 4 3" xfId="4478"/>
    <cellStyle name="Note 6 2 2 4 3 2" xfId="9757"/>
    <cellStyle name="Note 6 2 2 4 3 3" xfId="14113"/>
    <cellStyle name="Note 6 2 2 4 4" xfId="4479"/>
    <cellStyle name="Note 6 2 2 4 4 2" xfId="9758"/>
    <cellStyle name="Note 6 2 2 4 4 3" xfId="14114"/>
    <cellStyle name="Note 6 2 2 4 5" xfId="4480"/>
    <cellStyle name="Note 6 2 2 4 5 2" xfId="9759"/>
    <cellStyle name="Note 6 2 2 4 5 3" xfId="14115"/>
    <cellStyle name="Note 6 2 2 4 6" xfId="4481"/>
    <cellStyle name="Note 6 2 2 4 6 2" xfId="9760"/>
    <cellStyle name="Note 6 2 2 4 6 3" xfId="14116"/>
    <cellStyle name="Note 6 2 2 4 7" xfId="4482"/>
    <cellStyle name="Note 6 2 2 4 7 2" xfId="9761"/>
    <cellStyle name="Note 6 2 2 4 7 3" xfId="14117"/>
    <cellStyle name="Note 6 2 2 4 8" xfId="4483"/>
    <cellStyle name="Note 6 2 2 4 8 2" xfId="9762"/>
    <cellStyle name="Note 6 2 2 4 8 3" xfId="14118"/>
    <cellStyle name="Note 6 2 2 4 9" xfId="4484"/>
    <cellStyle name="Note 6 2 2 4 9 2" xfId="9763"/>
    <cellStyle name="Note 6 2 2 4 9 3" xfId="14119"/>
    <cellStyle name="Note 6 2 2 5" xfId="1068"/>
    <cellStyle name="Note 6 2 2 5 10" xfId="2305"/>
    <cellStyle name="Note 6 2 2 5 10 2" xfId="7584"/>
    <cellStyle name="Note 6 2 2 5 10 3" xfId="11366"/>
    <cellStyle name="Note 6 2 2 5 11" xfId="6347"/>
    <cellStyle name="Note 6 2 2 5 2" xfId="1685"/>
    <cellStyle name="Note 6 2 2 5 2 2" xfId="2919"/>
    <cellStyle name="Note 6 2 2 5 2 2 2" xfId="8198"/>
    <cellStyle name="Note 6 2 2 5 2 2 3" xfId="14121"/>
    <cellStyle name="Note 6 2 2 5 2 3" xfId="6964"/>
    <cellStyle name="Note 6 2 2 5 2 4" xfId="14120"/>
    <cellStyle name="Note 6 2 2 5 3" xfId="4485"/>
    <cellStyle name="Note 6 2 2 5 3 2" xfId="9764"/>
    <cellStyle name="Note 6 2 2 5 3 3" xfId="14122"/>
    <cellStyle name="Note 6 2 2 5 4" xfId="4486"/>
    <cellStyle name="Note 6 2 2 5 4 2" xfId="9765"/>
    <cellStyle name="Note 6 2 2 5 4 3" xfId="14123"/>
    <cellStyle name="Note 6 2 2 5 5" xfId="4487"/>
    <cellStyle name="Note 6 2 2 5 5 2" xfId="9766"/>
    <cellStyle name="Note 6 2 2 5 5 3" xfId="14124"/>
    <cellStyle name="Note 6 2 2 5 6" xfId="4488"/>
    <cellStyle name="Note 6 2 2 5 6 2" xfId="9767"/>
    <cellStyle name="Note 6 2 2 5 6 3" xfId="14125"/>
    <cellStyle name="Note 6 2 2 5 7" xfId="4489"/>
    <cellStyle name="Note 6 2 2 5 7 2" xfId="9768"/>
    <cellStyle name="Note 6 2 2 5 7 3" xfId="14126"/>
    <cellStyle name="Note 6 2 2 5 8" xfId="4490"/>
    <cellStyle name="Note 6 2 2 5 8 2" xfId="9769"/>
    <cellStyle name="Note 6 2 2 5 8 3" xfId="14127"/>
    <cellStyle name="Note 6 2 2 5 9" xfId="4491"/>
    <cellStyle name="Note 6 2 2 5 9 2" xfId="9770"/>
    <cellStyle name="Note 6 2 2 5 9 3" xfId="14128"/>
    <cellStyle name="Note 6 2 2 6" xfId="1069"/>
    <cellStyle name="Note 6 2 2 6 10" xfId="2306"/>
    <cellStyle name="Note 6 2 2 6 10 2" xfId="7585"/>
    <cellStyle name="Note 6 2 2 6 10 3" xfId="11367"/>
    <cellStyle name="Note 6 2 2 6 11" xfId="6348"/>
    <cellStyle name="Note 6 2 2 6 2" xfId="1686"/>
    <cellStyle name="Note 6 2 2 6 2 2" xfId="2920"/>
    <cellStyle name="Note 6 2 2 6 2 2 2" xfId="8199"/>
    <cellStyle name="Note 6 2 2 6 2 2 3" xfId="14130"/>
    <cellStyle name="Note 6 2 2 6 2 3" xfId="6965"/>
    <cellStyle name="Note 6 2 2 6 2 4" xfId="14129"/>
    <cellStyle name="Note 6 2 2 6 3" xfId="4492"/>
    <cellStyle name="Note 6 2 2 6 3 2" xfId="9771"/>
    <cellStyle name="Note 6 2 2 6 3 3" xfId="14131"/>
    <cellStyle name="Note 6 2 2 6 4" xfId="4493"/>
    <cellStyle name="Note 6 2 2 6 4 2" xfId="9772"/>
    <cellStyle name="Note 6 2 2 6 4 3" xfId="14132"/>
    <cellStyle name="Note 6 2 2 6 5" xfId="4494"/>
    <cellStyle name="Note 6 2 2 6 5 2" xfId="9773"/>
    <cellStyle name="Note 6 2 2 6 5 3" xfId="14133"/>
    <cellStyle name="Note 6 2 2 6 6" xfId="4495"/>
    <cellStyle name="Note 6 2 2 6 6 2" xfId="9774"/>
    <cellStyle name="Note 6 2 2 6 6 3" xfId="14134"/>
    <cellStyle name="Note 6 2 2 6 7" xfId="4496"/>
    <cellStyle name="Note 6 2 2 6 7 2" xfId="9775"/>
    <cellStyle name="Note 6 2 2 6 7 3" xfId="14135"/>
    <cellStyle name="Note 6 2 2 6 8" xfId="4497"/>
    <cellStyle name="Note 6 2 2 6 8 2" xfId="9776"/>
    <cellStyle name="Note 6 2 2 6 8 3" xfId="14136"/>
    <cellStyle name="Note 6 2 2 6 9" xfId="4498"/>
    <cellStyle name="Note 6 2 2 6 9 2" xfId="9777"/>
    <cellStyle name="Note 6 2 2 6 9 3" xfId="14137"/>
    <cellStyle name="Note 6 2 2 7" xfId="1297"/>
    <cellStyle name="Note 6 2 2 7 2" xfId="2531"/>
    <cellStyle name="Note 6 2 2 7 2 2" xfId="7810"/>
    <cellStyle name="Note 6 2 2 7 2 3" xfId="14139"/>
    <cellStyle name="Note 6 2 2 7 3" xfId="6576"/>
    <cellStyle name="Note 6 2 2 7 4" xfId="14138"/>
    <cellStyle name="Note 6 2 2 8" xfId="4499"/>
    <cellStyle name="Note 6 2 2 8 2" xfId="9778"/>
    <cellStyle name="Note 6 2 2 8 3" xfId="14140"/>
    <cellStyle name="Note 6 2 2 9" xfId="4500"/>
    <cellStyle name="Note 6 2 2 9 2" xfId="9779"/>
    <cellStyle name="Note 6 2 2 9 3" xfId="14141"/>
    <cellStyle name="Note 6 2 3" xfId="765"/>
    <cellStyle name="Note 6 2 3 2" xfId="1392"/>
    <cellStyle name="Note 6 2 3 2 2" xfId="2626"/>
    <cellStyle name="Note 6 2 3 2 2 2" xfId="7905"/>
    <cellStyle name="Note 6 2 3 2 2 3" xfId="14144"/>
    <cellStyle name="Note 6 2 3 2 3" xfId="6671"/>
    <cellStyle name="Note 6 2 3 2 4" xfId="14143"/>
    <cellStyle name="Note 6 2 3 3" xfId="1869"/>
    <cellStyle name="Note 6 2 3 3 2" xfId="3103"/>
    <cellStyle name="Note 6 2 3 3 2 2" xfId="8382"/>
    <cellStyle name="Note 6 2 3 3 2 3" xfId="14146"/>
    <cellStyle name="Note 6 2 3 3 3" xfId="7148"/>
    <cellStyle name="Note 6 2 3 3 4" xfId="14145"/>
    <cellStyle name="Note 6 2 3 4" xfId="4501"/>
    <cellStyle name="Note 6 2 3 4 2" xfId="9780"/>
    <cellStyle name="Note 6 2 3 4 3" xfId="14147"/>
    <cellStyle name="Note 6 2 3 5" xfId="4502"/>
    <cellStyle name="Note 6 2 3 5 2" xfId="9781"/>
    <cellStyle name="Note 6 2 3 5 3" xfId="14148"/>
    <cellStyle name="Note 6 2 3 6" xfId="4503"/>
    <cellStyle name="Note 6 2 3 6 2" xfId="9782"/>
    <cellStyle name="Note 6 2 3 6 3" xfId="14149"/>
    <cellStyle name="Note 6 2 3 7" xfId="4504"/>
    <cellStyle name="Note 6 2 3 7 2" xfId="9783"/>
    <cellStyle name="Note 6 2 3 7 3" xfId="14150"/>
    <cellStyle name="Note 6 2 3 8" xfId="6054"/>
    <cellStyle name="Note 6 2 3 9" xfId="14142"/>
    <cellStyle name="Note 6 2 4" xfId="1070"/>
    <cellStyle name="Note 6 2 4 10" xfId="2307"/>
    <cellStyle name="Note 6 2 4 10 2" xfId="7586"/>
    <cellStyle name="Note 6 2 4 10 3" xfId="11368"/>
    <cellStyle name="Note 6 2 4 11" xfId="6349"/>
    <cellStyle name="Note 6 2 4 2" xfId="1687"/>
    <cellStyle name="Note 6 2 4 2 2" xfId="2921"/>
    <cellStyle name="Note 6 2 4 2 2 2" xfId="8200"/>
    <cellStyle name="Note 6 2 4 2 2 3" xfId="14152"/>
    <cellStyle name="Note 6 2 4 2 3" xfId="6966"/>
    <cellStyle name="Note 6 2 4 2 4" xfId="14151"/>
    <cellStyle name="Note 6 2 4 3" xfId="4505"/>
    <cellStyle name="Note 6 2 4 3 2" xfId="9784"/>
    <cellStyle name="Note 6 2 4 3 3" xfId="14153"/>
    <cellStyle name="Note 6 2 4 4" xfId="4506"/>
    <cellStyle name="Note 6 2 4 4 2" xfId="9785"/>
    <cellStyle name="Note 6 2 4 4 3" xfId="14154"/>
    <cellStyle name="Note 6 2 4 5" xfId="4507"/>
    <cellStyle name="Note 6 2 4 5 2" xfId="9786"/>
    <cellStyle name="Note 6 2 4 5 3" xfId="14155"/>
    <cellStyle name="Note 6 2 4 6" xfId="4508"/>
    <cellStyle name="Note 6 2 4 6 2" xfId="9787"/>
    <cellStyle name="Note 6 2 4 6 3" xfId="14156"/>
    <cellStyle name="Note 6 2 4 7" xfId="4509"/>
    <cellStyle name="Note 6 2 4 7 2" xfId="9788"/>
    <cellStyle name="Note 6 2 4 7 3" xfId="14157"/>
    <cellStyle name="Note 6 2 4 8" xfId="4510"/>
    <cellStyle name="Note 6 2 4 8 2" xfId="9789"/>
    <cellStyle name="Note 6 2 4 8 3" xfId="14158"/>
    <cellStyle name="Note 6 2 4 9" xfId="4511"/>
    <cellStyle name="Note 6 2 4 9 2" xfId="9790"/>
    <cellStyle name="Note 6 2 4 9 3" xfId="14159"/>
    <cellStyle name="Note 6 2 5" xfId="1071"/>
    <cellStyle name="Note 6 2 5 10" xfId="2308"/>
    <cellStyle name="Note 6 2 5 10 2" xfId="7587"/>
    <cellStyle name="Note 6 2 5 10 3" xfId="11369"/>
    <cellStyle name="Note 6 2 5 11" xfId="6350"/>
    <cellStyle name="Note 6 2 5 2" xfId="1688"/>
    <cellStyle name="Note 6 2 5 2 2" xfId="2922"/>
    <cellStyle name="Note 6 2 5 2 2 2" xfId="8201"/>
    <cellStyle name="Note 6 2 5 2 2 3" xfId="14161"/>
    <cellStyle name="Note 6 2 5 2 3" xfId="6967"/>
    <cellStyle name="Note 6 2 5 2 4" xfId="14160"/>
    <cellStyle name="Note 6 2 5 3" xfId="4512"/>
    <cellStyle name="Note 6 2 5 3 2" xfId="9791"/>
    <cellStyle name="Note 6 2 5 3 3" xfId="14162"/>
    <cellStyle name="Note 6 2 5 4" xfId="4513"/>
    <cellStyle name="Note 6 2 5 4 2" xfId="9792"/>
    <cellStyle name="Note 6 2 5 4 3" xfId="14163"/>
    <cellStyle name="Note 6 2 5 5" xfId="4514"/>
    <cellStyle name="Note 6 2 5 5 2" xfId="9793"/>
    <cellStyle name="Note 6 2 5 5 3" xfId="14164"/>
    <cellStyle name="Note 6 2 5 6" xfId="4515"/>
    <cellStyle name="Note 6 2 5 6 2" xfId="9794"/>
    <cellStyle name="Note 6 2 5 6 3" xfId="14165"/>
    <cellStyle name="Note 6 2 5 7" xfId="4516"/>
    <cellStyle name="Note 6 2 5 7 2" xfId="9795"/>
    <cellStyle name="Note 6 2 5 7 3" xfId="14166"/>
    <cellStyle name="Note 6 2 5 8" xfId="4517"/>
    <cellStyle name="Note 6 2 5 8 2" xfId="9796"/>
    <cellStyle name="Note 6 2 5 8 3" xfId="14167"/>
    <cellStyle name="Note 6 2 5 9" xfId="4518"/>
    <cellStyle name="Note 6 2 5 9 2" xfId="9797"/>
    <cellStyle name="Note 6 2 5 9 3" xfId="14168"/>
    <cellStyle name="Note 6 2 6" xfId="1072"/>
    <cellStyle name="Note 6 2 6 10" xfId="2309"/>
    <cellStyle name="Note 6 2 6 10 2" xfId="7588"/>
    <cellStyle name="Note 6 2 6 10 3" xfId="11370"/>
    <cellStyle name="Note 6 2 6 11" xfId="6351"/>
    <cellStyle name="Note 6 2 6 2" xfId="1689"/>
    <cellStyle name="Note 6 2 6 2 2" xfId="2923"/>
    <cellStyle name="Note 6 2 6 2 2 2" xfId="8202"/>
    <cellStyle name="Note 6 2 6 2 2 3" xfId="14170"/>
    <cellStyle name="Note 6 2 6 2 3" xfId="6968"/>
    <cellStyle name="Note 6 2 6 2 4" xfId="14169"/>
    <cellStyle name="Note 6 2 6 3" xfId="4519"/>
    <cellStyle name="Note 6 2 6 3 2" xfId="9798"/>
    <cellStyle name="Note 6 2 6 3 3" xfId="14171"/>
    <cellStyle name="Note 6 2 6 4" xfId="4520"/>
    <cellStyle name="Note 6 2 6 4 2" xfId="9799"/>
    <cellStyle name="Note 6 2 6 4 3" xfId="14172"/>
    <cellStyle name="Note 6 2 6 5" xfId="4521"/>
    <cellStyle name="Note 6 2 6 5 2" xfId="9800"/>
    <cellStyle name="Note 6 2 6 5 3" xfId="14173"/>
    <cellStyle name="Note 6 2 6 6" xfId="4522"/>
    <cellStyle name="Note 6 2 6 6 2" xfId="9801"/>
    <cellStyle name="Note 6 2 6 6 3" xfId="14174"/>
    <cellStyle name="Note 6 2 6 7" xfId="4523"/>
    <cellStyle name="Note 6 2 6 7 2" xfId="9802"/>
    <cellStyle name="Note 6 2 6 7 3" xfId="14175"/>
    <cellStyle name="Note 6 2 6 8" xfId="4524"/>
    <cellStyle name="Note 6 2 6 8 2" xfId="9803"/>
    <cellStyle name="Note 6 2 6 8 3" xfId="14176"/>
    <cellStyle name="Note 6 2 6 9" xfId="4525"/>
    <cellStyle name="Note 6 2 6 9 2" xfId="9804"/>
    <cellStyle name="Note 6 2 6 9 3" xfId="14177"/>
    <cellStyle name="Note 6 2 7" xfId="1073"/>
    <cellStyle name="Note 6 2 7 10" xfId="2310"/>
    <cellStyle name="Note 6 2 7 10 2" xfId="7589"/>
    <cellStyle name="Note 6 2 7 10 3" xfId="11371"/>
    <cellStyle name="Note 6 2 7 11" xfId="6352"/>
    <cellStyle name="Note 6 2 7 2" xfId="1690"/>
    <cellStyle name="Note 6 2 7 2 2" xfId="2924"/>
    <cellStyle name="Note 6 2 7 2 2 2" xfId="8203"/>
    <cellStyle name="Note 6 2 7 2 2 3" xfId="14179"/>
    <cellStyle name="Note 6 2 7 2 3" xfId="6969"/>
    <cellStyle name="Note 6 2 7 2 4" xfId="14178"/>
    <cellStyle name="Note 6 2 7 3" xfId="4526"/>
    <cellStyle name="Note 6 2 7 3 2" xfId="9805"/>
    <cellStyle name="Note 6 2 7 3 3" xfId="14180"/>
    <cellStyle name="Note 6 2 7 4" xfId="4527"/>
    <cellStyle name="Note 6 2 7 4 2" xfId="9806"/>
    <cellStyle name="Note 6 2 7 4 3" xfId="14181"/>
    <cellStyle name="Note 6 2 7 5" xfId="4528"/>
    <cellStyle name="Note 6 2 7 5 2" xfId="9807"/>
    <cellStyle name="Note 6 2 7 5 3" xfId="14182"/>
    <cellStyle name="Note 6 2 7 6" xfId="4529"/>
    <cellStyle name="Note 6 2 7 6 2" xfId="9808"/>
    <cellStyle name="Note 6 2 7 6 3" xfId="14183"/>
    <cellStyle name="Note 6 2 7 7" xfId="4530"/>
    <cellStyle name="Note 6 2 7 7 2" xfId="9809"/>
    <cellStyle name="Note 6 2 7 7 3" xfId="14184"/>
    <cellStyle name="Note 6 2 7 8" xfId="4531"/>
    <cellStyle name="Note 6 2 7 8 2" xfId="9810"/>
    <cellStyle name="Note 6 2 7 8 3" xfId="14185"/>
    <cellStyle name="Note 6 2 7 9" xfId="4532"/>
    <cellStyle name="Note 6 2 7 9 2" xfId="9811"/>
    <cellStyle name="Note 6 2 7 9 3" xfId="14186"/>
    <cellStyle name="Note 6 2 8" xfId="1296"/>
    <cellStyle name="Note 6 2 8 2" xfId="2530"/>
    <cellStyle name="Note 6 2 8 2 2" xfId="7809"/>
    <cellStyle name="Note 6 2 8 2 3" xfId="14188"/>
    <cellStyle name="Note 6 2 8 3" xfId="6575"/>
    <cellStyle name="Note 6 2 8 4" xfId="14187"/>
    <cellStyle name="Note 6 2 9" xfId="4533"/>
    <cellStyle name="Note 6 2 9 2" xfId="9812"/>
    <cellStyle name="Note 6 2 9 3" xfId="14189"/>
    <cellStyle name="Note 6 3" xfId="609"/>
    <cellStyle name="Note 6 3 10" xfId="4534"/>
    <cellStyle name="Note 6 3 10 2" xfId="9813"/>
    <cellStyle name="Note 6 3 10 3" xfId="14190"/>
    <cellStyle name="Note 6 3 11" xfId="4535"/>
    <cellStyle name="Note 6 3 11 2" xfId="9814"/>
    <cellStyle name="Note 6 3 11 3" xfId="14191"/>
    <cellStyle name="Note 6 3 12" xfId="4536"/>
    <cellStyle name="Note 6 3 12 2" xfId="9815"/>
    <cellStyle name="Note 6 3 12 3" xfId="14192"/>
    <cellStyle name="Note 6 3 13" xfId="1985"/>
    <cellStyle name="Note 6 3 13 2" xfId="7264"/>
    <cellStyle name="Note 6 3 13 3" xfId="11372"/>
    <cellStyle name="Note 6 3 14" xfId="5960"/>
    <cellStyle name="Note 6 3 2" xfId="610"/>
    <cellStyle name="Note 6 3 2 10" xfId="4537"/>
    <cellStyle name="Note 6 3 2 10 2" xfId="9816"/>
    <cellStyle name="Note 6 3 2 10 3" xfId="14193"/>
    <cellStyle name="Note 6 3 2 11" xfId="4538"/>
    <cellStyle name="Note 6 3 2 11 2" xfId="9817"/>
    <cellStyle name="Note 6 3 2 11 3" xfId="14194"/>
    <cellStyle name="Note 6 3 2 12" xfId="1986"/>
    <cellStyle name="Note 6 3 2 12 2" xfId="7265"/>
    <cellStyle name="Note 6 3 2 12 3" xfId="11373"/>
    <cellStyle name="Note 6 3 2 13" xfId="5961"/>
    <cellStyle name="Note 6 3 2 2" xfId="762"/>
    <cellStyle name="Note 6 3 2 2 2" xfId="1389"/>
    <cellStyle name="Note 6 3 2 2 2 2" xfId="2623"/>
    <cellStyle name="Note 6 3 2 2 2 2 2" xfId="7902"/>
    <cellStyle name="Note 6 3 2 2 2 2 3" xfId="14197"/>
    <cellStyle name="Note 6 3 2 2 2 3" xfId="6668"/>
    <cellStyle name="Note 6 3 2 2 2 4" xfId="14196"/>
    <cellStyle name="Note 6 3 2 2 3" xfId="1866"/>
    <cellStyle name="Note 6 3 2 2 3 2" xfId="3100"/>
    <cellStyle name="Note 6 3 2 2 3 2 2" xfId="8379"/>
    <cellStyle name="Note 6 3 2 2 3 2 3" xfId="14199"/>
    <cellStyle name="Note 6 3 2 2 3 3" xfId="7145"/>
    <cellStyle name="Note 6 3 2 2 3 4" xfId="14198"/>
    <cellStyle name="Note 6 3 2 2 4" xfId="4539"/>
    <cellStyle name="Note 6 3 2 2 4 2" xfId="9818"/>
    <cellStyle name="Note 6 3 2 2 4 3" xfId="14200"/>
    <cellStyle name="Note 6 3 2 2 5" xfId="4540"/>
    <cellStyle name="Note 6 3 2 2 5 2" xfId="9819"/>
    <cellStyle name="Note 6 3 2 2 5 3" xfId="14201"/>
    <cellStyle name="Note 6 3 2 2 6" xfId="4541"/>
    <cellStyle name="Note 6 3 2 2 6 2" xfId="9820"/>
    <cellStyle name="Note 6 3 2 2 6 3" xfId="14202"/>
    <cellStyle name="Note 6 3 2 2 7" xfId="4542"/>
    <cellStyle name="Note 6 3 2 2 7 2" xfId="9821"/>
    <cellStyle name="Note 6 3 2 2 7 3" xfId="14203"/>
    <cellStyle name="Note 6 3 2 2 8" xfId="6051"/>
    <cellStyle name="Note 6 3 2 2 9" xfId="14195"/>
    <cellStyle name="Note 6 3 2 3" xfId="1074"/>
    <cellStyle name="Note 6 3 2 3 10" xfId="2311"/>
    <cellStyle name="Note 6 3 2 3 10 2" xfId="7590"/>
    <cellStyle name="Note 6 3 2 3 10 3" xfId="11374"/>
    <cellStyle name="Note 6 3 2 3 11" xfId="6353"/>
    <cellStyle name="Note 6 3 2 3 2" xfId="1691"/>
    <cellStyle name="Note 6 3 2 3 2 2" xfId="2925"/>
    <cellStyle name="Note 6 3 2 3 2 2 2" xfId="8204"/>
    <cellStyle name="Note 6 3 2 3 2 2 3" xfId="14205"/>
    <cellStyle name="Note 6 3 2 3 2 3" xfId="6970"/>
    <cellStyle name="Note 6 3 2 3 2 4" xfId="14204"/>
    <cellStyle name="Note 6 3 2 3 3" xfId="4543"/>
    <cellStyle name="Note 6 3 2 3 3 2" xfId="9822"/>
    <cellStyle name="Note 6 3 2 3 3 3" xfId="14206"/>
    <cellStyle name="Note 6 3 2 3 4" xfId="4544"/>
    <cellStyle name="Note 6 3 2 3 4 2" xfId="9823"/>
    <cellStyle name="Note 6 3 2 3 4 3" xfId="14207"/>
    <cellStyle name="Note 6 3 2 3 5" xfId="4545"/>
    <cellStyle name="Note 6 3 2 3 5 2" xfId="9824"/>
    <cellStyle name="Note 6 3 2 3 5 3" xfId="14208"/>
    <cellStyle name="Note 6 3 2 3 6" xfId="4546"/>
    <cellStyle name="Note 6 3 2 3 6 2" xfId="9825"/>
    <cellStyle name="Note 6 3 2 3 6 3" xfId="14209"/>
    <cellStyle name="Note 6 3 2 3 7" xfId="4547"/>
    <cellStyle name="Note 6 3 2 3 7 2" xfId="9826"/>
    <cellStyle name="Note 6 3 2 3 7 3" xfId="14210"/>
    <cellStyle name="Note 6 3 2 3 8" xfId="4548"/>
    <cellStyle name="Note 6 3 2 3 8 2" xfId="9827"/>
    <cellStyle name="Note 6 3 2 3 8 3" xfId="14211"/>
    <cellStyle name="Note 6 3 2 3 9" xfId="4549"/>
    <cellStyle name="Note 6 3 2 3 9 2" xfId="9828"/>
    <cellStyle name="Note 6 3 2 3 9 3" xfId="14212"/>
    <cellStyle name="Note 6 3 2 4" xfId="1075"/>
    <cellStyle name="Note 6 3 2 4 10" xfId="2312"/>
    <cellStyle name="Note 6 3 2 4 10 2" xfId="7591"/>
    <cellStyle name="Note 6 3 2 4 10 3" xfId="11375"/>
    <cellStyle name="Note 6 3 2 4 11" xfId="6354"/>
    <cellStyle name="Note 6 3 2 4 2" xfId="1692"/>
    <cellStyle name="Note 6 3 2 4 2 2" xfId="2926"/>
    <cellStyle name="Note 6 3 2 4 2 2 2" xfId="8205"/>
    <cellStyle name="Note 6 3 2 4 2 2 3" xfId="14214"/>
    <cellStyle name="Note 6 3 2 4 2 3" xfId="6971"/>
    <cellStyle name="Note 6 3 2 4 2 4" xfId="14213"/>
    <cellStyle name="Note 6 3 2 4 3" xfId="4550"/>
    <cellStyle name="Note 6 3 2 4 3 2" xfId="9829"/>
    <cellStyle name="Note 6 3 2 4 3 3" xfId="14215"/>
    <cellStyle name="Note 6 3 2 4 4" xfId="4551"/>
    <cellStyle name="Note 6 3 2 4 4 2" xfId="9830"/>
    <cellStyle name="Note 6 3 2 4 4 3" xfId="14216"/>
    <cellStyle name="Note 6 3 2 4 5" xfId="4552"/>
    <cellStyle name="Note 6 3 2 4 5 2" xfId="9831"/>
    <cellStyle name="Note 6 3 2 4 5 3" xfId="14217"/>
    <cellStyle name="Note 6 3 2 4 6" xfId="4553"/>
    <cellStyle name="Note 6 3 2 4 6 2" xfId="9832"/>
    <cellStyle name="Note 6 3 2 4 6 3" xfId="14218"/>
    <cellStyle name="Note 6 3 2 4 7" xfId="4554"/>
    <cellStyle name="Note 6 3 2 4 7 2" xfId="9833"/>
    <cellStyle name="Note 6 3 2 4 7 3" xfId="14219"/>
    <cellStyle name="Note 6 3 2 4 8" xfId="4555"/>
    <cellStyle name="Note 6 3 2 4 8 2" xfId="9834"/>
    <cellStyle name="Note 6 3 2 4 8 3" xfId="14220"/>
    <cellStyle name="Note 6 3 2 4 9" xfId="4556"/>
    <cellStyle name="Note 6 3 2 4 9 2" xfId="9835"/>
    <cellStyle name="Note 6 3 2 4 9 3" xfId="14221"/>
    <cellStyle name="Note 6 3 2 5" xfId="1076"/>
    <cellStyle name="Note 6 3 2 5 10" xfId="2313"/>
    <cellStyle name="Note 6 3 2 5 10 2" xfId="7592"/>
    <cellStyle name="Note 6 3 2 5 10 3" xfId="11376"/>
    <cellStyle name="Note 6 3 2 5 11" xfId="6355"/>
    <cellStyle name="Note 6 3 2 5 2" xfId="1693"/>
    <cellStyle name="Note 6 3 2 5 2 2" xfId="2927"/>
    <cellStyle name="Note 6 3 2 5 2 2 2" xfId="8206"/>
    <cellStyle name="Note 6 3 2 5 2 2 3" xfId="14223"/>
    <cellStyle name="Note 6 3 2 5 2 3" xfId="6972"/>
    <cellStyle name="Note 6 3 2 5 2 4" xfId="14222"/>
    <cellStyle name="Note 6 3 2 5 3" xfId="4557"/>
    <cellStyle name="Note 6 3 2 5 3 2" xfId="9836"/>
    <cellStyle name="Note 6 3 2 5 3 3" xfId="14224"/>
    <cellStyle name="Note 6 3 2 5 4" xfId="4558"/>
    <cellStyle name="Note 6 3 2 5 4 2" xfId="9837"/>
    <cellStyle name="Note 6 3 2 5 4 3" xfId="14225"/>
    <cellStyle name="Note 6 3 2 5 5" xfId="4559"/>
    <cellStyle name="Note 6 3 2 5 5 2" xfId="9838"/>
    <cellStyle name="Note 6 3 2 5 5 3" xfId="14226"/>
    <cellStyle name="Note 6 3 2 5 6" xfId="4560"/>
    <cellStyle name="Note 6 3 2 5 6 2" xfId="9839"/>
    <cellStyle name="Note 6 3 2 5 6 3" xfId="14227"/>
    <cellStyle name="Note 6 3 2 5 7" xfId="4561"/>
    <cellStyle name="Note 6 3 2 5 7 2" xfId="9840"/>
    <cellStyle name="Note 6 3 2 5 7 3" xfId="14228"/>
    <cellStyle name="Note 6 3 2 5 8" xfId="4562"/>
    <cellStyle name="Note 6 3 2 5 8 2" xfId="9841"/>
    <cellStyle name="Note 6 3 2 5 8 3" xfId="14229"/>
    <cellStyle name="Note 6 3 2 5 9" xfId="4563"/>
    <cellStyle name="Note 6 3 2 5 9 2" xfId="9842"/>
    <cellStyle name="Note 6 3 2 5 9 3" xfId="14230"/>
    <cellStyle name="Note 6 3 2 6" xfId="1077"/>
    <cellStyle name="Note 6 3 2 6 10" xfId="2314"/>
    <cellStyle name="Note 6 3 2 6 10 2" xfId="7593"/>
    <cellStyle name="Note 6 3 2 6 10 3" xfId="11377"/>
    <cellStyle name="Note 6 3 2 6 11" xfId="6356"/>
    <cellStyle name="Note 6 3 2 6 2" xfId="1694"/>
    <cellStyle name="Note 6 3 2 6 2 2" xfId="2928"/>
    <cellStyle name="Note 6 3 2 6 2 2 2" xfId="8207"/>
    <cellStyle name="Note 6 3 2 6 2 2 3" xfId="14232"/>
    <cellStyle name="Note 6 3 2 6 2 3" xfId="6973"/>
    <cellStyle name="Note 6 3 2 6 2 4" xfId="14231"/>
    <cellStyle name="Note 6 3 2 6 3" xfId="4564"/>
    <cellStyle name="Note 6 3 2 6 3 2" xfId="9843"/>
    <cellStyle name="Note 6 3 2 6 3 3" xfId="14233"/>
    <cellStyle name="Note 6 3 2 6 4" xfId="4565"/>
    <cellStyle name="Note 6 3 2 6 4 2" xfId="9844"/>
    <cellStyle name="Note 6 3 2 6 4 3" xfId="14234"/>
    <cellStyle name="Note 6 3 2 6 5" xfId="4566"/>
    <cellStyle name="Note 6 3 2 6 5 2" xfId="9845"/>
    <cellStyle name="Note 6 3 2 6 5 3" xfId="14235"/>
    <cellStyle name="Note 6 3 2 6 6" xfId="4567"/>
    <cellStyle name="Note 6 3 2 6 6 2" xfId="9846"/>
    <cellStyle name="Note 6 3 2 6 6 3" xfId="14236"/>
    <cellStyle name="Note 6 3 2 6 7" xfId="4568"/>
    <cellStyle name="Note 6 3 2 6 7 2" xfId="9847"/>
    <cellStyle name="Note 6 3 2 6 7 3" xfId="14237"/>
    <cellStyle name="Note 6 3 2 6 8" xfId="4569"/>
    <cellStyle name="Note 6 3 2 6 8 2" xfId="9848"/>
    <cellStyle name="Note 6 3 2 6 8 3" xfId="14238"/>
    <cellStyle name="Note 6 3 2 6 9" xfId="4570"/>
    <cellStyle name="Note 6 3 2 6 9 2" xfId="9849"/>
    <cellStyle name="Note 6 3 2 6 9 3" xfId="14239"/>
    <cellStyle name="Note 6 3 2 7" xfId="1299"/>
    <cellStyle name="Note 6 3 2 7 2" xfId="2533"/>
    <cellStyle name="Note 6 3 2 7 2 2" xfId="7812"/>
    <cellStyle name="Note 6 3 2 7 2 3" xfId="14241"/>
    <cellStyle name="Note 6 3 2 7 3" xfId="6578"/>
    <cellStyle name="Note 6 3 2 7 4" xfId="14240"/>
    <cellStyle name="Note 6 3 2 8" xfId="4571"/>
    <cellStyle name="Note 6 3 2 8 2" xfId="9850"/>
    <cellStyle name="Note 6 3 2 8 3" xfId="14242"/>
    <cellStyle name="Note 6 3 2 9" xfId="4572"/>
    <cellStyle name="Note 6 3 2 9 2" xfId="9851"/>
    <cellStyle name="Note 6 3 2 9 3" xfId="14243"/>
    <cellStyle name="Note 6 3 3" xfId="763"/>
    <cellStyle name="Note 6 3 3 2" xfId="1390"/>
    <cellStyle name="Note 6 3 3 2 2" xfId="2624"/>
    <cellStyle name="Note 6 3 3 2 2 2" xfId="7903"/>
    <cellStyle name="Note 6 3 3 2 2 3" xfId="14246"/>
    <cellStyle name="Note 6 3 3 2 3" xfId="6669"/>
    <cellStyle name="Note 6 3 3 2 4" xfId="14245"/>
    <cellStyle name="Note 6 3 3 3" xfId="1867"/>
    <cellStyle name="Note 6 3 3 3 2" xfId="3101"/>
    <cellStyle name="Note 6 3 3 3 2 2" xfId="8380"/>
    <cellStyle name="Note 6 3 3 3 2 3" xfId="14248"/>
    <cellStyle name="Note 6 3 3 3 3" xfId="7146"/>
    <cellStyle name="Note 6 3 3 3 4" xfId="14247"/>
    <cellStyle name="Note 6 3 3 4" xfId="4573"/>
    <cellStyle name="Note 6 3 3 4 2" xfId="9852"/>
    <cellStyle name="Note 6 3 3 4 3" xfId="14249"/>
    <cellStyle name="Note 6 3 3 5" xfId="4574"/>
    <cellStyle name="Note 6 3 3 5 2" xfId="9853"/>
    <cellStyle name="Note 6 3 3 5 3" xfId="14250"/>
    <cellStyle name="Note 6 3 3 6" xfId="4575"/>
    <cellStyle name="Note 6 3 3 6 2" xfId="9854"/>
    <cellStyle name="Note 6 3 3 6 3" xfId="14251"/>
    <cellStyle name="Note 6 3 3 7" xfId="4576"/>
    <cellStyle name="Note 6 3 3 7 2" xfId="9855"/>
    <cellStyle name="Note 6 3 3 7 3" xfId="14252"/>
    <cellStyle name="Note 6 3 3 8" xfId="6052"/>
    <cellStyle name="Note 6 3 3 9" xfId="14244"/>
    <cellStyle name="Note 6 3 4" xfId="1078"/>
    <cellStyle name="Note 6 3 4 10" xfId="2315"/>
    <cellStyle name="Note 6 3 4 10 2" xfId="7594"/>
    <cellStyle name="Note 6 3 4 10 3" xfId="11378"/>
    <cellStyle name="Note 6 3 4 11" xfId="6357"/>
    <cellStyle name="Note 6 3 4 2" xfId="1695"/>
    <cellStyle name="Note 6 3 4 2 2" xfId="2929"/>
    <cellStyle name="Note 6 3 4 2 2 2" xfId="8208"/>
    <cellStyle name="Note 6 3 4 2 2 3" xfId="14254"/>
    <cellStyle name="Note 6 3 4 2 3" xfId="6974"/>
    <cellStyle name="Note 6 3 4 2 4" xfId="14253"/>
    <cellStyle name="Note 6 3 4 3" xfId="4577"/>
    <cellStyle name="Note 6 3 4 3 2" xfId="9856"/>
    <cellStyle name="Note 6 3 4 3 3" xfId="14255"/>
    <cellStyle name="Note 6 3 4 4" xfId="4578"/>
    <cellStyle name="Note 6 3 4 4 2" xfId="9857"/>
    <cellStyle name="Note 6 3 4 4 3" xfId="14256"/>
    <cellStyle name="Note 6 3 4 5" xfId="4579"/>
    <cellStyle name="Note 6 3 4 5 2" xfId="9858"/>
    <cellStyle name="Note 6 3 4 5 3" xfId="14257"/>
    <cellStyle name="Note 6 3 4 6" xfId="4580"/>
    <cellStyle name="Note 6 3 4 6 2" xfId="9859"/>
    <cellStyle name="Note 6 3 4 6 3" xfId="14258"/>
    <cellStyle name="Note 6 3 4 7" xfId="4581"/>
    <cellStyle name="Note 6 3 4 7 2" xfId="9860"/>
    <cellStyle name="Note 6 3 4 7 3" xfId="14259"/>
    <cellStyle name="Note 6 3 4 8" xfId="4582"/>
    <cellStyle name="Note 6 3 4 8 2" xfId="9861"/>
    <cellStyle name="Note 6 3 4 8 3" xfId="14260"/>
    <cellStyle name="Note 6 3 4 9" xfId="4583"/>
    <cellStyle name="Note 6 3 4 9 2" xfId="9862"/>
    <cellStyle name="Note 6 3 4 9 3" xfId="14261"/>
    <cellStyle name="Note 6 3 5" xfId="1079"/>
    <cellStyle name="Note 6 3 5 10" xfId="2316"/>
    <cellStyle name="Note 6 3 5 10 2" xfId="7595"/>
    <cellStyle name="Note 6 3 5 10 3" xfId="11379"/>
    <cellStyle name="Note 6 3 5 11" xfId="6358"/>
    <cellStyle name="Note 6 3 5 2" xfId="1696"/>
    <cellStyle name="Note 6 3 5 2 2" xfId="2930"/>
    <cellStyle name="Note 6 3 5 2 2 2" xfId="8209"/>
    <cellStyle name="Note 6 3 5 2 2 3" xfId="14263"/>
    <cellStyle name="Note 6 3 5 2 3" xfId="6975"/>
    <cellStyle name="Note 6 3 5 2 4" xfId="14262"/>
    <cellStyle name="Note 6 3 5 3" xfId="4584"/>
    <cellStyle name="Note 6 3 5 3 2" xfId="9863"/>
    <cellStyle name="Note 6 3 5 3 3" xfId="14264"/>
    <cellStyle name="Note 6 3 5 4" xfId="4585"/>
    <cellStyle name="Note 6 3 5 4 2" xfId="9864"/>
    <cellStyle name="Note 6 3 5 4 3" xfId="14265"/>
    <cellStyle name="Note 6 3 5 5" xfId="4586"/>
    <cellStyle name="Note 6 3 5 5 2" xfId="9865"/>
    <cellStyle name="Note 6 3 5 5 3" xfId="14266"/>
    <cellStyle name="Note 6 3 5 6" xfId="4587"/>
    <cellStyle name="Note 6 3 5 6 2" xfId="9866"/>
    <cellStyle name="Note 6 3 5 6 3" xfId="14267"/>
    <cellStyle name="Note 6 3 5 7" xfId="4588"/>
    <cellStyle name="Note 6 3 5 7 2" xfId="9867"/>
    <cellStyle name="Note 6 3 5 7 3" xfId="14268"/>
    <cellStyle name="Note 6 3 5 8" xfId="4589"/>
    <cellStyle name="Note 6 3 5 8 2" xfId="9868"/>
    <cellStyle name="Note 6 3 5 8 3" xfId="14269"/>
    <cellStyle name="Note 6 3 5 9" xfId="4590"/>
    <cellStyle name="Note 6 3 5 9 2" xfId="9869"/>
    <cellStyle name="Note 6 3 5 9 3" xfId="14270"/>
    <cellStyle name="Note 6 3 6" xfId="1080"/>
    <cellStyle name="Note 6 3 6 10" xfId="2317"/>
    <cellStyle name="Note 6 3 6 10 2" xfId="7596"/>
    <cellStyle name="Note 6 3 6 10 3" xfId="11380"/>
    <cellStyle name="Note 6 3 6 11" xfId="6359"/>
    <cellStyle name="Note 6 3 6 2" xfId="1697"/>
    <cellStyle name="Note 6 3 6 2 2" xfId="2931"/>
    <cellStyle name="Note 6 3 6 2 2 2" xfId="8210"/>
    <cellStyle name="Note 6 3 6 2 2 3" xfId="14272"/>
    <cellStyle name="Note 6 3 6 2 3" xfId="6976"/>
    <cellStyle name="Note 6 3 6 2 4" xfId="14271"/>
    <cellStyle name="Note 6 3 6 3" xfId="4591"/>
    <cellStyle name="Note 6 3 6 3 2" xfId="9870"/>
    <cellStyle name="Note 6 3 6 3 3" xfId="14273"/>
    <cellStyle name="Note 6 3 6 4" xfId="4592"/>
    <cellStyle name="Note 6 3 6 4 2" xfId="9871"/>
    <cellStyle name="Note 6 3 6 4 3" xfId="14274"/>
    <cellStyle name="Note 6 3 6 5" xfId="4593"/>
    <cellStyle name="Note 6 3 6 5 2" xfId="9872"/>
    <cellStyle name="Note 6 3 6 5 3" xfId="14275"/>
    <cellStyle name="Note 6 3 6 6" xfId="4594"/>
    <cellStyle name="Note 6 3 6 6 2" xfId="9873"/>
    <cellStyle name="Note 6 3 6 6 3" xfId="14276"/>
    <cellStyle name="Note 6 3 6 7" xfId="4595"/>
    <cellStyle name="Note 6 3 6 7 2" xfId="9874"/>
    <cellStyle name="Note 6 3 6 7 3" xfId="14277"/>
    <cellStyle name="Note 6 3 6 8" xfId="4596"/>
    <cellStyle name="Note 6 3 6 8 2" xfId="9875"/>
    <cellStyle name="Note 6 3 6 8 3" xfId="14278"/>
    <cellStyle name="Note 6 3 6 9" xfId="4597"/>
    <cellStyle name="Note 6 3 6 9 2" xfId="9876"/>
    <cellStyle name="Note 6 3 6 9 3" xfId="14279"/>
    <cellStyle name="Note 6 3 7" xfId="1081"/>
    <cellStyle name="Note 6 3 7 10" xfId="2318"/>
    <cellStyle name="Note 6 3 7 10 2" xfId="7597"/>
    <cellStyle name="Note 6 3 7 10 3" xfId="11381"/>
    <cellStyle name="Note 6 3 7 11" xfId="6360"/>
    <cellStyle name="Note 6 3 7 2" xfId="1698"/>
    <cellStyle name="Note 6 3 7 2 2" xfId="2932"/>
    <cellStyle name="Note 6 3 7 2 2 2" xfId="8211"/>
    <cellStyle name="Note 6 3 7 2 2 3" xfId="14281"/>
    <cellStyle name="Note 6 3 7 2 3" xfId="6977"/>
    <cellStyle name="Note 6 3 7 2 4" xfId="14280"/>
    <cellStyle name="Note 6 3 7 3" xfId="4598"/>
    <cellStyle name="Note 6 3 7 3 2" xfId="9877"/>
    <cellStyle name="Note 6 3 7 3 3" xfId="14282"/>
    <cellStyle name="Note 6 3 7 4" xfId="4599"/>
    <cellStyle name="Note 6 3 7 4 2" xfId="9878"/>
    <cellStyle name="Note 6 3 7 4 3" xfId="14283"/>
    <cellStyle name="Note 6 3 7 5" xfId="4600"/>
    <cellStyle name="Note 6 3 7 5 2" xfId="9879"/>
    <cellStyle name="Note 6 3 7 5 3" xfId="14284"/>
    <cellStyle name="Note 6 3 7 6" xfId="4601"/>
    <cellStyle name="Note 6 3 7 6 2" xfId="9880"/>
    <cellStyle name="Note 6 3 7 6 3" xfId="14285"/>
    <cellStyle name="Note 6 3 7 7" xfId="4602"/>
    <cellStyle name="Note 6 3 7 7 2" xfId="9881"/>
    <cellStyle name="Note 6 3 7 7 3" xfId="14286"/>
    <cellStyle name="Note 6 3 7 8" xfId="4603"/>
    <cellStyle name="Note 6 3 7 8 2" xfId="9882"/>
    <cellStyle name="Note 6 3 7 8 3" xfId="14287"/>
    <cellStyle name="Note 6 3 7 9" xfId="4604"/>
    <cellStyle name="Note 6 3 7 9 2" xfId="9883"/>
    <cellStyle name="Note 6 3 7 9 3" xfId="14288"/>
    <cellStyle name="Note 6 3 8" xfId="1298"/>
    <cellStyle name="Note 6 3 8 2" xfId="2532"/>
    <cellStyle name="Note 6 3 8 2 2" xfId="7811"/>
    <cellStyle name="Note 6 3 8 2 3" xfId="14290"/>
    <cellStyle name="Note 6 3 8 3" xfId="6577"/>
    <cellStyle name="Note 6 3 8 4" xfId="14289"/>
    <cellStyle name="Note 6 3 9" xfId="4605"/>
    <cellStyle name="Note 6 3 9 2" xfId="9884"/>
    <cellStyle name="Note 6 3 9 3" xfId="14291"/>
    <cellStyle name="Note 6 4" xfId="611"/>
    <cellStyle name="Note 6 4 10" xfId="4606"/>
    <cellStyle name="Note 6 4 10 2" xfId="9885"/>
    <cellStyle name="Note 6 4 10 3" xfId="14292"/>
    <cellStyle name="Note 6 4 11" xfId="4607"/>
    <cellStyle name="Note 6 4 11 2" xfId="9886"/>
    <cellStyle name="Note 6 4 11 3" xfId="14293"/>
    <cellStyle name="Note 6 4 12" xfId="1987"/>
    <cellStyle name="Note 6 4 12 2" xfId="7266"/>
    <cellStyle name="Note 6 4 12 3" xfId="11382"/>
    <cellStyle name="Note 6 4 13" xfId="5962"/>
    <cellStyle name="Note 6 4 2" xfId="761"/>
    <cellStyle name="Note 6 4 2 2" xfId="1388"/>
    <cellStyle name="Note 6 4 2 2 2" xfId="2622"/>
    <cellStyle name="Note 6 4 2 2 2 2" xfId="7901"/>
    <cellStyle name="Note 6 4 2 2 2 3" xfId="14296"/>
    <cellStyle name="Note 6 4 2 2 3" xfId="6667"/>
    <cellStyle name="Note 6 4 2 2 4" xfId="14295"/>
    <cellStyle name="Note 6 4 2 3" xfId="1865"/>
    <cellStyle name="Note 6 4 2 3 2" xfId="3099"/>
    <cellStyle name="Note 6 4 2 3 2 2" xfId="8378"/>
    <cellStyle name="Note 6 4 2 3 2 3" xfId="14298"/>
    <cellStyle name="Note 6 4 2 3 3" xfId="7144"/>
    <cellStyle name="Note 6 4 2 3 4" xfId="14297"/>
    <cellStyle name="Note 6 4 2 4" xfId="4608"/>
    <cellStyle name="Note 6 4 2 4 2" xfId="9887"/>
    <cellStyle name="Note 6 4 2 4 3" xfId="14299"/>
    <cellStyle name="Note 6 4 2 5" xfId="4609"/>
    <cellStyle name="Note 6 4 2 5 2" xfId="9888"/>
    <cellStyle name="Note 6 4 2 5 3" xfId="14300"/>
    <cellStyle name="Note 6 4 2 6" xfId="4610"/>
    <cellStyle name="Note 6 4 2 6 2" xfId="9889"/>
    <cellStyle name="Note 6 4 2 6 3" xfId="14301"/>
    <cellStyle name="Note 6 4 2 7" xfId="4611"/>
    <cellStyle name="Note 6 4 2 7 2" xfId="9890"/>
    <cellStyle name="Note 6 4 2 7 3" xfId="14302"/>
    <cellStyle name="Note 6 4 2 8" xfId="6050"/>
    <cellStyle name="Note 6 4 2 9" xfId="14294"/>
    <cellStyle name="Note 6 4 3" xfId="1082"/>
    <cellStyle name="Note 6 4 3 10" xfId="2319"/>
    <cellStyle name="Note 6 4 3 10 2" xfId="7598"/>
    <cellStyle name="Note 6 4 3 10 3" xfId="11383"/>
    <cellStyle name="Note 6 4 3 11" xfId="6361"/>
    <cellStyle name="Note 6 4 3 2" xfId="1699"/>
    <cellStyle name="Note 6 4 3 2 2" xfId="2933"/>
    <cellStyle name="Note 6 4 3 2 2 2" xfId="8212"/>
    <cellStyle name="Note 6 4 3 2 2 3" xfId="14304"/>
    <cellStyle name="Note 6 4 3 2 3" xfId="6978"/>
    <cellStyle name="Note 6 4 3 2 4" xfId="14303"/>
    <cellStyle name="Note 6 4 3 3" xfId="4612"/>
    <cellStyle name="Note 6 4 3 3 2" xfId="9891"/>
    <cellStyle name="Note 6 4 3 3 3" xfId="14305"/>
    <cellStyle name="Note 6 4 3 4" xfId="4613"/>
    <cellStyle name="Note 6 4 3 4 2" xfId="9892"/>
    <cellStyle name="Note 6 4 3 4 3" xfId="14306"/>
    <cellStyle name="Note 6 4 3 5" xfId="4614"/>
    <cellStyle name="Note 6 4 3 5 2" xfId="9893"/>
    <cellStyle name="Note 6 4 3 5 3" xfId="14307"/>
    <cellStyle name="Note 6 4 3 6" xfId="4615"/>
    <cellStyle name="Note 6 4 3 6 2" xfId="9894"/>
    <cellStyle name="Note 6 4 3 6 3" xfId="14308"/>
    <cellStyle name="Note 6 4 3 7" xfId="4616"/>
    <cellStyle name="Note 6 4 3 7 2" xfId="9895"/>
    <cellStyle name="Note 6 4 3 7 3" xfId="14309"/>
    <cellStyle name="Note 6 4 3 8" xfId="4617"/>
    <cellStyle name="Note 6 4 3 8 2" xfId="9896"/>
    <cellStyle name="Note 6 4 3 8 3" xfId="14310"/>
    <cellStyle name="Note 6 4 3 9" xfId="4618"/>
    <cellStyle name="Note 6 4 3 9 2" xfId="9897"/>
    <cellStyle name="Note 6 4 3 9 3" xfId="14311"/>
    <cellStyle name="Note 6 4 4" xfId="1083"/>
    <cellStyle name="Note 6 4 4 10" xfId="2320"/>
    <cellStyle name="Note 6 4 4 10 2" xfId="7599"/>
    <cellStyle name="Note 6 4 4 10 3" xfId="11384"/>
    <cellStyle name="Note 6 4 4 11" xfId="6362"/>
    <cellStyle name="Note 6 4 4 2" xfId="1700"/>
    <cellStyle name="Note 6 4 4 2 2" xfId="2934"/>
    <cellStyle name="Note 6 4 4 2 2 2" xfId="8213"/>
    <cellStyle name="Note 6 4 4 2 2 3" xfId="14313"/>
    <cellStyle name="Note 6 4 4 2 3" xfId="6979"/>
    <cellStyle name="Note 6 4 4 2 4" xfId="14312"/>
    <cellStyle name="Note 6 4 4 3" xfId="4619"/>
    <cellStyle name="Note 6 4 4 3 2" xfId="9898"/>
    <cellStyle name="Note 6 4 4 3 3" xfId="14314"/>
    <cellStyle name="Note 6 4 4 4" xfId="4620"/>
    <cellStyle name="Note 6 4 4 4 2" xfId="9899"/>
    <cellStyle name="Note 6 4 4 4 3" xfId="14315"/>
    <cellStyle name="Note 6 4 4 5" xfId="4621"/>
    <cellStyle name="Note 6 4 4 5 2" xfId="9900"/>
    <cellStyle name="Note 6 4 4 5 3" xfId="14316"/>
    <cellStyle name="Note 6 4 4 6" xfId="4622"/>
    <cellStyle name="Note 6 4 4 6 2" xfId="9901"/>
    <cellStyle name="Note 6 4 4 6 3" xfId="14317"/>
    <cellStyle name="Note 6 4 4 7" xfId="4623"/>
    <cellStyle name="Note 6 4 4 7 2" xfId="9902"/>
    <cellStyle name="Note 6 4 4 7 3" xfId="14318"/>
    <cellStyle name="Note 6 4 4 8" xfId="4624"/>
    <cellStyle name="Note 6 4 4 8 2" xfId="9903"/>
    <cellStyle name="Note 6 4 4 8 3" xfId="14319"/>
    <cellStyle name="Note 6 4 4 9" xfId="4625"/>
    <cellStyle name="Note 6 4 4 9 2" xfId="9904"/>
    <cellStyle name="Note 6 4 4 9 3" xfId="14320"/>
    <cellStyle name="Note 6 4 5" xfId="1084"/>
    <cellStyle name="Note 6 4 5 10" xfId="2321"/>
    <cellStyle name="Note 6 4 5 10 2" xfId="7600"/>
    <cellStyle name="Note 6 4 5 10 3" xfId="11385"/>
    <cellStyle name="Note 6 4 5 11" xfId="6363"/>
    <cellStyle name="Note 6 4 5 2" xfId="1701"/>
    <cellStyle name="Note 6 4 5 2 2" xfId="2935"/>
    <cellStyle name="Note 6 4 5 2 2 2" xfId="8214"/>
    <cellStyle name="Note 6 4 5 2 2 3" xfId="14322"/>
    <cellStyle name="Note 6 4 5 2 3" xfId="6980"/>
    <cellStyle name="Note 6 4 5 2 4" xfId="14321"/>
    <cellStyle name="Note 6 4 5 3" xfId="4626"/>
    <cellStyle name="Note 6 4 5 3 2" xfId="9905"/>
    <cellStyle name="Note 6 4 5 3 3" xfId="14323"/>
    <cellStyle name="Note 6 4 5 4" xfId="4627"/>
    <cellStyle name="Note 6 4 5 4 2" xfId="9906"/>
    <cellStyle name="Note 6 4 5 4 3" xfId="14324"/>
    <cellStyle name="Note 6 4 5 5" xfId="4628"/>
    <cellStyle name="Note 6 4 5 5 2" xfId="9907"/>
    <cellStyle name="Note 6 4 5 5 3" xfId="14325"/>
    <cellStyle name="Note 6 4 5 6" xfId="4629"/>
    <cellStyle name="Note 6 4 5 6 2" xfId="9908"/>
    <cellStyle name="Note 6 4 5 6 3" xfId="14326"/>
    <cellStyle name="Note 6 4 5 7" xfId="4630"/>
    <cellStyle name="Note 6 4 5 7 2" xfId="9909"/>
    <cellStyle name="Note 6 4 5 7 3" xfId="14327"/>
    <cellStyle name="Note 6 4 5 8" xfId="4631"/>
    <cellStyle name="Note 6 4 5 8 2" xfId="9910"/>
    <cellStyle name="Note 6 4 5 8 3" xfId="14328"/>
    <cellStyle name="Note 6 4 5 9" xfId="4632"/>
    <cellStyle name="Note 6 4 5 9 2" xfId="9911"/>
    <cellStyle name="Note 6 4 5 9 3" xfId="14329"/>
    <cellStyle name="Note 6 4 6" xfId="1085"/>
    <cellStyle name="Note 6 4 6 10" xfId="2322"/>
    <cellStyle name="Note 6 4 6 10 2" xfId="7601"/>
    <cellStyle name="Note 6 4 6 10 3" xfId="11386"/>
    <cellStyle name="Note 6 4 6 11" xfId="6364"/>
    <cellStyle name="Note 6 4 6 2" xfId="1702"/>
    <cellStyle name="Note 6 4 6 2 2" xfId="2936"/>
    <cellStyle name="Note 6 4 6 2 2 2" xfId="8215"/>
    <cellStyle name="Note 6 4 6 2 2 3" xfId="14331"/>
    <cellStyle name="Note 6 4 6 2 3" xfId="6981"/>
    <cellStyle name="Note 6 4 6 2 4" xfId="14330"/>
    <cellStyle name="Note 6 4 6 3" xfId="4633"/>
    <cellStyle name="Note 6 4 6 3 2" xfId="9912"/>
    <cellStyle name="Note 6 4 6 3 3" xfId="14332"/>
    <cellStyle name="Note 6 4 6 4" xfId="4634"/>
    <cellStyle name="Note 6 4 6 4 2" xfId="9913"/>
    <cellStyle name="Note 6 4 6 4 3" xfId="14333"/>
    <cellStyle name="Note 6 4 6 5" xfId="4635"/>
    <cellStyle name="Note 6 4 6 5 2" xfId="9914"/>
    <cellStyle name="Note 6 4 6 5 3" xfId="14334"/>
    <cellStyle name="Note 6 4 6 6" xfId="4636"/>
    <cellStyle name="Note 6 4 6 6 2" xfId="9915"/>
    <cellStyle name="Note 6 4 6 6 3" xfId="14335"/>
    <cellStyle name="Note 6 4 6 7" xfId="4637"/>
    <cellStyle name="Note 6 4 6 7 2" xfId="9916"/>
    <cellStyle name="Note 6 4 6 7 3" xfId="14336"/>
    <cellStyle name="Note 6 4 6 8" xfId="4638"/>
    <cellStyle name="Note 6 4 6 8 2" xfId="9917"/>
    <cellStyle name="Note 6 4 6 8 3" xfId="14337"/>
    <cellStyle name="Note 6 4 6 9" xfId="4639"/>
    <cellStyle name="Note 6 4 6 9 2" xfId="9918"/>
    <cellStyle name="Note 6 4 6 9 3" xfId="14338"/>
    <cellStyle name="Note 6 4 7" xfId="1300"/>
    <cellStyle name="Note 6 4 7 2" xfId="2534"/>
    <cellStyle name="Note 6 4 7 2 2" xfId="7813"/>
    <cellStyle name="Note 6 4 7 2 3" xfId="14340"/>
    <cellStyle name="Note 6 4 7 3" xfId="6579"/>
    <cellStyle name="Note 6 4 7 4" xfId="14339"/>
    <cellStyle name="Note 6 4 8" xfId="4640"/>
    <cellStyle name="Note 6 4 8 2" xfId="9919"/>
    <cellStyle name="Note 6 4 8 3" xfId="14341"/>
    <cellStyle name="Note 6 4 9" xfId="4641"/>
    <cellStyle name="Note 6 4 9 2" xfId="9920"/>
    <cellStyle name="Note 6 4 9 3" xfId="14342"/>
    <cellStyle name="Note 6 5" xfId="766"/>
    <cellStyle name="Note 6 5 2" xfId="1393"/>
    <cellStyle name="Note 6 5 2 2" xfId="2627"/>
    <cellStyle name="Note 6 5 2 2 2" xfId="7906"/>
    <cellStyle name="Note 6 5 2 2 3" xfId="14345"/>
    <cellStyle name="Note 6 5 2 3" xfId="6672"/>
    <cellStyle name="Note 6 5 2 4" xfId="14344"/>
    <cellStyle name="Note 6 5 3" xfId="1870"/>
    <cellStyle name="Note 6 5 3 2" xfId="3104"/>
    <cellStyle name="Note 6 5 3 2 2" xfId="8383"/>
    <cellStyle name="Note 6 5 3 2 3" xfId="14347"/>
    <cellStyle name="Note 6 5 3 3" xfId="7149"/>
    <cellStyle name="Note 6 5 3 4" xfId="14346"/>
    <cellStyle name="Note 6 5 4" xfId="4642"/>
    <cellStyle name="Note 6 5 4 2" xfId="9921"/>
    <cellStyle name="Note 6 5 4 3" xfId="14348"/>
    <cellStyle name="Note 6 5 5" xfId="4643"/>
    <cellStyle name="Note 6 5 5 2" xfId="9922"/>
    <cellStyle name="Note 6 5 5 3" xfId="14349"/>
    <cellStyle name="Note 6 5 6" xfId="4644"/>
    <cellStyle name="Note 6 5 6 2" xfId="9923"/>
    <cellStyle name="Note 6 5 6 3" xfId="14350"/>
    <cellStyle name="Note 6 5 7" xfId="4645"/>
    <cellStyle name="Note 6 5 7 2" xfId="9924"/>
    <cellStyle name="Note 6 5 7 3" xfId="14351"/>
    <cellStyle name="Note 6 5 8" xfId="6055"/>
    <cellStyle name="Note 6 5 9" xfId="14343"/>
    <cellStyle name="Note 6 6" xfId="1086"/>
    <cellStyle name="Note 6 6 10" xfId="2323"/>
    <cellStyle name="Note 6 6 10 2" xfId="7602"/>
    <cellStyle name="Note 6 6 10 3" xfId="11387"/>
    <cellStyle name="Note 6 6 11" xfId="6365"/>
    <cellStyle name="Note 6 6 2" xfId="1703"/>
    <cellStyle name="Note 6 6 2 2" xfId="2937"/>
    <cellStyle name="Note 6 6 2 2 2" xfId="8216"/>
    <cellStyle name="Note 6 6 2 2 3" xfId="14353"/>
    <cellStyle name="Note 6 6 2 3" xfId="6982"/>
    <cellStyle name="Note 6 6 2 4" xfId="14352"/>
    <cellStyle name="Note 6 6 3" xfId="4646"/>
    <cellStyle name="Note 6 6 3 2" xfId="9925"/>
    <cellStyle name="Note 6 6 3 3" xfId="14354"/>
    <cellStyle name="Note 6 6 4" xfId="4647"/>
    <cellStyle name="Note 6 6 4 2" xfId="9926"/>
    <cellStyle name="Note 6 6 4 3" xfId="14355"/>
    <cellStyle name="Note 6 6 5" xfId="4648"/>
    <cellStyle name="Note 6 6 5 2" xfId="9927"/>
    <cellStyle name="Note 6 6 5 3" xfId="14356"/>
    <cellStyle name="Note 6 6 6" xfId="4649"/>
    <cellStyle name="Note 6 6 6 2" xfId="9928"/>
    <cellStyle name="Note 6 6 6 3" xfId="14357"/>
    <cellStyle name="Note 6 6 7" xfId="4650"/>
    <cellStyle name="Note 6 6 7 2" xfId="9929"/>
    <cellStyle name="Note 6 6 7 3" xfId="14358"/>
    <cellStyle name="Note 6 6 8" xfId="4651"/>
    <cellStyle name="Note 6 6 8 2" xfId="9930"/>
    <cellStyle name="Note 6 6 8 3" xfId="14359"/>
    <cellStyle name="Note 6 6 9" xfId="4652"/>
    <cellStyle name="Note 6 6 9 2" xfId="9931"/>
    <cellStyle name="Note 6 6 9 3" xfId="14360"/>
    <cellStyle name="Note 6 7" xfId="1087"/>
    <cellStyle name="Note 6 7 10" xfId="2324"/>
    <cellStyle name="Note 6 7 10 2" xfId="7603"/>
    <cellStyle name="Note 6 7 10 3" xfId="11388"/>
    <cellStyle name="Note 6 7 11" xfId="6366"/>
    <cellStyle name="Note 6 7 2" xfId="1704"/>
    <cellStyle name="Note 6 7 2 2" xfId="2938"/>
    <cellStyle name="Note 6 7 2 2 2" xfId="8217"/>
    <cellStyle name="Note 6 7 2 2 3" xfId="14362"/>
    <cellStyle name="Note 6 7 2 3" xfId="6983"/>
    <cellStyle name="Note 6 7 2 4" xfId="14361"/>
    <cellStyle name="Note 6 7 3" xfId="4653"/>
    <cellStyle name="Note 6 7 3 2" xfId="9932"/>
    <cellStyle name="Note 6 7 3 3" xfId="14363"/>
    <cellStyle name="Note 6 7 4" xfId="4654"/>
    <cellStyle name="Note 6 7 4 2" xfId="9933"/>
    <cellStyle name="Note 6 7 4 3" xfId="14364"/>
    <cellStyle name="Note 6 7 5" xfId="4655"/>
    <cellStyle name="Note 6 7 5 2" xfId="9934"/>
    <cellStyle name="Note 6 7 5 3" xfId="14365"/>
    <cellStyle name="Note 6 7 6" xfId="4656"/>
    <cellStyle name="Note 6 7 6 2" xfId="9935"/>
    <cellStyle name="Note 6 7 6 3" xfId="14366"/>
    <cellStyle name="Note 6 7 7" xfId="4657"/>
    <cellStyle name="Note 6 7 7 2" xfId="9936"/>
    <cellStyle name="Note 6 7 7 3" xfId="14367"/>
    <cellStyle name="Note 6 7 8" xfId="4658"/>
    <cellStyle name="Note 6 7 8 2" xfId="9937"/>
    <cellStyle name="Note 6 7 8 3" xfId="14368"/>
    <cellStyle name="Note 6 7 9" xfId="4659"/>
    <cellStyle name="Note 6 7 9 2" xfId="9938"/>
    <cellStyle name="Note 6 7 9 3" xfId="14369"/>
    <cellStyle name="Note 6 8" xfId="1088"/>
    <cellStyle name="Note 6 8 10" xfId="2325"/>
    <cellStyle name="Note 6 8 10 2" xfId="7604"/>
    <cellStyle name="Note 6 8 10 3" xfId="11389"/>
    <cellStyle name="Note 6 8 11" xfId="6367"/>
    <cellStyle name="Note 6 8 2" xfId="1705"/>
    <cellStyle name="Note 6 8 2 2" xfId="2939"/>
    <cellStyle name="Note 6 8 2 2 2" xfId="8218"/>
    <cellStyle name="Note 6 8 2 2 3" xfId="14371"/>
    <cellStyle name="Note 6 8 2 3" xfId="6984"/>
    <cellStyle name="Note 6 8 2 4" xfId="14370"/>
    <cellStyle name="Note 6 8 3" xfId="4660"/>
    <cellStyle name="Note 6 8 3 2" xfId="9939"/>
    <cellStyle name="Note 6 8 3 3" xfId="14372"/>
    <cellStyle name="Note 6 8 4" xfId="4661"/>
    <cellStyle name="Note 6 8 4 2" xfId="9940"/>
    <cellStyle name="Note 6 8 4 3" xfId="14373"/>
    <cellStyle name="Note 6 8 5" xfId="4662"/>
    <cellStyle name="Note 6 8 5 2" xfId="9941"/>
    <cellStyle name="Note 6 8 5 3" xfId="14374"/>
    <cellStyle name="Note 6 8 6" xfId="4663"/>
    <cellStyle name="Note 6 8 6 2" xfId="9942"/>
    <cellStyle name="Note 6 8 6 3" xfId="14375"/>
    <cellStyle name="Note 6 8 7" xfId="4664"/>
    <cellStyle name="Note 6 8 7 2" xfId="9943"/>
    <cellStyle name="Note 6 8 7 3" xfId="14376"/>
    <cellStyle name="Note 6 8 8" xfId="4665"/>
    <cellStyle name="Note 6 8 8 2" xfId="9944"/>
    <cellStyle name="Note 6 8 8 3" xfId="14377"/>
    <cellStyle name="Note 6 8 9" xfId="4666"/>
    <cellStyle name="Note 6 8 9 2" xfId="9945"/>
    <cellStyle name="Note 6 8 9 3" xfId="14378"/>
    <cellStyle name="Note 6 9" xfId="1089"/>
    <cellStyle name="Note 6 9 10" xfId="2326"/>
    <cellStyle name="Note 6 9 10 2" xfId="7605"/>
    <cellStyle name="Note 6 9 10 3" xfId="11390"/>
    <cellStyle name="Note 6 9 11" xfId="6368"/>
    <cellStyle name="Note 6 9 2" xfId="1706"/>
    <cellStyle name="Note 6 9 2 2" xfId="2940"/>
    <cellStyle name="Note 6 9 2 2 2" xfId="8219"/>
    <cellStyle name="Note 6 9 2 2 3" xfId="14380"/>
    <cellStyle name="Note 6 9 2 3" xfId="6985"/>
    <cellStyle name="Note 6 9 2 4" xfId="14379"/>
    <cellStyle name="Note 6 9 3" xfId="4667"/>
    <cellStyle name="Note 6 9 3 2" xfId="9946"/>
    <cellStyle name="Note 6 9 3 3" xfId="14381"/>
    <cellStyle name="Note 6 9 4" xfId="4668"/>
    <cellStyle name="Note 6 9 4 2" xfId="9947"/>
    <cellStyle name="Note 6 9 4 3" xfId="14382"/>
    <cellStyle name="Note 6 9 5" xfId="4669"/>
    <cellStyle name="Note 6 9 5 2" xfId="9948"/>
    <cellStyle name="Note 6 9 5 3" xfId="14383"/>
    <cellStyle name="Note 6 9 6" xfId="4670"/>
    <cellStyle name="Note 6 9 6 2" xfId="9949"/>
    <cellStyle name="Note 6 9 6 3" xfId="14384"/>
    <cellStyle name="Note 6 9 7" xfId="4671"/>
    <cellStyle name="Note 6 9 7 2" xfId="9950"/>
    <cellStyle name="Note 6 9 7 3" xfId="14385"/>
    <cellStyle name="Note 6 9 8" xfId="4672"/>
    <cellStyle name="Note 6 9 8 2" xfId="9951"/>
    <cellStyle name="Note 6 9 8 3" xfId="14386"/>
    <cellStyle name="Note 6 9 9" xfId="4673"/>
    <cellStyle name="Note 6 9 9 2" xfId="9952"/>
    <cellStyle name="Note 6 9 9 3" xfId="14387"/>
    <cellStyle name="Note 7" xfId="612"/>
    <cellStyle name="Note 7 10" xfId="1301"/>
    <cellStyle name="Note 7 10 2" xfId="2535"/>
    <cellStyle name="Note 7 10 2 2" xfId="7814"/>
    <cellStyle name="Note 7 10 2 3" xfId="14389"/>
    <cellStyle name="Note 7 10 3" xfId="6580"/>
    <cellStyle name="Note 7 10 4" xfId="14388"/>
    <cellStyle name="Note 7 11" xfId="4674"/>
    <cellStyle name="Note 7 11 2" xfId="9953"/>
    <cellStyle name="Note 7 11 3" xfId="14390"/>
    <cellStyle name="Note 7 12" xfId="4675"/>
    <cellStyle name="Note 7 12 2" xfId="9954"/>
    <cellStyle name="Note 7 12 3" xfId="14391"/>
    <cellStyle name="Note 7 13" xfId="4676"/>
    <cellStyle name="Note 7 13 2" xfId="9955"/>
    <cellStyle name="Note 7 13 3" xfId="14392"/>
    <cellStyle name="Note 7 14" xfId="4677"/>
    <cellStyle name="Note 7 14 2" xfId="9956"/>
    <cellStyle name="Note 7 14 3" xfId="14393"/>
    <cellStyle name="Note 7 15" xfId="1988"/>
    <cellStyle name="Note 7 15 2" xfId="7267"/>
    <cellStyle name="Note 7 15 3" xfId="11391"/>
    <cellStyle name="Note 7 16" xfId="5963"/>
    <cellStyle name="Note 7 2" xfId="613"/>
    <cellStyle name="Note 7 2 10" xfId="4678"/>
    <cellStyle name="Note 7 2 10 2" xfId="9957"/>
    <cellStyle name="Note 7 2 10 3" xfId="14394"/>
    <cellStyle name="Note 7 2 11" xfId="4679"/>
    <cellStyle name="Note 7 2 11 2" xfId="9958"/>
    <cellStyle name="Note 7 2 11 3" xfId="14395"/>
    <cellStyle name="Note 7 2 12" xfId="4680"/>
    <cellStyle name="Note 7 2 12 2" xfId="9959"/>
    <cellStyle name="Note 7 2 12 3" xfId="14396"/>
    <cellStyle name="Note 7 2 13" xfId="1989"/>
    <cellStyle name="Note 7 2 13 2" xfId="7268"/>
    <cellStyle name="Note 7 2 13 3" xfId="11392"/>
    <cellStyle name="Note 7 2 14" xfId="5964"/>
    <cellStyle name="Note 7 2 2" xfId="614"/>
    <cellStyle name="Note 7 2 2 10" xfId="4681"/>
    <cellStyle name="Note 7 2 2 10 2" xfId="9960"/>
    <cellStyle name="Note 7 2 2 10 3" xfId="14397"/>
    <cellStyle name="Note 7 2 2 11" xfId="4682"/>
    <cellStyle name="Note 7 2 2 11 2" xfId="9961"/>
    <cellStyle name="Note 7 2 2 11 3" xfId="14398"/>
    <cellStyle name="Note 7 2 2 12" xfId="1990"/>
    <cellStyle name="Note 7 2 2 12 2" xfId="7269"/>
    <cellStyle name="Note 7 2 2 12 3" xfId="11393"/>
    <cellStyle name="Note 7 2 2 13" xfId="5965"/>
    <cellStyle name="Note 7 2 2 2" xfId="758"/>
    <cellStyle name="Note 7 2 2 2 2" xfId="1385"/>
    <cellStyle name="Note 7 2 2 2 2 2" xfId="2619"/>
    <cellStyle name="Note 7 2 2 2 2 2 2" xfId="7898"/>
    <cellStyle name="Note 7 2 2 2 2 2 3" xfId="14401"/>
    <cellStyle name="Note 7 2 2 2 2 3" xfId="6664"/>
    <cellStyle name="Note 7 2 2 2 2 4" xfId="14400"/>
    <cellStyle name="Note 7 2 2 2 3" xfId="1862"/>
    <cellStyle name="Note 7 2 2 2 3 2" xfId="3096"/>
    <cellStyle name="Note 7 2 2 2 3 2 2" xfId="8375"/>
    <cellStyle name="Note 7 2 2 2 3 2 3" xfId="14403"/>
    <cellStyle name="Note 7 2 2 2 3 3" xfId="7141"/>
    <cellStyle name="Note 7 2 2 2 3 4" xfId="14402"/>
    <cellStyle name="Note 7 2 2 2 4" xfId="4683"/>
    <cellStyle name="Note 7 2 2 2 4 2" xfId="9962"/>
    <cellStyle name="Note 7 2 2 2 4 3" xfId="14404"/>
    <cellStyle name="Note 7 2 2 2 5" xfId="4684"/>
    <cellStyle name="Note 7 2 2 2 5 2" xfId="9963"/>
    <cellStyle name="Note 7 2 2 2 5 3" xfId="14405"/>
    <cellStyle name="Note 7 2 2 2 6" xfId="4685"/>
    <cellStyle name="Note 7 2 2 2 6 2" xfId="9964"/>
    <cellStyle name="Note 7 2 2 2 6 3" xfId="14406"/>
    <cellStyle name="Note 7 2 2 2 7" xfId="4686"/>
    <cellStyle name="Note 7 2 2 2 7 2" xfId="9965"/>
    <cellStyle name="Note 7 2 2 2 7 3" xfId="14407"/>
    <cellStyle name="Note 7 2 2 2 8" xfId="6047"/>
    <cellStyle name="Note 7 2 2 2 9" xfId="14399"/>
    <cellStyle name="Note 7 2 2 3" xfId="1090"/>
    <cellStyle name="Note 7 2 2 3 10" xfId="2327"/>
    <cellStyle name="Note 7 2 2 3 10 2" xfId="7606"/>
    <cellStyle name="Note 7 2 2 3 10 3" xfId="11394"/>
    <cellStyle name="Note 7 2 2 3 11" xfId="6369"/>
    <cellStyle name="Note 7 2 2 3 2" xfId="1707"/>
    <cellStyle name="Note 7 2 2 3 2 2" xfId="2941"/>
    <cellStyle name="Note 7 2 2 3 2 2 2" xfId="8220"/>
    <cellStyle name="Note 7 2 2 3 2 2 3" xfId="14409"/>
    <cellStyle name="Note 7 2 2 3 2 3" xfId="6986"/>
    <cellStyle name="Note 7 2 2 3 2 4" xfId="14408"/>
    <cellStyle name="Note 7 2 2 3 3" xfId="4687"/>
    <cellStyle name="Note 7 2 2 3 3 2" xfId="9966"/>
    <cellStyle name="Note 7 2 2 3 3 3" xfId="14410"/>
    <cellStyle name="Note 7 2 2 3 4" xfId="4688"/>
    <cellStyle name="Note 7 2 2 3 4 2" xfId="9967"/>
    <cellStyle name="Note 7 2 2 3 4 3" xfId="14411"/>
    <cellStyle name="Note 7 2 2 3 5" xfId="4689"/>
    <cellStyle name="Note 7 2 2 3 5 2" xfId="9968"/>
    <cellStyle name="Note 7 2 2 3 5 3" xfId="14412"/>
    <cellStyle name="Note 7 2 2 3 6" xfId="4690"/>
    <cellStyle name="Note 7 2 2 3 6 2" xfId="9969"/>
    <cellStyle name="Note 7 2 2 3 6 3" xfId="14413"/>
    <cellStyle name="Note 7 2 2 3 7" xfId="4691"/>
    <cellStyle name="Note 7 2 2 3 7 2" xfId="9970"/>
    <cellStyle name="Note 7 2 2 3 7 3" xfId="14414"/>
    <cellStyle name="Note 7 2 2 3 8" xfId="4692"/>
    <cellStyle name="Note 7 2 2 3 8 2" xfId="9971"/>
    <cellStyle name="Note 7 2 2 3 8 3" xfId="14415"/>
    <cellStyle name="Note 7 2 2 3 9" xfId="4693"/>
    <cellStyle name="Note 7 2 2 3 9 2" xfId="9972"/>
    <cellStyle name="Note 7 2 2 3 9 3" xfId="14416"/>
    <cellStyle name="Note 7 2 2 4" xfId="1091"/>
    <cellStyle name="Note 7 2 2 4 10" xfId="2328"/>
    <cellStyle name="Note 7 2 2 4 10 2" xfId="7607"/>
    <cellStyle name="Note 7 2 2 4 10 3" xfId="11395"/>
    <cellStyle name="Note 7 2 2 4 11" xfId="6370"/>
    <cellStyle name="Note 7 2 2 4 2" xfId="1708"/>
    <cellStyle name="Note 7 2 2 4 2 2" xfId="2942"/>
    <cellStyle name="Note 7 2 2 4 2 2 2" xfId="8221"/>
    <cellStyle name="Note 7 2 2 4 2 2 3" xfId="14418"/>
    <cellStyle name="Note 7 2 2 4 2 3" xfId="6987"/>
    <cellStyle name="Note 7 2 2 4 2 4" xfId="14417"/>
    <cellStyle name="Note 7 2 2 4 3" xfId="4694"/>
    <cellStyle name="Note 7 2 2 4 3 2" xfId="9973"/>
    <cellStyle name="Note 7 2 2 4 3 3" xfId="14419"/>
    <cellStyle name="Note 7 2 2 4 4" xfId="4695"/>
    <cellStyle name="Note 7 2 2 4 4 2" xfId="9974"/>
    <cellStyle name="Note 7 2 2 4 4 3" xfId="14420"/>
    <cellStyle name="Note 7 2 2 4 5" xfId="4696"/>
    <cellStyle name="Note 7 2 2 4 5 2" xfId="9975"/>
    <cellStyle name="Note 7 2 2 4 5 3" xfId="14421"/>
    <cellStyle name="Note 7 2 2 4 6" xfId="4697"/>
    <cellStyle name="Note 7 2 2 4 6 2" xfId="9976"/>
    <cellStyle name="Note 7 2 2 4 6 3" xfId="14422"/>
    <cellStyle name="Note 7 2 2 4 7" xfId="4698"/>
    <cellStyle name="Note 7 2 2 4 7 2" xfId="9977"/>
    <cellStyle name="Note 7 2 2 4 7 3" xfId="14423"/>
    <cellStyle name="Note 7 2 2 4 8" xfId="4699"/>
    <cellStyle name="Note 7 2 2 4 8 2" xfId="9978"/>
    <cellStyle name="Note 7 2 2 4 8 3" xfId="14424"/>
    <cellStyle name="Note 7 2 2 4 9" xfId="4700"/>
    <cellStyle name="Note 7 2 2 4 9 2" xfId="9979"/>
    <cellStyle name="Note 7 2 2 4 9 3" xfId="14425"/>
    <cellStyle name="Note 7 2 2 5" xfId="1092"/>
    <cellStyle name="Note 7 2 2 5 10" xfId="2329"/>
    <cellStyle name="Note 7 2 2 5 10 2" xfId="7608"/>
    <cellStyle name="Note 7 2 2 5 10 3" xfId="11396"/>
    <cellStyle name="Note 7 2 2 5 11" xfId="6371"/>
    <cellStyle name="Note 7 2 2 5 2" xfId="1709"/>
    <cellStyle name="Note 7 2 2 5 2 2" xfId="2943"/>
    <cellStyle name="Note 7 2 2 5 2 2 2" xfId="8222"/>
    <cellStyle name="Note 7 2 2 5 2 2 3" xfId="14427"/>
    <cellStyle name="Note 7 2 2 5 2 3" xfId="6988"/>
    <cellStyle name="Note 7 2 2 5 2 4" xfId="14426"/>
    <cellStyle name="Note 7 2 2 5 3" xfId="4701"/>
    <cellStyle name="Note 7 2 2 5 3 2" xfId="9980"/>
    <cellStyle name="Note 7 2 2 5 3 3" xfId="14428"/>
    <cellStyle name="Note 7 2 2 5 4" xfId="4702"/>
    <cellStyle name="Note 7 2 2 5 4 2" xfId="9981"/>
    <cellStyle name="Note 7 2 2 5 4 3" xfId="14429"/>
    <cellStyle name="Note 7 2 2 5 5" xfId="4703"/>
    <cellStyle name="Note 7 2 2 5 5 2" xfId="9982"/>
    <cellStyle name="Note 7 2 2 5 5 3" xfId="14430"/>
    <cellStyle name="Note 7 2 2 5 6" xfId="4704"/>
    <cellStyle name="Note 7 2 2 5 6 2" xfId="9983"/>
    <cellStyle name="Note 7 2 2 5 6 3" xfId="14431"/>
    <cellStyle name="Note 7 2 2 5 7" xfId="4705"/>
    <cellStyle name="Note 7 2 2 5 7 2" xfId="9984"/>
    <cellStyle name="Note 7 2 2 5 7 3" xfId="14432"/>
    <cellStyle name="Note 7 2 2 5 8" xfId="4706"/>
    <cellStyle name="Note 7 2 2 5 8 2" xfId="9985"/>
    <cellStyle name="Note 7 2 2 5 8 3" xfId="14433"/>
    <cellStyle name="Note 7 2 2 5 9" xfId="4707"/>
    <cellStyle name="Note 7 2 2 5 9 2" xfId="9986"/>
    <cellStyle name="Note 7 2 2 5 9 3" xfId="14434"/>
    <cellStyle name="Note 7 2 2 6" xfId="1093"/>
    <cellStyle name="Note 7 2 2 6 10" xfId="2330"/>
    <cellStyle name="Note 7 2 2 6 10 2" xfId="7609"/>
    <cellStyle name="Note 7 2 2 6 10 3" xfId="11397"/>
    <cellStyle name="Note 7 2 2 6 11" xfId="6372"/>
    <cellStyle name="Note 7 2 2 6 2" xfId="1710"/>
    <cellStyle name="Note 7 2 2 6 2 2" xfId="2944"/>
    <cellStyle name="Note 7 2 2 6 2 2 2" xfId="8223"/>
    <cellStyle name="Note 7 2 2 6 2 2 3" xfId="14436"/>
    <cellStyle name="Note 7 2 2 6 2 3" xfId="6989"/>
    <cellStyle name="Note 7 2 2 6 2 4" xfId="14435"/>
    <cellStyle name="Note 7 2 2 6 3" xfId="4708"/>
    <cellStyle name="Note 7 2 2 6 3 2" xfId="9987"/>
    <cellStyle name="Note 7 2 2 6 3 3" xfId="14437"/>
    <cellStyle name="Note 7 2 2 6 4" xfId="4709"/>
    <cellStyle name="Note 7 2 2 6 4 2" xfId="9988"/>
    <cellStyle name="Note 7 2 2 6 4 3" xfId="14438"/>
    <cellStyle name="Note 7 2 2 6 5" xfId="4710"/>
    <cellStyle name="Note 7 2 2 6 5 2" xfId="9989"/>
    <cellStyle name="Note 7 2 2 6 5 3" xfId="14439"/>
    <cellStyle name="Note 7 2 2 6 6" xfId="4711"/>
    <cellStyle name="Note 7 2 2 6 6 2" xfId="9990"/>
    <cellStyle name="Note 7 2 2 6 6 3" xfId="14440"/>
    <cellStyle name="Note 7 2 2 6 7" xfId="4712"/>
    <cellStyle name="Note 7 2 2 6 7 2" xfId="9991"/>
    <cellStyle name="Note 7 2 2 6 7 3" xfId="14441"/>
    <cellStyle name="Note 7 2 2 6 8" xfId="4713"/>
    <cellStyle name="Note 7 2 2 6 8 2" xfId="9992"/>
    <cellStyle name="Note 7 2 2 6 8 3" xfId="14442"/>
    <cellStyle name="Note 7 2 2 6 9" xfId="4714"/>
    <cellStyle name="Note 7 2 2 6 9 2" xfId="9993"/>
    <cellStyle name="Note 7 2 2 6 9 3" xfId="14443"/>
    <cellStyle name="Note 7 2 2 7" xfId="1303"/>
    <cellStyle name="Note 7 2 2 7 2" xfId="2537"/>
    <cellStyle name="Note 7 2 2 7 2 2" xfId="7816"/>
    <cellStyle name="Note 7 2 2 7 2 3" xfId="14445"/>
    <cellStyle name="Note 7 2 2 7 3" xfId="6582"/>
    <cellStyle name="Note 7 2 2 7 4" xfId="14444"/>
    <cellStyle name="Note 7 2 2 8" xfId="4715"/>
    <cellStyle name="Note 7 2 2 8 2" xfId="9994"/>
    <cellStyle name="Note 7 2 2 8 3" xfId="14446"/>
    <cellStyle name="Note 7 2 2 9" xfId="4716"/>
    <cellStyle name="Note 7 2 2 9 2" xfId="9995"/>
    <cellStyle name="Note 7 2 2 9 3" xfId="14447"/>
    <cellStyle name="Note 7 2 3" xfId="759"/>
    <cellStyle name="Note 7 2 3 2" xfId="1386"/>
    <cellStyle name="Note 7 2 3 2 2" xfId="2620"/>
    <cellStyle name="Note 7 2 3 2 2 2" xfId="7899"/>
    <cellStyle name="Note 7 2 3 2 2 3" xfId="14450"/>
    <cellStyle name="Note 7 2 3 2 3" xfId="6665"/>
    <cellStyle name="Note 7 2 3 2 4" xfId="14449"/>
    <cellStyle name="Note 7 2 3 3" xfId="1863"/>
    <cellStyle name="Note 7 2 3 3 2" xfId="3097"/>
    <cellStyle name="Note 7 2 3 3 2 2" xfId="8376"/>
    <cellStyle name="Note 7 2 3 3 2 3" xfId="14452"/>
    <cellStyle name="Note 7 2 3 3 3" xfId="7142"/>
    <cellStyle name="Note 7 2 3 3 4" xfId="14451"/>
    <cellStyle name="Note 7 2 3 4" xfId="4717"/>
    <cellStyle name="Note 7 2 3 4 2" xfId="9996"/>
    <cellStyle name="Note 7 2 3 4 3" xfId="14453"/>
    <cellStyle name="Note 7 2 3 5" xfId="4718"/>
    <cellStyle name="Note 7 2 3 5 2" xfId="9997"/>
    <cellStyle name="Note 7 2 3 5 3" xfId="14454"/>
    <cellStyle name="Note 7 2 3 6" xfId="4719"/>
    <cellStyle name="Note 7 2 3 6 2" xfId="9998"/>
    <cellStyle name="Note 7 2 3 6 3" xfId="14455"/>
    <cellStyle name="Note 7 2 3 7" xfId="4720"/>
    <cellStyle name="Note 7 2 3 7 2" xfId="9999"/>
    <cellStyle name="Note 7 2 3 7 3" xfId="14456"/>
    <cellStyle name="Note 7 2 3 8" xfId="6048"/>
    <cellStyle name="Note 7 2 3 9" xfId="14448"/>
    <cellStyle name="Note 7 2 4" xfId="1094"/>
    <cellStyle name="Note 7 2 4 10" xfId="2331"/>
    <cellStyle name="Note 7 2 4 10 2" xfId="7610"/>
    <cellStyle name="Note 7 2 4 10 3" xfId="11398"/>
    <cellStyle name="Note 7 2 4 11" xfId="6373"/>
    <cellStyle name="Note 7 2 4 2" xfId="1711"/>
    <cellStyle name="Note 7 2 4 2 2" xfId="2945"/>
    <cellStyle name="Note 7 2 4 2 2 2" xfId="8224"/>
    <cellStyle name="Note 7 2 4 2 2 3" xfId="14458"/>
    <cellStyle name="Note 7 2 4 2 3" xfId="6990"/>
    <cellStyle name="Note 7 2 4 2 4" xfId="14457"/>
    <cellStyle name="Note 7 2 4 3" xfId="4721"/>
    <cellStyle name="Note 7 2 4 3 2" xfId="10000"/>
    <cellStyle name="Note 7 2 4 3 3" xfId="14459"/>
    <cellStyle name="Note 7 2 4 4" xfId="4722"/>
    <cellStyle name="Note 7 2 4 4 2" xfId="10001"/>
    <cellStyle name="Note 7 2 4 4 3" xfId="14460"/>
    <cellStyle name="Note 7 2 4 5" xfId="4723"/>
    <cellStyle name="Note 7 2 4 5 2" xfId="10002"/>
    <cellStyle name="Note 7 2 4 5 3" xfId="14461"/>
    <cellStyle name="Note 7 2 4 6" xfId="4724"/>
    <cellStyle name="Note 7 2 4 6 2" xfId="10003"/>
    <cellStyle name="Note 7 2 4 6 3" xfId="14462"/>
    <cellStyle name="Note 7 2 4 7" xfId="4725"/>
    <cellStyle name="Note 7 2 4 7 2" xfId="10004"/>
    <cellStyle name="Note 7 2 4 7 3" xfId="14463"/>
    <cellStyle name="Note 7 2 4 8" xfId="4726"/>
    <cellStyle name="Note 7 2 4 8 2" xfId="10005"/>
    <cellStyle name="Note 7 2 4 8 3" xfId="14464"/>
    <cellStyle name="Note 7 2 4 9" xfId="4727"/>
    <cellStyle name="Note 7 2 4 9 2" xfId="10006"/>
    <cellStyle name="Note 7 2 4 9 3" xfId="14465"/>
    <cellStyle name="Note 7 2 5" xfId="1095"/>
    <cellStyle name="Note 7 2 5 10" xfId="2332"/>
    <cellStyle name="Note 7 2 5 10 2" xfId="7611"/>
    <cellStyle name="Note 7 2 5 10 3" xfId="11399"/>
    <cellStyle name="Note 7 2 5 11" xfId="6374"/>
    <cellStyle name="Note 7 2 5 2" xfId="1712"/>
    <cellStyle name="Note 7 2 5 2 2" xfId="2946"/>
    <cellStyle name="Note 7 2 5 2 2 2" xfId="8225"/>
    <cellStyle name="Note 7 2 5 2 2 3" xfId="14467"/>
    <cellStyle name="Note 7 2 5 2 3" xfId="6991"/>
    <cellStyle name="Note 7 2 5 2 4" xfId="14466"/>
    <cellStyle name="Note 7 2 5 3" xfId="4728"/>
    <cellStyle name="Note 7 2 5 3 2" xfId="10007"/>
    <cellStyle name="Note 7 2 5 3 3" xfId="14468"/>
    <cellStyle name="Note 7 2 5 4" xfId="4729"/>
    <cellStyle name="Note 7 2 5 4 2" xfId="10008"/>
    <cellStyle name="Note 7 2 5 4 3" xfId="14469"/>
    <cellStyle name="Note 7 2 5 5" xfId="4730"/>
    <cellStyle name="Note 7 2 5 5 2" xfId="10009"/>
    <cellStyle name="Note 7 2 5 5 3" xfId="14470"/>
    <cellStyle name="Note 7 2 5 6" xfId="4731"/>
    <cellStyle name="Note 7 2 5 6 2" xfId="10010"/>
    <cellStyle name="Note 7 2 5 6 3" xfId="14471"/>
    <cellStyle name="Note 7 2 5 7" xfId="4732"/>
    <cellStyle name="Note 7 2 5 7 2" xfId="10011"/>
    <cellStyle name="Note 7 2 5 7 3" xfId="14472"/>
    <cellStyle name="Note 7 2 5 8" xfId="4733"/>
    <cellStyle name="Note 7 2 5 8 2" xfId="10012"/>
    <cellStyle name="Note 7 2 5 8 3" xfId="14473"/>
    <cellStyle name="Note 7 2 5 9" xfId="4734"/>
    <cellStyle name="Note 7 2 5 9 2" xfId="10013"/>
    <cellStyle name="Note 7 2 5 9 3" xfId="14474"/>
    <cellStyle name="Note 7 2 6" xfId="1096"/>
    <cellStyle name="Note 7 2 6 10" xfId="2333"/>
    <cellStyle name="Note 7 2 6 10 2" xfId="7612"/>
    <cellStyle name="Note 7 2 6 10 3" xfId="11400"/>
    <cellStyle name="Note 7 2 6 11" xfId="6375"/>
    <cellStyle name="Note 7 2 6 2" xfId="1713"/>
    <cellStyle name="Note 7 2 6 2 2" xfId="2947"/>
    <cellStyle name="Note 7 2 6 2 2 2" xfId="8226"/>
    <cellStyle name="Note 7 2 6 2 2 3" xfId="14476"/>
    <cellStyle name="Note 7 2 6 2 3" xfId="6992"/>
    <cellStyle name="Note 7 2 6 2 4" xfId="14475"/>
    <cellStyle name="Note 7 2 6 3" xfId="4735"/>
    <cellStyle name="Note 7 2 6 3 2" xfId="10014"/>
    <cellStyle name="Note 7 2 6 3 3" xfId="14477"/>
    <cellStyle name="Note 7 2 6 4" xfId="4736"/>
    <cellStyle name="Note 7 2 6 4 2" xfId="10015"/>
    <cellStyle name="Note 7 2 6 4 3" xfId="14478"/>
    <cellStyle name="Note 7 2 6 5" xfId="4737"/>
    <cellStyle name="Note 7 2 6 5 2" xfId="10016"/>
    <cellStyle name="Note 7 2 6 5 3" xfId="14479"/>
    <cellStyle name="Note 7 2 6 6" xfId="4738"/>
    <cellStyle name="Note 7 2 6 6 2" xfId="10017"/>
    <cellStyle name="Note 7 2 6 6 3" xfId="14480"/>
    <cellStyle name="Note 7 2 6 7" xfId="4739"/>
    <cellStyle name="Note 7 2 6 7 2" xfId="10018"/>
    <cellStyle name="Note 7 2 6 7 3" xfId="14481"/>
    <cellStyle name="Note 7 2 6 8" xfId="4740"/>
    <cellStyle name="Note 7 2 6 8 2" xfId="10019"/>
    <cellStyle name="Note 7 2 6 8 3" xfId="14482"/>
    <cellStyle name="Note 7 2 6 9" xfId="4741"/>
    <cellStyle name="Note 7 2 6 9 2" xfId="10020"/>
    <cellStyle name="Note 7 2 6 9 3" xfId="14483"/>
    <cellStyle name="Note 7 2 7" xfId="1097"/>
    <cellStyle name="Note 7 2 7 10" xfId="2334"/>
    <cellStyle name="Note 7 2 7 10 2" xfId="7613"/>
    <cellStyle name="Note 7 2 7 10 3" xfId="11401"/>
    <cellStyle name="Note 7 2 7 11" xfId="6376"/>
    <cellStyle name="Note 7 2 7 2" xfId="1714"/>
    <cellStyle name="Note 7 2 7 2 2" xfId="2948"/>
    <cellStyle name="Note 7 2 7 2 2 2" xfId="8227"/>
    <cellStyle name="Note 7 2 7 2 2 3" xfId="14485"/>
    <cellStyle name="Note 7 2 7 2 3" xfId="6993"/>
    <cellStyle name="Note 7 2 7 2 4" xfId="14484"/>
    <cellStyle name="Note 7 2 7 3" xfId="4742"/>
    <cellStyle name="Note 7 2 7 3 2" xfId="10021"/>
    <cellStyle name="Note 7 2 7 3 3" xfId="14486"/>
    <cellStyle name="Note 7 2 7 4" xfId="4743"/>
    <cellStyle name="Note 7 2 7 4 2" xfId="10022"/>
    <cellStyle name="Note 7 2 7 4 3" xfId="14487"/>
    <cellStyle name="Note 7 2 7 5" xfId="4744"/>
    <cellStyle name="Note 7 2 7 5 2" xfId="10023"/>
    <cellStyle name="Note 7 2 7 5 3" xfId="14488"/>
    <cellStyle name="Note 7 2 7 6" xfId="4745"/>
    <cellStyle name="Note 7 2 7 6 2" xfId="10024"/>
    <cellStyle name="Note 7 2 7 6 3" xfId="14489"/>
    <cellStyle name="Note 7 2 7 7" xfId="4746"/>
    <cellStyle name="Note 7 2 7 7 2" xfId="10025"/>
    <cellStyle name="Note 7 2 7 7 3" xfId="14490"/>
    <cellStyle name="Note 7 2 7 8" xfId="4747"/>
    <cellStyle name="Note 7 2 7 8 2" xfId="10026"/>
    <cellStyle name="Note 7 2 7 8 3" xfId="14491"/>
    <cellStyle name="Note 7 2 7 9" xfId="4748"/>
    <cellStyle name="Note 7 2 7 9 2" xfId="10027"/>
    <cellStyle name="Note 7 2 7 9 3" xfId="14492"/>
    <cellStyle name="Note 7 2 8" xfId="1302"/>
    <cellStyle name="Note 7 2 8 2" xfId="2536"/>
    <cellStyle name="Note 7 2 8 2 2" xfId="7815"/>
    <cellStyle name="Note 7 2 8 2 3" xfId="14494"/>
    <cellStyle name="Note 7 2 8 3" xfId="6581"/>
    <cellStyle name="Note 7 2 8 4" xfId="14493"/>
    <cellStyle name="Note 7 2 9" xfId="4749"/>
    <cellStyle name="Note 7 2 9 2" xfId="10028"/>
    <cellStyle name="Note 7 2 9 3" xfId="14495"/>
    <cellStyle name="Note 7 3" xfId="615"/>
    <cellStyle name="Note 7 3 10" xfId="4750"/>
    <cellStyle name="Note 7 3 10 2" xfId="10029"/>
    <cellStyle name="Note 7 3 10 3" xfId="14496"/>
    <cellStyle name="Note 7 3 11" xfId="4751"/>
    <cellStyle name="Note 7 3 11 2" xfId="10030"/>
    <cellStyle name="Note 7 3 11 3" xfId="14497"/>
    <cellStyle name="Note 7 3 12" xfId="4752"/>
    <cellStyle name="Note 7 3 12 2" xfId="10031"/>
    <cellStyle name="Note 7 3 12 3" xfId="14498"/>
    <cellStyle name="Note 7 3 13" xfId="1991"/>
    <cellStyle name="Note 7 3 13 2" xfId="7270"/>
    <cellStyle name="Note 7 3 13 3" xfId="11402"/>
    <cellStyle name="Note 7 3 14" xfId="5966"/>
    <cellStyle name="Note 7 3 2" xfId="616"/>
    <cellStyle name="Note 7 3 2 10" xfId="4753"/>
    <cellStyle name="Note 7 3 2 10 2" xfId="10032"/>
    <cellStyle name="Note 7 3 2 10 3" xfId="14499"/>
    <cellStyle name="Note 7 3 2 11" xfId="4754"/>
    <cellStyle name="Note 7 3 2 11 2" xfId="10033"/>
    <cellStyle name="Note 7 3 2 11 3" xfId="14500"/>
    <cellStyle name="Note 7 3 2 12" xfId="1992"/>
    <cellStyle name="Note 7 3 2 12 2" xfId="7271"/>
    <cellStyle name="Note 7 3 2 12 3" xfId="11403"/>
    <cellStyle name="Note 7 3 2 13" xfId="5967"/>
    <cellStyle name="Note 7 3 2 2" xfId="756"/>
    <cellStyle name="Note 7 3 2 2 2" xfId="1383"/>
    <cellStyle name="Note 7 3 2 2 2 2" xfId="2617"/>
    <cellStyle name="Note 7 3 2 2 2 2 2" xfId="7896"/>
    <cellStyle name="Note 7 3 2 2 2 2 3" xfId="14503"/>
    <cellStyle name="Note 7 3 2 2 2 3" xfId="6662"/>
    <cellStyle name="Note 7 3 2 2 2 4" xfId="14502"/>
    <cellStyle name="Note 7 3 2 2 3" xfId="1860"/>
    <cellStyle name="Note 7 3 2 2 3 2" xfId="3094"/>
    <cellStyle name="Note 7 3 2 2 3 2 2" xfId="8373"/>
    <cellStyle name="Note 7 3 2 2 3 2 3" xfId="14505"/>
    <cellStyle name="Note 7 3 2 2 3 3" xfId="7139"/>
    <cellStyle name="Note 7 3 2 2 3 4" xfId="14504"/>
    <cellStyle name="Note 7 3 2 2 4" xfId="4755"/>
    <cellStyle name="Note 7 3 2 2 4 2" xfId="10034"/>
    <cellStyle name="Note 7 3 2 2 4 3" xfId="14506"/>
    <cellStyle name="Note 7 3 2 2 5" xfId="4756"/>
    <cellStyle name="Note 7 3 2 2 5 2" xfId="10035"/>
    <cellStyle name="Note 7 3 2 2 5 3" xfId="14507"/>
    <cellStyle name="Note 7 3 2 2 6" xfId="4757"/>
    <cellStyle name="Note 7 3 2 2 6 2" xfId="10036"/>
    <cellStyle name="Note 7 3 2 2 6 3" xfId="14508"/>
    <cellStyle name="Note 7 3 2 2 7" xfId="4758"/>
    <cellStyle name="Note 7 3 2 2 7 2" xfId="10037"/>
    <cellStyle name="Note 7 3 2 2 7 3" xfId="14509"/>
    <cellStyle name="Note 7 3 2 2 8" xfId="6045"/>
    <cellStyle name="Note 7 3 2 2 9" xfId="14501"/>
    <cellStyle name="Note 7 3 2 3" xfId="1098"/>
    <cellStyle name="Note 7 3 2 3 10" xfId="2335"/>
    <cellStyle name="Note 7 3 2 3 10 2" xfId="7614"/>
    <cellStyle name="Note 7 3 2 3 10 3" xfId="11404"/>
    <cellStyle name="Note 7 3 2 3 11" xfId="6377"/>
    <cellStyle name="Note 7 3 2 3 2" xfId="1715"/>
    <cellStyle name="Note 7 3 2 3 2 2" xfId="2949"/>
    <cellStyle name="Note 7 3 2 3 2 2 2" xfId="8228"/>
    <cellStyle name="Note 7 3 2 3 2 2 3" xfId="14511"/>
    <cellStyle name="Note 7 3 2 3 2 3" xfId="6994"/>
    <cellStyle name="Note 7 3 2 3 2 4" xfId="14510"/>
    <cellStyle name="Note 7 3 2 3 3" xfId="4759"/>
    <cellStyle name="Note 7 3 2 3 3 2" xfId="10038"/>
    <cellStyle name="Note 7 3 2 3 3 3" xfId="14512"/>
    <cellStyle name="Note 7 3 2 3 4" xfId="4760"/>
    <cellStyle name="Note 7 3 2 3 4 2" xfId="10039"/>
    <cellStyle name="Note 7 3 2 3 4 3" xfId="14513"/>
    <cellStyle name="Note 7 3 2 3 5" xfId="4761"/>
    <cellStyle name="Note 7 3 2 3 5 2" xfId="10040"/>
    <cellStyle name="Note 7 3 2 3 5 3" xfId="14514"/>
    <cellStyle name="Note 7 3 2 3 6" xfId="4762"/>
    <cellStyle name="Note 7 3 2 3 6 2" xfId="10041"/>
    <cellStyle name="Note 7 3 2 3 6 3" xfId="14515"/>
    <cellStyle name="Note 7 3 2 3 7" xfId="4763"/>
    <cellStyle name="Note 7 3 2 3 7 2" xfId="10042"/>
    <cellStyle name="Note 7 3 2 3 7 3" xfId="14516"/>
    <cellStyle name="Note 7 3 2 3 8" xfId="4764"/>
    <cellStyle name="Note 7 3 2 3 8 2" xfId="10043"/>
    <cellStyle name="Note 7 3 2 3 8 3" xfId="14517"/>
    <cellStyle name="Note 7 3 2 3 9" xfId="4765"/>
    <cellStyle name="Note 7 3 2 3 9 2" xfId="10044"/>
    <cellStyle name="Note 7 3 2 3 9 3" xfId="14518"/>
    <cellStyle name="Note 7 3 2 4" xfId="1099"/>
    <cellStyle name="Note 7 3 2 4 10" xfId="2336"/>
    <cellStyle name="Note 7 3 2 4 10 2" xfId="7615"/>
    <cellStyle name="Note 7 3 2 4 10 3" xfId="11405"/>
    <cellStyle name="Note 7 3 2 4 11" xfId="6378"/>
    <cellStyle name="Note 7 3 2 4 2" xfId="1716"/>
    <cellStyle name="Note 7 3 2 4 2 2" xfId="2950"/>
    <cellStyle name="Note 7 3 2 4 2 2 2" xfId="8229"/>
    <cellStyle name="Note 7 3 2 4 2 2 3" xfId="14520"/>
    <cellStyle name="Note 7 3 2 4 2 3" xfId="6995"/>
    <cellStyle name="Note 7 3 2 4 2 4" xfId="14519"/>
    <cellStyle name="Note 7 3 2 4 3" xfId="4766"/>
    <cellStyle name="Note 7 3 2 4 3 2" xfId="10045"/>
    <cellStyle name="Note 7 3 2 4 3 3" xfId="14521"/>
    <cellStyle name="Note 7 3 2 4 4" xfId="4767"/>
    <cellStyle name="Note 7 3 2 4 4 2" xfId="10046"/>
    <cellStyle name="Note 7 3 2 4 4 3" xfId="14522"/>
    <cellStyle name="Note 7 3 2 4 5" xfId="4768"/>
    <cellStyle name="Note 7 3 2 4 5 2" xfId="10047"/>
    <cellStyle name="Note 7 3 2 4 5 3" xfId="14523"/>
    <cellStyle name="Note 7 3 2 4 6" xfId="4769"/>
    <cellStyle name="Note 7 3 2 4 6 2" xfId="10048"/>
    <cellStyle name="Note 7 3 2 4 6 3" xfId="14524"/>
    <cellStyle name="Note 7 3 2 4 7" xfId="4770"/>
    <cellStyle name="Note 7 3 2 4 7 2" xfId="10049"/>
    <cellStyle name="Note 7 3 2 4 7 3" xfId="14525"/>
    <cellStyle name="Note 7 3 2 4 8" xfId="4771"/>
    <cellStyle name="Note 7 3 2 4 8 2" xfId="10050"/>
    <cellStyle name="Note 7 3 2 4 8 3" xfId="14526"/>
    <cellStyle name="Note 7 3 2 4 9" xfId="4772"/>
    <cellStyle name="Note 7 3 2 4 9 2" xfId="10051"/>
    <cellStyle name="Note 7 3 2 4 9 3" xfId="14527"/>
    <cellStyle name="Note 7 3 2 5" xfId="1100"/>
    <cellStyle name="Note 7 3 2 5 10" xfId="2337"/>
    <cellStyle name="Note 7 3 2 5 10 2" xfId="7616"/>
    <cellStyle name="Note 7 3 2 5 10 3" xfId="11406"/>
    <cellStyle name="Note 7 3 2 5 11" xfId="6379"/>
    <cellStyle name="Note 7 3 2 5 2" xfId="1717"/>
    <cellStyle name="Note 7 3 2 5 2 2" xfId="2951"/>
    <cellStyle name="Note 7 3 2 5 2 2 2" xfId="8230"/>
    <cellStyle name="Note 7 3 2 5 2 2 3" xfId="14529"/>
    <cellStyle name="Note 7 3 2 5 2 3" xfId="6996"/>
    <cellStyle name="Note 7 3 2 5 2 4" xfId="14528"/>
    <cellStyle name="Note 7 3 2 5 3" xfId="4773"/>
    <cellStyle name="Note 7 3 2 5 3 2" xfId="10052"/>
    <cellStyle name="Note 7 3 2 5 3 3" xfId="14530"/>
    <cellStyle name="Note 7 3 2 5 4" xfId="4774"/>
    <cellStyle name="Note 7 3 2 5 4 2" xfId="10053"/>
    <cellStyle name="Note 7 3 2 5 4 3" xfId="14531"/>
    <cellStyle name="Note 7 3 2 5 5" xfId="4775"/>
    <cellStyle name="Note 7 3 2 5 5 2" xfId="10054"/>
    <cellStyle name="Note 7 3 2 5 5 3" xfId="14532"/>
    <cellStyle name="Note 7 3 2 5 6" xfId="4776"/>
    <cellStyle name="Note 7 3 2 5 6 2" xfId="10055"/>
    <cellStyle name="Note 7 3 2 5 6 3" xfId="14533"/>
    <cellStyle name="Note 7 3 2 5 7" xfId="4777"/>
    <cellStyle name="Note 7 3 2 5 7 2" xfId="10056"/>
    <cellStyle name="Note 7 3 2 5 7 3" xfId="14534"/>
    <cellStyle name="Note 7 3 2 5 8" xfId="4778"/>
    <cellStyle name="Note 7 3 2 5 8 2" xfId="10057"/>
    <cellStyle name="Note 7 3 2 5 8 3" xfId="14535"/>
    <cellStyle name="Note 7 3 2 5 9" xfId="4779"/>
    <cellStyle name="Note 7 3 2 5 9 2" xfId="10058"/>
    <cellStyle name="Note 7 3 2 5 9 3" xfId="14536"/>
    <cellStyle name="Note 7 3 2 6" xfId="1101"/>
    <cellStyle name="Note 7 3 2 6 10" xfId="2338"/>
    <cellStyle name="Note 7 3 2 6 10 2" xfId="7617"/>
    <cellStyle name="Note 7 3 2 6 10 3" xfId="11407"/>
    <cellStyle name="Note 7 3 2 6 11" xfId="6380"/>
    <cellStyle name="Note 7 3 2 6 2" xfId="1718"/>
    <cellStyle name="Note 7 3 2 6 2 2" xfId="2952"/>
    <cellStyle name="Note 7 3 2 6 2 2 2" xfId="8231"/>
    <cellStyle name="Note 7 3 2 6 2 2 3" xfId="14538"/>
    <cellStyle name="Note 7 3 2 6 2 3" xfId="6997"/>
    <cellStyle name="Note 7 3 2 6 2 4" xfId="14537"/>
    <cellStyle name="Note 7 3 2 6 3" xfId="4780"/>
    <cellStyle name="Note 7 3 2 6 3 2" xfId="10059"/>
    <cellStyle name="Note 7 3 2 6 3 3" xfId="14539"/>
    <cellStyle name="Note 7 3 2 6 4" xfId="4781"/>
    <cellStyle name="Note 7 3 2 6 4 2" xfId="10060"/>
    <cellStyle name="Note 7 3 2 6 4 3" xfId="14540"/>
    <cellStyle name="Note 7 3 2 6 5" xfId="4782"/>
    <cellStyle name="Note 7 3 2 6 5 2" xfId="10061"/>
    <cellStyle name="Note 7 3 2 6 5 3" xfId="14541"/>
    <cellStyle name="Note 7 3 2 6 6" xfId="4783"/>
    <cellStyle name="Note 7 3 2 6 6 2" xfId="10062"/>
    <cellStyle name="Note 7 3 2 6 6 3" xfId="14542"/>
    <cellStyle name="Note 7 3 2 6 7" xfId="4784"/>
    <cellStyle name="Note 7 3 2 6 7 2" xfId="10063"/>
    <cellStyle name="Note 7 3 2 6 7 3" xfId="14543"/>
    <cellStyle name="Note 7 3 2 6 8" xfId="4785"/>
    <cellStyle name="Note 7 3 2 6 8 2" xfId="10064"/>
    <cellStyle name="Note 7 3 2 6 8 3" xfId="14544"/>
    <cellStyle name="Note 7 3 2 6 9" xfId="4786"/>
    <cellStyle name="Note 7 3 2 6 9 2" xfId="10065"/>
    <cellStyle name="Note 7 3 2 6 9 3" xfId="14545"/>
    <cellStyle name="Note 7 3 2 7" xfId="1305"/>
    <cellStyle name="Note 7 3 2 7 2" xfId="2539"/>
    <cellStyle name="Note 7 3 2 7 2 2" xfId="7818"/>
    <cellStyle name="Note 7 3 2 7 2 3" xfId="14547"/>
    <cellStyle name="Note 7 3 2 7 3" xfId="6584"/>
    <cellStyle name="Note 7 3 2 7 4" xfId="14546"/>
    <cellStyle name="Note 7 3 2 8" xfId="4787"/>
    <cellStyle name="Note 7 3 2 8 2" xfId="10066"/>
    <cellStyle name="Note 7 3 2 8 3" xfId="14548"/>
    <cellStyle name="Note 7 3 2 9" xfId="4788"/>
    <cellStyle name="Note 7 3 2 9 2" xfId="10067"/>
    <cellStyle name="Note 7 3 2 9 3" xfId="14549"/>
    <cellStyle name="Note 7 3 3" xfId="757"/>
    <cellStyle name="Note 7 3 3 2" xfId="1384"/>
    <cellStyle name="Note 7 3 3 2 2" xfId="2618"/>
    <cellStyle name="Note 7 3 3 2 2 2" xfId="7897"/>
    <cellStyle name="Note 7 3 3 2 2 3" xfId="14552"/>
    <cellStyle name="Note 7 3 3 2 3" xfId="6663"/>
    <cellStyle name="Note 7 3 3 2 4" xfId="14551"/>
    <cellStyle name="Note 7 3 3 3" xfId="1861"/>
    <cellStyle name="Note 7 3 3 3 2" xfId="3095"/>
    <cellStyle name="Note 7 3 3 3 2 2" xfId="8374"/>
    <cellStyle name="Note 7 3 3 3 2 3" xfId="14554"/>
    <cellStyle name="Note 7 3 3 3 3" xfId="7140"/>
    <cellStyle name="Note 7 3 3 3 4" xfId="14553"/>
    <cellStyle name="Note 7 3 3 4" xfId="4789"/>
    <cellStyle name="Note 7 3 3 4 2" xfId="10068"/>
    <cellStyle name="Note 7 3 3 4 3" xfId="14555"/>
    <cellStyle name="Note 7 3 3 5" xfId="4790"/>
    <cellStyle name="Note 7 3 3 5 2" xfId="10069"/>
    <cellStyle name="Note 7 3 3 5 3" xfId="14556"/>
    <cellStyle name="Note 7 3 3 6" xfId="4791"/>
    <cellStyle name="Note 7 3 3 6 2" xfId="10070"/>
    <cellStyle name="Note 7 3 3 6 3" xfId="14557"/>
    <cellStyle name="Note 7 3 3 7" xfId="4792"/>
    <cellStyle name="Note 7 3 3 7 2" xfId="10071"/>
    <cellStyle name="Note 7 3 3 7 3" xfId="14558"/>
    <cellStyle name="Note 7 3 3 8" xfId="6046"/>
    <cellStyle name="Note 7 3 3 9" xfId="14550"/>
    <cellStyle name="Note 7 3 4" xfId="1102"/>
    <cellStyle name="Note 7 3 4 10" xfId="2339"/>
    <cellStyle name="Note 7 3 4 10 2" xfId="7618"/>
    <cellStyle name="Note 7 3 4 10 3" xfId="11408"/>
    <cellStyle name="Note 7 3 4 11" xfId="6381"/>
    <cellStyle name="Note 7 3 4 2" xfId="1719"/>
    <cellStyle name="Note 7 3 4 2 2" xfId="2953"/>
    <cellStyle name="Note 7 3 4 2 2 2" xfId="8232"/>
    <cellStyle name="Note 7 3 4 2 2 3" xfId="14560"/>
    <cellStyle name="Note 7 3 4 2 3" xfId="6998"/>
    <cellStyle name="Note 7 3 4 2 4" xfId="14559"/>
    <cellStyle name="Note 7 3 4 3" xfId="4793"/>
    <cellStyle name="Note 7 3 4 3 2" xfId="10072"/>
    <cellStyle name="Note 7 3 4 3 3" xfId="14561"/>
    <cellStyle name="Note 7 3 4 4" xfId="4794"/>
    <cellStyle name="Note 7 3 4 4 2" xfId="10073"/>
    <cellStyle name="Note 7 3 4 4 3" xfId="14562"/>
    <cellStyle name="Note 7 3 4 5" xfId="4795"/>
    <cellStyle name="Note 7 3 4 5 2" xfId="10074"/>
    <cellStyle name="Note 7 3 4 5 3" xfId="14563"/>
    <cellStyle name="Note 7 3 4 6" xfId="4796"/>
    <cellStyle name="Note 7 3 4 6 2" xfId="10075"/>
    <cellStyle name="Note 7 3 4 6 3" xfId="14564"/>
    <cellStyle name="Note 7 3 4 7" xfId="4797"/>
    <cellStyle name="Note 7 3 4 7 2" xfId="10076"/>
    <cellStyle name="Note 7 3 4 7 3" xfId="14565"/>
    <cellStyle name="Note 7 3 4 8" xfId="4798"/>
    <cellStyle name="Note 7 3 4 8 2" xfId="10077"/>
    <cellStyle name="Note 7 3 4 8 3" xfId="14566"/>
    <cellStyle name="Note 7 3 4 9" xfId="4799"/>
    <cellStyle name="Note 7 3 4 9 2" xfId="10078"/>
    <cellStyle name="Note 7 3 4 9 3" xfId="14567"/>
    <cellStyle name="Note 7 3 5" xfId="1103"/>
    <cellStyle name="Note 7 3 5 10" xfId="2340"/>
    <cellStyle name="Note 7 3 5 10 2" xfId="7619"/>
    <cellStyle name="Note 7 3 5 10 3" xfId="11409"/>
    <cellStyle name="Note 7 3 5 11" xfId="6382"/>
    <cellStyle name="Note 7 3 5 2" xfId="1720"/>
    <cellStyle name="Note 7 3 5 2 2" xfId="2954"/>
    <cellStyle name="Note 7 3 5 2 2 2" xfId="8233"/>
    <cellStyle name="Note 7 3 5 2 2 3" xfId="14569"/>
    <cellStyle name="Note 7 3 5 2 3" xfId="6999"/>
    <cellStyle name="Note 7 3 5 2 4" xfId="14568"/>
    <cellStyle name="Note 7 3 5 3" xfId="4800"/>
    <cellStyle name="Note 7 3 5 3 2" xfId="10079"/>
    <cellStyle name="Note 7 3 5 3 3" xfId="14570"/>
    <cellStyle name="Note 7 3 5 4" xfId="4801"/>
    <cellStyle name="Note 7 3 5 4 2" xfId="10080"/>
    <cellStyle name="Note 7 3 5 4 3" xfId="14571"/>
    <cellStyle name="Note 7 3 5 5" xfId="4802"/>
    <cellStyle name="Note 7 3 5 5 2" xfId="10081"/>
    <cellStyle name="Note 7 3 5 5 3" xfId="14572"/>
    <cellStyle name="Note 7 3 5 6" xfId="4803"/>
    <cellStyle name="Note 7 3 5 6 2" xfId="10082"/>
    <cellStyle name="Note 7 3 5 6 3" xfId="14573"/>
    <cellStyle name="Note 7 3 5 7" xfId="4804"/>
    <cellStyle name="Note 7 3 5 7 2" xfId="10083"/>
    <cellStyle name="Note 7 3 5 7 3" xfId="14574"/>
    <cellStyle name="Note 7 3 5 8" xfId="4805"/>
    <cellStyle name="Note 7 3 5 8 2" xfId="10084"/>
    <cellStyle name="Note 7 3 5 8 3" xfId="14575"/>
    <cellStyle name="Note 7 3 5 9" xfId="4806"/>
    <cellStyle name="Note 7 3 5 9 2" xfId="10085"/>
    <cellStyle name="Note 7 3 5 9 3" xfId="14576"/>
    <cellStyle name="Note 7 3 6" xfId="1104"/>
    <cellStyle name="Note 7 3 6 10" xfId="2341"/>
    <cellStyle name="Note 7 3 6 10 2" xfId="7620"/>
    <cellStyle name="Note 7 3 6 10 3" xfId="11410"/>
    <cellStyle name="Note 7 3 6 11" xfId="6383"/>
    <cellStyle name="Note 7 3 6 2" xfId="1721"/>
    <cellStyle name="Note 7 3 6 2 2" xfId="2955"/>
    <cellStyle name="Note 7 3 6 2 2 2" xfId="8234"/>
    <cellStyle name="Note 7 3 6 2 2 3" xfId="14578"/>
    <cellStyle name="Note 7 3 6 2 3" xfId="7000"/>
    <cellStyle name="Note 7 3 6 2 4" xfId="14577"/>
    <cellStyle name="Note 7 3 6 3" xfId="4807"/>
    <cellStyle name="Note 7 3 6 3 2" xfId="10086"/>
    <cellStyle name="Note 7 3 6 3 3" xfId="14579"/>
    <cellStyle name="Note 7 3 6 4" xfId="4808"/>
    <cellStyle name="Note 7 3 6 4 2" xfId="10087"/>
    <cellStyle name="Note 7 3 6 4 3" xfId="14580"/>
    <cellStyle name="Note 7 3 6 5" xfId="4809"/>
    <cellStyle name="Note 7 3 6 5 2" xfId="10088"/>
    <cellStyle name="Note 7 3 6 5 3" xfId="14581"/>
    <cellStyle name="Note 7 3 6 6" xfId="4810"/>
    <cellStyle name="Note 7 3 6 6 2" xfId="10089"/>
    <cellStyle name="Note 7 3 6 6 3" xfId="14582"/>
    <cellStyle name="Note 7 3 6 7" xfId="4811"/>
    <cellStyle name="Note 7 3 6 7 2" xfId="10090"/>
    <cellStyle name="Note 7 3 6 7 3" xfId="14583"/>
    <cellStyle name="Note 7 3 6 8" xfId="4812"/>
    <cellStyle name="Note 7 3 6 8 2" xfId="10091"/>
    <cellStyle name="Note 7 3 6 8 3" xfId="14584"/>
    <cellStyle name="Note 7 3 6 9" xfId="4813"/>
    <cellStyle name="Note 7 3 6 9 2" xfId="10092"/>
    <cellStyle name="Note 7 3 6 9 3" xfId="14585"/>
    <cellStyle name="Note 7 3 7" xfId="1105"/>
    <cellStyle name="Note 7 3 7 10" xfId="2342"/>
    <cellStyle name="Note 7 3 7 10 2" xfId="7621"/>
    <cellStyle name="Note 7 3 7 10 3" xfId="11411"/>
    <cellStyle name="Note 7 3 7 11" xfId="6384"/>
    <cellStyle name="Note 7 3 7 2" xfId="1722"/>
    <cellStyle name="Note 7 3 7 2 2" xfId="2956"/>
    <cellStyle name="Note 7 3 7 2 2 2" xfId="8235"/>
    <cellStyle name="Note 7 3 7 2 2 3" xfId="14587"/>
    <cellStyle name="Note 7 3 7 2 3" xfId="7001"/>
    <cellStyle name="Note 7 3 7 2 4" xfId="14586"/>
    <cellStyle name="Note 7 3 7 3" xfId="4814"/>
    <cellStyle name="Note 7 3 7 3 2" xfId="10093"/>
    <cellStyle name="Note 7 3 7 3 3" xfId="14588"/>
    <cellStyle name="Note 7 3 7 4" xfId="4815"/>
    <cellStyle name="Note 7 3 7 4 2" xfId="10094"/>
    <cellStyle name="Note 7 3 7 4 3" xfId="14589"/>
    <cellStyle name="Note 7 3 7 5" xfId="4816"/>
    <cellStyle name="Note 7 3 7 5 2" xfId="10095"/>
    <cellStyle name="Note 7 3 7 5 3" xfId="14590"/>
    <cellStyle name="Note 7 3 7 6" xfId="4817"/>
    <cellStyle name="Note 7 3 7 6 2" xfId="10096"/>
    <cellStyle name="Note 7 3 7 6 3" xfId="14591"/>
    <cellStyle name="Note 7 3 7 7" xfId="4818"/>
    <cellStyle name="Note 7 3 7 7 2" xfId="10097"/>
    <cellStyle name="Note 7 3 7 7 3" xfId="14592"/>
    <cellStyle name="Note 7 3 7 8" xfId="4819"/>
    <cellStyle name="Note 7 3 7 8 2" xfId="10098"/>
    <cellStyle name="Note 7 3 7 8 3" xfId="14593"/>
    <cellStyle name="Note 7 3 7 9" xfId="4820"/>
    <cellStyle name="Note 7 3 7 9 2" xfId="10099"/>
    <cellStyle name="Note 7 3 7 9 3" xfId="14594"/>
    <cellStyle name="Note 7 3 8" xfId="1304"/>
    <cellStyle name="Note 7 3 8 2" xfId="2538"/>
    <cellStyle name="Note 7 3 8 2 2" xfId="7817"/>
    <cellStyle name="Note 7 3 8 2 3" xfId="14596"/>
    <cellStyle name="Note 7 3 8 3" xfId="6583"/>
    <cellStyle name="Note 7 3 8 4" xfId="14595"/>
    <cellStyle name="Note 7 3 9" xfId="4821"/>
    <cellStyle name="Note 7 3 9 2" xfId="10100"/>
    <cellStyle name="Note 7 3 9 3" xfId="14597"/>
    <cellStyle name="Note 7 4" xfId="617"/>
    <cellStyle name="Note 7 4 10" xfId="4822"/>
    <cellStyle name="Note 7 4 10 2" xfId="10101"/>
    <cellStyle name="Note 7 4 10 3" xfId="14598"/>
    <cellStyle name="Note 7 4 11" xfId="4823"/>
    <cellStyle name="Note 7 4 11 2" xfId="10102"/>
    <cellStyle name="Note 7 4 11 3" xfId="14599"/>
    <cellStyle name="Note 7 4 12" xfId="1993"/>
    <cellStyle name="Note 7 4 12 2" xfId="7272"/>
    <cellStyle name="Note 7 4 12 3" xfId="11412"/>
    <cellStyle name="Note 7 4 13" xfId="5968"/>
    <cellStyle name="Note 7 4 2" xfId="817"/>
    <cellStyle name="Note 7 4 2 2" xfId="1444"/>
    <cellStyle name="Note 7 4 2 2 2" xfId="2678"/>
    <cellStyle name="Note 7 4 2 2 2 2" xfId="7957"/>
    <cellStyle name="Note 7 4 2 2 2 3" xfId="14602"/>
    <cellStyle name="Note 7 4 2 2 3" xfId="6723"/>
    <cellStyle name="Note 7 4 2 2 4" xfId="14601"/>
    <cellStyle name="Note 7 4 2 3" xfId="1899"/>
    <cellStyle name="Note 7 4 2 3 2" xfId="3133"/>
    <cellStyle name="Note 7 4 2 3 2 2" xfId="8412"/>
    <cellStyle name="Note 7 4 2 3 2 3" xfId="14604"/>
    <cellStyle name="Note 7 4 2 3 3" xfId="7178"/>
    <cellStyle name="Note 7 4 2 3 4" xfId="14603"/>
    <cellStyle name="Note 7 4 2 4" xfId="4824"/>
    <cellStyle name="Note 7 4 2 4 2" xfId="10103"/>
    <cellStyle name="Note 7 4 2 4 3" xfId="14605"/>
    <cellStyle name="Note 7 4 2 5" xfId="4825"/>
    <cellStyle name="Note 7 4 2 5 2" xfId="10104"/>
    <cellStyle name="Note 7 4 2 5 3" xfId="14606"/>
    <cellStyle name="Note 7 4 2 6" xfId="4826"/>
    <cellStyle name="Note 7 4 2 6 2" xfId="10105"/>
    <cellStyle name="Note 7 4 2 6 3" xfId="14607"/>
    <cellStyle name="Note 7 4 2 7" xfId="4827"/>
    <cellStyle name="Note 7 4 2 7 2" xfId="10106"/>
    <cellStyle name="Note 7 4 2 7 3" xfId="14608"/>
    <cellStyle name="Note 7 4 2 8" xfId="6106"/>
    <cellStyle name="Note 7 4 2 9" xfId="14600"/>
    <cellStyle name="Note 7 4 3" xfId="1106"/>
    <cellStyle name="Note 7 4 3 10" xfId="2343"/>
    <cellStyle name="Note 7 4 3 10 2" xfId="7622"/>
    <cellStyle name="Note 7 4 3 10 3" xfId="11413"/>
    <cellStyle name="Note 7 4 3 11" xfId="6385"/>
    <cellStyle name="Note 7 4 3 2" xfId="1723"/>
    <cellStyle name="Note 7 4 3 2 2" xfId="2957"/>
    <cellStyle name="Note 7 4 3 2 2 2" xfId="8236"/>
    <cellStyle name="Note 7 4 3 2 2 3" xfId="14610"/>
    <cellStyle name="Note 7 4 3 2 3" xfId="7002"/>
    <cellStyle name="Note 7 4 3 2 4" xfId="14609"/>
    <cellStyle name="Note 7 4 3 3" xfId="4828"/>
    <cellStyle name="Note 7 4 3 3 2" xfId="10107"/>
    <cellStyle name="Note 7 4 3 3 3" xfId="14611"/>
    <cellStyle name="Note 7 4 3 4" xfId="4829"/>
    <cellStyle name="Note 7 4 3 4 2" xfId="10108"/>
    <cellStyle name="Note 7 4 3 4 3" xfId="14612"/>
    <cellStyle name="Note 7 4 3 5" xfId="4830"/>
    <cellStyle name="Note 7 4 3 5 2" xfId="10109"/>
    <cellStyle name="Note 7 4 3 5 3" xfId="14613"/>
    <cellStyle name="Note 7 4 3 6" xfId="4831"/>
    <cellStyle name="Note 7 4 3 6 2" xfId="10110"/>
    <cellStyle name="Note 7 4 3 6 3" xfId="14614"/>
    <cellStyle name="Note 7 4 3 7" xfId="4832"/>
    <cellStyle name="Note 7 4 3 7 2" xfId="10111"/>
    <cellStyle name="Note 7 4 3 7 3" xfId="14615"/>
    <cellStyle name="Note 7 4 3 8" xfId="4833"/>
    <cellStyle name="Note 7 4 3 8 2" xfId="10112"/>
    <cellStyle name="Note 7 4 3 8 3" xfId="14616"/>
    <cellStyle name="Note 7 4 3 9" xfId="4834"/>
    <cellStyle name="Note 7 4 3 9 2" xfId="10113"/>
    <cellStyle name="Note 7 4 3 9 3" xfId="14617"/>
    <cellStyle name="Note 7 4 4" xfId="1107"/>
    <cellStyle name="Note 7 4 4 10" xfId="2344"/>
    <cellStyle name="Note 7 4 4 10 2" xfId="7623"/>
    <cellStyle name="Note 7 4 4 10 3" xfId="11414"/>
    <cellStyle name="Note 7 4 4 11" xfId="6386"/>
    <cellStyle name="Note 7 4 4 2" xfId="1724"/>
    <cellStyle name="Note 7 4 4 2 2" xfId="2958"/>
    <cellStyle name="Note 7 4 4 2 2 2" xfId="8237"/>
    <cellStyle name="Note 7 4 4 2 2 3" xfId="14619"/>
    <cellStyle name="Note 7 4 4 2 3" xfId="7003"/>
    <cellStyle name="Note 7 4 4 2 4" xfId="14618"/>
    <cellStyle name="Note 7 4 4 3" xfId="4835"/>
    <cellStyle name="Note 7 4 4 3 2" xfId="10114"/>
    <cellStyle name="Note 7 4 4 3 3" xfId="14620"/>
    <cellStyle name="Note 7 4 4 4" xfId="4836"/>
    <cellStyle name="Note 7 4 4 4 2" xfId="10115"/>
    <cellStyle name="Note 7 4 4 4 3" xfId="14621"/>
    <cellStyle name="Note 7 4 4 5" xfId="4837"/>
    <cellStyle name="Note 7 4 4 5 2" xfId="10116"/>
    <cellStyle name="Note 7 4 4 5 3" xfId="14622"/>
    <cellStyle name="Note 7 4 4 6" xfId="4838"/>
    <cellStyle name="Note 7 4 4 6 2" xfId="10117"/>
    <cellStyle name="Note 7 4 4 6 3" xfId="14623"/>
    <cellStyle name="Note 7 4 4 7" xfId="4839"/>
    <cellStyle name="Note 7 4 4 7 2" xfId="10118"/>
    <cellStyle name="Note 7 4 4 7 3" xfId="14624"/>
    <cellStyle name="Note 7 4 4 8" xfId="4840"/>
    <cellStyle name="Note 7 4 4 8 2" xfId="10119"/>
    <cellStyle name="Note 7 4 4 8 3" xfId="14625"/>
    <cellStyle name="Note 7 4 4 9" xfId="4841"/>
    <cellStyle name="Note 7 4 4 9 2" xfId="10120"/>
    <cellStyle name="Note 7 4 4 9 3" xfId="14626"/>
    <cellStyle name="Note 7 4 5" xfId="1108"/>
    <cellStyle name="Note 7 4 5 10" xfId="2345"/>
    <cellStyle name="Note 7 4 5 10 2" xfId="7624"/>
    <cellStyle name="Note 7 4 5 10 3" xfId="11415"/>
    <cellStyle name="Note 7 4 5 11" xfId="6387"/>
    <cellStyle name="Note 7 4 5 2" xfId="1725"/>
    <cellStyle name="Note 7 4 5 2 2" xfId="2959"/>
    <cellStyle name="Note 7 4 5 2 2 2" xfId="8238"/>
    <cellStyle name="Note 7 4 5 2 2 3" xfId="14628"/>
    <cellStyle name="Note 7 4 5 2 3" xfId="7004"/>
    <cellStyle name="Note 7 4 5 2 4" xfId="14627"/>
    <cellStyle name="Note 7 4 5 3" xfId="4842"/>
    <cellStyle name="Note 7 4 5 3 2" xfId="10121"/>
    <cellStyle name="Note 7 4 5 3 3" xfId="14629"/>
    <cellStyle name="Note 7 4 5 4" xfId="4843"/>
    <cellStyle name="Note 7 4 5 4 2" xfId="10122"/>
    <cellStyle name="Note 7 4 5 4 3" xfId="14630"/>
    <cellStyle name="Note 7 4 5 5" xfId="4844"/>
    <cellStyle name="Note 7 4 5 5 2" xfId="10123"/>
    <cellStyle name="Note 7 4 5 5 3" xfId="14631"/>
    <cellStyle name="Note 7 4 5 6" xfId="4845"/>
    <cellStyle name="Note 7 4 5 6 2" xfId="10124"/>
    <cellStyle name="Note 7 4 5 6 3" xfId="14632"/>
    <cellStyle name="Note 7 4 5 7" xfId="4846"/>
    <cellStyle name="Note 7 4 5 7 2" xfId="10125"/>
    <cellStyle name="Note 7 4 5 7 3" xfId="14633"/>
    <cellStyle name="Note 7 4 5 8" xfId="4847"/>
    <cellStyle name="Note 7 4 5 8 2" xfId="10126"/>
    <cellStyle name="Note 7 4 5 8 3" xfId="14634"/>
    <cellStyle name="Note 7 4 5 9" xfId="4848"/>
    <cellStyle name="Note 7 4 5 9 2" xfId="10127"/>
    <cellStyle name="Note 7 4 5 9 3" xfId="14635"/>
    <cellStyle name="Note 7 4 6" xfId="1109"/>
    <cellStyle name="Note 7 4 6 10" xfId="2346"/>
    <cellStyle name="Note 7 4 6 10 2" xfId="7625"/>
    <cellStyle name="Note 7 4 6 10 3" xfId="11416"/>
    <cellStyle name="Note 7 4 6 11" xfId="6388"/>
    <cellStyle name="Note 7 4 6 2" xfId="1726"/>
    <cellStyle name="Note 7 4 6 2 2" xfId="2960"/>
    <cellStyle name="Note 7 4 6 2 2 2" xfId="8239"/>
    <cellStyle name="Note 7 4 6 2 2 3" xfId="14637"/>
    <cellStyle name="Note 7 4 6 2 3" xfId="7005"/>
    <cellStyle name="Note 7 4 6 2 4" xfId="14636"/>
    <cellStyle name="Note 7 4 6 3" xfId="4849"/>
    <cellStyle name="Note 7 4 6 3 2" xfId="10128"/>
    <cellStyle name="Note 7 4 6 3 3" xfId="14638"/>
    <cellStyle name="Note 7 4 6 4" xfId="4850"/>
    <cellStyle name="Note 7 4 6 4 2" xfId="10129"/>
    <cellStyle name="Note 7 4 6 4 3" xfId="14639"/>
    <cellStyle name="Note 7 4 6 5" xfId="4851"/>
    <cellStyle name="Note 7 4 6 5 2" xfId="10130"/>
    <cellStyle name="Note 7 4 6 5 3" xfId="14640"/>
    <cellStyle name="Note 7 4 6 6" xfId="4852"/>
    <cellStyle name="Note 7 4 6 6 2" xfId="10131"/>
    <cellStyle name="Note 7 4 6 6 3" xfId="14641"/>
    <cellStyle name="Note 7 4 6 7" xfId="4853"/>
    <cellStyle name="Note 7 4 6 7 2" xfId="10132"/>
    <cellStyle name="Note 7 4 6 7 3" xfId="14642"/>
    <cellStyle name="Note 7 4 6 8" xfId="4854"/>
    <cellStyle name="Note 7 4 6 8 2" xfId="10133"/>
    <cellStyle name="Note 7 4 6 8 3" xfId="14643"/>
    <cellStyle name="Note 7 4 6 9" xfId="4855"/>
    <cellStyle name="Note 7 4 6 9 2" xfId="10134"/>
    <cellStyle name="Note 7 4 6 9 3" xfId="14644"/>
    <cellStyle name="Note 7 4 7" xfId="1306"/>
    <cellStyle name="Note 7 4 7 2" xfId="2540"/>
    <cellStyle name="Note 7 4 7 2 2" xfId="7819"/>
    <cellStyle name="Note 7 4 7 2 3" xfId="14646"/>
    <cellStyle name="Note 7 4 7 3" xfId="6585"/>
    <cellStyle name="Note 7 4 7 4" xfId="14645"/>
    <cellStyle name="Note 7 4 8" xfId="4856"/>
    <cellStyle name="Note 7 4 8 2" xfId="10135"/>
    <cellStyle name="Note 7 4 8 3" xfId="14647"/>
    <cellStyle name="Note 7 4 9" xfId="4857"/>
    <cellStyle name="Note 7 4 9 2" xfId="10136"/>
    <cellStyle name="Note 7 4 9 3" xfId="14648"/>
    <cellStyle name="Note 7 5" xfId="760"/>
    <cellStyle name="Note 7 5 2" xfId="1387"/>
    <cellStyle name="Note 7 5 2 2" xfId="2621"/>
    <cellStyle name="Note 7 5 2 2 2" xfId="7900"/>
    <cellStyle name="Note 7 5 2 2 3" xfId="14651"/>
    <cellStyle name="Note 7 5 2 3" xfId="6666"/>
    <cellStyle name="Note 7 5 2 4" xfId="14650"/>
    <cellStyle name="Note 7 5 3" xfId="1864"/>
    <cellStyle name="Note 7 5 3 2" xfId="3098"/>
    <cellStyle name="Note 7 5 3 2 2" xfId="8377"/>
    <cellStyle name="Note 7 5 3 2 3" xfId="14653"/>
    <cellStyle name="Note 7 5 3 3" xfId="7143"/>
    <cellStyle name="Note 7 5 3 4" xfId="14652"/>
    <cellStyle name="Note 7 5 4" xfId="4858"/>
    <cellStyle name="Note 7 5 4 2" xfId="10137"/>
    <cellStyle name="Note 7 5 4 3" xfId="14654"/>
    <cellStyle name="Note 7 5 5" xfId="4859"/>
    <cellStyle name="Note 7 5 5 2" xfId="10138"/>
    <cellStyle name="Note 7 5 5 3" xfId="14655"/>
    <cellStyle name="Note 7 5 6" xfId="4860"/>
    <cellStyle name="Note 7 5 6 2" xfId="10139"/>
    <cellStyle name="Note 7 5 6 3" xfId="14656"/>
    <cellStyle name="Note 7 5 7" xfId="4861"/>
    <cellStyle name="Note 7 5 7 2" xfId="10140"/>
    <cellStyle name="Note 7 5 7 3" xfId="14657"/>
    <cellStyle name="Note 7 5 8" xfId="6049"/>
    <cellStyle name="Note 7 5 9" xfId="14649"/>
    <cellStyle name="Note 7 6" xfId="1110"/>
    <cellStyle name="Note 7 6 10" xfId="2347"/>
    <cellStyle name="Note 7 6 10 2" xfId="7626"/>
    <cellStyle name="Note 7 6 10 3" xfId="11417"/>
    <cellStyle name="Note 7 6 11" xfId="6389"/>
    <cellStyle name="Note 7 6 2" xfId="1727"/>
    <cellStyle name="Note 7 6 2 2" xfId="2961"/>
    <cellStyle name="Note 7 6 2 2 2" xfId="8240"/>
    <cellStyle name="Note 7 6 2 2 3" xfId="14659"/>
    <cellStyle name="Note 7 6 2 3" xfId="7006"/>
    <cellStyle name="Note 7 6 2 4" xfId="14658"/>
    <cellStyle name="Note 7 6 3" xfId="4862"/>
    <cellStyle name="Note 7 6 3 2" xfId="10141"/>
    <cellStyle name="Note 7 6 3 3" xfId="14660"/>
    <cellStyle name="Note 7 6 4" xfId="4863"/>
    <cellStyle name="Note 7 6 4 2" xfId="10142"/>
    <cellStyle name="Note 7 6 4 3" xfId="14661"/>
    <cellStyle name="Note 7 6 5" xfId="4864"/>
    <cellStyle name="Note 7 6 5 2" xfId="10143"/>
    <cellStyle name="Note 7 6 5 3" xfId="14662"/>
    <cellStyle name="Note 7 6 6" xfId="4865"/>
    <cellStyle name="Note 7 6 6 2" xfId="10144"/>
    <cellStyle name="Note 7 6 6 3" xfId="14663"/>
    <cellStyle name="Note 7 6 7" xfId="4866"/>
    <cellStyle name="Note 7 6 7 2" xfId="10145"/>
    <cellStyle name="Note 7 6 7 3" xfId="14664"/>
    <cellStyle name="Note 7 6 8" xfId="4867"/>
    <cellStyle name="Note 7 6 8 2" xfId="10146"/>
    <cellStyle name="Note 7 6 8 3" xfId="14665"/>
    <cellStyle name="Note 7 6 9" xfId="4868"/>
    <cellStyle name="Note 7 6 9 2" xfId="10147"/>
    <cellStyle name="Note 7 6 9 3" xfId="14666"/>
    <cellStyle name="Note 7 7" xfId="1111"/>
    <cellStyle name="Note 7 7 10" xfId="2348"/>
    <cellStyle name="Note 7 7 10 2" xfId="7627"/>
    <cellStyle name="Note 7 7 10 3" xfId="11418"/>
    <cellStyle name="Note 7 7 11" xfId="6390"/>
    <cellStyle name="Note 7 7 2" xfId="1728"/>
    <cellStyle name="Note 7 7 2 2" xfId="2962"/>
    <cellStyle name="Note 7 7 2 2 2" xfId="8241"/>
    <cellStyle name="Note 7 7 2 2 3" xfId="14668"/>
    <cellStyle name="Note 7 7 2 3" xfId="7007"/>
    <cellStyle name="Note 7 7 2 4" xfId="14667"/>
    <cellStyle name="Note 7 7 3" xfId="4869"/>
    <cellStyle name="Note 7 7 3 2" xfId="10148"/>
    <cellStyle name="Note 7 7 3 3" xfId="14669"/>
    <cellStyle name="Note 7 7 4" xfId="4870"/>
    <cellStyle name="Note 7 7 4 2" xfId="10149"/>
    <cellStyle name="Note 7 7 4 3" xfId="14670"/>
    <cellStyle name="Note 7 7 5" xfId="4871"/>
    <cellStyle name="Note 7 7 5 2" xfId="10150"/>
    <cellStyle name="Note 7 7 5 3" xfId="14671"/>
    <cellStyle name="Note 7 7 6" xfId="4872"/>
    <cellStyle name="Note 7 7 6 2" xfId="10151"/>
    <cellStyle name="Note 7 7 6 3" xfId="14672"/>
    <cellStyle name="Note 7 7 7" xfId="4873"/>
    <cellStyle name="Note 7 7 7 2" xfId="10152"/>
    <cellStyle name="Note 7 7 7 3" xfId="14673"/>
    <cellStyle name="Note 7 7 8" xfId="4874"/>
    <cellStyle name="Note 7 7 8 2" xfId="10153"/>
    <cellStyle name="Note 7 7 8 3" xfId="14674"/>
    <cellStyle name="Note 7 7 9" xfId="4875"/>
    <cellStyle name="Note 7 7 9 2" xfId="10154"/>
    <cellStyle name="Note 7 7 9 3" xfId="14675"/>
    <cellStyle name="Note 7 8" xfId="1112"/>
    <cellStyle name="Note 7 8 10" xfId="2349"/>
    <cellStyle name="Note 7 8 10 2" xfId="7628"/>
    <cellStyle name="Note 7 8 10 3" xfId="11419"/>
    <cellStyle name="Note 7 8 11" xfId="6391"/>
    <cellStyle name="Note 7 8 2" xfId="1729"/>
    <cellStyle name="Note 7 8 2 2" xfId="2963"/>
    <cellStyle name="Note 7 8 2 2 2" xfId="8242"/>
    <cellStyle name="Note 7 8 2 2 3" xfId="14677"/>
    <cellStyle name="Note 7 8 2 3" xfId="7008"/>
    <cellStyle name="Note 7 8 2 4" xfId="14676"/>
    <cellStyle name="Note 7 8 3" xfId="4876"/>
    <cellStyle name="Note 7 8 3 2" xfId="10155"/>
    <cellStyle name="Note 7 8 3 3" xfId="14678"/>
    <cellStyle name="Note 7 8 4" xfId="4877"/>
    <cellStyle name="Note 7 8 4 2" xfId="10156"/>
    <cellStyle name="Note 7 8 4 3" xfId="14679"/>
    <cellStyle name="Note 7 8 5" xfId="4878"/>
    <cellStyle name="Note 7 8 5 2" xfId="10157"/>
    <cellStyle name="Note 7 8 5 3" xfId="14680"/>
    <cellStyle name="Note 7 8 6" xfId="4879"/>
    <cellStyle name="Note 7 8 6 2" xfId="10158"/>
    <cellStyle name="Note 7 8 6 3" xfId="14681"/>
    <cellStyle name="Note 7 8 7" xfId="4880"/>
    <cellStyle name="Note 7 8 7 2" xfId="10159"/>
    <cellStyle name="Note 7 8 7 3" xfId="14682"/>
    <cellStyle name="Note 7 8 8" xfId="4881"/>
    <cellStyle name="Note 7 8 8 2" xfId="10160"/>
    <cellStyle name="Note 7 8 8 3" xfId="14683"/>
    <cellStyle name="Note 7 8 9" xfId="4882"/>
    <cellStyle name="Note 7 8 9 2" xfId="10161"/>
    <cellStyle name="Note 7 8 9 3" xfId="14684"/>
    <cellStyle name="Note 7 9" xfId="1113"/>
    <cellStyle name="Note 7 9 10" xfId="2350"/>
    <cellStyle name="Note 7 9 10 2" xfId="7629"/>
    <cellStyle name="Note 7 9 10 3" xfId="11420"/>
    <cellStyle name="Note 7 9 11" xfId="6392"/>
    <cellStyle name="Note 7 9 2" xfId="1730"/>
    <cellStyle name="Note 7 9 2 2" xfId="2964"/>
    <cellStyle name="Note 7 9 2 2 2" xfId="8243"/>
    <cellStyle name="Note 7 9 2 2 3" xfId="14686"/>
    <cellStyle name="Note 7 9 2 3" xfId="7009"/>
    <cellStyle name="Note 7 9 2 4" xfId="14685"/>
    <cellStyle name="Note 7 9 3" xfId="4883"/>
    <cellStyle name="Note 7 9 3 2" xfId="10162"/>
    <cellStyle name="Note 7 9 3 3" xfId="14687"/>
    <cellStyle name="Note 7 9 4" xfId="4884"/>
    <cellStyle name="Note 7 9 4 2" xfId="10163"/>
    <cellStyle name="Note 7 9 4 3" xfId="14688"/>
    <cellStyle name="Note 7 9 5" xfId="4885"/>
    <cellStyle name="Note 7 9 5 2" xfId="10164"/>
    <cellStyle name="Note 7 9 5 3" xfId="14689"/>
    <cellStyle name="Note 7 9 6" xfId="4886"/>
    <cellStyle name="Note 7 9 6 2" xfId="10165"/>
    <cellStyle name="Note 7 9 6 3" xfId="14690"/>
    <cellStyle name="Note 7 9 7" xfId="4887"/>
    <cellStyle name="Note 7 9 7 2" xfId="10166"/>
    <cellStyle name="Note 7 9 7 3" xfId="14691"/>
    <cellStyle name="Note 7 9 8" xfId="4888"/>
    <cellStyle name="Note 7 9 8 2" xfId="10167"/>
    <cellStyle name="Note 7 9 8 3" xfId="14692"/>
    <cellStyle name="Note 7 9 9" xfId="4889"/>
    <cellStyle name="Note 7 9 9 2" xfId="10168"/>
    <cellStyle name="Note 7 9 9 3" xfId="14693"/>
    <cellStyle name="Note 8" xfId="618"/>
    <cellStyle name="Note 8 10" xfId="1307"/>
    <cellStyle name="Note 8 10 2" xfId="2541"/>
    <cellStyle name="Note 8 10 2 2" xfId="7820"/>
    <cellStyle name="Note 8 10 2 3" xfId="14695"/>
    <cellStyle name="Note 8 10 3" xfId="6586"/>
    <cellStyle name="Note 8 10 4" xfId="14694"/>
    <cellStyle name="Note 8 11" xfId="4890"/>
    <cellStyle name="Note 8 11 2" xfId="10169"/>
    <cellStyle name="Note 8 11 3" xfId="14696"/>
    <cellStyle name="Note 8 12" xfId="4891"/>
    <cellStyle name="Note 8 12 2" xfId="10170"/>
    <cellStyle name="Note 8 12 3" xfId="14697"/>
    <cellStyle name="Note 8 13" xfId="4892"/>
    <cellStyle name="Note 8 13 2" xfId="10171"/>
    <cellStyle name="Note 8 13 3" xfId="14698"/>
    <cellStyle name="Note 8 14" xfId="4893"/>
    <cellStyle name="Note 8 14 2" xfId="10172"/>
    <cellStyle name="Note 8 14 3" xfId="14699"/>
    <cellStyle name="Note 8 15" xfId="1994"/>
    <cellStyle name="Note 8 15 2" xfId="7273"/>
    <cellStyle name="Note 8 15 3" xfId="11421"/>
    <cellStyle name="Note 8 16" xfId="5969"/>
    <cellStyle name="Note 8 2" xfId="619"/>
    <cellStyle name="Note 8 2 10" xfId="4894"/>
    <cellStyle name="Note 8 2 10 2" xfId="10173"/>
    <cellStyle name="Note 8 2 10 3" xfId="14700"/>
    <cellStyle name="Note 8 2 11" xfId="4895"/>
    <cellStyle name="Note 8 2 11 2" xfId="10174"/>
    <cellStyle name="Note 8 2 11 3" xfId="14701"/>
    <cellStyle name="Note 8 2 12" xfId="4896"/>
    <cellStyle name="Note 8 2 12 2" xfId="10175"/>
    <cellStyle name="Note 8 2 12 3" xfId="14702"/>
    <cellStyle name="Note 8 2 13" xfId="1995"/>
    <cellStyle name="Note 8 2 13 2" xfId="7274"/>
    <cellStyle name="Note 8 2 13 3" xfId="11422"/>
    <cellStyle name="Note 8 2 14" xfId="5970"/>
    <cellStyle name="Note 8 2 2" xfId="620"/>
    <cellStyle name="Note 8 2 2 10" xfId="4897"/>
    <cellStyle name="Note 8 2 2 10 2" xfId="10176"/>
    <cellStyle name="Note 8 2 2 10 3" xfId="14703"/>
    <cellStyle name="Note 8 2 2 11" xfId="4898"/>
    <cellStyle name="Note 8 2 2 11 2" xfId="10177"/>
    <cellStyle name="Note 8 2 2 11 3" xfId="14704"/>
    <cellStyle name="Note 8 2 2 12" xfId="1996"/>
    <cellStyle name="Note 8 2 2 12 2" xfId="7275"/>
    <cellStyle name="Note 8 2 2 12 3" xfId="11423"/>
    <cellStyle name="Note 8 2 2 13" xfId="5971"/>
    <cellStyle name="Note 8 2 2 2" xfId="754"/>
    <cellStyle name="Note 8 2 2 2 2" xfId="1381"/>
    <cellStyle name="Note 8 2 2 2 2 2" xfId="2615"/>
    <cellStyle name="Note 8 2 2 2 2 2 2" xfId="7894"/>
    <cellStyle name="Note 8 2 2 2 2 2 3" xfId="14707"/>
    <cellStyle name="Note 8 2 2 2 2 3" xfId="6660"/>
    <cellStyle name="Note 8 2 2 2 2 4" xfId="14706"/>
    <cellStyle name="Note 8 2 2 2 3" xfId="1858"/>
    <cellStyle name="Note 8 2 2 2 3 2" xfId="3092"/>
    <cellStyle name="Note 8 2 2 2 3 2 2" xfId="8371"/>
    <cellStyle name="Note 8 2 2 2 3 2 3" xfId="14709"/>
    <cellStyle name="Note 8 2 2 2 3 3" xfId="7137"/>
    <cellStyle name="Note 8 2 2 2 3 4" xfId="14708"/>
    <cellStyle name="Note 8 2 2 2 4" xfId="4899"/>
    <cellStyle name="Note 8 2 2 2 4 2" xfId="10178"/>
    <cellStyle name="Note 8 2 2 2 4 3" xfId="14710"/>
    <cellStyle name="Note 8 2 2 2 5" xfId="4900"/>
    <cellStyle name="Note 8 2 2 2 5 2" xfId="10179"/>
    <cellStyle name="Note 8 2 2 2 5 3" xfId="14711"/>
    <cellStyle name="Note 8 2 2 2 6" xfId="4901"/>
    <cellStyle name="Note 8 2 2 2 6 2" xfId="10180"/>
    <cellStyle name="Note 8 2 2 2 6 3" xfId="14712"/>
    <cellStyle name="Note 8 2 2 2 7" xfId="4902"/>
    <cellStyle name="Note 8 2 2 2 7 2" xfId="10181"/>
    <cellStyle name="Note 8 2 2 2 7 3" xfId="14713"/>
    <cellStyle name="Note 8 2 2 2 8" xfId="6043"/>
    <cellStyle name="Note 8 2 2 2 9" xfId="14705"/>
    <cellStyle name="Note 8 2 2 3" xfId="1114"/>
    <cellStyle name="Note 8 2 2 3 10" xfId="2351"/>
    <cellStyle name="Note 8 2 2 3 10 2" xfId="7630"/>
    <cellStyle name="Note 8 2 2 3 10 3" xfId="11424"/>
    <cellStyle name="Note 8 2 2 3 11" xfId="6393"/>
    <cellStyle name="Note 8 2 2 3 2" xfId="1731"/>
    <cellStyle name="Note 8 2 2 3 2 2" xfId="2965"/>
    <cellStyle name="Note 8 2 2 3 2 2 2" xfId="8244"/>
    <cellStyle name="Note 8 2 2 3 2 2 3" xfId="14715"/>
    <cellStyle name="Note 8 2 2 3 2 3" xfId="7010"/>
    <cellStyle name="Note 8 2 2 3 2 4" xfId="14714"/>
    <cellStyle name="Note 8 2 2 3 3" xfId="4903"/>
    <cellStyle name="Note 8 2 2 3 3 2" xfId="10182"/>
    <cellStyle name="Note 8 2 2 3 3 3" xfId="14716"/>
    <cellStyle name="Note 8 2 2 3 4" xfId="4904"/>
    <cellStyle name="Note 8 2 2 3 4 2" xfId="10183"/>
    <cellStyle name="Note 8 2 2 3 4 3" xfId="14717"/>
    <cellStyle name="Note 8 2 2 3 5" xfId="4905"/>
    <cellStyle name="Note 8 2 2 3 5 2" xfId="10184"/>
    <cellStyle name="Note 8 2 2 3 5 3" xfId="14718"/>
    <cellStyle name="Note 8 2 2 3 6" xfId="4906"/>
    <cellStyle name="Note 8 2 2 3 6 2" xfId="10185"/>
    <cellStyle name="Note 8 2 2 3 6 3" xfId="14719"/>
    <cellStyle name="Note 8 2 2 3 7" xfId="4907"/>
    <cellStyle name="Note 8 2 2 3 7 2" xfId="10186"/>
    <cellStyle name="Note 8 2 2 3 7 3" xfId="14720"/>
    <cellStyle name="Note 8 2 2 3 8" xfId="4908"/>
    <cellStyle name="Note 8 2 2 3 8 2" xfId="10187"/>
    <cellStyle name="Note 8 2 2 3 8 3" xfId="14721"/>
    <cellStyle name="Note 8 2 2 3 9" xfId="4909"/>
    <cellStyle name="Note 8 2 2 3 9 2" xfId="10188"/>
    <cellStyle name="Note 8 2 2 3 9 3" xfId="14722"/>
    <cellStyle name="Note 8 2 2 4" xfId="1115"/>
    <cellStyle name="Note 8 2 2 4 10" xfId="2352"/>
    <cellStyle name="Note 8 2 2 4 10 2" xfId="7631"/>
    <cellStyle name="Note 8 2 2 4 10 3" xfId="11425"/>
    <cellStyle name="Note 8 2 2 4 11" xfId="6394"/>
    <cellStyle name="Note 8 2 2 4 2" xfId="1732"/>
    <cellStyle name="Note 8 2 2 4 2 2" xfId="2966"/>
    <cellStyle name="Note 8 2 2 4 2 2 2" xfId="8245"/>
    <cellStyle name="Note 8 2 2 4 2 2 3" xfId="14724"/>
    <cellStyle name="Note 8 2 2 4 2 3" xfId="7011"/>
    <cellStyle name="Note 8 2 2 4 2 4" xfId="14723"/>
    <cellStyle name="Note 8 2 2 4 3" xfId="4910"/>
    <cellStyle name="Note 8 2 2 4 3 2" xfId="10189"/>
    <cellStyle name="Note 8 2 2 4 3 3" xfId="14725"/>
    <cellStyle name="Note 8 2 2 4 4" xfId="4911"/>
    <cellStyle name="Note 8 2 2 4 4 2" xfId="10190"/>
    <cellStyle name="Note 8 2 2 4 4 3" xfId="14726"/>
    <cellStyle name="Note 8 2 2 4 5" xfId="4912"/>
    <cellStyle name="Note 8 2 2 4 5 2" xfId="10191"/>
    <cellStyle name="Note 8 2 2 4 5 3" xfId="14727"/>
    <cellStyle name="Note 8 2 2 4 6" xfId="4913"/>
    <cellStyle name="Note 8 2 2 4 6 2" xfId="10192"/>
    <cellStyle name="Note 8 2 2 4 6 3" xfId="14728"/>
    <cellStyle name="Note 8 2 2 4 7" xfId="4914"/>
    <cellStyle name="Note 8 2 2 4 7 2" xfId="10193"/>
    <cellStyle name="Note 8 2 2 4 7 3" xfId="14729"/>
    <cellStyle name="Note 8 2 2 4 8" xfId="4915"/>
    <cellStyle name="Note 8 2 2 4 8 2" xfId="10194"/>
    <cellStyle name="Note 8 2 2 4 8 3" xfId="14730"/>
    <cellStyle name="Note 8 2 2 4 9" xfId="4916"/>
    <cellStyle name="Note 8 2 2 4 9 2" xfId="10195"/>
    <cellStyle name="Note 8 2 2 4 9 3" xfId="14731"/>
    <cellStyle name="Note 8 2 2 5" xfId="1116"/>
    <cellStyle name="Note 8 2 2 5 10" xfId="2353"/>
    <cellStyle name="Note 8 2 2 5 10 2" xfId="7632"/>
    <cellStyle name="Note 8 2 2 5 10 3" xfId="11426"/>
    <cellStyle name="Note 8 2 2 5 11" xfId="6395"/>
    <cellStyle name="Note 8 2 2 5 2" xfId="1733"/>
    <cellStyle name="Note 8 2 2 5 2 2" xfId="2967"/>
    <cellStyle name="Note 8 2 2 5 2 2 2" xfId="8246"/>
    <cellStyle name="Note 8 2 2 5 2 2 3" xfId="14733"/>
    <cellStyle name="Note 8 2 2 5 2 3" xfId="7012"/>
    <cellStyle name="Note 8 2 2 5 2 4" xfId="14732"/>
    <cellStyle name="Note 8 2 2 5 3" xfId="4917"/>
    <cellStyle name="Note 8 2 2 5 3 2" xfId="10196"/>
    <cellStyle name="Note 8 2 2 5 3 3" xfId="14734"/>
    <cellStyle name="Note 8 2 2 5 4" xfId="4918"/>
    <cellStyle name="Note 8 2 2 5 4 2" xfId="10197"/>
    <cellStyle name="Note 8 2 2 5 4 3" xfId="14735"/>
    <cellStyle name="Note 8 2 2 5 5" xfId="4919"/>
    <cellStyle name="Note 8 2 2 5 5 2" xfId="10198"/>
    <cellStyle name="Note 8 2 2 5 5 3" xfId="14736"/>
    <cellStyle name="Note 8 2 2 5 6" xfId="4920"/>
    <cellStyle name="Note 8 2 2 5 6 2" xfId="10199"/>
    <cellStyle name="Note 8 2 2 5 6 3" xfId="14737"/>
    <cellStyle name="Note 8 2 2 5 7" xfId="4921"/>
    <cellStyle name="Note 8 2 2 5 7 2" xfId="10200"/>
    <cellStyle name="Note 8 2 2 5 7 3" xfId="14738"/>
    <cellStyle name="Note 8 2 2 5 8" xfId="4922"/>
    <cellStyle name="Note 8 2 2 5 8 2" xfId="10201"/>
    <cellStyle name="Note 8 2 2 5 8 3" xfId="14739"/>
    <cellStyle name="Note 8 2 2 5 9" xfId="4923"/>
    <cellStyle name="Note 8 2 2 5 9 2" xfId="10202"/>
    <cellStyle name="Note 8 2 2 5 9 3" xfId="14740"/>
    <cellStyle name="Note 8 2 2 6" xfId="1117"/>
    <cellStyle name="Note 8 2 2 6 10" xfId="2354"/>
    <cellStyle name="Note 8 2 2 6 10 2" xfId="7633"/>
    <cellStyle name="Note 8 2 2 6 10 3" xfId="11427"/>
    <cellStyle name="Note 8 2 2 6 11" xfId="6396"/>
    <cellStyle name="Note 8 2 2 6 2" xfId="1734"/>
    <cellStyle name="Note 8 2 2 6 2 2" xfId="2968"/>
    <cellStyle name="Note 8 2 2 6 2 2 2" xfId="8247"/>
    <cellStyle name="Note 8 2 2 6 2 2 3" xfId="14742"/>
    <cellStyle name="Note 8 2 2 6 2 3" xfId="7013"/>
    <cellStyle name="Note 8 2 2 6 2 4" xfId="14741"/>
    <cellStyle name="Note 8 2 2 6 3" xfId="4924"/>
    <cellStyle name="Note 8 2 2 6 3 2" xfId="10203"/>
    <cellStyle name="Note 8 2 2 6 3 3" xfId="14743"/>
    <cellStyle name="Note 8 2 2 6 4" xfId="4925"/>
    <cellStyle name="Note 8 2 2 6 4 2" xfId="10204"/>
    <cellStyle name="Note 8 2 2 6 4 3" xfId="14744"/>
    <cellStyle name="Note 8 2 2 6 5" xfId="4926"/>
    <cellStyle name="Note 8 2 2 6 5 2" xfId="10205"/>
    <cellStyle name="Note 8 2 2 6 5 3" xfId="14745"/>
    <cellStyle name="Note 8 2 2 6 6" xfId="4927"/>
    <cellStyle name="Note 8 2 2 6 6 2" xfId="10206"/>
    <cellStyle name="Note 8 2 2 6 6 3" xfId="14746"/>
    <cellStyle name="Note 8 2 2 6 7" xfId="4928"/>
    <cellStyle name="Note 8 2 2 6 7 2" xfId="10207"/>
    <cellStyle name="Note 8 2 2 6 7 3" xfId="14747"/>
    <cellStyle name="Note 8 2 2 6 8" xfId="4929"/>
    <cellStyle name="Note 8 2 2 6 8 2" xfId="10208"/>
    <cellStyle name="Note 8 2 2 6 8 3" xfId="14748"/>
    <cellStyle name="Note 8 2 2 6 9" xfId="4930"/>
    <cellStyle name="Note 8 2 2 6 9 2" xfId="10209"/>
    <cellStyle name="Note 8 2 2 6 9 3" xfId="14749"/>
    <cellStyle name="Note 8 2 2 7" xfId="1309"/>
    <cellStyle name="Note 8 2 2 7 2" xfId="2543"/>
    <cellStyle name="Note 8 2 2 7 2 2" xfId="7822"/>
    <cellStyle name="Note 8 2 2 7 2 3" xfId="14751"/>
    <cellStyle name="Note 8 2 2 7 3" xfId="6588"/>
    <cellStyle name="Note 8 2 2 7 4" xfId="14750"/>
    <cellStyle name="Note 8 2 2 8" xfId="4931"/>
    <cellStyle name="Note 8 2 2 8 2" xfId="10210"/>
    <cellStyle name="Note 8 2 2 8 3" xfId="14752"/>
    <cellStyle name="Note 8 2 2 9" xfId="4932"/>
    <cellStyle name="Note 8 2 2 9 2" xfId="10211"/>
    <cellStyle name="Note 8 2 2 9 3" xfId="14753"/>
    <cellStyle name="Note 8 2 3" xfId="755"/>
    <cellStyle name="Note 8 2 3 2" xfId="1382"/>
    <cellStyle name="Note 8 2 3 2 2" xfId="2616"/>
    <cellStyle name="Note 8 2 3 2 2 2" xfId="7895"/>
    <cellStyle name="Note 8 2 3 2 2 3" xfId="14756"/>
    <cellStyle name="Note 8 2 3 2 3" xfId="6661"/>
    <cellStyle name="Note 8 2 3 2 4" xfId="14755"/>
    <cellStyle name="Note 8 2 3 3" xfId="1859"/>
    <cellStyle name="Note 8 2 3 3 2" xfId="3093"/>
    <cellStyle name="Note 8 2 3 3 2 2" xfId="8372"/>
    <cellStyle name="Note 8 2 3 3 2 3" xfId="14758"/>
    <cellStyle name="Note 8 2 3 3 3" xfId="7138"/>
    <cellStyle name="Note 8 2 3 3 4" xfId="14757"/>
    <cellStyle name="Note 8 2 3 4" xfId="4933"/>
    <cellStyle name="Note 8 2 3 4 2" xfId="10212"/>
    <cellStyle name="Note 8 2 3 4 3" xfId="14759"/>
    <cellStyle name="Note 8 2 3 5" xfId="4934"/>
    <cellStyle name="Note 8 2 3 5 2" xfId="10213"/>
    <cellStyle name="Note 8 2 3 5 3" xfId="14760"/>
    <cellStyle name="Note 8 2 3 6" xfId="4935"/>
    <cellStyle name="Note 8 2 3 6 2" xfId="10214"/>
    <cellStyle name="Note 8 2 3 6 3" xfId="14761"/>
    <cellStyle name="Note 8 2 3 7" xfId="4936"/>
    <cellStyle name="Note 8 2 3 7 2" xfId="10215"/>
    <cellStyle name="Note 8 2 3 7 3" xfId="14762"/>
    <cellStyle name="Note 8 2 3 8" xfId="6044"/>
    <cellStyle name="Note 8 2 3 9" xfId="14754"/>
    <cellStyle name="Note 8 2 4" xfId="1118"/>
    <cellStyle name="Note 8 2 4 10" xfId="2355"/>
    <cellStyle name="Note 8 2 4 10 2" xfId="7634"/>
    <cellStyle name="Note 8 2 4 10 3" xfId="11428"/>
    <cellStyle name="Note 8 2 4 11" xfId="6397"/>
    <cellStyle name="Note 8 2 4 2" xfId="1735"/>
    <cellStyle name="Note 8 2 4 2 2" xfId="2969"/>
    <cellStyle name="Note 8 2 4 2 2 2" xfId="8248"/>
    <cellStyle name="Note 8 2 4 2 2 3" xfId="14764"/>
    <cellStyle name="Note 8 2 4 2 3" xfId="7014"/>
    <cellStyle name="Note 8 2 4 2 4" xfId="14763"/>
    <cellStyle name="Note 8 2 4 3" xfId="4937"/>
    <cellStyle name="Note 8 2 4 3 2" xfId="10216"/>
    <cellStyle name="Note 8 2 4 3 3" xfId="14765"/>
    <cellStyle name="Note 8 2 4 4" xfId="4938"/>
    <cellStyle name="Note 8 2 4 4 2" xfId="10217"/>
    <cellStyle name="Note 8 2 4 4 3" xfId="14766"/>
    <cellStyle name="Note 8 2 4 5" xfId="4939"/>
    <cellStyle name="Note 8 2 4 5 2" xfId="10218"/>
    <cellStyle name="Note 8 2 4 5 3" xfId="14767"/>
    <cellStyle name="Note 8 2 4 6" xfId="4940"/>
    <cellStyle name="Note 8 2 4 6 2" xfId="10219"/>
    <cellStyle name="Note 8 2 4 6 3" xfId="14768"/>
    <cellStyle name="Note 8 2 4 7" xfId="4941"/>
    <cellStyle name="Note 8 2 4 7 2" xfId="10220"/>
    <cellStyle name="Note 8 2 4 7 3" xfId="14769"/>
    <cellStyle name="Note 8 2 4 8" xfId="4942"/>
    <cellStyle name="Note 8 2 4 8 2" xfId="10221"/>
    <cellStyle name="Note 8 2 4 8 3" xfId="14770"/>
    <cellStyle name="Note 8 2 4 9" xfId="4943"/>
    <cellStyle name="Note 8 2 4 9 2" xfId="10222"/>
    <cellStyle name="Note 8 2 4 9 3" xfId="14771"/>
    <cellStyle name="Note 8 2 5" xfId="1119"/>
    <cellStyle name="Note 8 2 5 10" xfId="2356"/>
    <cellStyle name="Note 8 2 5 10 2" xfId="7635"/>
    <cellStyle name="Note 8 2 5 10 3" xfId="11429"/>
    <cellStyle name="Note 8 2 5 11" xfId="6398"/>
    <cellStyle name="Note 8 2 5 2" xfId="1736"/>
    <cellStyle name="Note 8 2 5 2 2" xfId="2970"/>
    <cellStyle name="Note 8 2 5 2 2 2" xfId="8249"/>
    <cellStyle name="Note 8 2 5 2 2 3" xfId="14773"/>
    <cellStyle name="Note 8 2 5 2 3" xfId="7015"/>
    <cellStyle name="Note 8 2 5 2 4" xfId="14772"/>
    <cellStyle name="Note 8 2 5 3" xfId="4944"/>
    <cellStyle name="Note 8 2 5 3 2" xfId="10223"/>
    <cellStyle name="Note 8 2 5 3 3" xfId="14774"/>
    <cellStyle name="Note 8 2 5 4" xfId="4945"/>
    <cellStyle name="Note 8 2 5 4 2" xfId="10224"/>
    <cellStyle name="Note 8 2 5 4 3" xfId="14775"/>
    <cellStyle name="Note 8 2 5 5" xfId="4946"/>
    <cellStyle name="Note 8 2 5 5 2" xfId="10225"/>
    <cellStyle name="Note 8 2 5 5 3" xfId="14776"/>
    <cellStyle name="Note 8 2 5 6" xfId="4947"/>
    <cellStyle name="Note 8 2 5 6 2" xfId="10226"/>
    <cellStyle name="Note 8 2 5 6 3" xfId="14777"/>
    <cellStyle name="Note 8 2 5 7" xfId="4948"/>
    <cellStyle name="Note 8 2 5 7 2" xfId="10227"/>
    <cellStyle name="Note 8 2 5 7 3" xfId="14778"/>
    <cellStyle name="Note 8 2 5 8" xfId="4949"/>
    <cellStyle name="Note 8 2 5 8 2" xfId="10228"/>
    <cellStyle name="Note 8 2 5 8 3" xfId="14779"/>
    <cellStyle name="Note 8 2 5 9" xfId="4950"/>
    <cellStyle name="Note 8 2 5 9 2" xfId="10229"/>
    <cellStyle name="Note 8 2 5 9 3" xfId="14780"/>
    <cellStyle name="Note 8 2 6" xfId="1120"/>
    <cellStyle name="Note 8 2 6 10" xfId="2357"/>
    <cellStyle name="Note 8 2 6 10 2" xfId="7636"/>
    <cellStyle name="Note 8 2 6 10 3" xfId="11430"/>
    <cellStyle name="Note 8 2 6 11" xfId="6399"/>
    <cellStyle name="Note 8 2 6 2" xfId="1737"/>
    <cellStyle name="Note 8 2 6 2 2" xfId="2971"/>
    <cellStyle name="Note 8 2 6 2 2 2" xfId="8250"/>
    <cellStyle name="Note 8 2 6 2 2 3" xfId="14782"/>
    <cellStyle name="Note 8 2 6 2 3" xfId="7016"/>
    <cellStyle name="Note 8 2 6 2 4" xfId="14781"/>
    <cellStyle name="Note 8 2 6 3" xfId="4951"/>
    <cellStyle name="Note 8 2 6 3 2" xfId="10230"/>
    <cellStyle name="Note 8 2 6 3 3" xfId="14783"/>
    <cellStyle name="Note 8 2 6 4" xfId="4952"/>
    <cellStyle name="Note 8 2 6 4 2" xfId="10231"/>
    <cellStyle name="Note 8 2 6 4 3" xfId="14784"/>
    <cellStyle name="Note 8 2 6 5" xfId="4953"/>
    <cellStyle name="Note 8 2 6 5 2" xfId="10232"/>
    <cellStyle name="Note 8 2 6 5 3" xfId="14785"/>
    <cellStyle name="Note 8 2 6 6" xfId="4954"/>
    <cellStyle name="Note 8 2 6 6 2" xfId="10233"/>
    <cellStyle name="Note 8 2 6 6 3" xfId="14786"/>
    <cellStyle name="Note 8 2 6 7" xfId="4955"/>
    <cellStyle name="Note 8 2 6 7 2" xfId="10234"/>
    <cellStyle name="Note 8 2 6 7 3" xfId="14787"/>
    <cellStyle name="Note 8 2 6 8" xfId="4956"/>
    <cellStyle name="Note 8 2 6 8 2" xfId="10235"/>
    <cellStyle name="Note 8 2 6 8 3" xfId="14788"/>
    <cellStyle name="Note 8 2 6 9" xfId="4957"/>
    <cellStyle name="Note 8 2 6 9 2" xfId="10236"/>
    <cellStyle name="Note 8 2 6 9 3" xfId="14789"/>
    <cellStyle name="Note 8 2 7" xfId="1121"/>
    <cellStyle name="Note 8 2 7 10" xfId="2358"/>
    <cellStyle name="Note 8 2 7 10 2" xfId="7637"/>
    <cellStyle name="Note 8 2 7 10 3" xfId="11431"/>
    <cellStyle name="Note 8 2 7 11" xfId="6400"/>
    <cellStyle name="Note 8 2 7 2" xfId="1738"/>
    <cellStyle name="Note 8 2 7 2 2" xfId="2972"/>
    <cellStyle name="Note 8 2 7 2 2 2" xfId="8251"/>
    <cellStyle name="Note 8 2 7 2 2 3" xfId="14791"/>
    <cellStyle name="Note 8 2 7 2 3" xfId="7017"/>
    <cellStyle name="Note 8 2 7 2 4" xfId="14790"/>
    <cellStyle name="Note 8 2 7 3" xfId="4958"/>
    <cellStyle name="Note 8 2 7 3 2" xfId="10237"/>
    <cellStyle name="Note 8 2 7 3 3" xfId="14792"/>
    <cellStyle name="Note 8 2 7 4" xfId="4959"/>
    <cellStyle name="Note 8 2 7 4 2" xfId="10238"/>
    <cellStyle name="Note 8 2 7 4 3" xfId="14793"/>
    <cellStyle name="Note 8 2 7 5" xfId="4960"/>
    <cellStyle name="Note 8 2 7 5 2" xfId="10239"/>
    <cellStyle name="Note 8 2 7 5 3" xfId="14794"/>
    <cellStyle name="Note 8 2 7 6" xfId="4961"/>
    <cellStyle name="Note 8 2 7 6 2" xfId="10240"/>
    <cellStyle name="Note 8 2 7 6 3" xfId="14795"/>
    <cellStyle name="Note 8 2 7 7" xfId="4962"/>
    <cellStyle name="Note 8 2 7 7 2" xfId="10241"/>
    <cellStyle name="Note 8 2 7 7 3" xfId="14796"/>
    <cellStyle name="Note 8 2 7 8" xfId="4963"/>
    <cellStyle name="Note 8 2 7 8 2" xfId="10242"/>
    <cellStyle name="Note 8 2 7 8 3" xfId="14797"/>
    <cellStyle name="Note 8 2 7 9" xfId="4964"/>
    <cellStyle name="Note 8 2 7 9 2" xfId="10243"/>
    <cellStyle name="Note 8 2 7 9 3" xfId="14798"/>
    <cellStyle name="Note 8 2 8" xfId="1308"/>
    <cellStyle name="Note 8 2 8 2" xfId="2542"/>
    <cellStyle name="Note 8 2 8 2 2" xfId="7821"/>
    <cellStyle name="Note 8 2 8 2 3" xfId="14800"/>
    <cellStyle name="Note 8 2 8 3" xfId="6587"/>
    <cellStyle name="Note 8 2 8 4" xfId="14799"/>
    <cellStyle name="Note 8 2 9" xfId="4965"/>
    <cellStyle name="Note 8 2 9 2" xfId="10244"/>
    <cellStyle name="Note 8 2 9 3" xfId="14801"/>
    <cellStyle name="Note 8 3" xfId="621"/>
    <cellStyle name="Note 8 3 10" xfId="4966"/>
    <cellStyle name="Note 8 3 10 2" xfId="10245"/>
    <cellStyle name="Note 8 3 10 3" xfId="14802"/>
    <cellStyle name="Note 8 3 11" xfId="4967"/>
    <cellStyle name="Note 8 3 11 2" xfId="10246"/>
    <cellStyle name="Note 8 3 11 3" xfId="14803"/>
    <cellStyle name="Note 8 3 12" xfId="4968"/>
    <cellStyle name="Note 8 3 12 2" xfId="10247"/>
    <cellStyle name="Note 8 3 12 3" xfId="14804"/>
    <cellStyle name="Note 8 3 13" xfId="1997"/>
    <cellStyle name="Note 8 3 13 2" xfId="7276"/>
    <cellStyle name="Note 8 3 13 3" xfId="11432"/>
    <cellStyle name="Note 8 3 14" xfId="5972"/>
    <cellStyle name="Note 8 3 2" xfId="622"/>
    <cellStyle name="Note 8 3 2 10" xfId="4969"/>
    <cellStyle name="Note 8 3 2 10 2" xfId="10248"/>
    <cellStyle name="Note 8 3 2 10 3" xfId="14805"/>
    <cellStyle name="Note 8 3 2 11" xfId="4970"/>
    <cellStyle name="Note 8 3 2 11 2" xfId="10249"/>
    <cellStyle name="Note 8 3 2 11 3" xfId="14806"/>
    <cellStyle name="Note 8 3 2 12" xfId="1998"/>
    <cellStyle name="Note 8 3 2 12 2" xfId="7277"/>
    <cellStyle name="Note 8 3 2 12 3" xfId="11433"/>
    <cellStyle name="Note 8 3 2 13" xfId="5973"/>
    <cellStyle name="Note 8 3 2 2" xfId="752"/>
    <cellStyle name="Note 8 3 2 2 2" xfId="1379"/>
    <cellStyle name="Note 8 3 2 2 2 2" xfId="2613"/>
    <cellStyle name="Note 8 3 2 2 2 2 2" xfId="7892"/>
    <cellStyle name="Note 8 3 2 2 2 2 3" xfId="14809"/>
    <cellStyle name="Note 8 3 2 2 2 3" xfId="6658"/>
    <cellStyle name="Note 8 3 2 2 2 4" xfId="14808"/>
    <cellStyle name="Note 8 3 2 2 3" xfId="1856"/>
    <cellStyle name="Note 8 3 2 2 3 2" xfId="3090"/>
    <cellStyle name="Note 8 3 2 2 3 2 2" xfId="8369"/>
    <cellStyle name="Note 8 3 2 2 3 2 3" xfId="14811"/>
    <cellStyle name="Note 8 3 2 2 3 3" xfId="7135"/>
    <cellStyle name="Note 8 3 2 2 3 4" xfId="14810"/>
    <cellStyle name="Note 8 3 2 2 4" xfId="4971"/>
    <cellStyle name="Note 8 3 2 2 4 2" xfId="10250"/>
    <cellStyle name="Note 8 3 2 2 4 3" xfId="14812"/>
    <cellStyle name="Note 8 3 2 2 5" xfId="4972"/>
    <cellStyle name="Note 8 3 2 2 5 2" xfId="10251"/>
    <cellStyle name="Note 8 3 2 2 5 3" xfId="14813"/>
    <cellStyle name="Note 8 3 2 2 6" xfId="4973"/>
    <cellStyle name="Note 8 3 2 2 6 2" xfId="10252"/>
    <cellStyle name="Note 8 3 2 2 6 3" xfId="14814"/>
    <cellStyle name="Note 8 3 2 2 7" xfId="4974"/>
    <cellStyle name="Note 8 3 2 2 7 2" xfId="10253"/>
    <cellStyle name="Note 8 3 2 2 7 3" xfId="14815"/>
    <cellStyle name="Note 8 3 2 2 8" xfId="6041"/>
    <cellStyle name="Note 8 3 2 2 9" xfId="14807"/>
    <cellStyle name="Note 8 3 2 3" xfId="1122"/>
    <cellStyle name="Note 8 3 2 3 10" xfId="2359"/>
    <cellStyle name="Note 8 3 2 3 10 2" xfId="7638"/>
    <cellStyle name="Note 8 3 2 3 10 3" xfId="11434"/>
    <cellStyle name="Note 8 3 2 3 11" xfId="6401"/>
    <cellStyle name="Note 8 3 2 3 2" xfId="1739"/>
    <cellStyle name="Note 8 3 2 3 2 2" xfId="2973"/>
    <cellStyle name="Note 8 3 2 3 2 2 2" xfId="8252"/>
    <cellStyle name="Note 8 3 2 3 2 2 3" xfId="14817"/>
    <cellStyle name="Note 8 3 2 3 2 3" xfId="7018"/>
    <cellStyle name="Note 8 3 2 3 2 4" xfId="14816"/>
    <cellStyle name="Note 8 3 2 3 3" xfId="4975"/>
    <cellStyle name="Note 8 3 2 3 3 2" xfId="10254"/>
    <cellStyle name="Note 8 3 2 3 3 3" xfId="14818"/>
    <cellStyle name="Note 8 3 2 3 4" xfId="4976"/>
    <cellStyle name="Note 8 3 2 3 4 2" xfId="10255"/>
    <cellStyle name="Note 8 3 2 3 4 3" xfId="14819"/>
    <cellStyle name="Note 8 3 2 3 5" xfId="4977"/>
    <cellStyle name="Note 8 3 2 3 5 2" xfId="10256"/>
    <cellStyle name="Note 8 3 2 3 5 3" xfId="14820"/>
    <cellStyle name="Note 8 3 2 3 6" xfId="4978"/>
    <cellStyle name="Note 8 3 2 3 6 2" xfId="10257"/>
    <cellStyle name="Note 8 3 2 3 6 3" xfId="14821"/>
    <cellStyle name="Note 8 3 2 3 7" xfId="4979"/>
    <cellStyle name="Note 8 3 2 3 7 2" xfId="10258"/>
    <cellStyle name="Note 8 3 2 3 7 3" xfId="14822"/>
    <cellStyle name="Note 8 3 2 3 8" xfId="4980"/>
    <cellStyle name="Note 8 3 2 3 8 2" xfId="10259"/>
    <cellStyle name="Note 8 3 2 3 8 3" xfId="14823"/>
    <cellStyle name="Note 8 3 2 3 9" xfId="4981"/>
    <cellStyle name="Note 8 3 2 3 9 2" xfId="10260"/>
    <cellStyle name="Note 8 3 2 3 9 3" xfId="14824"/>
    <cellStyle name="Note 8 3 2 4" xfId="1123"/>
    <cellStyle name="Note 8 3 2 4 10" xfId="2360"/>
    <cellStyle name="Note 8 3 2 4 10 2" xfId="7639"/>
    <cellStyle name="Note 8 3 2 4 10 3" xfId="11435"/>
    <cellStyle name="Note 8 3 2 4 11" xfId="6402"/>
    <cellStyle name="Note 8 3 2 4 2" xfId="1740"/>
    <cellStyle name="Note 8 3 2 4 2 2" xfId="2974"/>
    <cellStyle name="Note 8 3 2 4 2 2 2" xfId="8253"/>
    <cellStyle name="Note 8 3 2 4 2 2 3" xfId="14826"/>
    <cellStyle name="Note 8 3 2 4 2 3" xfId="7019"/>
    <cellStyle name="Note 8 3 2 4 2 4" xfId="14825"/>
    <cellStyle name="Note 8 3 2 4 3" xfId="4982"/>
    <cellStyle name="Note 8 3 2 4 3 2" xfId="10261"/>
    <cellStyle name="Note 8 3 2 4 3 3" xfId="14827"/>
    <cellStyle name="Note 8 3 2 4 4" xfId="4983"/>
    <cellStyle name="Note 8 3 2 4 4 2" xfId="10262"/>
    <cellStyle name="Note 8 3 2 4 4 3" xfId="14828"/>
    <cellStyle name="Note 8 3 2 4 5" xfId="4984"/>
    <cellStyle name="Note 8 3 2 4 5 2" xfId="10263"/>
    <cellStyle name="Note 8 3 2 4 5 3" xfId="14829"/>
    <cellStyle name="Note 8 3 2 4 6" xfId="4985"/>
    <cellStyle name="Note 8 3 2 4 6 2" xfId="10264"/>
    <cellStyle name="Note 8 3 2 4 6 3" xfId="14830"/>
    <cellStyle name="Note 8 3 2 4 7" xfId="4986"/>
    <cellStyle name="Note 8 3 2 4 7 2" xfId="10265"/>
    <cellStyle name="Note 8 3 2 4 7 3" xfId="14831"/>
    <cellStyle name="Note 8 3 2 4 8" xfId="4987"/>
    <cellStyle name="Note 8 3 2 4 8 2" xfId="10266"/>
    <cellStyle name="Note 8 3 2 4 8 3" xfId="14832"/>
    <cellStyle name="Note 8 3 2 4 9" xfId="4988"/>
    <cellStyle name="Note 8 3 2 4 9 2" xfId="10267"/>
    <cellStyle name="Note 8 3 2 4 9 3" xfId="14833"/>
    <cellStyle name="Note 8 3 2 5" xfId="1124"/>
    <cellStyle name="Note 8 3 2 5 10" xfId="2361"/>
    <cellStyle name="Note 8 3 2 5 10 2" xfId="7640"/>
    <cellStyle name="Note 8 3 2 5 10 3" xfId="11436"/>
    <cellStyle name="Note 8 3 2 5 11" xfId="6403"/>
    <cellStyle name="Note 8 3 2 5 2" xfId="1741"/>
    <cellStyle name="Note 8 3 2 5 2 2" xfId="2975"/>
    <cellStyle name="Note 8 3 2 5 2 2 2" xfId="8254"/>
    <cellStyle name="Note 8 3 2 5 2 2 3" xfId="14835"/>
    <cellStyle name="Note 8 3 2 5 2 3" xfId="7020"/>
    <cellStyle name="Note 8 3 2 5 2 4" xfId="14834"/>
    <cellStyle name="Note 8 3 2 5 3" xfId="4989"/>
    <cellStyle name="Note 8 3 2 5 3 2" xfId="10268"/>
    <cellStyle name="Note 8 3 2 5 3 3" xfId="14836"/>
    <cellStyle name="Note 8 3 2 5 4" xfId="4990"/>
    <cellStyle name="Note 8 3 2 5 4 2" xfId="10269"/>
    <cellStyle name="Note 8 3 2 5 4 3" xfId="14837"/>
    <cellStyle name="Note 8 3 2 5 5" xfId="4991"/>
    <cellStyle name="Note 8 3 2 5 5 2" xfId="10270"/>
    <cellStyle name="Note 8 3 2 5 5 3" xfId="14838"/>
    <cellStyle name="Note 8 3 2 5 6" xfId="4992"/>
    <cellStyle name="Note 8 3 2 5 6 2" xfId="10271"/>
    <cellStyle name="Note 8 3 2 5 6 3" xfId="14839"/>
    <cellStyle name="Note 8 3 2 5 7" xfId="4993"/>
    <cellStyle name="Note 8 3 2 5 7 2" xfId="10272"/>
    <cellStyle name="Note 8 3 2 5 7 3" xfId="14840"/>
    <cellStyle name="Note 8 3 2 5 8" xfId="4994"/>
    <cellStyle name="Note 8 3 2 5 8 2" xfId="10273"/>
    <cellStyle name="Note 8 3 2 5 8 3" xfId="14841"/>
    <cellStyle name="Note 8 3 2 5 9" xfId="4995"/>
    <cellStyle name="Note 8 3 2 5 9 2" xfId="10274"/>
    <cellStyle name="Note 8 3 2 5 9 3" xfId="14842"/>
    <cellStyle name="Note 8 3 2 6" xfId="1125"/>
    <cellStyle name="Note 8 3 2 6 10" xfId="2362"/>
    <cellStyle name="Note 8 3 2 6 10 2" xfId="7641"/>
    <cellStyle name="Note 8 3 2 6 10 3" xfId="11437"/>
    <cellStyle name="Note 8 3 2 6 11" xfId="6404"/>
    <cellStyle name="Note 8 3 2 6 2" xfId="1742"/>
    <cellStyle name="Note 8 3 2 6 2 2" xfId="2976"/>
    <cellStyle name="Note 8 3 2 6 2 2 2" xfId="8255"/>
    <cellStyle name="Note 8 3 2 6 2 2 3" xfId="14844"/>
    <cellStyle name="Note 8 3 2 6 2 3" xfId="7021"/>
    <cellStyle name="Note 8 3 2 6 2 4" xfId="14843"/>
    <cellStyle name="Note 8 3 2 6 3" xfId="4996"/>
    <cellStyle name="Note 8 3 2 6 3 2" xfId="10275"/>
    <cellStyle name="Note 8 3 2 6 3 3" xfId="14845"/>
    <cellStyle name="Note 8 3 2 6 4" xfId="4997"/>
    <cellStyle name="Note 8 3 2 6 4 2" xfId="10276"/>
    <cellStyle name="Note 8 3 2 6 4 3" xfId="14846"/>
    <cellStyle name="Note 8 3 2 6 5" xfId="4998"/>
    <cellStyle name="Note 8 3 2 6 5 2" xfId="10277"/>
    <cellStyle name="Note 8 3 2 6 5 3" xfId="14847"/>
    <cellStyle name="Note 8 3 2 6 6" xfId="4999"/>
    <cellStyle name="Note 8 3 2 6 6 2" xfId="10278"/>
    <cellStyle name="Note 8 3 2 6 6 3" xfId="14848"/>
    <cellStyle name="Note 8 3 2 6 7" xfId="5000"/>
    <cellStyle name="Note 8 3 2 6 7 2" xfId="10279"/>
    <cellStyle name="Note 8 3 2 6 7 3" xfId="14849"/>
    <cellStyle name="Note 8 3 2 6 8" xfId="5001"/>
    <cellStyle name="Note 8 3 2 6 8 2" xfId="10280"/>
    <cellStyle name="Note 8 3 2 6 8 3" xfId="14850"/>
    <cellStyle name="Note 8 3 2 6 9" xfId="5002"/>
    <cellStyle name="Note 8 3 2 6 9 2" xfId="10281"/>
    <cellStyle name="Note 8 3 2 6 9 3" xfId="14851"/>
    <cellStyle name="Note 8 3 2 7" xfId="1311"/>
    <cellStyle name="Note 8 3 2 7 2" xfId="2545"/>
    <cellStyle name="Note 8 3 2 7 2 2" xfId="7824"/>
    <cellStyle name="Note 8 3 2 7 2 3" xfId="14853"/>
    <cellStyle name="Note 8 3 2 7 3" xfId="6590"/>
    <cellStyle name="Note 8 3 2 7 4" xfId="14852"/>
    <cellStyle name="Note 8 3 2 8" xfId="5003"/>
    <cellStyle name="Note 8 3 2 8 2" xfId="10282"/>
    <cellStyle name="Note 8 3 2 8 3" xfId="14854"/>
    <cellStyle name="Note 8 3 2 9" xfId="5004"/>
    <cellStyle name="Note 8 3 2 9 2" xfId="10283"/>
    <cellStyle name="Note 8 3 2 9 3" xfId="14855"/>
    <cellStyle name="Note 8 3 3" xfId="753"/>
    <cellStyle name="Note 8 3 3 2" xfId="1380"/>
    <cellStyle name="Note 8 3 3 2 2" xfId="2614"/>
    <cellStyle name="Note 8 3 3 2 2 2" xfId="7893"/>
    <cellStyle name="Note 8 3 3 2 2 3" xfId="14858"/>
    <cellStyle name="Note 8 3 3 2 3" xfId="6659"/>
    <cellStyle name="Note 8 3 3 2 4" xfId="14857"/>
    <cellStyle name="Note 8 3 3 3" xfId="1857"/>
    <cellStyle name="Note 8 3 3 3 2" xfId="3091"/>
    <cellStyle name="Note 8 3 3 3 2 2" xfId="8370"/>
    <cellStyle name="Note 8 3 3 3 2 3" xfId="14860"/>
    <cellStyle name="Note 8 3 3 3 3" xfId="7136"/>
    <cellStyle name="Note 8 3 3 3 4" xfId="14859"/>
    <cellStyle name="Note 8 3 3 4" xfId="5005"/>
    <cellStyle name="Note 8 3 3 4 2" xfId="10284"/>
    <cellStyle name="Note 8 3 3 4 3" xfId="14861"/>
    <cellStyle name="Note 8 3 3 5" xfId="5006"/>
    <cellStyle name="Note 8 3 3 5 2" xfId="10285"/>
    <cellStyle name="Note 8 3 3 5 3" xfId="14862"/>
    <cellStyle name="Note 8 3 3 6" xfId="5007"/>
    <cellStyle name="Note 8 3 3 6 2" xfId="10286"/>
    <cellStyle name="Note 8 3 3 6 3" xfId="14863"/>
    <cellStyle name="Note 8 3 3 7" xfId="5008"/>
    <cellStyle name="Note 8 3 3 7 2" xfId="10287"/>
    <cellStyle name="Note 8 3 3 7 3" xfId="14864"/>
    <cellStyle name="Note 8 3 3 8" xfId="6042"/>
    <cellStyle name="Note 8 3 3 9" xfId="14856"/>
    <cellStyle name="Note 8 3 4" xfId="1126"/>
    <cellStyle name="Note 8 3 4 10" xfId="2363"/>
    <cellStyle name="Note 8 3 4 10 2" xfId="7642"/>
    <cellStyle name="Note 8 3 4 10 3" xfId="11438"/>
    <cellStyle name="Note 8 3 4 11" xfId="6405"/>
    <cellStyle name="Note 8 3 4 2" xfId="1743"/>
    <cellStyle name="Note 8 3 4 2 2" xfId="2977"/>
    <cellStyle name="Note 8 3 4 2 2 2" xfId="8256"/>
    <cellStyle name="Note 8 3 4 2 2 3" xfId="14866"/>
    <cellStyle name="Note 8 3 4 2 3" xfId="7022"/>
    <cellStyle name="Note 8 3 4 2 4" xfId="14865"/>
    <cellStyle name="Note 8 3 4 3" xfId="5009"/>
    <cellStyle name="Note 8 3 4 3 2" xfId="10288"/>
    <cellStyle name="Note 8 3 4 3 3" xfId="14867"/>
    <cellStyle name="Note 8 3 4 4" xfId="5010"/>
    <cellStyle name="Note 8 3 4 4 2" xfId="10289"/>
    <cellStyle name="Note 8 3 4 4 3" xfId="14868"/>
    <cellStyle name="Note 8 3 4 5" xfId="5011"/>
    <cellStyle name="Note 8 3 4 5 2" xfId="10290"/>
    <cellStyle name="Note 8 3 4 5 3" xfId="14869"/>
    <cellStyle name="Note 8 3 4 6" xfId="5012"/>
    <cellStyle name="Note 8 3 4 6 2" xfId="10291"/>
    <cellStyle name="Note 8 3 4 6 3" xfId="14870"/>
    <cellStyle name="Note 8 3 4 7" xfId="5013"/>
    <cellStyle name="Note 8 3 4 7 2" xfId="10292"/>
    <cellStyle name="Note 8 3 4 7 3" xfId="14871"/>
    <cellStyle name="Note 8 3 4 8" xfId="5014"/>
    <cellStyle name="Note 8 3 4 8 2" xfId="10293"/>
    <cellStyle name="Note 8 3 4 8 3" xfId="14872"/>
    <cellStyle name="Note 8 3 4 9" xfId="5015"/>
    <cellStyle name="Note 8 3 4 9 2" xfId="10294"/>
    <cellStyle name="Note 8 3 4 9 3" xfId="14873"/>
    <cellStyle name="Note 8 3 5" xfId="1127"/>
    <cellStyle name="Note 8 3 5 10" xfId="2364"/>
    <cellStyle name="Note 8 3 5 10 2" xfId="7643"/>
    <cellStyle name="Note 8 3 5 10 3" xfId="11439"/>
    <cellStyle name="Note 8 3 5 11" xfId="6406"/>
    <cellStyle name="Note 8 3 5 2" xfId="1744"/>
    <cellStyle name="Note 8 3 5 2 2" xfId="2978"/>
    <cellStyle name="Note 8 3 5 2 2 2" xfId="8257"/>
    <cellStyle name="Note 8 3 5 2 2 3" xfId="14875"/>
    <cellStyle name="Note 8 3 5 2 3" xfId="7023"/>
    <cellStyle name="Note 8 3 5 2 4" xfId="14874"/>
    <cellStyle name="Note 8 3 5 3" xfId="5016"/>
    <cellStyle name="Note 8 3 5 3 2" xfId="10295"/>
    <cellStyle name="Note 8 3 5 3 3" xfId="14876"/>
    <cellStyle name="Note 8 3 5 4" xfId="5017"/>
    <cellStyle name="Note 8 3 5 4 2" xfId="10296"/>
    <cellStyle name="Note 8 3 5 4 3" xfId="14877"/>
    <cellStyle name="Note 8 3 5 5" xfId="5018"/>
    <cellStyle name="Note 8 3 5 5 2" xfId="10297"/>
    <cellStyle name="Note 8 3 5 5 3" xfId="14878"/>
    <cellStyle name="Note 8 3 5 6" xfId="5019"/>
    <cellStyle name="Note 8 3 5 6 2" xfId="10298"/>
    <cellStyle name="Note 8 3 5 6 3" xfId="14879"/>
    <cellStyle name="Note 8 3 5 7" xfId="5020"/>
    <cellStyle name="Note 8 3 5 7 2" xfId="10299"/>
    <cellStyle name="Note 8 3 5 7 3" xfId="14880"/>
    <cellStyle name="Note 8 3 5 8" xfId="5021"/>
    <cellStyle name="Note 8 3 5 8 2" xfId="10300"/>
    <cellStyle name="Note 8 3 5 8 3" xfId="14881"/>
    <cellStyle name="Note 8 3 5 9" xfId="5022"/>
    <cellStyle name="Note 8 3 5 9 2" xfId="10301"/>
    <cellStyle name="Note 8 3 5 9 3" xfId="14882"/>
    <cellStyle name="Note 8 3 6" xfId="1128"/>
    <cellStyle name="Note 8 3 6 10" xfId="2365"/>
    <cellStyle name="Note 8 3 6 10 2" xfId="7644"/>
    <cellStyle name="Note 8 3 6 10 3" xfId="11440"/>
    <cellStyle name="Note 8 3 6 11" xfId="6407"/>
    <cellStyle name="Note 8 3 6 2" xfId="1745"/>
    <cellStyle name="Note 8 3 6 2 2" xfId="2979"/>
    <cellStyle name="Note 8 3 6 2 2 2" xfId="8258"/>
    <cellStyle name="Note 8 3 6 2 2 3" xfId="14884"/>
    <cellStyle name="Note 8 3 6 2 3" xfId="7024"/>
    <cellStyle name="Note 8 3 6 2 4" xfId="14883"/>
    <cellStyle name="Note 8 3 6 3" xfId="5023"/>
    <cellStyle name="Note 8 3 6 3 2" xfId="10302"/>
    <cellStyle name="Note 8 3 6 3 3" xfId="14885"/>
    <cellStyle name="Note 8 3 6 4" xfId="5024"/>
    <cellStyle name="Note 8 3 6 4 2" xfId="10303"/>
    <cellStyle name="Note 8 3 6 4 3" xfId="14886"/>
    <cellStyle name="Note 8 3 6 5" xfId="5025"/>
    <cellStyle name="Note 8 3 6 5 2" xfId="10304"/>
    <cellStyle name="Note 8 3 6 5 3" xfId="14887"/>
    <cellStyle name="Note 8 3 6 6" xfId="5026"/>
    <cellStyle name="Note 8 3 6 6 2" xfId="10305"/>
    <cellStyle name="Note 8 3 6 6 3" xfId="14888"/>
    <cellStyle name="Note 8 3 6 7" xfId="5027"/>
    <cellStyle name="Note 8 3 6 7 2" xfId="10306"/>
    <cellStyle name="Note 8 3 6 7 3" xfId="14889"/>
    <cellStyle name="Note 8 3 6 8" xfId="5028"/>
    <cellStyle name="Note 8 3 6 8 2" xfId="10307"/>
    <cellStyle name="Note 8 3 6 8 3" xfId="14890"/>
    <cellStyle name="Note 8 3 6 9" xfId="5029"/>
    <cellStyle name="Note 8 3 6 9 2" xfId="10308"/>
    <cellStyle name="Note 8 3 6 9 3" xfId="14891"/>
    <cellStyle name="Note 8 3 7" xfId="1129"/>
    <cellStyle name="Note 8 3 7 10" xfId="2366"/>
    <cellStyle name="Note 8 3 7 10 2" xfId="7645"/>
    <cellStyle name="Note 8 3 7 10 3" xfId="11441"/>
    <cellStyle name="Note 8 3 7 11" xfId="6408"/>
    <cellStyle name="Note 8 3 7 2" xfId="1746"/>
    <cellStyle name="Note 8 3 7 2 2" xfId="2980"/>
    <cellStyle name="Note 8 3 7 2 2 2" xfId="8259"/>
    <cellStyle name="Note 8 3 7 2 2 3" xfId="14893"/>
    <cellStyle name="Note 8 3 7 2 3" xfId="7025"/>
    <cellStyle name="Note 8 3 7 2 4" xfId="14892"/>
    <cellStyle name="Note 8 3 7 3" xfId="5030"/>
    <cellStyle name="Note 8 3 7 3 2" xfId="10309"/>
    <cellStyle name="Note 8 3 7 3 3" xfId="14894"/>
    <cellStyle name="Note 8 3 7 4" xfId="5031"/>
    <cellStyle name="Note 8 3 7 4 2" xfId="10310"/>
    <cellStyle name="Note 8 3 7 4 3" xfId="14895"/>
    <cellStyle name="Note 8 3 7 5" xfId="5032"/>
    <cellStyle name="Note 8 3 7 5 2" xfId="10311"/>
    <cellStyle name="Note 8 3 7 5 3" xfId="14896"/>
    <cellStyle name="Note 8 3 7 6" xfId="5033"/>
    <cellStyle name="Note 8 3 7 6 2" xfId="10312"/>
    <cellStyle name="Note 8 3 7 6 3" xfId="14897"/>
    <cellStyle name="Note 8 3 7 7" xfId="5034"/>
    <cellStyle name="Note 8 3 7 7 2" xfId="10313"/>
    <cellStyle name="Note 8 3 7 7 3" xfId="14898"/>
    <cellStyle name="Note 8 3 7 8" xfId="5035"/>
    <cellStyle name="Note 8 3 7 8 2" xfId="10314"/>
    <cellStyle name="Note 8 3 7 8 3" xfId="14899"/>
    <cellStyle name="Note 8 3 7 9" xfId="5036"/>
    <cellStyle name="Note 8 3 7 9 2" xfId="10315"/>
    <cellStyle name="Note 8 3 7 9 3" xfId="14900"/>
    <cellStyle name="Note 8 3 8" xfId="1310"/>
    <cellStyle name="Note 8 3 8 2" xfId="2544"/>
    <cellStyle name="Note 8 3 8 2 2" xfId="7823"/>
    <cellStyle name="Note 8 3 8 2 3" xfId="14902"/>
    <cellStyle name="Note 8 3 8 3" xfId="6589"/>
    <cellStyle name="Note 8 3 8 4" xfId="14901"/>
    <cellStyle name="Note 8 3 9" xfId="5037"/>
    <cellStyle name="Note 8 3 9 2" xfId="10316"/>
    <cellStyle name="Note 8 3 9 3" xfId="14903"/>
    <cellStyle name="Note 8 4" xfId="623"/>
    <cellStyle name="Note 8 4 10" xfId="5038"/>
    <cellStyle name="Note 8 4 10 2" xfId="10317"/>
    <cellStyle name="Note 8 4 10 3" xfId="14904"/>
    <cellStyle name="Note 8 4 11" xfId="5039"/>
    <cellStyle name="Note 8 4 11 2" xfId="10318"/>
    <cellStyle name="Note 8 4 11 3" xfId="14905"/>
    <cellStyle name="Note 8 4 12" xfId="1999"/>
    <cellStyle name="Note 8 4 12 2" xfId="7278"/>
    <cellStyle name="Note 8 4 12 3" xfId="11442"/>
    <cellStyle name="Note 8 4 13" xfId="5974"/>
    <cellStyle name="Note 8 4 2" xfId="751"/>
    <cellStyle name="Note 8 4 2 2" xfId="1378"/>
    <cellStyle name="Note 8 4 2 2 2" xfId="2612"/>
    <cellStyle name="Note 8 4 2 2 2 2" xfId="7891"/>
    <cellStyle name="Note 8 4 2 2 2 3" xfId="14908"/>
    <cellStyle name="Note 8 4 2 2 3" xfId="6657"/>
    <cellStyle name="Note 8 4 2 2 4" xfId="14907"/>
    <cellStyle name="Note 8 4 2 3" xfId="1855"/>
    <cellStyle name="Note 8 4 2 3 2" xfId="3089"/>
    <cellStyle name="Note 8 4 2 3 2 2" xfId="8368"/>
    <cellStyle name="Note 8 4 2 3 2 3" xfId="14910"/>
    <cellStyle name="Note 8 4 2 3 3" xfId="7134"/>
    <cellStyle name="Note 8 4 2 3 4" xfId="14909"/>
    <cellStyle name="Note 8 4 2 4" xfId="5040"/>
    <cellStyle name="Note 8 4 2 4 2" xfId="10319"/>
    <cellStyle name="Note 8 4 2 4 3" xfId="14911"/>
    <cellStyle name="Note 8 4 2 5" xfId="5041"/>
    <cellStyle name="Note 8 4 2 5 2" xfId="10320"/>
    <cellStyle name="Note 8 4 2 5 3" xfId="14912"/>
    <cellStyle name="Note 8 4 2 6" xfId="5042"/>
    <cellStyle name="Note 8 4 2 6 2" xfId="10321"/>
    <cellStyle name="Note 8 4 2 6 3" xfId="14913"/>
    <cellStyle name="Note 8 4 2 7" xfId="5043"/>
    <cellStyle name="Note 8 4 2 7 2" xfId="10322"/>
    <cellStyle name="Note 8 4 2 7 3" xfId="14914"/>
    <cellStyle name="Note 8 4 2 8" xfId="6040"/>
    <cellStyle name="Note 8 4 2 9" xfId="14906"/>
    <cellStyle name="Note 8 4 3" xfId="1130"/>
    <cellStyle name="Note 8 4 3 10" xfId="2367"/>
    <cellStyle name="Note 8 4 3 10 2" xfId="7646"/>
    <cellStyle name="Note 8 4 3 10 3" xfId="11443"/>
    <cellStyle name="Note 8 4 3 11" xfId="6409"/>
    <cellStyle name="Note 8 4 3 2" xfId="1747"/>
    <cellStyle name="Note 8 4 3 2 2" xfId="2981"/>
    <cellStyle name="Note 8 4 3 2 2 2" xfId="8260"/>
    <cellStyle name="Note 8 4 3 2 2 3" xfId="14916"/>
    <cellStyle name="Note 8 4 3 2 3" xfId="7026"/>
    <cellStyle name="Note 8 4 3 2 4" xfId="14915"/>
    <cellStyle name="Note 8 4 3 3" xfId="5044"/>
    <cellStyle name="Note 8 4 3 3 2" xfId="10323"/>
    <cellStyle name="Note 8 4 3 3 3" xfId="14917"/>
    <cellStyle name="Note 8 4 3 4" xfId="5045"/>
    <cellStyle name="Note 8 4 3 4 2" xfId="10324"/>
    <cellStyle name="Note 8 4 3 4 3" xfId="14918"/>
    <cellStyle name="Note 8 4 3 5" xfId="5046"/>
    <cellStyle name="Note 8 4 3 5 2" xfId="10325"/>
    <cellStyle name="Note 8 4 3 5 3" xfId="14919"/>
    <cellStyle name="Note 8 4 3 6" xfId="5047"/>
    <cellStyle name="Note 8 4 3 6 2" xfId="10326"/>
    <cellStyle name="Note 8 4 3 6 3" xfId="14920"/>
    <cellStyle name="Note 8 4 3 7" xfId="5048"/>
    <cellStyle name="Note 8 4 3 7 2" xfId="10327"/>
    <cellStyle name="Note 8 4 3 7 3" xfId="14921"/>
    <cellStyle name="Note 8 4 3 8" xfId="5049"/>
    <cellStyle name="Note 8 4 3 8 2" xfId="10328"/>
    <cellStyle name="Note 8 4 3 8 3" xfId="14922"/>
    <cellStyle name="Note 8 4 3 9" xfId="5050"/>
    <cellStyle name="Note 8 4 3 9 2" xfId="10329"/>
    <cellStyle name="Note 8 4 3 9 3" xfId="14923"/>
    <cellStyle name="Note 8 4 4" xfId="1131"/>
    <cellStyle name="Note 8 4 4 10" xfId="2368"/>
    <cellStyle name="Note 8 4 4 10 2" xfId="7647"/>
    <cellStyle name="Note 8 4 4 10 3" xfId="11444"/>
    <cellStyle name="Note 8 4 4 11" xfId="6410"/>
    <cellStyle name="Note 8 4 4 2" xfId="1748"/>
    <cellStyle name="Note 8 4 4 2 2" xfId="2982"/>
    <cellStyle name="Note 8 4 4 2 2 2" xfId="8261"/>
    <cellStyle name="Note 8 4 4 2 2 3" xfId="14925"/>
    <cellStyle name="Note 8 4 4 2 3" xfId="7027"/>
    <cellStyle name="Note 8 4 4 2 4" xfId="14924"/>
    <cellStyle name="Note 8 4 4 3" xfId="5051"/>
    <cellStyle name="Note 8 4 4 3 2" xfId="10330"/>
    <cellStyle name="Note 8 4 4 3 3" xfId="14926"/>
    <cellStyle name="Note 8 4 4 4" xfId="5052"/>
    <cellStyle name="Note 8 4 4 4 2" xfId="10331"/>
    <cellStyle name="Note 8 4 4 4 3" xfId="14927"/>
    <cellStyle name="Note 8 4 4 5" xfId="5053"/>
    <cellStyle name="Note 8 4 4 5 2" xfId="10332"/>
    <cellStyle name="Note 8 4 4 5 3" xfId="14928"/>
    <cellStyle name="Note 8 4 4 6" xfId="5054"/>
    <cellStyle name="Note 8 4 4 6 2" xfId="10333"/>
    <cellStyle name="Note 8 4 4 6 3" xfId="14929"/>
    <cellStyle name="Note 8 4 4 7" xfId="5055"/>
    <cellStyle name="Note 8 4 4 7 2" xfId="10334"/>
    <cellStyle name="Note 8 4 4 7 3" xfId="14930"/>
    <cellStyle name="Note 8 4 4 8" xfId="5056"/>
    <cellStyle name="Note 8 4 4 8 2" xfId="10335"/>
    <cellStyle name="Note 8 4 4 8 3" xfId="14931"/>
    <cellStyle name="Note 8 4 4 9" xfId="5057"/>
    <cellStyle name="Note 8 4 4 9 2" xfId="10336"/>
    <cellStyle name="Note 8 4 4 9 3" xfId="14932"/>
    <cellStyle name="Note 8 4 5" xfId="1132"/>
    <cellStyle name="Note 8 4 5 10" xfId="2369"/>
    <cellStyle name="Note 8 4 5 10 2" xfId="7648"/>
    <cellStyle name="Note 8 4 5 10 3" xfId="11445"/>
    <cellStyle name="Note 8 4 5 11" xfId="6411"/>
    <cellStyle name="Note 8 4 5 2" xfId="1749"/>
    <cellStyle name="Note 8 4 5 2 2" xfId="2983"/>
    <cellStyle name="Note 8 4 5 2 2 2" xfId="8262"/>
    <cellStyle name="Note 8 4 5 2 2 3" xfId="14934"/>
    <cellStyle name="Note 8 4 5 2 3" xfId="7028"/>
    <cellStyle name="Note 8 4 5 2 4" xfId="14933"/>
    <cellStyle name="Note 8 4 5 3" xfId="5058"/>
    <cellStyle name="Note 8 4 5 3 2" xfId="10337"/>
    <cellStyle name="Note 8 4 5 3 3" xfId="14935"/>
    <cellStyle name="Note 8 4 5 4" xfId="5059"/>
    <cellStyle name="Note 8 4 5 4 2" xfId="10338"/>
    <cellStyle name="Note 8 4 5 4 3" xfId="14936"/>
    <cellStyle name="Note 8 4 5 5" xfId="5060"/>
    <cellStyle name="Note 8 4 5 5 2" xfId="10339"/>
    <cellStyle name="Note 8 4 5 5 3" xfId="14937"/>
    <cellStyle name="Note 8 4 5 6" xfId="5061"/>
    <cellStyle name="Note 8 4 5 6 2" xfId="10340"/>
    <cellStyle name="Note 8 4 5 6 3" xfId="14938"/>
    <cellStyle name="Note 8 4 5 7" xfId="5062"/>
    <cellStyle name="Note 8 4 5 7 2" xfId="10341"/>
    <cellStyle name="Note 8 4 5 7 3" xfId="14939"/>
    <cellStyle name="Note 8 4 5 8" xfId="5063"/>
    <cellStyle name="Note 8 4 5 8 2" xfId="10342"/>
    <cellStyle name="Note 8 4 5 8 3" xfId="14940"/>
    <cellStyle name="Note 8 4 5 9" xfId="5064"/>
    <cellStyle name="Note 8 4 5 9 2" xfId="10343"/>
    <cellStyle name="Note 8 4 5 9 3" xfId="14941"/>
    <cellStyle name="Note 8 4 6" xfId="1133"/>
    <cellStyle name="Note 8 4 6 10" xfId="2370"/>
    <cellStyle name="Note 8 4 6 10 2" xfId="7649"/>
    <cellStyle name="Note 8 4 6 10 3" xfId="11446"/>
    <cellStyle name="Note 8 4 6 11" xfId="6412"/>
    <cellStyle name="Note 8 4 6 2" xfId="1750"/>
    <cellStyle name="Note 8 4 6 2 2" xfId="2984"/>
    <cellStyle name="Note 8 4 6 2 2 2" xfId="8263"/>
    <cellStyle name="Note 8 4 6 2 2 3" xfId="14943"/>
    <cellStyle name="Note 8 4 6 2 3" xfId="7029"/>
    <cellStyle name="Note 8 4 6 2 4" xfId="14942"/>
    <cellStyle name="Note 8 4 6 3" xfId="5065"/>
    <cellStyle name="Note 8 4 6 3 2" xfId="10344"/>
    <cellStyle name="Note 8 4 6 3 3" xfId="14944"/>
    <cellStyle name="Note 8 4 6 4" xfId="5066"/>
    <cellStyle name="Note 8 4 6 4 2" xfId="10345"/>
    <cellStyle name="Note 8 4 6 4 3" xfId="14945"/>
    <cellStyle name="Note 8 4 6 5" xfId="5067"/>
    <cellStyle name="Note 8 4 6 5 2" xfId="10346"/>
    <cellStyle name="Note 8 4 6 5 3" xfId="14946"/>
    <cellStyle name="Note 8 4 6 6" xfId="5068"/>
    <cellStyle name="Note 8 4 6 6 2" xfId="10347"/>
    <cellStyle name="Note 8 4 6 6 3" xfId="14947"/>
    <cellStyle name="Note 8 4 6 7" xfId="5069"/>
    <cellStyle name="Note 8 4 6 7 2" xfId="10348"/>
    <cellStyle name="Note 8 4 6 7 3" xfId="14948"/>
    <cellStyle name="Note 8 4 6 8" xfId="5070"/>
    <cellStyle name="Note 8 4 6 8 2" xfId="10349"/>
    <cellStyle name="Note 8 4 6 8 3" xfId="14949"/>
    <cellStyle name="Note 8 4 6 9" xfId="5071"/>
    <cellStyle name="Note 8 4 6 9 2" xfId="10350"/>
    <cellStyle name="Note 8 4 6 9 3" xfId="14950"/>
    <cellStyle name="Note 8 4 7" xfId="1312"/>
    <cellStyle name="Note 8 4 7 2" xfId="2546"/>
    <cellStyle name="Note 8 4 7 2 2" xfId="7825"/>
    <cellStyle name="Note 8 4 7 2 3" xfId="14952"/>
    <cellStyle name="Note 8 4 7 3" xfId="6591"/>
    <cellStyle name="Note 8 4 7 4" xfId="14951"/>
    <cellStyle name="Note 8 4 8" xfId="5072"/>
    <cellStyle name="Note 8 4 8 2" xfId="10351"/>
    <cellStyle name="Note 8 4 8 3" xfId="14953"/>
    <cellStyle name="Note 8 4 9" xfId="5073"/>
    <cellStyle name="Note 8 4 9 2" xfId="10352"/>
    <cellStyle name="Note 8 4 9 3" xfId="14954"/>
    <cellStyle name="Note 8 5" xfId="719"/>
    <cellStyle name="Note 8 5 2" xfId="1346"/>
    <cellStyle name="Note 8 5 2 2" xfId="2580"/>
    <cellStyle name="Note 8 5 2 2 2" xfId="7859"/>
    <cellStyle name="Note 8 5 2 2 3" xfId="14957"/>
    <cellStyle name="Note 8 5 2 3" xfId="6625"/>
    <cellStyle name="Note 8 5 2 4" xfId="14956"/>
    <cellStyle name="Note 8 5 3" xfId="1837"/>
    <cellStyle name="Note 8 5 3 2" xfId="3071"/>
    <cellStyle name="Note 8 5 3 2 2" xfId="8350"/>
    <cellStyle name="Note 8 5 3 2 3" xfId="14959"/>
    <cellStyle name="Note 8 5 3 3" xfId="7116"/>
    <cellStyle name="Note 8 5 3 4" xfId="14958"/>
    <cellStyle name="Note 8 5 4" xfId="5074"/>
    <cellStyle name="Note 8 5 4 2" xfId="10353"/>
    <cellStyle name="Note 8 5 4 3" xfId="14960"/>
    <cellStyle name="Note 8 5 5" xfId="5075"/>
    <cellStyle name="Note 8 5 5 2" xfId="10354"/>
    <cellStyle name="Note 8 5 5 3" xfId="14961"/>
    <cellStyle name="Note 8 5 6" xfId="5076"/>
    <cellStyle name="Note 8 5 6 2" xfId="10355"/>
    <cellStyle name="Note 8 5 6 3" xfId="14962"/>
    <cellStyle name="Note 8 5 7" xfId="5077"/>
    <cellStyle name="Note 8 5 7 2" xfId="10356"/>
    <cellStyle name="Note 8 5 7 3" xfId="14963"/>
    <cellStyle name="Note 8 5 8" xfId="6008"/>
    <cellStyle name="Note 8 5 9" xfId="14955"/>
    <cellStyle name="Note 8 6" xfId="1134"/>
    <cellStyle name="Note 8 6 10" xfId="2371"/>
    <cellStyle name="Note 8 6 10 2" xfId="7650"/>
    <cellStyle name="Note 8 6 10 3" xfId="11447"/>
    <cellStyle name="Note 8 6 11" xfId="6413"/>
    <cellStyle name="Note 8 6 2" xfId="1751"/>
    <cellStyle name="Note 8 6 2 2" xfId="2985"/>
    <cellStyle name="Note 8 6 2 2 2" xfId="8264"/>
    <cellStyle name="Note 8 6 2 2 3" xfId="14965"/>
    <cellStyle name="Note 8 6 2 3" xfId="7030"/>
    <cellStyle name="Note 8 6 2 4" xfId="14964"/>
    <cellStyle name="Note 8 6 3" xfId="5078"/>
    <cellStyle name="Note 8 6 3 2" xfId="10357"/>
    <cellStyle name="Note 8 6 3 3" xfId="14966"/>
    <cellStyle name="Note 8 6 4" xfId="5079"/>
    <cellStyle name="Note 8 6 4 2" xfId="10358"/>
    <cellStyle name="Note 8 6 4 3" xfId="14967"/>
    <cellStyle name="Note 8 6 5" xfId="5080"/>
    <cellStyle name="Note 8 6 5 2" xfId="10359"/>
    <cellStyle name="Note 8 6 5 3" xfId="14968"/>
    <cellStyle name="Note 8 6 6" xfId="5081"/>
    <cellStyle name="Note 8 6 6 2" xfId="10360"/>
    <cellStyle name="Note 8 6 6 3" xfId="14969"/>
    <cellStyle name="Note 8 6 7" xfId="5082"/>
    <cellStyle name="Note 8 6 7 2" xfId="10361"/>
    <cellStyle name="Note 8 6 7 3" xfId="14970"/>
    <cellStyle name="Note 8 6 8" xfId="5083"/>
    <cellStyle name="Note 8 6 8 2" xfId="10362"/>
    <cellStyle name="Note 8 6 8 3" xfId="14971"/>
    <cellStyle name="Note 8 6 9" xfId="5084"/>
    <cellStyle name="Note 8 6 9 2" xfId="10363"/>
    <cellStyle name="Note 8 6 9 3" xfId="14972"/>
    <cellStyle name="Note 8 7" xfId="1135"/>
    <cellStyle name="Note 8 7 10" xfId="2372"/>
    <cellStyle name="Note 8 7 10 2" xfId="7651"/>
    <cellStyle name="Note 8 7 10 3" xfId="11448"/>
    <cellStyle name="Note 8 7 11" xfId="6414"/>
    <cellStyle name="Note 8 7 2" xfId="1752"/>
    <cellStyle name="Note 8 7 2 2" xfId="2986"/>
    <cellStyle name="Note 8 7 2 2 2" xfId="8265"/>
    <cellStyle name="Note 8 7 2 2 3" xfId="14974"/>
    <cellStyle name="Note 8 7 2 3" xfId="7031"/>
    <cellStyle name="Note 8 7 2 4" xfId="14973"/>
    <cellStyle name="Note 8 7 3" xfId="5085"/>
    <cellStyle name="Note 8 7 3 2" xfId="10364"/>
    <cellStyle name="Note 8 7 3 3" xfId="14975"/>
    <cellStyle name="Note 8 7 4" xfId="5086"/>
    <cellStyle name="Note 8 7 4 2" xfId="10365"/>
    <cellStyle name="Note 8 7 4 3" xfId="14976"/>
    <cellStyle name="Note 8 7 5" xfId="5087"/>
    <cellStyle name="Note 8 7 5 2" xfId="10366"/>
    <cellStyle name="Note 8 7 5 3" xfId="14977"/>
    <cellStyle name="Note 8 7 6" xfId="5088"/>
    <cellStyle name="Note 8 7 6 2" xfId="10367"/>
    <cellStyle name="Note 8 7 6 3" xfId="14978"/>
    <cellStyle name="Note 8 7 7" xfId="5089"/>
    <cellStyle name="Note 8 7 7 2" xfId="10368"/>
    <cellStyle name="Note 8 7 7 3" xfId="14979"/>
    <cellStyle name="Note 8 7 8" xfId="5090"/>
    <cellStyle name="Note 8 7 8 2" xfId="10369"/>
    <cellStyle name="Note 8 7 8 3" xfId="14980"/>
    <cellStyle name="Note 8 7 9" xfId="5091"/>
    <cellStyle name="Note 8 7 9 2" xfId="10370"/>
    <cellStyle name="Note 8 7 9 3" xfId="14981"/>
    <cellStyle name="Note 8 8" xfId="1136"/>
    <cellStyle name="Note 8 8 10" xfId="2373"/>
    <cellStyle name="Note 8 8 10 2" xfId="7652"/>
    <cellStyle name="Note 8 8 10 3" xfId="11449"/>
    <cellStyle name="Note 8 8 11" xfId="6415"/>
    <cellStyle name="Note 8 8 2" xfId="1753"/>
    <cellStyle name="Note 8 8 2 2" xfId="2987"/>
    <cellStyle name="Note 8 8 2 2 2" xfId="8266"/>
    <cellStyle name="Note 8 8 2 2 3" xfId="14983"/>
    <cellStyle name="Note 8 8 2 3" xfId="7032"/>
    <cellStyle name="Note 8 8 2 4" xfId="14982"/>
    <cellStyle name="Note 8 8 3" xfId="5092"/>
    <cellStyle name="Note 8 8 3 2" xfId="10371"/>
    <cellStyle name="Note 8 8 3 3" xfId="14984"/>
    <cellStyle name="Note 8 8 4" xfId="5093"/>
    <cellStyle name="Note 8 8 4 2" xfId="10372"/>
    <cellStyle name="Note 8 8 4 3" xfId="14985"/>
    <cellStyle name="Note 8 8 5" xfId="5094"/>
    <cellStyle name="Note 8 8 5 2" xfId="10373"/>
    <cellStyle name="Note 8 8 5 3" xfId="14986"/>
    <cellStyle name="Note 8 8 6" xfId="5095"/>
    <cellStyle name="Note 8 8 6 2" xfId="10374"/>
    <cellStyle name="Note 8 8 6 3" xfId="14987"/>
    <cellStyle name="Note 8 8 7" xfId="5096"/>
    <cellStyle name="Note 8 8 7 2" xfId="10375"/>
    <cellStyle name="Note 8 8 7 3" xfId="14988"/>
    <cellStyle name="Note 8 8 8" xfId="5097"/>
    <cellStyle name="Note 8 8 8 2" xfId="10376"/>
    <cellStyle name="Note 8 8 8 3" xfId="14989"/>
    <cellStyle name="Note 8 8 9" xfId="5098"/>
    <cellStyle name="Note 8 8 9 2" xfId="10377"/>
    <cellStyle name="Note 8 8 9 3" xfId="14990"/>
    <cellStyle name="Note 8 9" xfId="1137"/>
    <cellStyle name="Note 8 9 10" xfId="2374"/>
    <cellStyle name="Note 8 9 10 2" xfId="7653"/>
    <cellStyle name="Note 8 9 10 3" xfId="11450"/>
    <cellStyle name="Note 8 9 11" xfId="6416"/>
    <cellStyle name="Note 8 9 2" xfId="1754"/>
    <cellStyle name="Note 8 9 2 2" xfId="2988"/>
    <cellStyle name="Note 8 9 2 2 2" xfId="8267"/>
    <cellStyle name="Note 8 9 2 2 3" xfId="14992"/>
    <cellStyle name="Note 8 9 2 3" xfId="7033"/>
    <cellStyle name="Note 8 9 2 4" xfId="14991"/>
    <cellStyle name="Note 8 9 3" xfId="5099"/>
    <cellStyle name="Note 8 9 3 2" xfId="10378"/>
    <cellStyle name="Note 8 9 3 3" xfId="14993"/>
    <cellStyle name="Note 8 9 4" xfId="5100"/>
    <cellStyle name="Note 8 9 4 2" xfId="10379"/>
    <cellStyle name="Note 8 9 4 3" xfId="14994"/>
    <cellStyle name="Note 8 9 5" xfId="5101"/>
    <cellStyle name="Note 8 9 5 2" xfId="10380"/>
    <cellStyle name="Note 8 9 5 3" xfId="14995"/>
    <cellStyle name="Note 8 9 6" xfId="5102"/>
    <cellStyle name="Note 8 9 6 2" xfId="10381"/>
    <cellStyle name="Note 8 9 6 3" xfId="14996"/>
    <cellStyle name="Note 8 9 7" xfId="5103"/>
    <cellStyle name="Note 8 9 7 2" xfId="10382"/>
    <cellStyle name="Note 8 9 7 3" xfId="14997"/>
    <cellStyle name="Note 8 9 8" xfId="5104"/>
    <cellStyle name="Note 8 9 8 2" xfId="10383"/>
    <cellStyle name="Note 8 9 8 3" xfId="14998"/>
    <cellStyle name="Note 8 9 9" xfId="5105"/>
    <cellStyle name="Note 8 9 9 2" xfId="10384"/>
    <cellStyle name="Note 8 9 9 3" xfId="14999"/>
    <cellStyle name="Note 9" xfId="624"/>
    <cellStyle name="Note 9 10" xfId="1313"/>
    <cellStyle name="Note 9 10 2" xfId="2547"/>
    <cellStyle name="Note 9 10 2 2" xfId="7826"/>
    <cellStyle name="Note 9 10 2 3" xfId="15001"/>
    <cellStyle name="Note 9 10 3" xfId="6592"/>
    <cellStyle name="Note 9 10 4" xfId="15000"/>
    <cellStyle name="Note 9 11" xfId="5106"/>
    <cellStyle name="Note 9 11 2" xfId="10385"/>
    <cellStyle name="Note 9 11 3" xfId="15002"/>
    <cellStyle name="Note 9 12" xfId="5107"/>
    <cellStyle name="Note 9 12 2" xfId="10386"/>
    <cellStyle name="Note 9 12 3" xfId="15003"/>
    <cellStyle name="Note 9 13" xfId="5108"/>
    <cellStyle name="Note 9 13 2" xfId="10387"/>
    <cellStyle name="Note 9 13 3" xfId="15004"/>
    <cellStyle name="Note 9 14" xfId="5109"/>
    <cellStyle name="Note 9 14 2" xfId="10388"/>
    <cellStyle name="Note 9 14 3" xfId="15005"/>
    <cellStyle name="Note 9 15" xfId="2000"/>
    <cellStyle name="Note 9 15 2" xfId="7279"/>
    <cellStyle name="Note 9 15 3" xfId="11451"/>
    <cellStyle name="Note 9 16" xfId="5975"/>
    <cellStyle name="Note 9 2" xfId="625"/>
    <cellStyle name="Note 9 2 10" xfId="5110"/>
    <cellStyle name="Note 9 2 10 2" xfId="10389"/>
    <cellStyle name="Note 9 2 10 3" xfId="15006"/>
    <cellStyle name="Note 9 2 11" xfId="5111"/>
    <cellStyle name="Note 9 2 11 2" xfId="10390"/>
    <cellStyle name="Note 9 2 11 3" xfId="15007"/>
    <cellStyle name="Note 9 2 12" xfId="5112"/>
    <cellStyle name="Note 9 2 12 2" xfId="10391"/>
    <cellStyle name="Note 9 2 12 3" xfId="15008"/>
    <cellStyle name="Note 9 2 13" xfId="2001"/>
    <cellStyle name="Note 9 2 13 2" xfId="7280"/>
    <cellStyle name="Note 9 2 13 3" xfId="11452"/>
    <cellStyle name="Note 9 2 14" xfId="5976"/>
    <cellStyle name="Note 9 2 2" xfId="626"/>
    <cellStyle name="Note 9 2 2 10" xfId="5113"/>
    <cellStyle name="Note 9 2 2 10 2" xfId="10392"/>
    <cellStyle name="Note 9 2 2 10 3" xfId="15009"/>
    <cellStyle name="Note 9 2 2 11" xfId="5114"/>
    <cellStyle name="Note 9 2 2 11 2" xfId="10393"/>
    <cellStyle name="Note 9 2 2 11 3" xfId="15010"/>
    <cellStyle name="Note 9 2 2 12" xfId="2002"/>
    <cellStyle name="Note 9 2 2 12 2" xfId="7281"/>
    <cellStyle name="Note 9 2 2 12 3" xfId="11453"/>
    <cellStyle name="Note 9 2 2 13" xfId="5977"/>
    <cellStyle name="Note 9 2 2 2" xfId="750"/>
    <cellStyle name="Note 9 2 2 2 2" xfId="1377"/>
    <cellStyle name="Note 9 2 2 2 2 2" xfId="2611"/>
    <cellStyle name="Note 9 2 2 2 2 2 2" xfId="7890"/>
    <cellStyle name="Note 9 2 2 2 2 2 3" xfId="15013"/>
    <cellStyle name="Note 9 2 2 2 2 3" xfId="6656"/>
    <cellStyle name="Note 9 2 2 2 2 4" xfId="15012"/>
    <cellStyle name="Note 9 2 2 2 3" xfId="1854"/>
    <cellStyle name="Note 9 2 2 2 3 2" xfId="3088"/>
    <cellStyle name="Note 9 2 2 2 3 2 2" xfId="8367"/>
    <cellStyle name="Note 9 2 2 2 3 2 3" xfId="15015"/>
    <cellStyle name="Note 9 2 2 2 3 3" xfId="7133"/>
    <cellStyle name="Note 9 2 2 2 3 4" xfId="15014"/>
    <cellStyle name="Note 9 2 2 2 4" xfId="5115"/>
    <cellStyle name="Note 9 2 2 2 4 2" xfId="10394"/>
    <cellStyle name="Note 9 2 2 2 4 3" xfId="15016"/>
    <cellStyle name="Note 9 2 2 2 5" xfId="5116"/>
    <cellStyle name="Note 9 2 2 2 5 2" xfId="10395"/>
    <cellStyle name="Note 9 2 2 2 5 3" xfId="15017"/>
    <cellStyle name="Note 9 2 2 2 6" xfId="5117"/>
    <cellStyle name="Note 9 2 2 2 6 2" xfId="10396"/>
    <cellStyle name="Note 9 2 2 2 6 3" xfId="15018"/>
    <cellStyle name="Note 9 2 2 2 7" xfId="5118"/>
    <cellStyle name="Note 9 2 2 2 7 2" xfId="10397"/>
    <cellStyle name="Note 9 2 2 2 7 3" xfId="15019"/>
    <cellStyle name="Note 9 2 2 2 8" xfId="6039"/>
    <cellStyle name="Note 9 2 2 2 9" xfId="15011"/>
    <cellStyle name="Note 9 2 2 3" xfId="1138"/>
    <cellStyle name="Note 9 2 2 3 10" xfId="2375"/>
    <cellStyle name="Note 9 2 2 3 10 2" xfId="7654"/>
    <cellStyle name="Note 9 2 2 3 10 3" xfId="11454"/>
    <cellStyle name="Note 9 2 2 3 11" xfId="6417"/>
    <cellStyle name="Note 9 2 2 3 2" xfId="1755"/>
    <cellStyle name="Note 9 2 2 3 2 2" xfId="2989"/>
    <cellStyle name="Note 9 2 2 3 2 2 2" xfId="8268"/>
    <cellStyle name="Note 9 2 2 3 2 2 3" xfId="15021"/>
    <cellStyle name="Note 9 2 2 3 2 3" xfId="7034"/>
    <cellStyle name="Note 9 2 2 3 2 4" xfId="15020"/>
    <cellStyle name="Note 9 2 2 3 3" xfId="5119"/>
    <cellStyle name="Note 9 2 2 3 3 2" xfId="10398"/>
    <cellStyle name="Note 9 2 2 3 3 3" xfId="15022"/>
    <cellStyle name="Note 9 2 2 3 4" xfId="5120"/>
    <cellStyle name="Note 9 2 2 3 4 2" xfId="10399"/>
    <cellStyle name="Note 9 2 2 3 4 3" xfId="15023"/>
    <cellStyle name="Note 9 2 2 3 5" xfId="5121"/>
    <cellStyle name="Note 9 2 2 3 5 2" xfId="10400"/>
    <cellStyle name="Note 9 2 2 3 5 3" xfId="15024"/>
    <cellStyle name="Note 9 2 2 3 6" xfId="5122"/>
    <cellStyle name="Note 9 2 2 3 6 2" xfId="10401"/>
    <cellStyle name="Note 9 2 2 3 6 3" xfId="15025"/>
    <cellStyle name="Note 9 2 2 3 7" xfId="5123"/>
    <cellStyle name="Note 9 2 2 3 7 2" xfId="10402"/>
    <cellStyle name="Note 9 2 2 3 7 3" xfId="15026"/>
    <cellStyle name="Note 9 2 2 3 8" xfId="5124"/>
    <cellStyle name="Note 9 2 2 3 8 2" xfId="10403"/>
    <cellStyle name="Note 9 2 2 3 8 3" xfId="15027"/>
    <cellStyle name="Note 9 2 2 3 9" xfId="5125"/>
    <cellStyle name="Note 9 2 2 3 9 2" xfId="10404"/>
    <cellStyle name="Note 9 2 2 3 9 3" xfId="15028"/>
    <cellStyle name="Note 9 2 2 4" xfId="1139"/>
    <cellStyle name="Note 9 2 2 4 10" xfId="2376"/>
    <cellStyle name="Note 9 2 2 4 10 2" xfId="7655"/>
    <cellStyle name="Note 9 2 2 4 10 3" xfId="11455"/>
    <cellStyle name="Note 9 2 2 4 11" xfId="6418"/>
    <cellStyle name="Note 9 2 2 4 2" xfId="1756"/>
    <cellStyle name="Note 9 2 2 4 2 2" xfId="2990"/>
    <cellStyle name="Note 9 2 2 4 2 2 2" xfId="8269"/>
    <cellStyle name="Note 9 2 2 4 2 2 3" xfId="15030"/>
    <cellStyle name="Note 9 2 2 4 2 3" xfId="7035"/>
    <cellStyle name="Note 9 2 2 4 2 4" xfId="15029"/>
    <cellStyle name="Note 9 2 2 4 3" xfId="5126"/>
    <cellStyle name="Note 9 2 2 4 3 2" xfId="10405"/>
    <cellStyle name="Note 9 2 2 4 3 3" xfId="15031"/>
    <cellStyle name="Note 9 2 2 4 4" xfId="5127"/>
    <cellStyle name="Note 9 2 2 4 4 2" xfId="10406"/>
    <cellStyle name="Note 9 2 2 4 4 3" xfId="15032"/>
    <cellStyle name="Note 9 2 2 4 5" xfId="5128"/>
    <cellStyle name="Note 9 2 2 4 5 2" xfId="10407"/>
    <cellStyle name="Note 9 2 2 4 5 3" xfId="15033"/>
    <cellStyle name="Note 9 2 2 4 6" xfId="5129"/>
    <cellStyle name="Note 9 2 2 4 6 2" xfId="10408"/>
    <cellStyle name="Note 9 2 2 4 6 3" xfId="15034"/>
    <cellStyle name="Note 9 2 2 4 7" xfId="5130"/>
    <cellStyle name="Note 9 2 2 4 7 2" xfId="10409"/>
    <cellStyle name="Note 9 2 2 4 7 3" xfId="15035"/>
    <cellStyle name="Note 9 2 2 4 8" xfId="5131"/>
    <cellStyle name="Note 9 2 2 4 8 2" xfId="10410"/>
    <cellStyle name="Note 9 2 2 4 8 3" xfId="15036"/>
    <cellStyle name="Note 9 2 2 4 9" xfId="5132"/>
    <cellStyle name="Note 9 2 2 4 9 2" xfId="10411"/>
    <cellStyle name="Note 9 2 2 4 9 3" xfId="15037"/>
    <cellStyle name="Note 9 2 2 5" xfId="1140"/>
    <cellStyle name="Note 9 2 2 5 10" xfId="2377"/>
    <cellStyle name="Note 9 2 2 5 10 2" xfId="7656"/>
    <cellStyle name="Note 9 2 2 5 10 3" xfId="11456"/>
    <cellStyle name="Note 9 2 2 5 11" xfId="6419"/>
    <cellStyle name="Note 9 2 2 5 2" xfId="1757"/>
    <cellStyle name="Note 9 2 2 5 2 2" xfId="2991"/>
    <cellStyle name="Note 9 2 2 5 2 2 2" xfId="8270"/>
    <cellStyle name="Note 9 2 2 5 2 2 3" xfId="15039"/>
    <cellStyle name="Note 9 2 2 5 2 3" xfId="7036"/>
    <cellStyle name="Note 9 2 2 5 2 4" xfId="15038"/>
    <cellStyle name="Note 9 2 2 5 3" xfId="5133"/>
    <cellStyle name="Note 9 2 2 5 3 2" xfId="10412"/>
    <cellStyle name="Note 9 2 2 5 3 3" xfId="15040"/>
    <cellStyle name="Note 9 2 2 5 4" xfId="5134"/>
    <cellStyle name="Note 9 2 2 5 4 2" xfId="10413"/>
    <cellStyle name="Note 9 2 2 5 4 3" xfId="15041"/>
    <cellStyle name="Note 9 2 2 5 5" xfId="5135"/>
    <cellStyle name="Note 9 2 2 5 5 2" xfId="10414"/>
    <cellStyle name="Note 9 2 2 5 5 3" xfId="15042"/>
    <cellStyle name="Note 9 2 2 5 6" xfId="5136"/>
    <cellStyle name="Note 9 2 2 5 6 2" xfId="10415"/>
    <cellStyle name="Note 9 2 2 5 6 3" xfId="15043"/>
    <cellStyle name="Note 9 2 2 5 7" xfId="5137"/>
    <cellStyle name="Note 9 2 2 5 7 2" xfId="10416"/>
    <cellStyle name="Note 9 2 2 5 7 3" xfId="15044"/>
    <cellStyle name="Note 9 2 2 5 8" xfId="5138"/>
    <cellStyle name="Note 9 2 2 5 8 2" xfId="10417"/>
    <cellStyle name="Note 9 2 2 5 8 3" xfId="15045"/>
    <cellStyle name="Note 9 2 2 5 9" xfId="5139"/>
    <cellStyle name="Note 9 2 2 5 9 2" xfId="10418"/>
    <cellStyle name="Note 9 2 2 5 9 3" xfId="15046"/>
    <cellStyle name="Note 9 2 2 6" xfId="1141"/>
    <cellStyle name="Note 9 2 2 6 10" xfId="2378"/>
    <cellStyle name="Note 9 2 2 6 10 2" xfId="7657"/>
    <cellStyle name="Note 9 2 2 6 10 3" xfId="11457"/>
    <cellStyle name="Note 9 2 2 6 11" xfId="6420"/>
    <cellStyle name="Note 9 2 2 6 2" xfId="1758"/>
    <cellStyle name="Note 9 2 2 6 2 2" xfId="2992"/>
    <cellStyle name="Note 9 2 2 6 2 2 2" xfId="8271"/>
    <cellStyle name="Note 9 2 2 6 2 2 3" xfId="15048"/>
    <cellStyle name="Note 9 2 2 6 2 3" xfId="7037"/>
    <cellStyle name="Note 9 2 2 6 2 4" xfId="15047"/>
    <cellStyle name="Note 9 2 2 6 3" xfId="5140"/>
    <cellStyle name="Note 9 2 2 6 3 2" xfId="10419"/>
    <cellStyle name="Note 9 2 2 6 3 3" xfId="15049"/>
    <cellStyle name="Note 9 2 2 6 4" xfId="5141"/>
    <cellStyle name="Note 9 2 2 6 4 2" xfId="10420"/>
    <cellStyle name="Note 9 2 2 6 4 3" xfId="15050"/>
    <cellStyle name="Note 9 2 2 6 5" xfId="5142"/>
    <cellStyle name="Note 9 2 2 6 5 2" xfId="10421"/>
    <cellStyle name="Note 9 2 2 6 5 3" xfId="15051"/>
    <cellStyle name="Note 9 2 2 6 6" xfId="5143"/>
    <cellStyle name="Note 9 2 2 6 6 2" xfId="10422"/>
    <cellStyle name="Note 9 2 2 6 6 3" xfId="15052"/>
    <cellStyle name="Note 9 2 2 6 7" xfId="5144"/>
    <cellStyle name="Note 9 2 2 6 7 2" xfId="10423"/>
    <cellStyle name="Note 9 2 2 6 7 3" xfId="15053"/>
    <cellStyle name="Note 9 2 2 6 8" xfId="5145"/>
    <cellStyle name="Note 9 2 2 6 8 2" xfId="10424"/>
    <cellStyle name="Note 9 2 2 6 8 3" xfId="15054"/>
    <cellStyle name="Note 9 2 2 6 9" xfId="5146"/>
    <cellStyle name="Note 9 2 2 6 9 2" xfId="10425"/>
    <cellStyle name="Note 9 2 2 6 9 3" xfId="15055"/>
    <cellStyle name="Note 9 2 2 7" xfId="1315"/>
    <cellStyle name="Note 9 2 2 7 2" xfId="2549"/>
    <cellStyle name="Note 9 2 2 7 2 2" xfId="7828"/>
    <cellStyle name="Note 9 2 2 7 2 3" xfId="15057"/>
    <cellStyle name="Note 9 2 2 7 3" xfId="6594"/>
    <cellStyle name="Note 9 2 2 7 4" xfId="15056"/>
    <cellStyle name="Note 9 2 2 8" xfId="5147"/>
    <cellStyle name="Note 9 2 2 8 2" xfId="10426"/>
    <cellStyle name="Note 9 2 2 8 3" xfId="15058"/>
    <cellStyle name="Note 9 2 2 9" xfId="5148"/>
    <cellStyle name="Note 9 2 2 9 2" xfId="10427"/>
    <cellStyle name="Note 9 2 2 9 3" xfId="15059"/>
    <cellStyle name="Note 9 2 3" xfId="820"/>
    <cellStyle name="Note 9 2 3 2" xfId="1447"/>
    <cellStyle name="Note 9 2 3 2 2" xfId="2681"/>
    <cellStyle name="Note 9 2 3 2 2 2" xfId="7960"/>
    <cellStyle name="Note 9 2 3 2 2 3" xfId="15062"/>
    <cellStyle name="Note 9 2 3 2 3" xfId="6726"/>
    <cellStyle name="Note 9 2 3 2 4" xfId="15061"/>
    <cellStyle name="Note 9 2 3 3" xfId="1902"/>
    <cellStyle name="Note 9 2 3 3 2" xfId="3136"/>
    <cellStyle name="Note 9 2 3 3 2 2" xfId="8415"/>
    <cellStyle name="Note 9 2 3 3 2 3" xfId="15064"/>
    <cellStyle name="Note 9 2 3 3 3" xfId="7181"/>
    <cellStyle name="Note 9 2 3 3 4" xfId="15063"/>
    <cellStyle name="Note 9 2 3 4" xfId="5149"/>
    <cellStyle name="Note 9 2 3 4 2" xfId="10428"/>
    <cellStyle name="Note 9 2 3 4 3" xfId="15065"/>
    <cellStyle name="Note 9 2 3 5" xfId="5150"/>
    <cellStyle name="Note 9 2 3 5 2" xfId="10429"/>
    <cellStyle name="Note 9 2 3 5 3" xfId="15066"/>
    <cellStyle name="Note 9 2 3 6" xfId="5151"/>
    <cellStyle name="Note 9 2 3 6 2" xfId="10430"/>
    <cellStyle name="Note 9 2 3 6 3" xfId="15067"/>
    <cellStyle name="Note 9 2 3 7" xfId="5152"/>
    <cellStyle name="Note 9 2 3 7 2" xfId="10431"/>
    <cellStyle name="Note 9 2 3 7 3" xfId="15068"/>
    <cellStyle name="Note 9 2 3 8" xfId="6109"/>
    <cellStyle name="Note 9 2 3 9" xfId="15060"/>
    <cellStyle name="Note 9 2 4" xfId="1142"/>
    <cellStyle name="Note 9 2 4 10" xfId="2379"/>
    <cellStyle name="Note 9 2 4 10 2" xfId="7658"/>
    <cellStyle name="Note 9 2 4 10 3" xfId="11458"/>
    <cellStyle name="Note 9 2 4 11" xfId="6421"/>
    <cellStyle name="Note 9 2 4 2" xfId="1759"/>
    <cellStyle name="Note 9 2 4 2 2" xfId="2993"/>
    <cellStyle name="Note 9 2 4 2 2 2" xfId="8272"/>
    <cellStyle name="Note 9 2 4 2 2 3" xfId="15070"/>
    <cellStyle name="Note 9 2 4 2 3" xfId="7038"/>
    <cellStyle name="Note 9 2 4 2 4" xfId="15069"/>
    <cellStyle name="Note 9 2 4 3" xfId="5153"/>
    <cellStyle name="Note 9 2 4 3 2" xfId="10432"/>
    <cellStyle name="Note 9 2 4 3 3" xfId="15071"/>
    <cellStyle name="Note 9 2 4 4" xfId="5154"/>
    <cellStyle name="Note 9 2 4 4 2" xfId="10433"/>
    <cellStyle name="Note 9 2 4 4 3" xfId="15072"/>
    <cellStyle name="Note 9 2 4 5" xfId="5155"/>
    <cellStyle name="Note 9 2 4 5 2" xfId="10434"/>
    <cellStyle name="Note 9 2 4 5 3" xfId="15073"/>
    <cellStyle name="Note 9 2 4 6" xfId="5156"/>
    <cellStyle name="Note 9 2 4 6 2" xfId="10435"/>
    <cellStyle name="Note 9 2 4 6 3" xfId="15074"/>
    <cellStyle name="Note 9 2 4 7" xfId="5157"/>
    <cellStyle name="Note 9 2 4 7 2" xfId="10436"/>
    <cellStyle name="Note 9 2 4 7 3" xfId="15075"/>
    <cellStyle name="Note 9 2 4 8" xfId="5158"/>
    <cellStyle name="Note 9 2 4 8 2" xfId="10437"/>
    <cellStyle name="Note 9 2 4 8 3" xfId="15076"/>
    <cellStyle name="Note 9 2 4 9" xfId="5159"/>
    <cellStyle name="Note 9 2 4 9 2" xfId="10438"/>
    <cellStyle name="Note 9 2 4 9 3" xfId="15077"/>
    <cellStyle name="Note 9 2 5" xfId="1143"/>
    <cellStyle name="Note 9 2 5 10" xfId="2380"/>
    <cellStyle name="Note 9 2 5 10 2" xfId="7659"/>
    <cellStyle name="Note 9 2 5 10 3" xfId="11459"/>
    <cellStyle name="Note 9 2 5 11" xfId="6422"/>
    <cellStyle name="Note 9 2 5 2" xfId="1760"/>
    <cellStyle name="Note 9 2 5 2 2" xfId="2994"/>
    <cellStyle name="Note 9 2 5 2 2 2" xfId="8273"/>
    <cellStyle name="Note 9 2 5 2 2 3" xfId="15079"/>
    <cellStyle name="Note 9 2 5 2 3" xfId="7039"/>
    <cellStyle name="Note 9 2 5 2 4" xfId="15078"/>
    <cellStyle name="Note 9 2 5 3" xfId="5160"/>
    <cellStyle name="Note 9 2 5 3 2" xfId="10439"/>
    <cellStyle name="Note 9 2 5 3 3" xfId="15080"/>
    <cellStyle name="Note 9 2 5 4" xfId="5161"/>
    <cellStyle name="Note 9 2 5 4 2" xfId="10440"/>
    <cellStyle name="Note 9 2 5 4 3" xfId="15081"/>
    <cellStyle name="Note 9 2 5 5" xfId="5162"/>
    <cellStyle name="Note 9 2 5 5 2" xfId="10441"/>
    <cellStyle name="Note 9 2 5 5 3" xfId="15082"/>
    <cellStyle name="Note 9 2 5 6" xfId="5163"/>
    <cellStyle name="Note 9 2 5 6 2" xfId="10442"/>
    <cellStyle name="Note 9 2 5 6 3" xfId="15083"/>
    <cellStyle name="Note 9 2 5 7" xfId="5164"/>
    <cellStyle name="Note 9 2 5 7 2" xfId="10443"/>
    <cellStyle name="Note 9 2 5 7 3" xfId="15084"/>
    <cellStyle name="Note 9 2 5 8" xfId="5165"/>
    <cellStyle name="Note 9 2 5 8 2" xfId="10444"/>
    <cellStyle name="Note 9 2 5 8 3" xfId="15085"/>
    <cellStyle name="Note 9 2 5 9" xfId="5166"/>
    <cellStyle name="Note 9 2 5 9 2" xfId="10445"/>
    <cellStyle name="Note 9 2 5 9 3" xfId="15086"/>
    <cellStyle name="Note 9 2 6" xfId="1144"/>
    <cellStyle name="Note 9 2 6 10" xfId="2381"/>
    <cellStyle name="Note 9 2 6 10 2" xfId="7660"/>
    <cellStyle name="Note 9 2 6 10 3" xfId="11460"/>
    <cellStyle name="Note 9 2 6 11" xfId="6423"/>
    <cellStyle name="Note 9 2 6 2" xfId="1761"/>
    <cellStyle name="Note 9 2 6 2 2" xfId="2995"/>
    <cellStyle name="Note 9 2 6 2 2 2" xfId="8274"/>
    <cellStyle name="Note 9 2 6 2 2 3" xfId="15088"/>
    <cellStyle name="Note 9 2 6 2 3" xfId="7040"/>
    <cellStyle name="Note 9 2 6 2 4" xfId="15087"/>
    <cellStyle name="Note 9 2 6 3" xfId="5167"/>
    <cellStyle name="Note 9 2 6 3 2" xfId="10446"/>
    <cellStyle name="Note 9 2 6 3 3" xfId="15089"/>
    <cellStyle name="Note 9 2 6 4" xfId="5168"/>
    <cellStyle name="Note 9 2 6 4 2" xfId="10447"/>
    <cellStyle name="Note 9 2 6 4 3" xfId="15090"/>
    <cellStyle name="Note 9 2 6 5" xfId="5169"/>
    <cellStyle name="Note 9 2 6 5 2" xfId="10448"/>
    <cellStyle name="Note 9 2 6 5 3" xfId="15091"/>
    <cellStyle name="Note 9 2 6 6" xfId="5170"/>
    <cellStyle name="Note 9 2 6 6 2" xfId="10449"/>
    <cellStyle name="Note 9 2 6 6 3" xfId="15092"/>
    <cellStyle name="Note 9 2 6 7" xfId="5171"/>
    <cellStyle name="Note 9 2 6 7 2" xfId="10450"/>
    <cellStyle name="Note 9 2 6 7 3" xfId="15093"/>
    <cellStyle name="Note 9 2 6 8" xfId="5172"/>
    <cellStyle name="Note 9 2 6 8 2" xfId="10451"/>
    <cellStyle name="Note 9 2 6 8 3" xfId="15094"/>
    <cellStyle name="Note 9 2 6 9" xfId="5173"/>
    <cellStyle name="Note 9 2 6 9 2" xfId="10452"/>
    <cellStyle name="Note 9 2 6 9 3" xfId="15095"/>
    <cellStyle name="Note 9 2 7" xfId="1145"/>
    <cellStyle name="Note 9 2 7 10" xfId="2382"/>
    <cellStyle name="Note 9 2 7 10 2" xfId="7661"/>
    <cellStyle name="Note 9 2 7 10 3" xfId="11461"/>
    <cellStyle name="Note 9 2 7 11" xfId="6424"/>
    <cellStyle name="Note 9 2 7 2" xfId="1762"/>
    <cellStyle name="Note 9 2 7 2 2" xfId="2996"/>
    <cellStyle name="Note 9 2 7 2 2 2" xfId="8275"/>
    <cellStyle name="Note 9 2 7 2 2 3" xfId="15097"/>
    <cellStyle name="Note 9 2 7 2 3" xfId="7041"/>
    <cellStyle name="Note 9 2 7 2 4" xfId="15096"/>
    <cellStyle name="Note 9 2 7 3" xfId="5174"/>
    <cellStyle name="Note 9 2 7 3 2" xfId="10453"/>
    <cellStyle name="Note 9 2 7 3 3" xfId="15098"/>
    <cellStyle name="Note 9 2 7 4" xfId="5175"/>
    <cellStyle name="Note 9 2 7 4 2" xfId="10454"/>
    <cellStyle name="Note 9 2 7 4 3" xfId="15099"/>
    <cellStyle name="Note 9 2 7 5" xfId="5176"/>
    <cellStyle name="Note 9 2 7 5 2" xfId="10455"/>
    <cellStyle name="Note 9 2 7 5 3" xfId="15100"/>
    <cellStyle name="Note 9 2 7 6" xfId="5177"/>
    <cellStyle name="Note 9 2 7 6 2" xfId="10456"/>
    <cellStyle name="Note 9 2 7 6 3" xfId="15101"/>
    <cellStyle name="Note 9 2 7 7" xfId="5178"/>
    <cellStyle name="Note 9 2 7 7 2" xfId="10457"/>
    <cellStyle name="Note 9 2 7 7 3" xfId="15102"/>
    <cellStyle name="Note 9 2 7 8" xfId="5179"/>
    <cellStyle name="Note 9 2 7 8 2" xfId="10458"/>
    <cellStyle name="Note 9 2 7 8 3" xfId="15103"/>
    <cellStyle name="Note 9 2 7 9" xfId="5180"/>
    <cellStyle name="Note 9 2 7 9 2" xfId="10459"/>
    <cellStyle name="Note 9 2 7 9 3" xfId="15104"/>
    <cellStyle name="Note 9 2 8" xfId="1314"/>
    <cellStyle name="Note 9 2 8 2" xfId="2548"/>
    <cellStyle name="Note 9 2 8 2 2" xfId="7827"/>
    <cellStyle name="Note 9 2 8 2 3" xfId="15106"/>
    <cellStyle name="Note 9 2 8 3" xfId="6593"/>
    <cellStyle name="Note 9 2 8 4" xfId="15105"/>
    <cellStyle name="Note 9 2 9" xfId="5181"/>
    <cellStyle name="Note 9 2 9 2" xfId="10460"/>
    <cellStyle name="Note 9 2 9 3" xfId="15107"/>
    <cellStyle name="Note 9 3" xfId="627"/>
    <cellStyle name="Note 9 3 10" xfId="5182"/>
    <cellStyle name="Note 9 3 10 2" xfId="10461"/>
    <cellStyle name="Note 9 3 10 3" xfId="15108"/>
    <cellStyle name="Note 9 3 11" xfId="5183"/>
    <cellStyle name="Note 9 3 11 2" xfId="10462"/>
    <cellStyle name="Note 9 3 11 3" xfId="15109"/>
    <cellStyle name="Note 9 3 12" xfId="5184"/>
    <cellStyle name="Note 9 3 12 2" xfId="10463"/>
    <cellStyle name="Note 9 3 12 3" xfId="15110"/>
    <cellStyle name="Note 9 3 13" xfId="2003"/>
    <cellStyle name="Note 9 3 13 2" xfId="7282"/>
    <cellStyle name="Note 9 3 13 3" xfId="11462"/>
    <cellStyle name="Note 9 3 14" xfId="5978"/>
    <cellStyle name="Note 9 3 2" xfId="628"/>
    <cellStyle name="Note 9 3 2 10" xfId="5185"/>
    <cellStyle name="Note 9 3 2 10 2" xfId="10464"/>
    <cellStyle name="Note 9 3 2 10 3" xfId="15111"/>
    <cellStyle name="Note 9 3 2 11" xfId="5186"/>
    <cellStyle name="Note 9 3 2 11 2" xfId="10465"/>
    <cellStyle name="Note 9 3 2 11 3" xfId="15112"/>
    <cellStyle name="Note 9 3 2 12" xfId="2004"/>
    <cellStyle name="Note 9 3 2 12 2" xfId="7283"/>
    <cellStyle name="Note 9 3 2 12 3" xfId="11463"/>
    <cellStyle name="Note 9 3 2 13" xfId="5979"/>
    <cellStyle name="Note 9 3 2 2" xfId="748"/>
    <cellStyle name="Note 9 3 2 2 2" xfId="1375"/>
    <cellStyle name="Note 9 3 2 2 2 2" xfId="2609"/>
    <cellStyle name="Note 9 3 2 2 2 2 2" xfId="7888"/>
    <cellStyle name="Note 9 3 2 2 2 2 3" xfId="15115"/>
    <cellStyle name="Note 9 3 2 2 2 3" xfId="6654"/>
    <cellStyle name="Note 9 3 2 2 2 4" xfId="15114"/>
    <cellStyle name="Note 9 3 2 2 3" xfId="1852"/>
    <cellStyle name="Note 9 3 2 2 3 2" xfId="3086"/>
    <cellStyle name="Note 9 3 2 2 3 2 2" xfId="8365"/>
    <cellStyle name="Note 9 3 2 2 3 2 3" xfId="15117"/>
    <cellStyle name="Note 9 3 2 2 3 3" xfId="7131"/>
    <cellStyle name="Note 9 3 2 2 3 4" xfId="15116"/>
    <cellStyle name="Note 9 3 2 2 4" xfId="5187"/>
    <cellStyle name="Note 9 3 2 2 4 2" xfId="10466"/>
    <cellStyle name="Note 9 3 2 2 4 3" xfId="15118"/>
    <cellStyle name="Note 9 3 2 2 5" xfId="5188"/>
    <cellStyle name="Note 9 3 2 2 5 2" xfId="10467"/>
    <cellStyle name="Note 9 3 2 2 5 3" xfId="15119"/>
    <cellStyle name="Note 9 3 2 2 6" xfId="5189"/>
    <cellStyle name="Note 9 3 2 2 6 2" xfId="10468"/>
    <cellStyle name="Note 9 3 2 2 6 3" xfId="15120"/>
    <cellStyle name="Note 9 3 2 2 7" xfId="5190"/>
    <cellStyle name="Note 9 3 2 2 7 2" xfId="10469"/>
    <cellStyle name="Note 9 3 2 2 7 3" xfId="15121"/>
    <cellStyle name="Note 9 3 2 2 8" xfId="6037"/>
    <cellStyle name="Note 9 3 2 2 9" xfId="15113"/>
    <cellStyle name="Note 9 3 2 3" xfId="1146"/>
    <cellStyle name="Note 9 3 2 3 10" xfId="2383"/>
    <cellStyle name="Note 9 3 2 3 10 2" xfId="7662"/>
    <cellStyle name="Note 9 3 2 3 10 3" xfId="11464"/>
    <cellStyle name="Note 9 3 2 3 11" xfId="6425"/>
    <cellStyle name="Note 9 3 2 3 2" xfId="1763"/>
    <cellStyle name="Note 9 3 2 3 2 2" xfId="2997"/>
    <cellStyle name="Note 9 3 2 3 2 2 2" xfId="8276"/>
    <cellStyle name="Note 9 3 2 3 2 2 3" xfId="15123"/>
    <cellStyle name="Note 9 3 2 3 2 3" xfId="7042"/>
    <cellStyle name="Note 9 3 2 3 2 4" xfId="15122"/>
    <cellStyle name="Note 9 3 2 3 3" xfId="5191"/>
    <cellStyle name="Note 9 3 2 3 3 2" xfId="10470"/>
    <cellStyle name="Note 9 3 2 3 3 3" xfId="15124"/>
    <cellStyle name="Note 9 3 2 3 4" xfId="5192"/>
    <cellStyle name="Note 9 3 2 3 4 2" xfId="10471"/>
    <cellStyle name="Note 9 3 2 3 4 3" xfId="15125"/>
    <cellStyle name="Note 9 3 2 3 5" xfId="5193"/>
    <cellStyle name="Note 9 3 2 3 5 2" xfId="10472"/>
    <cellStyle name="Note 9 3 2 3 5 3" xfId="15126"/>
    <cellStyle name="Note 9 3 2 3 6" xfId="5194"/>
    <cellStyle name="Note 9 3 2 3 6 2" xfId="10473"/>
    <cellStyle name="Note 9 3 2 3 6 3" xfId="15127"/>
    <cellStyle name="Note 9 3 2 3 7" xfId="5195"/>
    <cellStyle name="Note 9 3 2 3 7 2" xfId="10474"/>
    <cellStyle name="Note 9 3 2 3 7 3" xfId="15128"/>
    <cellStyle name="Note 9 3 2 3 8" xfId="5196"/>
    <cellStyle name="Note 9 3 2 3 8 2" xfId="10475"/>
    <cellStyle name="Note 9 3 2 3 8 3" xfId="15129"/>
    <cellStyle name="Note 9 3 2 3 9" xfId="5197"/>
    <cellStyle name="Note 9 3 2 3 9 2" xfId="10476"/>
    <cellStyle name="Note 9 3 2 3 9 3" xfId="15130"/>
    <cellStyle name="Note 9 3 2 4" xfId="1147"/>
    <cellStyle name="Note 9 3 2 4 10" xfId="2384"/>
    <cellStyle name="Note 9 3 2 4 10 2" xfId="7663"/>
    <cellStyle name="Note 9 3 2 4 10 3" xfId="11465"/>
    <cellStyle name="Note 9 3 2 4 11" xfId="6426"/>
    <cellStyle name="Note 9 3 2 4 2" xfId="1764"/>
    <cellStyle name="Note 9 3 2 4 2 2" xfId="2998"/>
    <cellStyle name="Note 9 3 2 4 2 2 2" xfId="8277"/>
    <cellStyle name="Note 9 3 2 4 2 2 3" xfId="15132"/>
    <cellStyle name="Note 9 3 2 4 2 3" xfId="7043"/>
    <cellStyle name="Note 9 3 2 4 2 4" xfId="15131"/>
    <cellStyle name="Note 9 3 2 4 3" xfId="5198"/>
    <cellStyle name="Note 9 3 2 4 3 2" xfId="10477"/>
    <cellStyle name="Note 9 3 2 4 3 3" xfId="15133"/>
    <cellStyle name="Note 9 3 2 4 4" xfId="5199"/>
    <cellStyle name="Note 9 3 2 4 4 2" xfId="10478"/>
    <cellStyle name="Note 9 3 2 4 4 3" xfId="15134"/>
    <cellStyle name="Note 9 3 2 4 5" xfId="5200"/>
    <cellStyle name="Note 9 3 2 4 5 2" xfId="10479"/>
    <cellStyle name="Note 9 3 2 4 5 3" xfId="15135"/>
    <cellStyle name="Note 9 3 2 4 6" xfId="5201"/>
    <cellStyle name="Note 9 3 2 4 6 2" xfId="10480"/>
    <cellStyle name="Note 9 3 2 4 6 3" xfId="15136"/>
    <cellStyle name="Note 9 3 2 4 7" xfId="5202"/>
    <cellStyle name="Note 9 3 2 4 7 2" xfId="10481"/>
    <cellStyle name="Note 9 3 2 4 7 3" xfId="15137"/>
    <cellStyle name="Note 9 3 2 4 8" xfId="5203"/>
    <cellStyle name="Note 9 3 2 4 8 2" xfId="10482"/>
    <cellStyle name="Note 9 3 2 4 8 3" xfId="15138"/>
    <cellStyle name="Note 9 3 2 4 9" xfId="5204"/>
    <cellStyle name="Note 9 3 2 4 9 2" xfId="10483"/>
    <cellStyle name="Note 9 3 2 4 9 3" xfId="15139"/>
    <cellStyle name="Note 9 3 2 5" xfId="1148"/>
    <cellStyle name="Note 9 3 2 5 10" xfId="2385"/>
    <cellStyle name="Note 9 3 2 5 10 2" xfId="7664"/>
    <cellStyle name="Note 9 3 2 5 10 3" xfId="11466"/>
    <cellStyle name="Note 9 3 2 5 11" xfId="6427"/>
    <cellStyle name="Note 9 3 2 5 2" xfId="1765"/>
    <cellStyle name="Note 9 3 2 5 2 2" xfId="2999"/>
    <cellStyle name="Note 9 3 2 5 2 2 2" xfId="8278"/>
    <cellStyle name="Note 9 3 2 5 2 2 3" xfId="15141"/>
    <cellStyle name="Note 9 3 2 5 2 3" xfId="7044"/>
    <cellStyle name="Note 9 3 2 5 2 4" xfId="15140"/>
    <cellStyle name="Note 9 3 2 5 3" xfId="5205"/>
    <cellStyle name="Note 9 3 2 5 3 2" xfId="10484"/>
    <cellStyle name="Note 9 3 2 5 3 3" xfId="15142"/>
    <cellStyle name="Note 9 3 2 5 4" xfId="5206"/>
    <cellStyle name="Note 9 3 2 5 4 2" xfId="10485"/>
    <cellStyle name="Note 9 3 2 5 4 3" xfId="15143"/>
    <cellStyle name="Note 9 3 2 5 5" xfId="5207"/>
    <cellStyle name="Note 9 3 2 5 5 2" xfId="10486"/>
    <cellStyle name="Note 9 3 2 5 5 3" xfId="15144"/>
    <cellStyle name="Note 9 3 2 5 6" xfId="5208"/>
    <cellStyle name="Note 9 3 2 5 6 2" xfId="10487"/>
    <cellStyle name="Note 9 3 2 5 6 3" xfId="15145"/>
    <cellStyle name="Note 9 3 2 5 7" xfId="5209"/>
    <cellStyle name="Note 9 3 2 5 7 2" xfId="10488"/>
    <cellStyle name="Note 9 3 2 5 7 3" xfId="15146"/>
    <cellStyle name="Note 9 3 2 5 8" xfId="5210"/>
    <cellStyle name="Note 9 3 2 5 8 2" xfId="10489"/>
    <cellStyle name="Note 9 3 2 5 8 3" xfId="15147"/>
    <cellStyle name="Note 9 3 2 5 9" xfId="5211"/>
    <cellStyle name="Note 9 3 2 5 9 2" xfId="10490"/>
    <cellStyle name="Note 9 3 2 5 9 3" xfId="15148"/>
    <cellStyle name="Note 9 3 2 6" xfId="1149"/>
    <cellStyle name="Note 9 3 2 6 10" xfId="2386"/>
    <cellStyle name="Note 9 3 2 6 10 2" xfId="7665"/>
    <cellStyle name="Note 9 3 2 6 10 3" xfId="11467"/>
    <cellStyle name="Note 9 3 2 6 11" xfId="6428"/>
    <cellStyle name="Note 9 3 2 6 2" xfId="1766"/>
    <cellStyle name="Note 9 3 2 6 2 2" xfId="3000"/>
    <cellStyle name="Note 9 3 2 6 2 2 2" xfId="8279"/>
    <cellStyle name="Note 9 3 2 6 2 2 3" xfId="15150"/>
    <cellStyle name="Note 9 3 2 6 2 3" xfId="7045"/>
    <cellStyle name="Note 9 3 2 6 2 4" xfId="15149"/>
    <cellStyle name="Note 9 3 2 6 3" xfId="5212"/>
    <cellStyle name="Note 9 3 2 6 3 2" xfId="10491"/>
    <cellStyle name="Note 9 3 2 6 3 3" xfId="15151"/>
    <cellStyle name="Note 9 3 2 6 4" xfId="5213"/>
    <cellStyle name="Note 9 3 2 6 4 2" xfId="10492"/>
    <cellStyle name="Note 9 3 2 6 4 3" xfId="15152"/>
    <cellStyle name="Note 9 3 2 6 5" xfId="5214"/>
    <cellStyle name="Note 9 3 2 6 5 2" xfId="10493"/>
    <cellStyle name="Note 9 3 2 6 5 3" xfId="15153"/>
    <cellStyle name="Note 9 3 2 6 6" xfId="5215"/>
    <cellStyle name="Note 9 3 2 6 6 2" xfId="10494"/>
    <cellStyle name="Note 9 3 2 6 6 3" xfId="15154"/>
    <cellStyle name="Note 9 3 2 6 7" xfId="5216"/>
    <cellStyle name="Note 9 3 2 6 7 2" xfId="10495"/>
    <cellStyle name="Note 9 3 2 6 7 3" xfId="15155"/>
    <cellStyle name="Note 9 3 2 6 8" xfId="5217"/>
    <cellStyle name="Note 9 3 2 6 8 2" xfId="10496"/>
    <cellStyle name="Note 9 3 2 6 8 3" xfId="15156"/>
    <cellStyle name="Note 9 3 2 6 9" xfId="5218"/>
    <cellStyle name="Note 9 3 2 6 9 2" xfId="10497"/>
    <cellStyle name="Note 9 3 2 6 9 3" xfId="15157"/>
    <cellStyle name="Note 9 3 2 7" xfId="1317"/>
    <cellStyle name="Note 9 3 2 7 2" xfId="2551"/>
    <cellStyle name="Note 9 3 2 7 2 2" xfId="7830"/>
    <cellStyle name="Note 9 3 2 7 2 3" xfId="15159"/>
    <cellStyle name="Note 9 3 2 7 3" xfId="6596"/>
    <cellStyle name="Note 9 3 2 7 4" xfId="15158"/>
    <cellStyle name="Note 9 3 2 8" xfId="5219"/>
    <cellStyle name="Note 9 3 2 8 2" xfId="10498"/>
    <cellStyle name="Note 9 3 2 8 3" xfId="15160"/>
    <cellStyle name="Note 9 3 2 9" xfId="5220"/>
    <cellStyle name="Note 9 3 2 9 2" xfId="10499"/>
    <cellStyle name="Note 9 3 2 9 3" xfId="15161"/>
    <cellStyle name="Note 9 3 3" xfId="749"/>
    <cellStyle name="Note 9 3 3 2" xfId="1376"/>
    <cellStyle name="Note 9 3 3 2 2" xfId="2610"/>
    <cellStyle name="Note 9 3 3 2 2 2" xfId="7889"/>
    <cellStyle name="Note 9 3 3 2 2 3" xfId="15164"/>
    <cellStyle name="Note 9 3 3 2 3" xfId="6655"/>
    <cellStyle name="Note 9 3 3 2 4" xfId="15163"/>
    <cellStyle name="Note 9 3 3 3" xfId="1853"/>
    <cellStyle name="Note 9 3 3 3 2" xfId="3087"/>
    <cellStyle name="Note 9 3 3 3 2 2" xfId="8366"/>
    <cellStyle name="Note 9 3 3 3 2 3" xfId="15166"/>
    <cellStyle name="Note 9 3 3 3 3" xfId="7132"/>
    <cellStyle name="Note 9 3 3 3 4" xfId="15165"/>
    <cellStyle name="Note 9 3 3 4" xfId="5221"/>
    <cellStyle name="Note 9 3 3 4 2" xfId="10500"/>
    <cellStyle name="Note 9 3 3 4 3" xfId="15167"/>
    <cellStyle name="Note 9 3 3 5" xfId="5222"/>
    <cellStyle name="Note 9 3 3 5 2" xfId="10501"/>
    <cellStyle name="Note 9 3 3 5 3" xfId="15168"/>
    <cellStyle name="Note 9 3 3 6" xfId="5223"/>
    <cellStyle name="Note 9 3 3 6 2" xfId="10502"/>
    <cellStyle name="Note 9 3 3 6 3" xfId="15169"/>
    <cellStyle name="Note 9 3 3 7" xfId="5224"/>
    <cellStyle name="Note 9 3 3 7 2" xfId="10503"/>
    <cellStyle name="Note 9 3 3 7 3" xfId="15170"/>
    <cellStyle name="Note 9 3 3 8" xfId="6038"/>
    <cellStyle name="Note 9 3 3 9" xfId="15162"/>
    <cellStyle name="Note 9 3 4" xfId="1150"/>
    <cellStyle name="Note 9 3 4 10" xfId="2387"/>
    <cellStyle name="Note 9 3 4 10 2" xfId="7666"/>
    <cellStyle name="Note 9 3 4 10 3" xfId="11468"/>
    <cellStyle name="Note 9 3 4 11" xfId="6429"/>
    <cellStyle name="Note 9 3 4 2" xfId="1767"/>
    <cellStyle name="Note 9 3 4 2 2" xfId="3001"/>
    <cellStyle name="Note 9 3 4 2 2 2" xfId="8280"/>
    <cellStyle name="Note 9 3 4 2 2 3" xfId="15172"/>
    <cellStyle name="Note 9 3 4 2 3" xfId="7046"/>
    <cellStyle name="Note 9 3 4 2 4" xfId="15171"/>
    <cellStyle name="Note 9 3 4 3" xfId="5225"/>
    <cellStyle name="Note 9 3 4 3 2" xfId="10504"/>
    <cellStyle name="Note 9 3 4 3 3" xfId="15173"/>
    <cellStyle name="Note 9 3 4 4" xfId="5226"/>
    <cellStyle name="Note 9 3 4 4 2" xfId="10505"/>
    <cellStyle name="Note 9 3 4 4 3" xfId="15174"/>
    <cellStyle name="Note 9 3 4 5" xfId="5227"/>
    <cellStyle name="Note 9 3 4 5 2" xfId="10506"/>
    <cellStyle name="Note 9 3 4 5 3" xfId="15175"/>
    <cellStyle name="Note 9 3 4 6" xfId="5228"/>
    <cellStyle name="Note 9 3 4 6 2" xfId="10507"/>
    <cellStyle name="Note 9 3 4 6 3" xfId="15176"/>
    <cellStyle name="Note 9 3 4 7" xfId="5229"/>
    <cellStyle name="Note 9 3 4 7 2" xfId="10508"/>
    <cellStyle name="Note 9 3 4 7 3" xfId="15177"/>
    <cellStyle name="Note 9 3 4 8" xfId="5230"/>
    <cellStyle name="Note 9 3 4 8 2" xfId="10509"/>
    <cellStyle name="Note 9 3 4 8 3" xfId="15178"/>
    <cellStyle name="Note 9 3 4 9" xfId="5231"/>
    <cellStyle name="Note 9 3 4 9 2" xfId="10510"/>
    <cellStyle name="Note 9 3 4 9 3" xfId="15179"/>
    <cellStyle name="Note 9 3 5" xfId="1151"/>
    <cellStyle name="Note 9 3 5 10" xfId="2388"/>
    <cellStyle name="Note 9 3 5 10 2" xfId="7667"/>
    <cellStyle name="Note 9 3 5 10 3" xfId="11469"/>
    <cellStyle name="Note 9 3 5 11" xfId="6430"/>
    <cellStyle name="Note 9 3 5 2" xfId="1768"/>
    <cellStyle name="Note 9 3 5 2 2" xfId="3002"/>
    <cellStyle name="Note 9 3 5 2 2 2" xfId="8281"/>
    <cellStyle name="Note 9 3 5 2 2 3" xfId="15181"/>
    <cellStyle name="Note 9 3 5 2 3" xfId="7047"/>
    <cellStyle name="Note 9 3 5 2 4" xfId="15180"/>
    <cellStyle name="Note 9 3 5 3" xfId="5232"/>
    <cellStyle name="Note 9 3 5 3 2" xfId="10511"/>
    <cellStyle name="Note 9 3 5 3 3" xfId="15182"/>
    <cellStyle name="Note 9 3 5 4" xfId="5233"/>
    <cellStyle name="Note 9 3 5 4 2" xfId="10512"/>
    <cellStyle name="Note 9 3 5 4 3" xfId="15183"/>
    <cellStyle name="Note 9 3 5 5" xfId="5234"/>
    <cellStyle name="Note 9 3 5 5 2" xfId="10513"/>
    <cellStyle name="Note 9 3 5 5 3" xfId="15184"/>
    <cellStyle name="Note 9 3 5 6" xfId="5235"/>
    <cellStyle name="Note 9 3 5 6 2" xfId="10514"/>
    <cellStyle name="Note 9 3 5 6 3" xfId="15185"/>
    <cellStyle name="Note 9 3 5 7" xfId="5236"/>
    <cellStyle name="Note 9 3 5 7 2" xfId="10515"/>
    <cellStyle name="Note 9 3 5 7 3" xfId="15186"/>
    <cellStyle name="Note 9 3 5 8" xfId="5237"/>
    <cellStyle name="Note 9 3 5 8 2" xfId="10516"/>
    <cellStyle name="Note 9 3 5 8 3" xfId="15187"/>
    <cellStyle name="Note 9 3 5 9" xfId="5238"/>
    <cellStyle name="Note 9 3 5 9 2" xfId="10517"/>
    <cellStyle name="Note 9 3 5 9 3" xfId="15188"/>
    <cellStyle name="Note 9 3 6" xfId="1152"/>
    <cellStyle name="Note 9 3 6 10" xfId="2389"/>
    <cellStyle name="Note 9 3 6 10 2" xfId="7668"/>
    <cellStyle name="Note 9 3 6 10 3" xfId="11470"/>
    <cellStyle name="Note 9 3 6 11" xfId="6431"/>
    <cellStyle name="Note 9 3 6 2" xfId="1769"/>
    <cellStyle name="Note 9 3 6 2 2" xfId="3003"/>
    <cellStyle name="Note 9 3 6 2 2 2" xfId="8282"/>
    <cellStyle name="Note 9 3 6 2 2 3" xfId="15190"/>
    <cellStyle name="Note 9 3 6 2 3" xfId="7048"/>
    <cellStyle name="Note 9 3 6 2 4" xfId="15189"/>
    <cellStyle name="Note 9 3 6 3" xfId="5239"/>
    <cellStyle name="Note 9 3 6 3 2" xfId="10518"/>
    <cellStyle name="Note 9 3 6 3 3" xfId="15191"/>
    <cellStyle name="Note 9 3 6 4" xfId="5240"/>
    <cellStyle name="Note 9 3 6 4 2" xfId="10519"/>
    <cellStyle name="Note 9 3 6 4 3" xfId="15192"/>
    <cellStyle name="Note 9 3 6 5" xfId="5241"/>
    <cellStyle name="Note 9 3 6 5 2" xfId="10520"/>
    <cellStyle name="Note 9 3 6 5 3" xfId="15193"/>
    <cellStyle name="Note 9 3 6 6" xfId="5242"/>
    <cellStyle name="Note 9 3 6 6 2" xfId="10521"/>
    <cellStyle name="Note 9 3 6 6 3" xfId="15194"/>
    <cellStyle name="Note 9 3 6 7" xfId="5243"/>
    <cellStyle name="Note 9 3 6 7 2" xfId="10522"/>
    <cellStyle name="Note 9 3 6 7 3" xfId="15195"/>
    <cellStyle name="Note 9 3 6 8" xfId="5244"/>
    <cellStyle name="Note 9 3 6 8 2" xfId="10523"/>
    <cellStyle name="Note 9 3 6 8 3" xfId="15196"/>
    <cellStyle name="Note 9 3 6 9" xfId="5245"/>
    <cellStyle name="Note 9 3 6 9 2" xfId="10524"/>
    <cellStyle name="Note 9 3 6 9 3" xfId="15197"/>
    <cellStyle name="Note 9 3 7" xfId="1153"/>
    <cellStyle name="Note 9 3 7 10" xfId="2390"/>
    <cellStyle name="Note 9 3 7 10 2" xfId="7669"/>
    <cellStyle name="Note 9 3 7 10 3" xfId="11471"/>
    <cellStyle name="Note 9 3 7 11" xfId="6432"/>
    <cellStyle name="Note 9 3 7 2" xfId="1770"/>
    <cellStyle name="Note 9 3 7 2 2" xfId="3004"/>
    <cellStyle name="Note 9 3 7 2 2 2" xfId="8283"/>
    <cellStyle name="Note 9 3 7 2 2 3" xfId="15199"/>
    <cellStyle name="Note 9 3 7 2 3" xfId="7049"/>
    <cellStyle name="Note 9 3 7 2 4" xfId="15198"/>
    <cellStyle name="Note 9 3 7 3" xfId="5246"/>
    <cellStyle name="Note 9 3 7 3 2" xfId="10525"/>
    <cellStyle name="Note 9 3 7 3 3" xfId="15200"/>
    <cellStyle name="Note 9 3 7 4" xfId="5247"/>
    <cellStyle name="Note 9 3 7 4 2" xfId="10526"/>
    <cellStyle name="Note 9 3 7 4 3" xfId="15201"/>
    <cellStyle name="Note 9 3 7 5" xfId="5248"/>
    <cellStyle name="Note 9 3 7 5 2" xfId="10527"/>
    <cellStyle name="Note 9 3 7 5 3" xfId="15202"/>
    <cellStyle name="Note 9 3 7 6" xfId="5249"/>
    <cellStyle name="Note 9 3 7 6 2" xfId="10528"/>
    <cellStyle name="Note 9 3 7 6 3" xfId="15203"/>
    <cellStyle name="Note 9 3 7 7" xfId="5250"/>
    <cellStyle name="Note 9 3 7 7 2" xfId="10529"/>
    <cellStyle name="Note 9 3 7 7 3" xfId="15204"/>
    <cellStyle name="Note 9 3 7 8" xfId="5251"/>
    <cellStyle name="Note 9 3 7 8 2" xfId="10530"/>
    <cellStyle name="Note 9 3 7 8 3" xfId="15205"/>
    <cellStyle name="Note 9 3 7 9" xfId="5252"/>
    <cellStyle name="Note 9 3 7 9 2" xfId="10531"/>
    <cellStyle name="Note 9 3 7 9 3" xfId="15206"/>
    <cellStyle name="Note 9 3 8" xfId="1316"/>
    <cellStyle name="Note 9 3 8 2" xfId="2550"/>
    <cellStyle name="Note 9 3 8 2 2" xfId="7829"/>
    <cellStyle name="Note 9 3 8 2 3" xfId="15208"/>
    <cellStyle name="Note 9 3 8 3" xfId="6595"/>
    <cellStyle name="Note 9 3 8 4" xfId="15207"/>
    <cellStyle name="Note 9 3 9" xfId="5253"/>
    <cellStyle name="Note 9 3 9 2" xfId="10532"/>
    <cellStyle name="Note 9 3 9 3" xfId="15209"/>
    <cellStyle name="Note 9 4" xfId="629"/>
    <cellStyle name="Note 9 4 10" xfId="5254"/>
    <cellStyle name="Note 9 4 10 2" xfId="10533"/>
    <cellStyle name="Note 9 4 10 3" xfId="15210"/>
    <cellStyle name="Note 9 4 11" xfId="5255"/>
    <cellStyle name="Note 9 4 11 2" xfId="10534"/>
    <cellStyle name="Note 9 4 11 3" xfId="15211"/>
    <cellStyle name="Note 9 4 12" xfId="2005"/>
    <cellStyle name="Note 9 4 12 2" xfId="7284"/>
    <cellStyle name="Note 9 4 12 3" xfId="11472"/>
    <cellStyle name="Note 9 4 13" xfId="5980"/>
    <cellStyle name="Note 9 4 2" xfId="747"/>
    <cellStyle name="Note 9 4 2 2" xfId="1374"/>
    <cellStyle name="Note 9 4 2 2 2" xfId="2608"/>
    <cellStyle name="Note 9 4 2 2 2 2" xfId="7887"/>
    <cellStyle name="Note 9 4 2 2 2 3" xfId="15214"/>
    <cellStyle name="Note 9 4 2 2 3" xfId="6653"/>
    <cellStyle name="Note 9 4 2 2 4" xfId="15213"/>
    <cellStyle name="Note 9 4 2 3" xfId="1851"/>
    <cellStyle name="Note 9 4 2 3 2" xfId="3085"/>
    <cellStyle name="Note 9 4 2 3 2 2" xfId="8364"/>
    <cellStyle name="Note 9 4 2 3 2 3" xfId="15216"/>
    <cellStyle name="Note 9 4 2 3 3" xfId="7130"/>
    <cellStyle name="Note 9 4 2 3 4" xfId="15215"/>
    <cellStyle name="Note 9 4 2 4" xfId="5256"/>
    <cellStyle name="Note 9 4 2 4 2" xfId="10535"/>
    <cellStyle name="Note 9 4 2 4 3" xfId="15217"/>
    <cellStyle name="Note 9 4 2 5" xfId="5257"/>
    <cellStyle name="Note 9 4 2 5 2" xfId="10536"/>
    <cellStyle name="Note 9 4 2 5 3" xfId="15218"/>
    <cellStyle name="Note 9 4 2 6" xfId="5258"/>
    <cellStyle name="Note 9 4 2 6 2" xfId="10537"/>
    <cellStyle name="Note 9 4 2 6 3" xfId="15219"/>
    <cellStyle name="Note 9 4 2 7" xfId="5259"/>
    <cellStyle name="Note 9 4 2 7 2" xfId="10538"/>
    <cellStyle name="Note 9 4 2 7 3" xfId="15220"/>
    <cellStyle name="Note 9 4 2 8" xfId="6036"/>
    <cellStyle name="Note 9 4 2 9" xfId="15212"/>
    <cellStyle name="Note 9 4 3" xfId="1154"/>
    <cellStyle name="Note 9 4 3 10" xfId="2391"/>
    <cellStyle name="Note 9 4 3 10 2" xfId="7670"/>
    <cellStyle name="Note 9 4 3 10 3" xfId="11473"/>
    <cellStyle name="Note 9 4 3 11" xfId="6433"/>
    <cellStyle name="Note 9 4 3 2" xfId="1771"/>
    <cellStyle name="Note 9 4 3 2 2" xfId="3005"/>
    <cellStyle name="Note 9 4 3 2 2 2" xfId="8284"/>
    <cellStyle name="Note 9 4 3 2 2 3" xfId="15222"/>
    <cellStyle name="Note 9 4 3 2 3" xfId="7050"/>
    <cellStyle name="Note 9 4 3 2 4" xfId="15221"/>
    <cellStyle name="Note 9 4 3 3" xfId="5260"/>
    <cellStyle name="Note 9 4 3 3 2" xfId="10539"/>
    <cellStyle name="Note 9 4 3 3 3" xfId="15223"/>
    <cellStyle name="Note 9 4 3 4" xfId="5261"/>
    <cellStyle name="Note 9 4 3 4 2" xfId="10540"/>
    <cellStyle name="Note 9 4 3 4 3" xfId="15224"/>
    <cellStyle name="Note 9 4 3 5" xfId="5262"/>
    <cellStyle name="Note 9 4 3 5 2" xfId="10541"/>
    <cellStyle name="Note 9 4 3 5 3" xfId="15225"/>
    <cellStyle name="Note 9 4 3 6" xfId="5263"/>
    <cellStyle name="Note 9 4 3 6 2" xfId="10542"/>
    <cellStyle name="Note 9 4 3 6 3" xfId="15226"/>
    <cellStyle name="Note 9 4 3 7" xfId="5264"/>
    <cellStyle name="Note 9 4 3 7 2" xfId="10543"/>
    <cellStyle name="Note 9 4 3 7 3" xfId="15227"/>
    <cellStyle name="Note 9 4 3 8" xfId="5265"/>
    <cellStyle name="Note 9 4 3 8 2" xfId="10544"/>
    <cellStyle name="Note 9 4 3 8 3" xfId="15228"/>
    <cellStyle name="Note 9 4 3 9" xfId="5266"/>
    <cellStyle name="Note 9 4 3 9 2" xfId="10545"/>
    <cellStyle name="Note 9 4 3 9 3" xfId="15229"/>
    <cellStyle name="Note 9 4 4" xfId="1155"/>
    <cellStyle name="Note 9 4 4 10" xfId="2392"/>
    <cellStyle name="Note 9 4 4 10 2" xfId="7671"/>
    <cellStyle name="Note 9 4 4 10 3" xfId="11474"/>
    <cellStyle name="Note 9 4 4 11" xfId="6434"/>
    <cellStyle name="Note 9 4 4 2" xfId="1772"/>
    <cellStyle name="Note 9 4 4 2 2" xfId="3006"/>
    <cellStyle name="Note 9 4 4 2 2 2" xfId="8285"/>
    <cellStyle name="Note 9 4 4 2 2 3" xfId="15231"/>
    <cellStyle name="Note 9 4 4 2 3" xfId="7051"/>
    <cellStyle name="Note 9 4 4 2 4" xfId="15230"/>
    <cellStyle name="Note 9 4 4 3" xfId="5267"/>
    <cellStyle name="Note 9 4 4 3 2" xfId="10546"/>
    <cellStyle name="Note 9 4 4 3 3" xfId="15232"/>
    <cellStyle name="Note 9 4 4 4" xfId="5268"/>
    <cellStyle name="Note 9 4 4 4 2" xfId="10547"/>
    <cellStyle name="Note 9 4 4 4 3" xfId="15233"/>
    <cellStyle name="Note 9 4 4 5" xfId="5269"/>
    <cellStyle name="Note 9 4 4 5 2" xfId="10548"/>
    <cellStyle name="Note 9 4 4 5 3" xfId="15234"/>
    <cellStyle name="Note 9 4 4 6" xfId="5270"/>
    <cellStyle name="Note 9 4 4 6 2" xfId="10549"/>
    <cellStyle name="Note 9 4 4 6 3" xfId="15235"/>
    <cellStyle name="Note 9 4 4 7" xfId="5271"/>
    <cellStyle name="Note 9 4 4 7 2" xfId="10550"/>
    <cellStyle name="Note 9 4 4 7 3" xfId="15236"/>
    <cellStyle name="Note 9 4 4 8" xfId="5272"/>
    <cellStyle name="Note 9 4 4 8 2" xfId="10551"/>
    <cellStyle name="Note 9 4 4 8 3" xfId="15237"/>
    <cellStyle name="Note 9 4 4 9" xfId="5273"/>
    <cellStyle name="Note 9 4 4 9 2" xfId="10552"/>
    <cellStyle name="Note 9 4 4 9 3" xfId="15238"/>
    <cellStyle name="Note 9 4 5" xfId="1156"/>
    <cellStyle name="Note 9 4 5 10" xfId="2393"/>
    <cellStyle name="Note 9 4 5 10 2" xfId="7672"/>
    <cellStyle name="Note 9 4 5 10 3" xfId="11475"/>
    <cellStyle name="Note 9 4 5 11" xfId="6435"/>
    <cellStyle name="Note 9 4 5 2" xfId="1773"/>
    <cellStyle name="Note 9 4 5 2 2" xfId="3007"/>
    <cellStyle name="Note 9 4 5 2 2 2" xfId="8286"/>
    <cellStyle name="Note 9 4 5 2 2 3" xfId="15240"/>
    <cellStyle name="Note 9 4 5 2 3" xfId="7052"/>
    <cellStyle name="Note 9 4 5 2 4" xfId="15239"/>
    <cellStyle name="Note 9 4 5 3" xfId="5274"/>
    <cellStyle name="Note 9 4 5 3 2" xfId="10553"/>
    <cellStyle name="Note 9 4 5 3 3" xfId="15241"/>
    <cellStyle name="Note 9 4 5 4" xfId="5275"/>
    <cellStyle name="Note 9 4 5 4 2" xfId="10554"/>
    <cellStyle name="Note 9 4 5 4 3" xfId="15242"/>
    <cellStyle name="Note 9 4 5 5" xfId="5276"/>
    <cellStyle name="Note 9 4 5 5 2" xfId="10555"/>
    <cellStyle name="Note 9 4 5 5 3" xfId="15243"/>
    <cellStyle name="Note 9 4 5 6" xfId="5277"/>
    <cellStyle name="Note 9 4 5 6 2" xfId="10556"/>
    <cellStyle name="Note 9 4 5 6 3" xfId="15244"/>
    <cellStyle name="Note 9 4 5 7" xfId="5278"/>
    <cellStyle name="Note 9 4 5 7 2" xfId="10557"/>
    <cellStyle name="Note 9 4 5 7 3" xfId="15245"/>
    <cellStyle name="Note 9 4 5 8" xfId="5279"/>
    <cellStyle name="Note 9 4 5 8 2" xfId="10558"/>
    <cellStyle name="Note 9 4 5 8 3" xfId="15246"/>
    <cellStyle name="Note 9 4 5 9" xfId="5280"/>
    <cellStyle name="Note 9 4 5 9 2" xfId="10559"/>
    <cellStyle name="Note 9 4 5 9 3" xfId="15247"/>
    <cellStyle name="Note 9 4 6" xfId="1157"/>
    <cellStyle name="Note 9 4 6 10" xfId="2394"/>
    <cellStyle name="Note 9 4 6 10 2" xfId="7673"/>
    <cellStyle name="Note 9 4 6 10 3" xfId="11476"/>
    <cellStyle name="Note 9 4 6 11" xfId="6436"/>
    <cellStyle name="Note 9 4 6 2" xfId="1774"/>
    <cellStyle name="Note 9 4 6 2 2" xfId="3008"/>
    <cellStyle name="Note 9 4 6 2 2 2" xfId="8287"/>
    <cellStyle name="Note 9 4 6 2 2 3" xfId="15249"/>
    <cellStyle name="Note 9 4 6 2 3" xfId="7053"/>
    <cellStyle name="Note 9 4 6 2 4" xfId="15248"/>
    <cellStyle name="Note 9 4 6 3" xfId="5281"/>
    <cellStyle name="Note 9 4 6 3 2" xfId="10560"/>
    <cellStyle name="Note 9 4 6 3 3" xfId="15250"/>
    <cellStyle name="Note 9 4 6 4" xfId="5282"/>
    <cellStyle name="Note 9 4 6 4 2" xfId="10561"/>
    <cellStyle name="Note 9 4 6 4 3" xfId="15251"/>
    <cellStyle name="Note 9 4 6 5" xfId="5283"/>
    <cellStyle name="Note 9 4 6 5 2" xfId="10562"/>
    <cellStyle name="Note 9 4 6 5 3" xfId="15252"/>
    <cellStyle name="Note 9 4 6 6" xfId="5284"/>
    <cellStyle name="Note 9 4 6 6 2" xfId="10563"/>
    <cellStyle name="Note 9 4 6 6 3" xfId="15253"/>
    <cellStyle name="Note 9 4 6 7" xfId="5285"/>
    <cellStyle name="Note 9 4 6 7 2" xfId="10564"/>
    <cellStyle name="Note 9 4 6 7 3" xfId="15254"/>
    <cellStyle name="Note 9 4 6 8" xfId="5286"/>
    <cellStyle name="Note 9 4 6 8 2" xfId="10565"/>
    <cellStyle name="Note 9 4 6 8 3" xfId="15255"/>
    <cellStyle name="Note 9 4 6 9" xfId="5287"/>
    <cellStyle name="Note 9 4 6 9 2" xfId="10566"/>
    <cellStyle name="Note 9 4 6 9 3" xfId="15256"/>
    <cellStyle name="Note 9 4 7" xfId="1318"/>
    <cellStyle name="Note 9 4 7 2" xfId="2552"/>
    <cellStyle name="Note 9 4 7 2 2" xfId="7831"/>
    <cellStyle name="Note 9 4 7 2 3" xfId="15258"/>
    <cellStyle name="Note 9 4 7 3" xfId="6597"/>
    <cellStyle name="Note 9 4 7 4" xfId="15257"/>
    <cellStyle name="Note 9 4 8" xfId="5288"/>
    <cellStyle name="Note 9 4 8 2" xfId="10567"/>
    <cellStyle name="Note 9 4 8 3" xfId="15259"/>
    <cellStyle name="Note 9 4 9" xfId="5289"/>
    <cellStyle name="Note 9 4 9 2" xfId="10568"/>
    <cellStyle name="Note 9 4 9 3" xfId="15260"/>
    <cellStyle name="Note 9 5" xfId="816"/>
    <cellStyle name="Note 9 5 2" xfId="1443"/>
    <cellStyle name="Note 9 5 2 2" xfId="2677"/>
    <cellStyle name="Note 9 5 2 2 2" xfId="7956"/>
    <cellStyle name="Note 9 5 2 2 3" xfId="15263"/>
    <cellStyle name="Note 9 5 2 3" xfId="6722"/>
    <cellStyle name="Note 9 5 2 4" xfId="15262"/>
    <cellStyle name="Note 9 5 3" xfId="1898"/>
    <cellStyle name="Note 9 5 3 2" xfId="3132"/>
    <cellStyle name="Note 9 5 3 2 2" xfId="8411"/>
    <cellStyle name="Note 9 5 3 2 3" xfId="15265"/>
    <cellStyle name="Note 9 5 3 3" xfId="7177"/>
    <cellStyle name="Note 9 5 3 4" xfId="15264"/>
    <cellStyle name="Note 9 5 4" xfId="5290"/>
    <cellStyle name="Note 9 5 4 2" xfId="10569"/>
    <cellStyle name="Note 9 5 4 3" xfId="15266"/>
    <cellStyle name="Note 9 5 5" xfId="5291"/>
    <cellStyle name="Note 9 5 5 2" xfId="10570"/>
    <cellStyle name="Note 9 5 5 3" xfId="15267"/>
    <cellStyle name="Note 9 5 6" xfId="5292"/>
    <cellStyle name="Note 9 5 6 2" xfId="10571"/>
    <cellStyle name="Note 9 5 6 3" xfId="15268"/>
    <cellStyle name="Note 9 5 7" xfId="5293"/>
    <cellStyle name="Note 9 5 7 2" xfId="10572"/>
    <cellStyle name="Note 9 5 7 3" xfId="15269"/>
    <cellStyle name="Note 9 5 8" xfId="6105"/>
    <cellStyle name="Note 9 5 9" xfId="15261"/>
    <cellStyle name="Note 9 6" xfId="1158"/>
    <cellStyle name="Note 9 6 10" xfId="2395"/>
    <cellStyle name="Note 9 6 10 2" xfId="7674"/>
    <cellStyle name="Note 9 6 10 3" xfId="11477"/>
    <cellStyle name="Note 9 6 11" xfId="6437"/>
    <cellStyle name="Note 9 6 2" xfId="1775"/>
    <cellStyle name="Note 9 6 2 2" xfId="3009"/>
    <cellStyle name="Note 9 6 2 2 2" xfId="8288"/>
    <cellStyle name="Note 9 6 2 2 3" xfId="15271"/>
    <cellStyle name="Note 9 6 2 3" xfId="7054"/>
    <cellStyle name="Note 9 6 2 4" xfId="15270"/>
    <cellStyle name="Note 9 6 3" xfId="5294"/>
    <cellStyle name="Note 9 6 3 2" xfId="10573"/>
    <cellStyle name="Note 9 6 3 3" xfId="15272"/>
    <cellStyle name="Note 9 6 4" xfId="5295"/>
    <cellStyle name="Note 9 6 4 2" xfId="10574"/>
    <cellStyle name="Note 9 6 4 3" xfId="15273"/>
    <cellStyle name="Note 9 6 5" xfId="5296"/>
    <cellStyle name="Note 9 6 5 2" xfId="10575"/>
    <cellStyle name="Note 9 6 5 3" xfId="15274"/>
    <cellStyle name="Note 9 6 6" xfId="5297"/>
    <cellStyle name="Note 9 6 6 2" xfId="10576"/>
    <cellStyle name="Note 9 6 6 3" xfId="15275"/>
    <cellStyle name="Note 9 6 7" xfId="5298"/>
    <cellStyle name="Note 9 6 7 2" xfId="10577"/>
    <cellStyle name="Note 9 6 7 3" xfId="15276"/>
    <cellStyle name="Note 9 6 8" xfId="5299"/>
    <cellStyle name="Note 9 6 8 2" xfId="10578"/>
    <cellStyle name="Note 9 6 8 3" xfId="15277"/>
    <cellStyle name="Note 9 6 9" xfId="5300"/>
    <cellStyle name="Note 9 6 9 2" xfId="10579"/>
    <cellStyle name="Note 9 6 9 3" xfId="15278"/>
    <cellStyle name="Note 9 7" xfId="1159"/>
    <cellStyle name="Note 9 7 10" xfId="2396"/>
    <cellStyle name="Note 9 7 10 2" xfId="7675"/>
    <cellStyle name="Note 9 7 10 3" xfId="11478"/>
    <cellStyle name="Note 9 7 11" xfId="6438"/>
    <cellStyle name="Note 9 7 2" xfId="1776"/>
    <cellStyle name="Note 9 7 2 2" xfId="3010"/>
    <cellStyle name="Note 9 7 2 2 2" xfId="8289"/>
    <cellStyle name="Note 9 7 2 2 3" xfId="15280"/>
    <cellStyle name="Note 9 7 2 3" xfId="7055"/>
    <cellStyle name="Note 9 7 2 4" xfId="15279"/>
    <cellStyle name="Note 9 7 3" xfId="5301"/>
    <cellStyle name="Note 9 7 3 2" xfId="10580"/>
    <cellStyle name="Note 9 7 3 3" xfId="15281"/>
    <cellStyle name="Note 9 7 4" xfId="5302"/>
    <cellStyle name="Note 9 7 4 2" xfId="10581"/>
    <cellStyle name="Note 9 7 4 3" xfId="15282"/>
    <cellStyle name="Note 9 7 5" xfId="5303"/>
    <cellStyle name="Note 9 7 5 2" xfId="10582"/>
    <cellStyle name="Note 9 7 5 3" xfId="15283"/>
    <cellStyle name="Note 9 7 6" xfId="5304"/>
    <cellStyle name="Note 9 7 6 2" xfId="10583"/>
    <cellStyle name="Note 9 7 6 3" xfId="15284"/>
    <cellStyle name="Note 9 7 7" xfId="5305"/>
    <cellStyle name="Note 9 7 7 2" xfId="10584"/>
    <cellStyle name="Note 9 7 7 3" xfId="15285"/>
    <cellStyle name="Note 9 7 8" xfId="5306"/>
    <cellStyle name="Note 9 7 8 2" xfId="10585"/>
    <cellStyle name="Note 9 7 8 3" xfId="15286"/>
    <cellStyle name="Note 9 7 9" xfId="5307"/>
    <cellStyle name="Note 9 7 9 2" xfId="10586"/>
    <cellStyle name="Note 9 7 9 3" xfId="15287"/>
    <cellStyle name="Note 9 8" xfId="1160"/>
    <cellStyle name="Note 9 8 10" xfId="2397"/>
    <cellStyle name="Note 9 8 10 2" xfId="7676"/>
    <cellStyle name="Note 9 8 10 3" xfId="11479"/>
    <cellStyle name="Note 9 8 11" xfId="6439"/>
    <cellStyle name="Note 9 8 2" xfId="1777"/>
    <cellStyle name="Note 9 8 2 2" xfId="3011"/>
    <cellStyle name="Note 9 8 2 2 2" xfId="8290"/>
    <cellStyle name="Note 9 8 2 2 3" xfId="15289"/>
    <cellStyle name="Note 9 8 2 3" xfId="7056"/>
    <cellStyle name="Note 9 8 2 4" xfId="15288"/>
    <cellStyle name="Note 9 8 3" xfId="5308"/>
    <cellStyle name="Note 9 8 3 2" xfId="10587"/>
    <cellStyle name="Note 9 8 3 3" xfId="15290"/>
    <cellStyle name="Note 9 8 4" xfId="5309"/>
    <cellStyle name="Note 9 8 4 2" xfId="10588"/>
    <cellStyle name="Note 9 8 4 3" xfId="15291"/>
    <cellStyle name="Note 9 8 5" xfId="5310"/>
    <cellStyle name="Note 9 8 5 2" xfId="10589"/>
    <cellStyle name="Note 9 8 5 3" xfId="15292"/>
    <cellStyle name="Note 9 8 6" xfId="5311"/>
    <cellStyle name="Note 9 8 6 2" xfId="10590"/>
    <cellStyle name="Note 9 8 6 3" xfId="15293"/>
    <cellStyle name="Note 9 8 7" xfId="5312"/>
    <cellStyle name="Note 9 8 7 2" xfId="10591"/>
    <cellStyle name="Note 9 8 7 3" xfId="15294"/>
    <cellStyle name="Note 9 8 8" xfId="5313"/>
    <cellStyle name="Note 9 8 8 2" xfId="10592"/>
    <cellStyle name="Note 9 8 8 3" xfId="15295"/>
    <cellStyle name="Note 9 8 9" xfId="5314"/>
    <cellStyle name="Note 9 8 9 2" xfId="10593"/>
    <cellStyle name="Note 9 8 9 3" xfId="15296"/>
    <cellStyle name="Note 9 9" xfId="1161"/>
    <cellStyle name="Note 9 9 10" xfId="2398"/>
    <cellStyle name="Note 9 9 10 2" xfId="7677"/>
    <cellStyle name="Note 9 9 10 3" xfId="11480"/>
    <cellStyle name="Note 9 9 11" xfId="6440"/>
    <cellStyle name="Note 9 9 2" xfId="1778"/>
    <cellStyle name="Note 9 9 2 2" xfId="3012"/>
    <cellStyle name="Note 9 9 2 2 2" xfId="8291"/>
    <cellStyle name="Note 9 9 2 2 3" xfId="15298"/>
    <cellStyle name="Note 9 9 2 3" xfId="7057"/>
    <cellStyle name="Note 9 9 2 4" xfId="15297"/>
    <cellStyle name="Note 9 9 3" xfId="5315"/>
    <cellStyle name="Note 9 9 3 2" xfId="10594"/>
    <cellStyle name="Note 9 9 3 3" xfId="15299"/>
    <cellStyle name="Note 9 9 4" xfId="5316"/>
    <cellStyle name="Note 9 9 4 2" xfId="10595"/>
    <cellStyle name="Note 9 9 4 3" xfId="15300"/>
    <cellStyle name="Note 9 9 5" xfId="5317"/>
    <cellStyle name="Note 9 9 5 2" xfId="10596"/>
    <cellStyle name="Note 9 9 5 3" xfId="15301"/>
    <cellStyle name="Note 9 9 6" xfId="5318"/>
    <cellStyle name="Note 9 9 6 2" xfId="10597"/>
    <cellStyle name="Note 9 9 6 3" xfId="15302"/>
    <cellStyle name="Note 9 9 7" xfId="5319"/>
    <cellStyle name="Note 9 9 7 2" xfId="10598"/>
    <cellStyle name="Note 9 9 7 3" xfId="15303"/>
    <cellStyle name="Note 9 9 8" xfId="5320"/>
    <cellStyle name="Note 9 9 8 2" xfId="10599"/>
    <cellStyle name="Note 9 9 8 3" xfId="15304"/>
    <cellStyle name="Note 9 9 9" xfId="5321"/>
    <cellStyle name="Note 9 9 9 2" xfId="10600"/>
    <cellStyle name="Note 9 9 9 3" xfId="15305"/>
    <cellStyle name="Output 2" xfId="630"/>
    <cellStyle name="Output 2 10" xfId="5322"/>
    <cellStyle name="Output 2 10 2" xfId="10601"/>
    <cellStyle name="Output 2 10 3" xfId="15306"/>
    <cellStyle name="Output 2 11" xfId="5323"/>
    <cellStyle name="Output 2 11 2" xfId="10602"/>
    <cellStyle name="Output 2 11 3" xfId="15307"/>
    <cellStyle name="Output 2 12" xfId="2006"/>
    <cellStyle name="Output 2 12 2" xfId="7285"/>
    <cellStyle name="Output 2 12 3" xfId="11481"/>
    <cellStyle name="Output 2 13" xfId="5981"/>
    <cellStyle name="Output 2 2" xfId="746"/>
    <cellStyle name="Output 2 2 2" xfId="1373"/>
    <cellStyle name="Output 2 2 2 2" xfId="2607"/>
    <cellStyle name="Output 2 2 2 2 2" xfId="7886"/>
    <cellStyle name="Output 2 2 2 2 3" xfId="15310"/>
    <cellStyle name="Output 2 2 2 3" xfId="6652"/>
    <cellStyle name="Output 2 2 2 4" xfId="15309"/>
    <cellStyle name="Output 2 2 3" xfId="1850"/>
    <cellStyle name="Output 2 2 3 2" xfId="3084"/>
    <cellStyle name="Output 2 2 3 2 2" xfId="8363"/>
    <cellStyle name="Output 2 2 3 2 3" xfId="15312"/>
    <cellStyle name="Output 2 2 3 3" xfId="7129"/>
    <cellStyle name="Output 2 2 3 4" xfId="15311"/>
    <cellStyle name="Output 2 2 4" xfId="5324"/>
    <cellStyle name="Output 2 2 4 2" xfId="10603"/>
    <cellStyle name="Output 2 2 4 3" xfId="15313"/>
    <cellStyle name="Output 2 2 5" xfId="5325"/>
    <cellStyle name="Output 2 2 5 2" xfId="10604"/>
    <cellStyle name="Output 2 2 5 3" xfId="15314"/>
    <cellStyle name="Output 2 2 6" xfId="5326"/>
    <cellStyle name="Output 2 2 6 2" xfId="10605"/>
    <cellStyle name="Output 2 2 6 3" xfId="15315"/>
    <cellStyle name="Output 2 2 7" xfId="5327"/>
    <cellStyle name="Output 2 2 7 2" xfId="10606"/>
    <cellStyle name="Output 2 2 7 3" xfId="15316"/>
    <cellStyle name="Output 2 2 8" xfId="6035"/>
    <cellStyle name="Output 2 2 9" xfId="15308"/>
    <cellStyle name="Output 2 3" xfId="1162"/>
    <cellStyle name="Output 2 3 10" xfId="2399"/>
    <cellStyle name="Output 2 3 10 2" xfId="7678"/>
    <cellStyle name="Output 2 3 10 3" xfId="11482"/>
    <cellStyle name="Output 2 3 11" xfId="6441"/>
    <cellStyle name="Output 2 3 2" xfId="1779"/>
    <cellStyle name="Output 2 3 2 2" xfId="3013"/>
    <cellStyle name="Output 2 3 2 2 2" xfId="8292"/>
    <cellStyle name="Output 2 3 2 2 3" xfId="15318"/>
    <cellStyle name="Output 2 3 2 3" xfId="7058"/>
    <cellStyle name="Output 2 3 2 4" xfId="15317"/>
    <cellStyle name="Output 2 3 3" xfId="5328"/>
    <cellStyle name="Output 2 3 3 2" xfId="10607"/>
    <cellStyle name="Output 2 3 3 3" xfId="15319"/>
    <cellStyle name="Output 2 3 4" xfId="5329"/>
    <cellStyle name="Output 2 3 4 2" xfId="10608"/>
    <cellStyle name="Output 2 3 4 3" xfId="15320"/>
    <cellStyle name="Output 2 3 5" xfId="5330"/>
    <cellStyle name="Output 2 3 5 2" xfId="10609"/>
    <cellStyle name="Output 2 3 5 3" xfId="15321"/>
    <cellStyle name="Output 2 3 6" xfId="5331"/>
    <cellStyle name="Output 2 3 6 2" xfId="10610"/>
    <cellStyle name="Output 2 3 6 3" xfId="15322"/>
    <cellStyle name="Output 2 3 7" xfId="5332"/>
    <cellStyle name="Output 2 3 7 2" xfId="10611"/>
    <cellStyle name="Output 2 3 7 3" xfId="15323"/>
    <cellStyle name="Output 2 3 8" xfId="5333"/>
    <cellStyle name="Output 2 3 8 2" xfId="10612"/>
    <cellStyle name="Output 2 3 8 3" xfId="15324"/>
    <cellStyle name="Output 2 3 9" xfId="5334"/>
    <cellStyle name="Output 2 3 9 2" xfId="10613"/>
    <cellStyle name="Output 2 3 9 3" xfId="15325"/>
    <cellStyle name="Output 2 4" xfId="1163"/>
    <cellStyle name="Output 2 4 10" xfId="2400"/>
    <cellStyle name="Output 2 4 10 2" xfId="7679"/>
    <cellStyle name="Output 2 4 10 3" xfId="11483"/>
    <cellStyle name="Output 2 4 11" xfId="6442"/>
    <cellStyle name="Output 2 4 2" xfId="1780"/>
    <cellStyle name="Output 2 4 2 2" xfId="3014"/>
    <cellStyle name="Output 2 4 2 2 2" xfId="8293"/>
    <cellStyle name="Output 2 4 2 2 3" xfId="15327"/>
    <cellStyle name="Output 2 4 2 3" xfId="7059"/>
    <cellStyle name="Output 2 4 2 4" xfId="15326"/>
    <cellStyle name="Output 2 4 3" xfId="5335"/>
    <cellStyle name="Output 2 4 3 2" xfId="10614"/>
    <cellStyle name="Output 2 4 3 3" xfId="15328"/>
    <cellStyle name="Output 2 4 4" xfId="5336"/>
    <cellStyle name="Output 2 4 4 2" xfId="10615"/>
    <cellStyle name="Output 2 4 4 3" xfId="15329"/>
    <cellStyle name="Output 2 4 5" xfId="5337"/>
    <cellStyle name="Output 2 4 5 2" xfId="10616"/>
    <cellStyle name="Output 2 4 5 3" xfId="15330"/>
    <cellStyle name="Output 2 4 6" xfId="5338"/>
    <cellStyle name="Output 2 4 6 2" xfId="10617"/>
    <cellStyle name="Output 2 4 6 3" xfId="15331"/>
    <cellStyle name="Output 2 4 7" xfId="5339"/>
    <cellStyle name="Output 2 4 7 2" xfId="10618"/>
    <cellStyle name="Output 2 4 7 3" xfId="15332"/>
    <cellStyle name="Output 2 4 8" xfId="5340"/>
    <cellStyle name="Output 2 4 8 2" xfId="10619"/>
    <cellStyle name="Output 2 4 8 3" xfId="15333"/>
    <cellStyle name="Output 2 4 9" xfId="5341"/>
    <cellStyle name="Output 2 4 9 2" xfId="10620"/>
    <cellStyle name="Output 2 4 9 3" xfId="15334"/>
    <cellStyle name="Output 2 5" xfId="1164"/>
    <cellStyle name="Output 2 5 10" xfId="2401"/>
    <cellStyle name="Output 2 5 10 2" xfId="7680"/>
    <cellStyle name="Output 2 5 10 3" xfId="11484"/>
    <cellStyle name="Output 2 5 11" xfId="6443"/>
    <cellStyle name="Output 2 5 2" xfId="1781"/>
    <cellStyle name="Output 2 5 2 2" xfId="3015"/>
    <cellStyle name="Output 2 5 2 2 2" xfId="8294"/>
    <cellStyle name="Output 2 5 2 2 3" xfId="15336"/>
    <cellStyle name="Output 2 5 2 3" xfId="7060"/>
    <cellStyle name="Output 2 5 2 4" xfId="15335"/>
    <cellStyle name="Output 2 5 3" xfId="5342"/>
    <cellStyle name="Output 2 5 3 2" xfId="10621"/>
    <cellStyle name="Output 2 5 3 3" xfId="15337"/>
    <cellStyle name="Output 2 5 4" xfId="5343"/>
    <cellStyle name="Output 2 5 4 2" xfId="10622"/>
    <cellStyle name="Output 2 5 4 3" xfId="15338"/>
    <cellStyle name="Output 2 5 5" xfId="5344"/>
    <cellStyle name="Output 2 5 5 2" xfId="10623"/>
    <cellStyle name="Output 2 5 5 3" xfId="15339"/>
    <cellStyle name="Output 2 5 6" xfId="5345"/>
    <cellStyle name="Output 2 5 6 2" xfId="10624"/>
    <cellStyle name="Output 2 5 6 3" xfId="15340"/>
    <cellStyle name="Output 2 5 7" xfId="5346"/>
    <cellStyle name="Output 2 5 7 2" xfId="10625"/>
    <cellStyle name="Output 2 5 7 3" xfId="15341"/>
    <cellStyle name="Output 2 5 8" xfId="5347"/>
    <cellStyle name="Output 2 5 8 2" xfId="10626"/>
    <cellStyle name="Output 2 5 8 3" xfId="15342"/>
    <cellStyle name="Output 2 5 9" xfId="5348"/>
    <cellStyle name="Output 2 5 9 2" xfId="10627"/>
    <cellStyle name="Output 2 5 9 3" xfId="15343"/>
    <cellStyle name="Output 2 6" xfId="1165"/>
    <cellStyle name="Output 2 6 10" xfId="2402"/>
    <cellStyle name="Output 2 6 10 2" xfId="7681"/>
    <cellStyle name="Output 2 6 10 3" xfId="11485"/>
    <cellStyle name="Output 2 6 11" xfId="6444"/>
    <cellStyle name="Output 2 6 2" xfId="1782"/>
    <cellStyle name="Output 2 6 2 2" xfId="3016"/>
    <cellStyle name="Output 2 6 2 2 2" xfId="8295"/>
    <cellStyle name="Output 2 6 2 2 3" xfId="15345"/>
    <cellStyle name="Output 2 6 2 3" xfId="7061"/>
    <cellStyle name="Output 2 6 2 4" xfId="15344"/>
    <cellStyle name="Output 2 6 3" xfId="5349"/>
    <cellStyle name="Output 2 6 3 2" xfId="10628"/>
    <cellStyle name="Output 2 6 3 3" xfId="15346"/>
    <cellStyle name="Output 2 6 4" xfId="5350"/>
    <cellStyle name="Output 2 6 4 2" xfId="10629"/>
    <cellStyle name="Output 2 6 4 3" xfId="15347"/>
    <cellStyle name="Output 2 6 5" xfId="5351"/>
    <cellStyle name="Output 2 6 5 2" xfId="10630"/>
    <cellStyle name="Output 2 6 5 3" xfId="15348"/>
    <cellStyle name="Output 2 6 6" xfId="5352"/>
    <cellStyle name="Output 2 6 6 2" xfId="10631"/>
    <cellStyle name="Output 2 6 6 3" xfId="15349"/>
    <cellStyle name="Output 2 6 7" xfId="5353"/>
    <cellStyle name="Output 2 6 7 2" xfId="10632"/>
    <cellStyle name="Output 2 6 7 3" xfId="15350"/>
    <cellStyle name="Output 2 6 8" xfId="5354"/>
    <cellStyle name="Output 2 6 8 2" xfId="10633"/>
    <cellStyle name="Output 2 6 8 3" xfId="15351"/>
    <cellStyle name="Output 2 6 9" xfId="5355"/>
    <cellStyle name="Output 2 6 9 2" xfId="10634"/>
    <cellStyle name="Output 2 6 9 3" xfId="15352"/>
    <cellStyle name="Output 2 7" xfId="1319"/>
    <cellStyle name="Output 2 7 2" xfId="2553"/>
    <cellStyle name="Output 2 7 2 2" xfId="7832"/>
    <cellStyle name="Output 2 7 2 3" xfId="15354"/>
    <cellStyle name="Output 2 7 3" xfId="6598"/>
    <cellStyle name="Output 2 7 4" xfId="15353"/>
    <cellStyle name="Output 2 8" xfId="5356"/>
    <cellStyle name="Output 2 8 2" xfId="10635"/>
    <cellStyle name="Output 2 8 3" xfId="15355"/>
    <cellStyle name="Output 2 9" xfId="5357"/>
    <cellStyle name="Output 2 9 2" xfId="10636"/>
    <cellStyle name="Output 2 9 3" xfId="15356"/>
    <cellStyle name="Output 3" xfId="52135"/>
    <cellStyle name="Output 4" xfId="52136"/>
    <cellStyle name="Output 4 2" xfId="52137"/>
    <cellStyle name="Output 5" xfId="52138"/>
    <cellStyle name="Output Amounts" xfId="52139"/>
    <cellStyle name="Output Line Items" xfId="52140"/>
    <cellStyle name="Password" xfId="5913"/>
    <cellStyle name="Percen - Style1" xfId="52141"/>
    <cellStyle name="Percen - Style2" xfId="52142"/>
    <cellStyle name="Percent" xfId="13" builtinId="5"/>
    <cellStyle name="Percent [2]" xfId="5912"/>
    <cellStyle name="Percent [2] 2" xfId="52143"/>
    <cellStyle name="Percent [2] 2 2" xfId="52144"/>
    <cellStyle name="Percent [2] 2 3" xfId="52145"/>
    <cellStyle name="Percent [2] 2 4" xfId="52146"/>
    <cellStyle name="Percent [2] 2 5" xfId="52147"/>
    <cellStyle name="Percent [2] 2 6" xfId="52148"/>
    <cellStyle name="Percent [2] 2 7" xfId="52149"/>
    <cellStyle name="Percent [2] 3" xfId="52150"/>
    <cellStyle name="Percent [2] 3 2" xfId="52151"/>
    <cellStyle name="Percent [2] 3 3" xfId="52152"/>
    <cellStyle name="Percent [2] 3 4" xfId="52153"/>
    <cellStyle name="Percent [2] 3 5" xfId="52154"/>
    <cellStyle name="Percent [2] 3 6" xfId="52155"/>
    <cellStyle name="Percent [2] 3 7" xfId="52156"/>
    <cellStyle name="Percent [2] 4" xfId="52157"/>
    <cellStyle name="Percent [2] 4 2" xfId="52158"/>
    <cellStyle name="Percent [2] 4 3" xfId="52159"/>
    <cellStyle name="Percent [2] 4 4" xfId="52160"/>
    <cellStyle name="Percent [2] 4 5" xfId="52161"/>
    <cellStyle name="Percent [2] 4 6" xfId="52162"/>
    <cellStyle name="Percent [2] 4 7" xfId="52163"/>
    <cellStyle name="Percent [2] 5" xfId="52164"/>
    <cellStyle name="Percent 10" xfId="52165"/>
    <cellStyle name="Percent 11" xfId="52166"/>
    <cellStyle name="Percent 12" xfId="52167"/>
    <cellStyle name="Percent 13" xfId="52168"/>
    <cellStyle name="Percent 14" xfId="52169"/>
    <cellStyle name="Percent 15" xfId="52170"/>
    <cellStyle name="Percent 16" xfId="52171"/>
    <cellStyle name="Percent 17" xfId="52172"/>
    <cellStyle name="Percent 18" xfId="52173"/>
    <cellStyle name="Percent 19" xfId="52174"/>
    <cellStyle name="Percent 2" xfId="14"/>
    <cellStyle name="Percent 2 2" xfId="631"/>
    <cellStyle name="Percent 2 2 2" xfId="632"/>
    <cellStyle name="Percent 20" xfId="52175"/>
    <cellStyle name="Percent 21" xfId="52176"/>
    <cellStyle name="Percent 22" xfId="52177"/>
    <cellStyle name="Percent 23" xfId="52178"/>
    <cellStyle name="Percent 24" xfId="52179"/>
    <cellStyle name="Percent 25" xfId="52180"/>
    <cellStyle name="Percent 26" xfId="52181"/>
    <cellStyle name="Percent 27" xfId="52182"/>
    <cellStyle name="Percent 28" xfId="52183"/>
    <cellStyle name="Percent 29" xfId="52184"/>
    <cellStyle name="Percent 3" xfId="15"/>
    <cellStyle name="Percent 3 2" xfId="633"/>
    <cellStyle name="Percent 30" xfId="52185"/>
    <cellStyle name="Percent 31" xfId="52186"/>
    <cellStyle name="Percent 32" xfId="52187"/>
    <cellStyle name="Percent 33" xfId="52188"/>
    <cellStyle name="Percent 34" xfId="52189"/>
    <cellStyle name="Percent 35" xfId="52190"/>
    <cellStyle name="Percent 36" xfId="52191"/>
    <cellStyle name="Percent 37" xfId="52192"/>
    <cellStyle name="Percent 38" xfId="52193"/>
    <cellStyle name="Percent 39" xfId="52194"/>
    <cellStyle name="Percent 4" xfId="32"/>
    <cellStyle name="Percent 4 10" xfId="15357"/>
    <cellStyle name="Percent 4 2" xfId="634"/>
    <cellStyle name="Percent 4 3" xfId="635"/>
    <cellStyle name="Percent 4 3 2" xfId="815"/>
    <cellStyle name="Percent 4 3 2 2" xfId="926"/>
    <cellStyle name="Percent 4 3 2 2 2" xfId="1545"/>
    <cellStyle name="Percent 4 3 2 2 2 2" xfId="2779"/>
    <cellStyle name="Percent 4 3 2 2 2 2 2" xfId="8058"/>
    <cellStyle name="Percent 4 3 2 2 2 2 3" xfId="15362"/>
    <cellStyle name="Percent 4 3 2 2 2 3" xfId="6824"/>
    <cellStyle name="Percent 4 3 2 2 2 4" xfId="15361"/>
    <cellStyle name="Percent 4 3 2 2 3" xfId="5358"/>
    <cellStyle name="Percent 4 3 2 2 3 2" xfId="10637"/>
    <cellStyle name="Percent 4 3 2 2 3 3" xfId="15363"/>
    <cellStyle name="Percent 4 3 2 2 4" xfId="2166"/>
    <cellStyle name="Percent 4 3 2 2 4 2" xfId="7445"/>
    <cellStyle name="Percent 4 3 2 2 4 3" xfId="15364"/>
    <cellStyle name="Percent 4 3 2 2 5" xfId="6207"/>
    <cellStyle name="Percent 4 3 2 2 6" xfId="15360"/>
    <cellStyle name="Percent 4 3 2 3" xfId="1442"/>
    <cellStyle name="Percent 4 3 2 3 2" xfId="2676"/>
    <cellStyle name="Percent 4 3 2 3 2 2" xfId="7955"/>
    <cellStyle name="Percent 4 3 2 3 2 3" xfId="15366"/>
    <cellStyle name="Percent 4 3 2 3 3" xfId="6721"/>
    <cellStyle name="Percent 4 3 2 3 4" xfId="15365"/>
    <cellStyle name="Percent 4 3 2 4" xfId="5359"/>
    <cellStyle name="Percent 4 3 2 4 2" xfId="10638"/>
    <cellStyle name="Percent 4 3 2 4 3" xfId="15367"/>
    <cellStyle name="Percent 4 3 2 5" xfId="2068"/>
    <cellStyle name="Percent 4 3 2 5 2" xfId="7347"/>
    <cellStyle name="Percent 4 3 2 5 3" xfId="15368"/>
    <cellStyle name="Percent 4 3 2 6" xfId="6104"/>
    <cellStyle name="Percent 4 3 2 7" xfId="15359"/>
    <cellStyle name="Percent 4 3 3" xfId="877"/>
    <cellStyle name="Percent 4 3 3 2" xfId="1496"/>
    <cellStyle name="Percent 4 3 3 2 2" xfId="2730"/>
    <cellStyle name="Percent 4 3 3 2 2 2" xfId="8009"/>
    <cellStyle name="Percent 4 3 3 2 2 3" xfId="15371"/>
    <cellStyle name="Percent 4 3 3 2 3" xfId="6775"/>
    <cellStyle name="Percent 4 3 3 2 4" xfId="15370"/>
    <cellStyle name="Percent 4 3 3 3" xfId="5360"/>
    <cellStyle name="Percent 4 3 3 3 2" xfId="10639"/>
    <cellStyle name="Percent 4 3 3 3 3" xfId="15372"/>
    <cellStyle name="Percent 4 3 3 4" xfId="2117"/>
    <cellStyle name="Percent 4 3 3 4 2" xfId="7396"/>
    <cellStyle name="Percent 4 3 3 4 3" xfId="15373"/>
    <cellStyle name="Percent 4 3 3 5" xfId="6158"/>
    <cellStyle name="Percent 4 3 3 6" xfId="15369"/>
    <cellStyle name="Percent 4 3 4" xfId="1320"/>
    <cellStyle name="Percent 4 3 4 2" xfId="2554"/>
    <cellStyle name="Percent 4 3 4 2 2" xfId="7833"/>
    <cellStyle name="Percent 4 3 4 2 3" xfId="15375"/>
    <cellStyle name="Percent 4 3 4 3" xfId="6599"/>
    <cellStyle name="Percent 4 3 4 4" xfId="15374"/>
    <cellStyle name="Percent 4 3 5" xfId="5361"/>
    <cellStyle name="Percent 4 3 5 2" xfId="10640"/>
    <cellStyle name="Percent 4 3 5 3" xfId="15376"/>
    <cellStyle name="Percent 4 3 6" xfId="2007"/>
    <cellStyle name="Percent 4 3 6 2" xfId="7286"/>
    <cellStyle name="Percent 4 3 6 3" xfId="15377"/>
    <cellStyle name="Percent 4 3 7" xfId="5982"/>
    <cellStyle name="Percent 4 3 8" xfId="15358"/>
    <cellStyle name="Percent 4 4" xfId="718"/>
    <cellStyle name="Percent 4 4 2" xfId="890"/>
    <cellStyle name="Percent 4 4 2 2" xfId="1509"/>
    <cellStyle name="Percent 4 4 2 2 2" xfId="2743"/>
    <cellStyle name="Percent 4 4 2 2 2 2" xfId="8022"/>
    <cellStyle name="Percent 4 4 2 2 2 3" xfId="15381"/>
    <cellStyle name="Percent 4 4 2 2 3" xfId="6788"/>
    <cellStyle name="Percent 4 4 2 2 4" xfId="15380"/>
    <cellStyle name="Percent 4 4 2 3" xfId="5362"/>
    <cellStyle name="Percent 4 4 2 3 2" xfId="10641"/>
    <cellStyle name="Percent 4 4 2 3 3" xfId="15382"/>
    <cellStyle name="Percent 4 4 2 4" xfId="2130"/>
    <cellStyle name="Percent 4 4 2 4 2" xfId="7409"/>
    <cellStyle name="Percent 4 4 2 4 3" xfId="15383"/>
    <cellStyle name="Percent 4 4 2 5" xfId="6171"/>
    <cellStyle name="Percent 4 4 2 6" xfId="15379"/>
    <cellStyle name="Percent 4 4 3" xfId="1345"/>
    <cellStyle name="Percent 4 4 3 2" xfId="2579"/>
    <cellStyle name="Percent 4 4 3 2 2" xfId="7858"/>
    <cellStyle name="Percent 4 4 3 2 3" xfId="15385"/>
    <cellStyle name="Percent 4 4 3 3" xfId="6624"/>
    <cellStyle name="Percent 4 4 3 4" xfId="15384"/>
    <cellStyle name="Percent 4 4 4" xfId="5363"/>
    <cellStyle name="Percent 4 4 4 2" xfId="10642"/>
    <cellStyle name="Percent 4 4 4 3" xfId="15386"/>
    <cellStyle name="Percent 4 4 5" xfId="2032"/>
    <cellStyle name="Percent 4 4 5 2" xfId="7311"/>
    <cellStyle name="Percent 4 4 5 3" xfId="15387"/>
    <cellStyle name="Percent 4 4 6" xfId="6007"/>
    <cellStyle name="Percent 4 4 7" xfId="15378"/>
    <cellStyle name="Percent 4 5" xfId="841"/>
    <cellStyle name="Percent 4 5 2" xfId="1460"/>
    <cellStyle name="Percent 4 5 2 2" xfId="2694"/>
    <cellStyle name="Percent 4 5 2 2 2" xfId="7973"/>
    <cellStyle name="Percent 4 5 2 2 3" xfId="15390"/>
    <cellStyle name="Percent 4 5 2 3" xfId="6739"/>
    <cellStyle name="Percent 4 5 2 4" xfId="15389"/>
    <cellStyle name="Percent 4 5 3" xfId="5364"/>
    <cellStyle name="Percent 4 5 3 2" xfId="10643"/>
    <cellStyle name="Percent 4 5 3 3" xfId="15391"/>
    <cellStyle name="Percent 4 5 4" xfId="2081"/>
    <cellStyle name="Percent 4 5 4 2" xfId="7360"/>
    <cellStyle name="Percent 4 5 4 3" xfId="15392"/>
    <cellStyle name="Percent 4 5 5" xfId="6122"/>
    <cellStyle name="Percent 4 5 6" xfId="15388"/>
    <cellStyle name="Percent 4 6" xfId="1224"/>
    <cellStyle name="Percent 4 6 2" xfId="2458"/>
    <cellStyle name="Percent 4 6 2 2" xfId="7737"/>
    <cellStyle name="Percent 4 6 2 3" xfId="15394"/>
    <cellStyle name="Percent 4 6 3" xfId="6503"/>
    <cellStyle name="Percent 4 6 4" xfId="15393"/>
    <cellStyle name="Percent 4 7" xfId="5365"/>
    <cellStyle name="Percent 4 7 2" xfId="10644"/>
    <cellStyle name="Percent 4 7 3" xfId="15395"/>
    <cellStyle name="Percent 4 8" xfId="1911"/>
    <cellStyle name="Percent 4 8 2" xfId="7190"/>
    <cellStyle name="Percent 4 8 3" xfId="15396"/>
    <cellStyle name="Percent 4 9" xfId="5840"/>
    <cellStyle name="Percent 40" xfId="52195"/>
    <cellStyle name="Percent 41" xfId="52196"/>
    <cellStyle name="Percent 42" xfId="52197"/>
    <cellStyle name="Percent 43" xfId="52198"/>
    <cellStyle name="Percent 44" xfId="52199"/>
    <cellStyle name="Percent 45" xfId="52200"/>
    <cellStyle name="Percent 46" xfId="52201"/>
    <cellStyle name="Percent 47" xfId="52202"/>
    <cellStyle name="Percent 48" xfId="52203"/>
    <cellStyle name="Percent 49" xfId="52204"/>
    <cellStyle name="Percent 5" xfId="49"/>
    <cellStyle name="Percent 50" xfId="52205"/>
    <cellStyle name="Percent 6" xfId="700"/>
    <cellStyle name="Percent 6 2" xfId="823"/>
    <cellStyle name="Percent 6 2 2" xfId="929"/>
    <cellStyle name="Percent 6 2 2 2" xfId="1548"/>
    <cellStyle name="Percent 6 2 2 2 2" xfId="2782"/>
    <cellStyle name="Percent 6 2 2 2 2 2" xfId="8061"/>
    <cellStyle name="Percent 6 2 2 2 2 3" xfId="15401"/>
    <cellStyle name="Percent 6 2 2 2 3" xfId="6827"/>
    <cellStyle name="Percent 6 2 2 2 4" xfId="15400"/>
    <cellStyle name="Percent 6 2 2 3" xfId="5366"/>
    <cellStyle name="Percent 6 2 2 3 2" xfId="10645"/>
    <cellStyle name="Percent 6 2 2 3 3" xfId="15402"/>
    <cellStyle name="Percent 6 2 2 4" xfId="2169"/>
    <cellStyle name="Percent 6 2 2 4 2" xfId="7448"/>
    <cellStyle name="Percent 6 2 2 4 3" xfId="15403"/>
    <cellStyle name="Percent 6 2 2 5" xfId="6210"/>
    <cellStyle name="Percent 6 2 2 6" xfId="15399"/>
    <cellStyle name="Percent 6 2 3" xfId="1450"/>
    <cellStyle name="Percent 6 2 3 2" xfId="2684"/>
    <cellStyle name="Percent 6 2 3 2 2" xfId="7963"/>
    <cellStyle name="Percent 6 2 3 2 3" xfId="15405"/>
    <cellStyle name="Percent 6 2 3 3" xfId="6729"/>
    <cellStyle name="Percent 6 2 3 4" xfId="15404"/>
    <cellStyle name="Percent 6 2 4" xfId="5367"/>
    <cellStyle name="Percent 6 2 4 2" xfId="10646"/>
    <cellStyle name="Percent 6 2 4 3" xfId="15406"/>
    <cellStyle name="Percent 6 2 5" xfId="2071"/>
    <cellStyle name="Percent 6 2 5 2" xfId="7350"/>
    <cellStyle name="Percent 6 2 5 3" xfId="15407"/>
    <cellStyle name="Percent 6 2 6" xfId="6112"/>
    <cellStyle name="Percent 6 2 7" xfId="15398"/>
    <cellStyle name="Percent 6 3" xfId="880"/>
    <cellStyle name="Percent 6 3 2" xfId="1499"/>
    <cellStyle name="Percent 6 3 2 2" xfId="2733"/>
    <cellStyle name="Percent 6 3 2 2 2" xfId="8012"/>
    <cellStyle name="Percent 6 3 2 2 3" xfId="15410"/>
    <cellStyle name="Percent 6 3 2 3" xfId="6778"/>
    <cellStyle name="Percent 6 3 2 4" xfId="15409"/>
    <cellStyle name="Percent 6 3 3" xfId="5368"/>
    <cellStyle name="Percent 6 3 3 2" xfId="10647"/>
    <cellStyle name="Percent 6 3 3 3" xfId="15411"/>
    <cellStyle name="Percent 6 3 4" xfId="2120"/>
    <cellStyle name="Percent 6 3 4 2" xfId="7399"/>
    <cellStyle name="Percent 6 3 4 3" xfId="15412"/>
    <cellStyle name="Percent 6 3 5" xfId="6161"/>
    <cellStyle name="Percent 6 3 6" xfId="15408"/>
    <cellStyle name="Percent 6 4" xfId="1335"/>
    <cellStyle name="Percent 6 4 2" xfId="2569"/>
    <cellStyle name="Percent 6 4 2 2" xfId="7848"/>
    <cellStyle name="Percent 6 4 2 3" xfId="15414"/>
    <cellStyle name="Percent 6 4 3" xfId="6614"/>
    <cellStyle name="Percent 6 4 4" xfId="15413"/>
    <cellStyle name="Percent 6 5" xfId="5369"/>
    <cellStyle name="Percent 6 5 2" xfId="10648"/>
    <cellStyle name="Percent 6 5 3" xfId="15415"/>
    <cellStyle name="Percent 6 6" xfId="2022"/>
    <cellStyle name="Percent 6 6 2" xfId="7301"/>
    <cellStyle name="Percent 6 6 3" xfId="15416"/>
    <cellStyle name="Percent 6 7" xfId="5997"/>
    <cellStyle name="Percent 6 8" xfId="15397"/>
    <cellStyle name="Percent 7" xfId="709"/>
    <cellStyle name="Percent 7 2" xfId="832"/>
    <cellStyle name="Percent 8" xfId="5831"/>
    <cellStyle name="Percent 9" xfId="16085"/>
    <cellStyle name="Percent(0)" xfId="52206"/>
    <cellStyle name="Percent(0) 2" xfId="52207"/>
    <cellStyle name="Percent(0) 2 2" xfId="52208"/>
    <cellStyle name="Percent(0) 3" xfId="52209"/>
    <cellStyle name="Percent(0) 3 2" xfId="52210"/>
    <cellStyle name="Percent(0) 4" xfId="52211"/>
    <cellStyle name="PSChar" xfId="16"/>
    <cellStyle name="PSDate" xfId="17"/>
    <cellStyle name="PSDec" xfId="18"/>
    <cellStyle name="PSHeading" xfId="19"/>
    <cellStyle name="PSHeading 2" xfId="836"/>
    <cellStyle name="PSHeading 2 2" xfId="15417"/>
    <cellStyle name="PSHeading 3" xfId="11552"/>
    <cellStyle name="PSInt" xfId="20"/>
    <cellStyle name="PSSpacer" xfId="21"/>
    <cellStyle name="Reset  - Style7" xfId="52212"/>
    <cellStyle name="SAPBEXaggData" xfId="11112"/>
    <cellStyle name="SAPBEXaggDataEmph" xfId="11137"/>
    <cellStyle name="SAPBEXaggItem" xfId="11188"/>
    <cellStyle name="SAPBEXaggItem 2" xfId="11171"/>
    <cellStyle name="SAPBEXaggItem 3" xfId="11164"/>
    <cellStyle name="SAPBEXaggItem 4" xfId="11114"/>
    <cellStyle name="SAPBEXaggItem 5" xfId="11175"/>
    <cellStyle name="SAPBEXaggItem 6" xfId="11127"/>
    <cellStyle name="SAPBEXaggItem_Copy of xSAPtemp5457" xfId="5911"/>
    <cellStyle name="SAPBEXaggItemX" xfId="5910"/>
    <cellStyle name="SAPBEXchaText" xfId="33"/>
    <cellStyle name="SAPBEXchaText 2" xfId="636"/>
    <cellStyle name="SAPBEXchaText 2 10" xfId="5370"/>
    <cellStyle name="SAPBEXchaText 2 10 2" xfId="10649"/>
    <cellStyle name="SAPBEXchaText 2 10 3" xfId="15418"/>
    <cellStyle name="SAPBEXchaText 2 10 3 2" xfId="62572"/>
    <cellStyle name="SAPBEXchaText 2 11" xfId="5371"/>
    <cellStyle name="SAPBEXchaText 2 11 2" xfId="10650"/>
    <cellStyle name="SAPBEXchaText 2 11 3" xfId="15419"/>
    <cellStyle name="SAPBEXchaText 2 12" xfId="2008"/>
    <cellStyle name="SAPBEXchaText 2 12 2" xfId="7287"/>
    <cellStyle name="SAPBEXchaText 2 12 3" xfId="11486"/>
    <cellStyle name="SAPBEXchaText 2 13" xfId="5983"/>
    <cellStyle name="SAPBEXchaText 2 2" xfId="745"/>
    <cellStyle name="SAPBEXchaText 2 2 2" xfId="1372"/>
    <cellStyle name="SAPBEXchaText 2 2 2 2" xfId="2606"/>
    <cellStyle name="SAPBEXchaText 2 2 2 2 2" xfId="7885"/>
    <cellStyle name="SAPBEXchaText 2 2 2 2 3" xfId="15422"/>
    <cellStyle name="SAPBEXchaText 2 2 2 3" xfId="6651"/>
    <cellStyle name="SAPBEXchaText 2 2 2 4" xfId="15421"/>
    <cellStyle name="SAPBEXchaText 2 2 3" xfId="1849"/>
    <cellStyle name="SAPBEXchaText 2 2 3 2" xfId="3083"/>
    <cellStyle name="SAPBEXchaText 2 2 3 2 2" xfId="8362"/>
    <cellStyle name="SAPBEXchaText 2 2 3 2 3" xfId="15424"/>
    <cellStyle name="SAPBEXchaText 2 2 3 3" xfId="7128"/>
    <cellStyle name="SAPBEXchaText 2 2 3 4" xfId="15423"/>
    <cellStyle name="SAPBEXchaText 2 2 4" xfId="5372"/>
    <cellStyle name="SAPBEXchaText 2 2 4 2" xfId="10651"/>
    <cellStyle name="SAPBEXchaText 2 2 4 3" xfId="15425"/>
    <cellStyle name="SAPBEXchaText 2 2 5" xfId="5373"/>
    <cellStyle name="SAPBEXchaText 2 2 5 2" xfId="10652"/>
    <cellStyle name="SAPBEXchaText 2 2 5 3" xfId="15426"/>
    <cellStyle name="SAPBEXchaText 2 2 6" xfId="5374"/>
    <cellStyle name="SAPBEXchaText 2 2 6 2" xfId="10653"/>
    <cellStyle name="SAPBEXchaText 2 2 6 3" xfId="15427"/>
    <cellStyle name="SAPBEXchaText 2 2 7" xfId="5375"/>
    <cellStyle name="SAPBEXchaText 2 2 7 2" xfId="10654"/>
    <cellStyle name="SAPBEXchaText 2 2 7 3" xfId="15428"/>
    <cellStyle name="SAPBEXchaText 2 2 8" xfId="6034"/>
    <cellStyle name="SAPBEXchaText 2 2 9" xfId="15420"/>
    <cellStyle name="SAPBEXchaText 2 3" xfId="1166"/>
    <cellStyle name="SAPBEXchaText 2 3 10" xfId="2403"/>
    <cellStyle name="SAPBEXchaText 2 3 10 2" xfId="7682"/>
    <cellStyle name="SAPBEXchaText 2 3 10 3" xfId="11487"/>
    <cellStyle name="SAPBEXchaText 2 3 11" xfId="6445"/>
    <cellStyle name="SAPBEXchaText 2 3 2" xfId="1783"/>
    <cellStyle name="SAPBEXchaText 2 3 2 2" xfId="3017"/>
    <cellStyle name="SAPBEXchaText 2 3 2 2 2" xfId="8296"/>
    <cellStyle name="SAPBEXchaText 2 3 2 2 3" xfId="15430"/>
    <cellStyle name="SAPBEXchaText 2 3 2 3" xfId="7062"/>
    <cellStyle name="SAPBEXchaText 2 3 2 4" xfId="15429"/>
    <cellStyle name="SAPBEXchaText 2 3 3" xfId="5376"/>
    <cellStyle name="SAPBEXchaText 2 3 3 2" xfId="10655"/>
    <cellStyle name="SAPBEXchaText 2 3 3 3" xfId="15431"/>
    <cellStyle name="SAPBEXchaText 2 3 4" xfId="5377"/>
    <cellStyle name="SAPBEXchaText 2 3 4 2" xfId="10656"/>
    <cellStyle name="SAPBEXchaText 2 3 4 3" xfId="15432"/>
    <cellStyle name="SAPBEXchaText 2 3 5" xfId="5378"/>
    <cellStyle name="SAPBEXchaText 2 3 5 2" xfId="10657"/>
    <cellStyle name="SAPBEXchaText 2 3 5 3" xfId="15433"/>
    <cellStyle name="SAPBEXchaText 2 3 6" xfId="5379"/>
    <cellStyle name="SAPBEXchaText 2 3 6 2" xfId="10658"/>
    <cellStyle name="SAPBEXchaText 2 3 6 3" xfId="15434"/>
    <cellStyle name="SAPBEXchaText 2 3 7" xfId="5380"/>
    <cellStyle name="SAPBEXchaText 2 3 7 2" xfId="10659"/>
    <cellStyle name="SAPBEXchaText 2 3 7 3" xfId="15435"/>
    <cellStyle name="SAPBEXchaText 2 3 8" xfId="5381"/>
    <cellStyle name="SAPBEXchaText 2 3 8 2" xfId="10660"/>
    <cellStyle name="SAPBEXchaText 2 3 8 3" xfId="15436"/>
    <cellStyle name="SAPBEXchaText 2 3 9" xfId="5382"/>
    <cellStyle name="SAPBEXchaText 2 3 9 2" xfId="10661"/>
    <cellStyle name="SAPBEXchaText 2 3 9 3" xfId="15437"/>
    <cellStyle name="SAPBEXchaText 2 4" xfId="1167"/>
    <cellStyle name="SAPBEXchaText 2 4 10" xfId="2404"/>
    <cellStyle name="SAPBEXchaText 2 4 10 2" xfId="7683"/>
    <cellStyle name="SAPBEXchaText 2 4 10 3" xfId="11488"/>
    <cellStyle name="SAPBEXchaText 2 4 11" xfId="6446"/>
    <cellStyle name="SAPBEXchaText 2 4 2" xfId="1784"/>
    <cellStyle name="SAPBEXchaText 2 4 2 2" xfId="3018"/>
    <cellStyle name="SAPBEXchaText 2 4 2 2 2" xfId="8297"/>
    <cellStyle name="SAPBEXchaText 2 4 2 2 3" xfId="15439"/>
    <cellStyle name="SAPBEXchaText 2 4 2 3" xfId="7063"/>
    <cellStyle name="SAPBEXchaText 2 4 2 4" xfId="15438"/>
    <cellStyle name="SAPBEXchaText 2 4 3" xfId="5383"/>
    <cellStyle name="SAPBEXchaText 2 4 3 2" xfId="10662"/>
    <cellStyle name="SAPBEXchaText 2 4 3 3" xfId="15440"/>
    <cellStyle name="SAPBEXchaText 2 4 4" xfId="5384"/>
    <cellStyle name="SAPBEXchaText 2 4 4 2" xfId="10663"/>
    <cellStyle name="SAPBEXchaText 2 4 4 3" xfId="15441"/>
    <cellStyle name="SAPBEXchaText 2 4 5" xfId="5385"/>
    <cellStyle name="SAPBEXchaText 2 4 5 2" xfId="10664"/>
    <cellStyle name="SAPBEXchaText 2 4 5 3" xfId="15442"/>
    <cellStyle name="SAPBEXchaText 2 4 6" xfId="5386"/>
    <cellStyle name="SAPBEXchaText 2 4 6 2" xfId="10665"/>
    <cellStyle name="SAPBEXchaText 2 4 6 3" xfId="15443"/>
    <cellStyle name="SAPBEXchaText 2 4 7" xfId="5387"/>
    <cellStyle name="SAPBEXchaText 2 4 7 2" xfId="10666"/>
    <cellStyle name="SAPBEXchaText 2 4 7 3" xfId="15444"/>
    <cellStyle name="SAPBEXchaText 2 4 8" xfId="5388"/>
    <cellStyle name="SAPBEXchaText 2 4 8 2" xfId="10667"/>
    <cellStyle name="SAPBEXchaText 2 4 8 3" xfId="15445"/>
    <cellStyle name="SAPBEXchaText 2 4 9" xfId="5389"/>
    <cellStyle name="SAPBEXchaText 2 4 9 2" xfId="10668"/>
    <cellStyle name="SAPBEXchaText 2 4 9 3" xfId="15446"/>
    <cellStyle name="SAPBEXchaText 2 5" xfId="1168"/>
    <cellStyle name="SAPBEXchaText 2 5 10" xfId="2405"/>
    <cellStyle name="SAPBEXchaText 2 5 10 2" xfId="7684"/>
    <cellStyle name="SAPBEXchaText 2 5 10 3" xfId="11489"/>
    <cellStyle name="SAPBEXchaText 2 5 11" xfId="6447"/>
    <cellStyle name="SAPBEXchaText 2 5 2" xfId="1785"/>
    <cellStyle name="SAPBEXchaText 2 5 2 2" xfId="3019"/>
    <cellStyle name="SAPBEXchaText 2 5 2 2 2" xfId="8298"/>
    <cellStyle name="SAPBEXchaText 2 5 2 2 3" xfId="15448"/>
    <cellStyle name="SAPBEXchaText 2 5 2 3" xfId="7064"/>
    <cellStyle name="SAPBEXchaText 2 5 2 4" xfId="15447"/>
    <cellStyle name="SAPBEXchaText 2 5 3" xfId="5390"/>
    <cellStyle name="SAPBEXchaText 2 5 3 2" xfId="10669"/>
    <cellStyle name="SAPBEXchaText 2 5 3 3" xfId="15449"/>
    <cellStyle name="SAPBEXchaText 2 5 4" xfId="5391"/>
    <cellStyle name="SAPBEXchaText 2 5 4 2" xfId="10670"/>
    <cellStyle name="SAPBEXchaText 2 5 4 3" xfId="15450"/>
    <cellStyle name="SAPBEXchaText 2 5 5" xfId="5392"/>
    <cellStyle name="SAPBEXchaText 2 5 5 2" xfId="10671"/>
    <cellStyle name="SAPBEXchaText 2 5 5 3" xfId="15451"/>
    <cellStyle name="SAPBEXchaText 2 5 6" xfId="5393"/>
    <cellStyle name="SAPBEXchaText 2 5 6 2" xfId="10672"/>
    <cellStyle name="SAPBEXchaText 2 5 6 3" xfId="15452"/>
    <cellStyle name="SAPBEXchaText 2 5 7" xfId="5394"/>
    <cellStyle name="SAPBEXchaText 2 5 7 2" xfId="10673"/>
    <cellStyle name="SAPBEXchaText 2 5 7 3" xfId="15453"/>
    <cellStyle name="SAPBEXchaText 2 5 8" xfId="5395"/>
    <cellStyle name="SAPBEXchaText 2 5 8 2" xfId="10674"/>
    <cellStyle name="SAPBEXchaText 2 5 8 3" xfId="15454"/>
    <cellStyle name="SAPBEXchaText 2 5 9" xfId="5396"/>
    <cellStyle name="SAPBEXchaText 2 5 9 2" xfId="10675"/>
    <cellStyle name="SAPBEXchaText 2 5 9 3" xfId="15455"/>
    <cellStyle name="SAPBEXchaText 2 6" xfId="1169"/>
    <cellStyle name="SAPBEXchaText 2 6 10" xfId="2406"/>
    <cellStyle name="SAPBEXchaText 2 6 10 2" xfId="7685"/>
    <cellStyle name="SAPBEXchaText 2 6 10 3" xfId="11490"/>
    <cellStyle name="SAPBEXchaText 2 6 11" xfId="6448"/>
    <cellStyle name="SAPBEXchaText 2 6 2" xfId="1786"/>
    <cellStyle name="SAPBEXchaText 2 6 2 2" xfId="3020"/>
    <cellStyle name="SAPBEXchaText 2 6 2 2 2" xfId="8299"/>
    <cellStyle name="SAPBEXchaText 2 6 2 2 3" xfId="15457"/>
    <cellStyle name="SAPBEXchaText 2 6 2 3" xfId="7065"/>
    <cellStyle name="SAPBEXchaText 2 6 2 4" xfId="15456"/>
    <cellStyle name="SAPBEXchaText 2 6 3" xfId="5397"/>
    <cellStyle name="SAPBEXchaText 2 6 3 2" xfId="10676"/>
    <cellStyle name="SAPBEXchaText 2 6 3 3" xfId="15458"/>
    <cellStyle name="SAPBEXchaText 2 6 4" xfId="5398"/>
    <cellStyle name="SAPBEXchaText 2 6 4 2" xfId="10677"/>
    <cellStyle name="SAPBEXchaText 2 6 4 3" xfId="15459"/>
    <cellStyle name="SAPBEXchaText 2 6 5" xfId="5399"/>
    <cellStyle name="SAPBEXchaText 2 6 5 2" xfId="10678"/>
    <cellStyle name="SAPBEXchaText 2 6 5 3" xfId="15460"/>
    <cellStyle name="SAPBEXchaText 2 6 6" xfId="5400"/>
    <cellStyle name="SAPBEXchaText 2 6 6 2" xfId="10679"/>
    <cellStyle name="SAPBEXchaText 2 6 6 3" xfId="15461"/>
    <cellStyle name="SAPBEXchaText 2 6 7" xfId="5401"/>
    <cellStyle name="SAPBEXchaText 2 6 7 2" xfId="10680"/>
    <cellStyle name="SAPBEXchaText 2 6 7 3" xfId="15462"/>
    <cellStyle name="SAPBEXchaText 2 6 8" xfId="5402"/>
    <cellStyle name="SAPBEXchaText 2 6 8 2" xfId="10681"/>
    <cellStyle name="SAPBEXchaText 2 6 8 3" xfId="15463"/>
    <cellStyle name="SAPBEXchaText 2 6 9" xfId="5403"/>
    <cellStyle name="SAPBEXchaText 2 6 9 2" xfId="10682"/>
    <cellStyle name="SAPBEXchaText 2 6 9 3" xfId="15464"/>
    <cellStyle name="SAPBEXchaText 2 7" xfId="1321"/>
    <cellStyle name="SAPBEXchaText 2 7 2" xfId="2555"/>
    <cellStyle name="SAPBEXchaText 2 7 2 2" xfId="7834"/>
    <cellStyle name="SAPBEXchaText 2 7 2 3" xfId="15466"/>
    <cellStyle name="SAPBEXchaText 2 7 3" xfId="6600"/>
    <cellStyle name="SAPBEXchaText 2 7 4" xfId="15465"/>
    <cellStyle name="SAPBEXchaText 2 8" xfId="5404"/>
    <cellStyle name="SAPBEXchaText 2 8 2" xfId="10683"/>
    <cellStyle name="SAPBEXchaText 2 8 3" xfId="15467"/>
    <cellStyle name="SAPBEXchaText 2 9" xfId="5405"/>
    <cellStyle name="SAPBEXchaText 2 9 2" xfId="10684"/>
    <cellStyle name="SAPBEXchaText 2 9 3" xfId="15468"/>
    <cellStyle name="SAPBEXchaText 3" xfId="637"/>
    <cellStyle name="SAPBEXchaText 3 10" xfId="5406"/>
    <cellStyle name="SAPBEXchaText 3 10 2" xfId="10685"/>
    <cellStyle name="SAPBEXchaText 3 10 3" xfId="15469"/>
    <cellStyle name="SAPBEXchaText 3 11" xfId="5407"/>
    <cellStyle name="SAPBEXchaText 3 11 2" xfId="10686"/>
    <cellStyle name="SAPBEXchaText 3 11 3" xfId="15470"/>
    <cellStyle name="SAPBEXchaText 3 12" xfId="2009"/>
    <cellStyle name="SAPBEXchaText 3 12 2" xfId="7288"/>
    <cellStyle name="SAPBEXchaText 3 12 3" xfId="11491"/>
    <cellStyle name="SAPBEXchaText 3 13" xfId="5984"/>
    <cellStyle name="SAPBEXchaText 3 2" xfId="744"/>
    <cellStyle name="SAPBEXchaText 3 2 2" xfId="1371"/>
    <cellStyle name="SAPBEXchaText 3 2 2 2" xfId="2605"/>
    <cellStyle name="SAPBEXchaText 3 2 2 2 2" xfId="7884"/>
    <cellStyle name="SAPBEXchaText 3 2 2 2 3" xfId="15473"/>
    <cellStyle name="SAPBEXchaText 3 2 2 3" xfId="6650"/>
    <cellStyle name="SAPBEXchaText 3 2 2 4" xfId="15472"/>
    <cellStyle name="SAPBEXchaText 3 2 3" xfId="1848"/>
    <cellStyle name="SAPBEXchaText 3 2 3 2" xfId="3082"/>
    <cellStyle name="SAPBEXchaText 3 2 3 2 2" xfId="8361"/>
    <cellStyle name="SAPBEXchaText 3 2 3 2 3" xfId="15475"/>
    <cellStyle name="SAPBEXchaText 3 2 3 3" xfId="7127"/>
    <cellStyle name="SAPBEXchaText 3 2 3 4" xfId="15474"/>
    <cellStyle name="SAPBEXchaText 3 2 4" xfId="5408"/>
    <cellStyle name="SAPBEXchaText 3 2 4 2" xfId="10687"/>
    <cellStyle name="SAPBEXchaText 3 2 4 3" xfId="15476"/>
    <cellStyle name="SAPBEXchaText 3 2 5" xfId="5409"/>
    <cellStyle name="SAPBEXchaText 3 2 5 2" xfId="10688"/>
    <cellStyle name="SAPBEXchaText 3 2 5 3" xfId="15477"/>
    <cellStyle name="SAPBEXchaText 3 2 6" xfId="5410"/>
    <cellStyle name="SAPBEXchaText 3 2 6 2" xfId="10689"/>
    <cellStyle name="SAPBEXchaText 3 2 6 3" xfId="15478"/>
    <cellStyle name="SAPBEXchaText 3 2 7" xfId="5411"/>
    <cellStyle name="SAPBEXchaText 3 2 7 2" xfId="10690"/>
    <cellStyle name="SAPBEXchaText 3 2 7 3" xfId="15479"/>
    <cellStyle name="SAPBEXchaText 3 2 8" xfId="6033"/>
    <cellStyle name="SAPBEXchaText 3 2 9" xfId="15471"/>
    <cellStyle name="SAPBEXchaText 3 3" xfId="1170"/>
    <cellStyle name="SAPBEXchaText 3 3 10" xfId="2407"/>
    <cellStyle name="SAPBEXchaText 3 3 10 2" xfId="7686"/>
    <cellStyle name="SAPBEXchaText 3 3 10 3" xfId="11492"/>
    <cellStyle name="SAPBEXchaText 3 3 11" xfId="6449"/>
    <cellStyle name="SAPBEXchaText 3 3 2" xfId="1787"/>
    <cellStyle name="SAPBEXchaText 3 3 2 2" xfId="3021"/>
    <cellStyle name="SAPBEXchaText 3 3 2 2 2" xfId="8300"/>
    <cellStyle name="SAPBEXchaText 3 3 2 2 3" xfId="15481"/>
    <cellStyle name="SAPBEXchaText 3 3 2 3" xfId="7066"/>
    <cellStyle name="SAPBEXchaText 3 3 2 4" xfId="15480"/>
    <cellStyle name="SAPBEXchaText 3 3 3" xfId="5412"/>
    <cellStyle name="SAPBEXchaText 3 3 3 2" xfId="10691"/>
    <cellStyle name="SAPBEXchaText 3 3 3 3" xfId="15482"/>
    <cellStyle name="SAPBEXchaText 3 3 4" xfId="5413"/>
    <cellStyle name="SAPBEXchaText 3 3 4 2" xfId="10692"/>
    <cellStyle name="SAPBEXchaText 3 3 4 3" xfId="15483"/>
    <cellStyle name="SAPBEXchaText 3 3 5" xfId="5414"/>
    <cellStyle name="SAPBEXchaText 3 3 5 2" xfId="10693"/>
    <cellStyle name="SAPBEXchaText 3 3 5 3" xfId="15484"/>
    <cellStyle name="SAPBEXchaText 3 3 6" xfId="5415"/>
    <cellStyle name="SAPBEXchaText 3 3 6 2" xfId="10694"/>
    <cellStyle name="SAPBEXchaText 3 3 6 3" xfId="15485"/>
    <cellStyle name="SAPBEXchaText 3 3 7" xfId="5416"/>
    <cellStyle name="SAPBEXchaText 3 3 7 2" xfId="10695"/>
    <cellStyle name="SAPBEXchaText 3 3 7 3" xfId="15486"/>
    <cellStyle name="SAPBEXchaText 3 3 8" xfId="5417"/>
    <cellStyle name="SAPBEXchaText 3 3 8 2" xfId="10696"/>
    <cellStyle name="SAPBEXchaText 3 3 8 3" xfId="15487"/>
    <cellStyle name="SAPBEXchaText 3 3 9" xfId="5418"/>
    <cellStyle name="SAPBEXchaText 3 3 9 2" xfId="10697"/>
    <cellStyle name="SAPBEXchaText 3 3 9 3" xfId="15488"/>
    <cellStyle name="SAPBEXchaText 3 4" xfId="1171"/>
    <cellStyle name="SAPBEXchaText 3 4 10" xfId="2408"/>
    <cellStyle name="SAPBEXchaText 3 4 10 2" xfId="7687"/>
    <cellStyle name="SAPBEXchaText 3 4 10 3" xfId="11493"/>
    <cellStyle name="SAPBEXchaText 3 4 11" xfId="6450"/>
    <cellStyle name="SAPBEXchaText 3 4 2" xfId="1788"/>
    <cellStyle name="SAPBEXchaText 3 4 2 2" xfId="3022"/>
    <cellStyle name="SAPBEXchaText 3 4 2 2 2" xfId="8301"/>
    <cellStyle name="SAPBEXchaText 3 4 2 2 3" xfId="15490"/>
    <cellStyle name="SAPBEXchaText 3 4 2 3" xfId="7067"/>
    <cellStyle name="SAPBEXchaText 3 4 2 4" xfId="15489"/>
    <cellStyle name="SAPBEXchaText 3 4 3" xfId="5419"/>
    <cellStyle name="SAPBEXchaText 3 4 3 2" xfId="10698"/>
    <cellStyle name="SAPBEXchaText 3 4 3 3" xfId="15491"/>
    <cellStyle name="SAPBEXchaText 3 4 4" xfId="5420"/>
    <cellStyle name="SAPBEXchaText 3 4 4 2" xfId="10699"/>
    <cellStyle name="SAPBEXchaText 3 4 4 3" xfId="15492"/>
    <cellStyle name="SAPBEXchaText 3 4 5" xfId="5421"/>
    <cellStyle name="SAPBEXchaText 3 4 5 2" xfId="10700"/>
    <cellStyle name="SAPBEXchaText 3 4 5 3" xfId="15493"/>
    <cellStyle name="SAPBEXchaText 3 4 6" xfId="5422"/>
    <cellStyle name="SAPBEXchaText 3 4 6 2" xfId="10701"/>
    <cellStyle name="SAPBEXchaText 3 4 6 3" xfId="15494"/>
    <cellStyle name="SAPBEXchaText 3 4 7" xfId="5423"/>
    <cellStyle name="SAPBEXchaText 3 4 7 2" xfId="10702"/>
    <cellStyle name="SAPBEXchaText 3 4 7 3" xfId="15495"/>
    <cellStyle name="SAPBEXchaText 3 4 8" xfId="5424"/>
    <cellStyle name="SAPBEXchaText 3 4 8 2" xfId="10703"/>
    <cellStyle name="SAPBEXchaText 3 4 8 3" xfId="15496"/>
    <cellStyle name="SAPBEXchaText 3 4 9" xfId="5425"/>
    <cellStyle name="SAPBEXchaText 3 4 9 2" xfId="10704"/>
    <cellStyle name="SAPBEXchaText 3 4 9 3" xfId="15497"/>
    <cellStyle name="SAPBEXchaText 3 5" xfId="1172"/>
    <cellStyle name="SAPBEXchaText 3 5 10" xfId="2409"/>
    <cellStyle name="SAPBEXchaText 3 5 10 2" xfId="7688"/>
    <cellStyle name="SAPBEXchaText 3 5 10 3" xfId="11494"/>
    <cellStyle name="SAPBEXchaText 3 5 11" xfId="6451"/>
    <cellStyle name="SAPBEXchaText 3 5 2" xfId="1789"/>
    <cellStyle name="SAPBEXchaText 3 5 2 2" xfId="3023"/>
    <cellStyle name="SAPBEXchaText 3 5 2 2 2" xfId="8302"/>
    <cellStyle name="SAPBEXchaText 3 5 2 2 3" xfId="15499"/>
    <cellStyle name="SAPBEXchaText 3 5 2 3" xfId="7068"/>
    <cellStyle name="SAPBEXchaText 3 5 2 4" xfId="15498"/>
    <cellStyle name="SAPBEXchaText 3 5 3" xfId="5426"/>
    <cellStyle name="SAPBEXchaText 3 5 3 2" xfId="10705"/>
    <cellStyle name="SAPBEXchaText 3 5 3 3" xfId="15500"/>
    <cellStyle name="SAPBEXchaText 3 5 4" xfId="5427"/>
    <cellStyle name="SAPBEXchaText 3 5 4 2" xfId="10706"/>
    <cellStyle name="SAPBEXchaText 3 5 4 3" xfId="15501"/>
    <cellStyle name="SAPBEXchaText 3 5 5" xfId="5428"/>
    <cellStyle name="SAPBEXchaText 3 5 5 2" xfId="10707"/>
    <cellStyle name="SAPBEXchaText 3 5 5 3" xfId="15502"/>
    <cellStyle name="SAPBEXchaText 3 5 6" xfId="5429"/>
    <cellStyle name="SAPBEXchaText 3 5 6 2" xfId="10708"/>
    <cellStyle name="SAPBEXchaText 3 5 6 3" xfId="15503"/>
    <cellStyle name="SAPBEXchaText 3 5 7" xfId="5430"/>
    <cellStyle name="SAPBEXchaText 3 5 7 2" xfId="10709"/>
    <cellStyle name="SAPBEXchaText 3 5 7 3" xfId="15504"/>
    <cellStyle name="SAPBEXchaText 3 5 8" xfId="5431"/>
    <cellStyle name="SAPBEXchaText 3 5 8 2" xfId="10710"/>
    <cellStyle name="SAPBEXchaText 3 5 8 3" xfId="15505"/>
    <cellStyle name="SAPBEXchaText 3 5 9" xfId="5432"/>
    <cellStyle name="SAPBEXchaText 3 5 9 2" xfId="10711"/>
    <cellStyle name="SAPBEXchaText 3 5 9 3" xfId="15506"/>
    <cellStyle name="SAPBEXchaText 3 6" xfId="1173"/>
    <cellStyle name="SAPBEXchaText 3 6 10" xfId="2410"/>
    <cellStyle name="SAPBEXchaText 3 6 10 2" xfId="7689"/>
    <cellStyle name="SAPBEXchaText 3 6 10 3" xfId="11495"/>
    <cellStyle name="SAPBEXchaText 3 6 11" xfId="6452"/>
    <cellStyle name="SAPBEXchaText 3 6 2" xfId="1790"/>
    <cellStyle name="SAPBEXchaText 3 6 2 2" xfId="3024"/>
    <cellStyle name="SAPBEXchaText 3 6 2 2 2" xfId="8303"/>
    <cellStyle name="SAPBEXchaText 3 6 2 2 3" xfId="15508"/>
    <cellStyle name="SAPBEXchaText 3 6 2 3" xfId="7069"/>
    <cellStyle name="SAPBEXchaText 3 6 2 4" xfId="15507"/>
    <cellStyle name="SAPBEXchaText 3 6 3" xfId="5433"/>
    <cellStyle name="SAPBEXchaText 3 6 3 2" xfId="10712"/>
    <cellStyle name="SAPBEXchaText 3 6 3 3" xfId="15509"/>
    <cellStyle name="SAPBEXchaText 3 6 4" xfId="5434"/>
    <cellStyle name="SAPBEXchaText 3 6 4 2" xfId="10713"/>
    <cellStyle name="SAPBEXchaText 3 6 4 3" xfId="15510"/>
    <cellStyle name="SAPBEXchaText 3 6 5" xfId="5435"/>
    <cellStyle name="SAPBEXchaText 3 6 5 2" xfId="10714"/>
    <cellStyle name="SAPBEXchaText 3 6 5 3" xfId="15511"/>
    <cellStyle name="SAPBEXchaText 3 6 6" xfId="5436"/>
    <cellStyle name="SAPBEXchaText 3 6 6 2" xfId="10715"/>
    <cellStyle name="SAPBEXchaText 3 6 6 3" xfId="15512"/>
    <cellStyle name="SAPBEXchaText 3 6 7" xfId="5437"/>
    <cellStyle name="SAPBEXchaText 3 6 7 2" xfId="10716"/>
    <cellStyle name="SAPBEXchaText 3 6 7 3" xfId="15513"/>
    <cellStyle name="SAPBEXchaText 3 6 8" xfId="5438"/>
    <cellStyle name="SAPBEXchaText 3 6 8 2" xfId="10717"/>
    <cellStyle name="SAPBEXchaText 3 6 8 3" xfId="15514"/>
    <cellStyle name="SAPBEXchaText 3 6 9" xfId="5439"/>
    <cellStyle name="SAPBEXchaText 3 6 9 2" xfId="10718"/>
    <cellStyle name="SAPBEXchaText 3 6 9 3" xfId="15515"/>
    <cellStyle name="SAPBEXchaText 3 7" xfId="1322"/>
    <cellStyle name="SAPBEXchaText 3 7 2" xfId="2556"/>
    <cellStyle name="SAPBEXchaText 3 7 2 2" xfId="7835"/>
    <cellStyle name="SAPBEXchaText 3 7 2 3" xfId="15517"/>
    <cellStyle name="SAPBEXchaText 3 7 3" xfId="6601"/>
    <cellStyle name="SAPBEXchaText 3 7 4" xfId="15516"/>
    <cellStyle name="SAPBEXchaText 3 8" xfId="5440"/>
    <cellStyle name="SAPBEXchaText 3 8 2" xfId="10719"/>
    <cellStyle name="SAPBEXchaText 3 8 3" xfId="15518"/>
    <cellStyle name="SAPBEXchaText 3 9" xfId="5441"/>
    <cellStyle name="SAPBEXchaText 3 9 2" xfId="10720"/>
    <cellStyle name="SAPBEXchaText 3 9 3" xfId="15519"/>
    <cellStyle name="SAPBEXchaText 4" xfId="1174"/>
    <cellStyle name="SAPBEXchaText 4 10" xfId="2411"/>
    <cellStyle name="SAPBEXchaText 4 10 2" xfId="7690"/>
    <cellStyle name="SAPBEXchaText 4 10 3" xfId="11496"/>
    <cellStyle name="SAPBEXchaText 4 11" xfId="6453"/>
    <cellStyle name="SAPBEXchaText 4 2" xfId="1791"/>
    <cellStyle name="SAPBEXchaText 4 2 2" xfId="3025"/>
    <cellStyle name="SAPBEXchaText 4 2 2 2" xfId="8304"/>
    <cellStyle name="SAPBEXchaText 4 2 2 3" xfId="15521"/>
    <cellStyle name="SAPBEXchaText 4 2 3" xfId="7070"/>
    <cellStyle name="SAPBEXchaText 4 2 4" xfId="15520"/>
    <cellStyle name="SAPBEXchaText 4 3" xfId="5442"/>
    <cellStyle name="SAPBEXchaText 4 3 2" xfId="10721"/>
    <cellStyle name="SAPBEXchaText 4 3 3" xfId="15522"/>
    <cellStyle name="SAPBEXchaText 4 4" xfId="5443"/>
    <cellStyle name="SAPBEXchaText 4 4 2" xfId="10722"/>
    <cellStyle name="SAPBEXchaText 4 4 3" xfId="15523"/>
    <cellStyle name="SAPBEXchaText 4 5" xfId="5444"/>
    <cellStyle name="SAPBEXchaText 4 5 2" xfId="10723"/>
    <cellStyle name="SAPBEXchaText 4 5 3" xfId="15524"/>
    <cellStyle name="SAPBEXchaText 4 6" xfId="5445"/>
    <cellStyle name="SAPBEXchaText 4 6 2" xfId="10724"/>
    <cellStyle name="SAPBEXchaText 4 6 3" xfId="15525"/>
    <cellStyle name="SAPBEXchaText 4 7" xfId="5446"/>
    <cellStyle name="SAPBEXchaText 4 7 2" xfId="10725"/>
    <cellStyle name="SAPBEXchaText 4 7 3" xfId="15526"/>
    <cellStyle name="SAPBEXchaText 4 8" xfId="5447"/>
    <cellStyle name="SAPBEXchaText 4 8 2" xfId="10726"/>
    <cellStyle name="SAPBEXchaText 4 8 3" xfId="15527"/>
    <cellStyle name="SAPBEXchaText 4 9" xfId="5448"/>
    <cellStyle name="SAPBEXchaText 4 9 2" xfId="10727"/>
    <cellStyle name="SAPBEXchaText 4 9 3" xfId="15528"/>
    <cellStyle name="SAPBEXchaText 5" xfId="1225"/>
    <cellStyle name="SAPBEXchaText 5 2" xfId="2459"/>
    <cellStyle name="SAPBEXchaText 5 2 2" xfId="7738"/>
    <cellStyle name="SAPBEXchaText 5 2 3" xfId="15530"/>
    <cellStyle name="SAPBEXchaText 5 3" xfId="6504"/>
    <cellStyle name="SAPBEXchaText 5 4" xfId="15529"/>
    <cellStyle name="SAPBEXchaText 6" xfId="5449"/>
    <cellStyle name="SAPBEXchaText 6 2" xfId="10728"/>
    <cellStyle name="SAPBEXchaText 6 3" xfId="15531"/>
    <cellStyle name="SAPBEXchaText 7" xfId="1912"/>
    <cellStyle name="SAPBEXchaText 7 2" xfId="7191"/>
    <cellStyle name="SAPBEXchaText 7 3" xfId="11497"/>
    <cellStyle name="SAPBEXchaText 8" xfId="5841"/>
    <cellStyle name="SAPBEXchaText 9" xfId="5869"/>
    <cellStyle name="SAPBEXchaText_Copy of xSAPtemp5457" xfId="5909"/>
    <cellStyle name="SAPBEXexcBad7" xfId="11132"/>
    <cellStyle name="SAPBEXexcBad8" xfId="11122"/>
    <cellStyle name="SAPBEXexcBad9" xfId="11121"/>
    <cellStyle name="SAPBEXexcCritical4" xfId="11146"/>
    <cellStyle name="SAPBEXexcCritical5" xfId="5908"/>
    <cellStyle name="SAPBEXexcCritical6" xfId="5907"/>
    <cellStyle name="SAPBEXexcGood1" xfId="5906"/>
    <cellStyle name="SAPBEXexcGood2" xfId="5845"/>
    <cellStyle name="SAPBEXexcGood3" xfId="11150"/>
    <cellStyle name="SAPBEXfilterDrill" xfId="11190"/>
    <cellStyle name="SAPBEXfilterItem" xfId="11172"/>
    <cellStyle name="SAPBEXfilterItem 2" xfId="11140"/>
    <cellStyle name="SAPBEXfilterItem 3" xfId="11142"/>
    <cellStyle name="SAPBEXfilterItem 4" xfId="11115"/>
    <cellStyle name="SAPBEXfilterItem 5" xfId="11165"/>
    <cellStyle name="SAPBEXfilterItem 6" xfId="11134"/>
    <cellStyle name="SAPBEXfilterItem_Copy of xSAPtemp5457" xfId="11202"/>
    <cellStyle name="SAPBEXfilterText" xfId="11104"/>
    <cellStyle name="SAPBEXfilterText 2" xfId="11148"/>
    <cellStyle name="SAPBEXfilterText 3" xfId="11176"/>
    <cellStyle name="SAPBEXfilterText 4" xfId="11108"/>
    <cellStyle name="SAPBEXfilterText 5" xfId="11116"/>
    <cellStyle name="SAPBEXformats" xfId="11103"/>
    <cellStyle name="SAPBEXheaderItem" xfId="5830"/>
    <cellStyle name="SAPBEXheaderItem 2" xfId="5905"/>
    <cellStyle name="SAPBEXheaderItem 3" xfId="5904"/>
    <cellStyle name="SAPBEXheaderItem 4" xfId="5903"/>
    <cellStyle name="SAPBEXheaderItem 5" xfId="11117"/>
    <cellStyle name="SAPBEXheaderItem 6" xfId="11185"/>
    <cellStyle name="SAPBEXheaderItem 7" xfId="11177"/>
    <cellStyle name="SAPBEXheaderItem_Copy of xSAPtemp5457" xfId="11131"/>
    <cellStyle name="SAPBEXheaderText" xfId="11145"/>
    <cellStyle name="SAPBEXheaderText 2" xfId="11178"/>
    <cellStyle name="SAPBEXheaderText 3" xfId="11169"/>
    <cellStyle name="SAPBEXheaderText 4" xfId="11119"/>
    <cellStyle name="SAPBEXheaderText 5" xfId="11168"/>
    <cellStyle name="SAPBEXheaderText 6" xfId="11110"/>
    <cellStyle name="SAPBEXheaderText 7" xfId="11199"/>
    <cellStyle name="SAPBEXheaderText_Copy of xSAPtemp5457" xfId="11184"/>
    <cellStyle name="SAPBEXHLevel0" xfId="5902"/>
    <cellStyle name="SAPBEXHLevel0 2" xfId="5901"/>
    <cellStyle name="SAPBEXHLevel0 3" xfId="11141"/>
    <cellStyle name="SAPBEXHLevel0 4" xfId="11123"/>
    <cellStyle name="SAPBEXHLevel0 5" xfId="11106"/>
    <cellStyle name="SAPBEXHLevel0X" xfId="11147"/>
    <cellStyle name="SAPBEXHLevel0X 2" xfId="11133"/>
    <cellStyle name="SAPBEXHLevel0X 3" xfId="11200"/>
    <cellStyle name="SAPBEXHLevel0X 4" xfId="5852"/>
    <cellStyle name="SAPBEXHLevel0X 5" xfId="5826"/>
    <cellStyle name="SAPBEXHLevel1" xfId="11170"/>
    <cellStyle name="SAPBEXHLevel1 2" xfId="11152"/>
    <cellStyle name="SAPBEXHLevel1 3" xfId="11139"/>
    <cellStyle name="SAPBEXHLevel1 4" xfId="11156"/>
    <cellStyle name="SAPBEXHLevel1 5" xfId="11196"/>
    <cellStyle name="SAPBEXHLevel1X" xfId="11125"/>
    <cellStyle name="SAPBEXHLevel1X 2" xfId="11191"/>
    <cellStyle name="SAPBEXHLevel1X 3" xfId="5899"/>
    <cellStyle name="SAPBEXHLevel1X 4" xfId="5894"/>
    <cellStyle name="SAPBEXHLevel1X 5" xfId="5893"/>
    <cellStyle name="SAPBEXHLevel2" xfId="11153"/>
    <cellStyle name="SAPBEXHLevel2 2" xfId="11151"/>
    <cellStyle name="SAPBEXHLevel2 3" xfId="5866"/>
    <cellStyle name="SAPBEXHLevel2 4" xfId="11105"/>
    <cellStyle name="SAPBEXHLevel2 5" xfId="11107"/>
    <cellStyle name="SAPBEXHLevel2X" xfId="5892"/>
    <cellStyle name="SAPBEXHLevel2X 2" xfId="5890"/>
    <cellStyle name="SAPBEXHLevel2X 3" xfId="5889"/>
    <cellStyle name="SAPBEXHLevel2X 4" xfId="5887"/>
    <cellStyle name="SAPBEXHLevel2X 5" xfId="11154"/>
    <cellStyle name="SAPBEXHLevel3" xfId="11128"/>
    <cellStyle name="SAPBEXHLevel3 2" xfId="11135"/>
    <cellStyle name="SAPBEXHLevel3 3" xfId="11198"/>
    <cellStyle name="SAPBEXHLevel3 4" xfId="11173"/>
    <cellStyle name="SAPBEXHLevel3 5" xfId="11166"/>
    <cellStyle name="SAPBEXHLevel3X" xfId="11187"/>
    <cellStyle name="SAPBEXHLevel3X 2" xfId="11101"/>
    <cellStyle name="SAPBEXHLevel3X 3" xfId="11193"/>
    <cellStyle name="SAPBEXHLevel3X 4" xfId="11138"/>
    <cellStyle name="SAPBEXHLevel3X 5" xfId="11159"/>
    <cellStyle name="SAPBEXresData" xfId="11158"/>
    <cellStyle name="SAPBEXresDataEmph" xfId="11182"/>
    <cellStyle name="SAPBEXresItem" xfId="11161"/>
    <cellStyle name="SAPBEXresItemX" xfId="11118"/>
    <cellStyle name="SAPBEXstdData" xfId="36"/>
    <cellStyle name="SAPBEXstdData 10" xfId="11129"/>
    <cellStyle name="SAPBEXstdData 2" xfId="638"/>
    <cellStyle name="SAPBEXstdData 2 10" xfId="5450"/>
    <cellStyle name="SAPBEXstdData 2 10 2" xfId="10729"/>
    <cellStyle name="SAPBEXstdData 2 10 3" xfId="15532"/>
    <cellStyle name="SAPBEXstdData 2 11" xfId="5451"/>
    <cellStyle name="SAPBEXstdData 2 11 2" xfId="10730"/>
    <cellStyle name="SAPBEXstdData 2 11 3" xfId="15533"/>
    <cellStyle name="SAPBEXstdData 2 12" xfId="2010"/>
    <cellStyle name="SAPBEXstdData 2 12 2" xfId="7289"/>
    <cellStyle name="SAPBEXstdData 2 12 3" xfId="11498"/>
    <cellStyle name="SAPBEXstdData 2 13" xfId="5985"/>
    <cellStyle name="SAPBEXstdData 2 2" xfId="743"/>
    <cellStyle name="SAPBEXstdData 2 2 2" xfId="1370"/>
    <cellStyle name="SAPBEXstdData 2 2 2 2" xfId="2604"/>
    <cellStyle name="SAPBEXstdData 2 2 2 2 2" xfId="7883"/>
    <cellStyle name="SAPBEXstdData 2 2 2 2 3" xfId="15536"/>
    <cellStyle name="SAPBEXstdData 2 2 2 3" xfId="6649"/>
    <cellStyle name="SAPBEXstdData 2 2 2 4" xfId="15535"/>
    <cellStyle name="SAPBEXstdData 2 2 3" xfId="1847"/>
    <cellStyle name="SAPBEXstdData 2 2 3 2" xfId="3081"/>
    <cellStyle name="SAPBEXstdData 2 2 3 2 2" xfId="8360"/>
    <cellStyle name="SAPBEXstdData 2 2 3 2 3" xfId="15538"/>
    <cellStyle name="SAPBEXstdData 2 2 3 3" xfId="7126"/>
    <cellStyle name="SAPBEXstdData 2 2 3 4" xfId="15537"/>
    <cellStyle name="SAPBEXstdData 2 2 4" xfId="5452"/>
    <cellStyle name="SAPBEXstdData 2 2 4 2" xfId="10731"/>
    <cellStyle name="SAPBEXstdData 2 2 4 3" xfId="15539"/>
    <cellStyle name="SAPBEXstdData 2 2 5" xfId="5453"/>
    <cellStyle name="SAPBEXstdData 2 2 5 2" xfId="10732"/>
    <cellStyle name="SAPBEXstdData 2 2 5 3" xfId="15540"/>
    <cellStyle name="SAPBEXstdData 2 2 6" xfId="5454"/>
    <cellStyle name="SAPBEXstdData 2 2 6 2" xfId="10733"/>
    <cellStyle name="SAPBEXstdData 2 2 6 3" xfId="15541"/>
    <cellStyle name="SAPBEXstdData 2 2 7" xfId="5455"/>
    <cellStyle name="SAPBEXstdData 2 2 7 2" xfId="10734"/>
    <cellStyle name="SAPBEXstdData 2 2 7 3" xfId="15542"/>
    <cellStyle name="SAPBEXstdData 2 2 8" xfId="6032"/>
    <cellStyle name="SAPBEXstdData 2 2 9" xfId="15534"/>
    <cellStyle name="SAPBEXstdData 2 3" xfId="1175"/>
    <cellStyle name="SAPBEXstdData 2 3 10" xfId="2412"/>
    <cellStyle name="SAPBEXstdData 2 3 10 2" xfId="7691"/>
    <cellStyle name="SAPBEXstdData 2 3 10 3" xfId="11499"/>
    <cellStyle name="SAPBEXstdData 2 3 11" xfId="6454"/>
    <cellStyle name="SAPBEXstdData 2 3 2" xfId="1792"/>
    <cellStyle name="SAPBEXstdData 2 3 2 2" xfId="3026"/>
    <cellStyle name="SAPBEXstdData 2 3 2 2 2" xfId="8305"/>
    <cellStyle name="SAPBEXstdData 2 3 2 2 3" xfId="15544"/>
    <cellStyle name="SAPBEXstdData 2 3 2 3" xfId="7071"/>
    <cellStyle name="SAPBEXstdData 2 3 2 4" xfId="15543"/>
    <cellStyle name="SAPBEXstdData 2 3 3" xfId="5456"/>
    <cellStyle name="SAPBEXstdData 2 3 3 2" xfId="10735"/>
    <cellStyle name="SAPBEXstdData 2 3 3 3" xfId="15545"/>
    <cellStyle name="SAPBEXstdData 2 3 4" xfId="5457"/>
    <cellStyle name="SAPBEXstdData 2 3 4 2" xfId="10736"/>
    <cellStyle name="SAPBEXstdData 2 3 4 3" xfId="15546"/>
    <cellStyle name="SAPBEXstdData 2 3 5" xfId="5458"/>
    <cellStyle name="SAPBEXstdData 2 3 5 2" xfId="10737"/>
    <cellStyle name="SAPBEXstdData 2 3 5 3" xfId="15547"/>
    <cellStyle name="SAPBEXstdData 2 3 6" xfId="5459"/>
    <cellStyle name="SAPBEXstdData 2 3 6 2" xfId="10738"/>
    <cellStyle name="SAPBEXstdData 2 3 6 3" xfId="15548"/>
    <cellStyle name="SAPBEXstdData 2 3 7" xfId="5460"/>
    <cellStyle name="SAPBEXstdData 2 3 7 2" xfId="10739"/>
    <cellStyle name="SAPBEXstdData 2 3 7 3" xfId="15549"/>
    <cellStyle name="SAPBEXstdData 2 3 8" xfId="5461"/>
    <cellStyle name="SAPBEXstdData 2 3 8 2" xfId="10740"/>
    <cellStyle name="SAPBEXstdData 2 3 8 3" xfId="15550"/>
    <cellStyle name="SAPBEXstdData 2 3 9" xfId="5462"/>
    <cellStyle name="SAPBEXstdData 2 3 9 2" xfId="10741"/>
    <cellStyle name="SAPBEXstdData 2 3 9 3" xfId="15551"/>
    <cellStyle name="SAPBEXstdData 2 4" xfId="1176"/>
    <cellStyle name="SAPBEXstdData 2 4 10" xfId="2413"/>
    <cellStyle name="SAPBEXstdData 2 4 10 2" xfId="7692"/>
    <cellStyle name="SAPBEXstdData 2 4 10 3" xfId="11500"/>
    <cellStyle name="SAPBEXstdData 2 4 11" xfId="6455"/>
    <cellStyle name="SAPBEXstdData 2 4 2" xfId="1793"/>
    <cellStyle name="SAPBEXstdData 2 4 2 2" xfId="3027"/>
    <cellStyle name="SAPBEXstdData 2 4 2 2 2" xfId="8306"/>
    <cellStyle name="SAPBEXstdData 2 4 2 2 3" xfId="15553"/>
    <cellStyle name="SAPBEXstdData 2 4 2 3" xfId="7072"/>
    <cellStyle name="SAPBEXstdData 2 4 2 4" xfId="15552"/>
    <cellStyle name="SAPBEXstdData 2 4 3" xfId="5463"/>
    <cellStyle name="SAPBEXstdData 2 4 3 2" xfId="10742"/>
    <cellStyle name="SAPBEXstdData 2 4 3 3" xfId="15554"/>
    <cellStyle name="SAPBEXstdData 2 4 4" xfId="5464"/>
    <cellStyle name="SAPBEXstdData 2 4 4 2" xfId="10743"/>
    <cellStyle name="SAPBEXstdData 2 4 4 3" xfId="15555"/>
    <cellStyle name="SAPBEXstdData 2 4 5" xfId="5465"/>
    <cellStyle name="SAPBEXstdData 2 4 5 2" xfId="10744"/>
    <cellStyle name="SAPBEXstdData 2 4 5 3" xfId="15556"/>
    <cellStyle name="SAPBEXstdData 2 4 6" xfId="5466"/>
    <cellStyle name="SAPBEXstdData 2 4 6 2" xfId="10745"/>
    <cellStyle name="SAPBEXstdData 2 4 6 3" xfId="15557"/>
    <cellStyle name="SAPBEXstdData 2 4 7" xfId="5467"/>
    <cellStyle name="SAPBEXstdData 2 4 7 2" xfId="10746"/>
    <cellStyle name="SAPBEXstdData 2 4 7 3" xfId="15558"/>
    <cellStyle name="SAPBEXstdData 2 4 8" xfId="5468"/>
    <cellStyle name="SAPBEXstdData 2 4 8 2" xfId="10747"/>
    <cellStyle name="SAPBEXstdData 2 4 8 3" xfId="15559"/>
    <cellStyle name="SAPBEXstdData 2 4 9" xfId="5469"/>
    <cellStyle name="SAPBEXstdData 2 4 9 2" xfId="10748"/>
    <cellStyle name="SAPBEXstdData 2 4 9 3" xfId="15560"/>
    <cellStyle name="SAPBEXstdData 2 5" xfId="1177"/>
    <cellStyle name="SAPBEXstdData 2 5 10" xfId="2414"/>
    <cellStyle name="SAPBEXstdData 2 5 10 2" xfId="7693"/>
    <cellStyle name="SAPBEXstdData 2 5 10 3" xfId="11501"/>
    <cellStyle name="SAPBEXstdData 2 5 11" xfId="6456"/>
    <cellStyle name="SAPBEXstdData 2 5 2" xfId="1794"/>
    <cellStyle name="SAPBEXstdData 2 5 2 2" xfId="3028"/>
    <cellStyle name="SAPBEXstdData 2 5 2 2 2" xfId="8307"/>
    <cellStyle name="SAPBEXstdData 2 5 2 2 3" xfId="15562"/>
    <cellStyle name="SAPBEXstdData 2 5 2 3" xfId="7073"/>
    <cellStyle name="SAPBEXstdData 2 5 2 4" xfId="15561"/>
    <cellStyle name="SAPBEXstdData 2 5 3" xfId="5470"/>
    <cellStyle name="SAPBEXstdData 2 5 3 2" xfId="10749"/>
    <cellStyle name="SAPBEXstdData 2 5 3 3" xfId="15563"/>
    <cellStyle name="SAPBEXstdData 2 5 4" xfId="5471"/>
    <cellStyle name="SAPBEXstdData 2 5 4 2" xfId="10750"/>
    <cellStyle name="SAPBEXstdData 2 5 4 3" xfId="15564"/>
    <cellStyle name="SAPBEXstdData 2 5 5" xfId="5472"/>
    <cellStyle name="SAPBEXstdData 2 5 5 2" xfId="10751"/>
    <cellStyle name="SAPBEXstdData 2 5 5 3" xfId="15565"/>
    <cellStyle name="SAPBEXstdData 2 5 6" xfId="5473"/>
    <cellStyle name="SAPBEXstdData 2 5 6 2" xfId="10752"/>
    <cellStyle name="SAPBEXstdData 2 5 6 3" xfId="15566"/>
    <cellStyle name="SAPBEXstdData 2 5 7" xfId="5474"/>
    <cellStyle name="SAPBEXstdData 2 5 7 2" xfId="10753"/>
    <cellStyle name="SAPBEXstdData 2 5 7 3" xfId="15567"/>
    <cellStyle name="SAPBEXstdData 2 5 8" xfId="5475"/>
    <cellStyle name="SAPBEXstdData 2 5 8 2" xfId="10754"/>
    <cellStyle name="SAPBEXstdData 2 5 8 3" xfId="15568"/>
    <cellStyle name="SAPBEXstdData 2 5 9" xfId="5476"/>
    <cellStyle name="SAPBEXstdData 2 5 9 2" xfId="10755"/>
    <cellStyle name="SAPBEXstdData 2 5 9 3" xfId="15569"/>
    <cellStyle name="SAPBEXstdData 2 6" xfId="1178"/>
    <cellStyle name="SAPBEXstdData 2 6 10" xfId="2415"/>
    <cellStyle name="SAPBEXstdData 2 6 10 2" xfId="7694"/>
    <cellStyle name="SAPBEXstdData 2 6 10 3" xfId="11502"/>
    <cellStyle name="SAPBEXstdData 2 6 11" xfId="6457"/>
    <cellStyle name="SAPBEXstdData 2 6 2" xfId="1795"/>
    <cellStyle name="SAPBEXstdData 2 6 2 2" xfId="3029"/>
    <cellStyle name="SAPBEXstdData 2 6 2 2 2" xfId="8308"/>
    <cellStyle name="SAPBEXstdData 2 6 2 2 3" xfId="15571"/>
    <cellStyle name="SAPBEXstdData 2 6 2 3" xfId="7074"/>
    <cellStyle name="SAPBEXstdData 2 6 2 4" xfId="15570"/>
    <cellStyle name="SAPBEXstdData 2 6 3" xfId="5477"/>
    <cellStyle name="SAPBEXstdData 2 6 3 2" xfId="10756"/>
    <cellStyle name="SAPBEXstdData 2 6 3 3" xfId="15572"/>
    <cellStyle name="SAPBEXstdData 2 6 4" xfId="5478"/>
    <cellStyle name="SAPBEXstdData 2 6 4 2" xfId="10757"/>
    <cellStyle name="SAPBEXstdData 2 6 4 3" xfId="15573"/>
    <cellStyle name="SAPBEXstdData 2 6 5" xfId="5479"/>
    <cellStyle name="SAPBEXstdData 2 6 5 2" xfId="10758"/>
    <cellStyle name="SAPBEXstdData 2 6 5 3" xfId="15574"/>
    <cellStyle name="SAPBEXstdData 2 6 6" xfId="5480"/>
    <cellStyle name="SAPBEXstdData 2 6 6 2" xfId="10759"/>
    <cellStyle name="SAPBEXstdData 2 6 6 3" xfId="15575"/>
    <cellStyle name="SAPBEXstdData 2 6 7" xfId="5481"/>
    <cellStyle name="SAPBEXstdData 2 6 7 2" xfId="10760"/>
    <cellStyle name="SAPBEXstdData 2 6 7 3" xfId="15576"/>
    <cellStyle name="SAPBEXstdData 2 6 8" xfId="5482"/>
    <cellStyle name="SAPBEXstdData 2 6 8 2" xfId="10761"/>
    <cellStyle name="SAPBEXstdData 2 6 8 3" xfId="15577"/>
    <cellStyle name="SAPBEXstdData 2 6 9" xfId="5483"/>
    <cellStyle name="SAPBEXstdData 2 6 9 2" xfId="10762"/>
    <cellStyle name="SAPBEXstdData 2 6 9 3" xfId="15578"/>
    <cellStyle name="SAPBEXstdData 2 7" xfId="1323"/>
    <cellStyle name="SAPBEXstdData 2 7 2" xfId="2557"/>
    <cellStyle name="SAPBEXstdData 2 7 2 2" xfId="7836"/>
    <cellStyle name="SAPBEXstdData 2 7 2 3" xfId="15580"/>
    <cellStyle name="SAPBEXstdData 2 7 3" xfId="6602"/>
    <cellStyle name="SAPBEXstdData 2 7 4" xfId="15579"/>
    <cellStyle name="SAPBEXstdData 2 8" xfId="5484"/>
    <cellStyle name="SAPBEXstdData 2 8 2" xfId="10763"/>
    <cellStyle name="SAPBEXstdData 2 8 3" xfId="15581"/>
    <cellStyle name="SAPBEXstdData 2 9" xfId="5485"/>
    <cellStyle name="SAPBEXstdData 2 9 2" xfId="10764"/>
    <cellStyle name="SAPBEXstdData 2 9 3" xfId="15582"/>
    <cellStyle name="SAPBEXstdData 3" xfId="639"/>
    <cellStyle name="SAPBEXstdData 3 10" xfId="5486"/>
    <cellStyle name="SAPBEXstdData 3 10 2" xfId="10765"/>
    <cellStyle name="SAPBEXstdData 3 10 3" xfId="15583"/>
    <cellStyle name="SAPBEXstdData 3 11" xfId="5487"/>
    <cellStyle name="SAPBEXstdData 3 11 2" xfId="10766"/>
    <cellStyle name="SAPBEXstdData 3 11 3" xfId="15584"/>
    <cellStyle name="SAPBEXstdData 3 12" xfId="2011"/>
    <cellStyle name="SAPBEXstdData 3 12 2" xfId="7290"/>
    <cellStyle name="SAPBEXstdData 3 12 3" xfId="11503"/>
    <cellStyle name="SAPBEXstdData 3 13" xfId="5986"/>
    <cellStyle name="SAPBEXstdData 3 2" xfId="742"/>
    <cellStyle name="SAPBEXstdData 3 2 2" xfId="1369"/>
    <cellStyle name="SAPBEXstdData 3 2 2 2" xfId="2603"/>
    <cellStyle name="SAPBEXstdData 3 2 2 2 2" xfId="7882"/>
    <cellStyle name="SAPBEXstdData 3 2 2 2 3" xfId="15587"/>
    <cellStyle name="SAPBEXstdData 3 2 2 3" xfId="6648"/>
    <cellStyle name="SAPBEXstdData 3 2 2 4" xfId="15586"/>
    <cellStyle name="SAPBEXstdData 3 2 3" xfId="1846"/>
    <cellStyle name="SAPBEXstdData 3 2 3 2" xfId="3080"/>
    <cellStyle name="SAPBEXstdData 3 2 3 2 2" xfId="8359"/>
    <cellStyle name="SAPBEXstdData 3 2 3 2 3" xfId="15589"/>
    <cellStyle name="SAPBEXstdData 3 2 3 3" xfId="7125"/>
    <cellStyle name="SAPBEXstdData 3 2 3 4" xfId="15588"/>
    <cellStyle name="SAPBEXstdData 3 2 4" xfId="5488"/>
    <cellStyle name="SAPBEXstdData 3 2 4 2" xfId="10767"/>
    <cellStyle name="SAPBEXstdData 3 2 4 3" xfId="15590"/>
    <cellStyle name="SAPBEXstdData 3 2 5" xfId="5489"/>
    <cellStyle name="SAPBEXstdData 3 2 5 2" xfId="10768"/>
    <cellStyle name="SAPBEXstdData 3 2 5 3" xfId="15591"/>
    <cellStyle name="SAPBEXstdData 3 2 6" xfId="5490"/>
    <cellStyle name="SAPBEXstdData 3 2 6 2" xfId="10769"/>
    <cellStyle name="SAPBEXstdData 3 2 6 3" xfId="15592"/>
    <cellStyle name="SAPBEXstdData 3 2 7" xfId="5491"/>
    <cellStyle name="SAPBEXstdData 3 2 7 2" xfId="10770"/>
    <cellStyle name="SAPBEXstdData 3 2 7 3" xfId="15593"/>
    <cellStyle name="SAPBEXstdData 3 2 8" xfId="6031"/>
    <cellStyle name="SAPBEXstdData 3 2 9" xfId="15585"/>
    <cellStyle name="SAPBEXstdData 3 3" xfId="1179"/>
    <cellStyle name="SAPBEXstdData 3 3 10" xfId="2416"/>
    <cellStyle name="SAPBEXstdData 3 3 10 2" xfId="7695"/>
    <cellStyle name="SAPBEXstdData 3 3 10 3" xfId="11504"/>
    <cellStyle name="SAPBEXstdData 3 3 11" xfId="6458"/>
    <cellStyle name="SAPBEXstdData 3 3 2" xfId="1796"/>
    <cellStyle name="SAPBEXstdData 3 3 2 2" xfId="3030"/>
    <cellStyle name="SAPBEXstdData 3 3 2 2 2" xfId="8309"/>
    <cellStyle name="SAPBEXstdData 3 3 2 2 3" xfId="15595"/>
    <cellStyle name="SAPBEXstdData 3 3 2 3" xfId="7075"/>
    <cellStyle name="SAPBEXstdData 3 3 2 4" xfId="15594"/>
    <cellStyle name="SAPBEXstdData 3 3 3" xfId="5492"/>
    <cellStyle name="SAPBEXstdData 3 3 3 2" xfId="10771"/>
    <cellStyle name="SAPBEXstdData 3 3 3 3" xfId="15596"/>
    <cellStyle name="SAPBEXstdData 3 3 4" xfId="5493"/>
    <cellStyle name="SAPBEXstdData 3 3 4 2" xfId="10772"/>
    <cellStyle name="SAPBEXstdData 3 3 4 3" xfId="15597"/>
    <cellStyle name="SAPBEXstdData 3 3 5" xfId="5494"/>
    <cellStyle name="SAPBEXstdData 3 3 5 2" xfId="10773"/>
    <cellStyle name="SAPBEXstdData 3 3 5 3" xfId="15598"/>
    <cellStyle name="SAPBEXstdData 3 3 6" xfId="5495"/>
    <cellStyle name="SAPBEXstdData 3 3 6 2" xfId="10774"/>
    <cellStyle name="SAPBEXstdData 3 3 6 3" xfId="15599"/>
    <cellStyle name="SAPBEXstdData 3 3 7" xfId="5496"/>
    <cellStyle name="SAPBEXstdData 3 3 7 2" xfId="10775"/>
    <cellStyle name="SAPBEXstdData 3 3 7 3" xfId="15600"/>
    <cellStyle name="SAPBEXstdData 3 3 8" xfId="5497"/>
    <cellStyle name="SAPBEXstdData 3 3 8 2" xfId="10776"/>
    <cellStyle name="SAPBEXstdData 3 3 8 3" xfId="15601"/>
    <cellStyle name="SAPBEXstdData 3 3 9" xfId="5498"/>
    <cellStyle name="SAPBEXstdData 3 3 9 2" xfId="10777"/>
    <cellStyle name="SAPBEXstdData 3 3 9 3" xfId="15602"/>
    <cellStyle name="SAPBEXstdData 3 4" xfId="1180"/>
    <cellStyle name="SAPBEXstdData 3 4 10" xfId="2417"/>
    <cellStyle name="SAPBEXstdData 3 4 10 2" xfId="7696"/>
    <cellStyle name="SAPBEXstdData 3 4 10 3" xfId="11505"/>
    <cellStyle name="SAPBEXstdData 3 4 11" xfId="6459"/>
    <cellStyle name="SAPBEXstdData 3 4 2" xfId="1797"/>
    <cellStyle name="SAPBEXstdData 3 4 2 2" xfId="3031"/>
    <cellStyle name="SAPBEXstdData 3 4 2 2 2" xfId="8310"/>
    <cellStyle name="SAPBEXstdData 3 4 2 2 3" xfId="15604"/>
    <cellStyle name="SAPBEXstdData 3 4 2 3" xfId="7076"/>
    <cellStyle name="SAPBEXstdData 3 4 2 4" xfId="15603"/>
    <cellStyle name="SAPBEXstdData 3 4 3" xfId="5499"/>
    <cellStyle name="SAPBEXstdData 3 4 3 2" xfId="10778"/>
    <cellStyle name="SAPBEXstdData 3 4 3 3" xfId="15605"/>
    <cellStyle name="SAPBEXstdData 3 4 4" xfId="5500"/>
    <cellStyle name="SAPBEXstdData 3 4 4 2" xfId="10779"/>
    <cellStyle name="SAPBEXstdData 3 4 4 3" xfId="15606"/>
    <cellStyle name="SAPBEXstdData 3 4 5" xfId="5501"/>
    <cellStyle name="SAPBEXstdData 3 4 5 2" xfId="10780"/>
    <cellStyle name="SAPBEXstdData 3 4 5 3" xfId="15607"/>
    <cellStyle name="SAPBEXstdData 3 4 6" xfId="5502"/>
    <cellStyle name="SAPBEXstdData 3 4 6 2" xfId="10781"/>
    <cellStyle name="SAPBEXstdData 3 4 6 3" xfId="15608"/>
    <cellStyle name="SAPBEXstdData 3 4 7" xfId="5503"/>
    <cellStyle name="SAPBEXstdData 3 4 7 2" xfId="10782"/>
    <cellStyle name="SAPBEXstdData 3 4 7 3" xfId="15609"/>
    <cellStyle name="SAPBEXstdData 3 4 8" xfId="5504"/>
    <cellStyle name="SAPBEXstdData 3 4 8 2" xfId="10783"/>
    <cellStyle name="SAPBEXstdData 3 4 8 3" xfId="15610"/>
    <cellStyle name="SAPBEXstdData 3 4 9" xfId="5505"/>
    <cellStyle name="SAPBEXstdData 3 4 9 2" xfId="10784"/>
    <cellStyle name="SAPBEXstdData 3 4 9 3" xfId="15611"/>
    <cellStyle name="SAPBEXstdData 3 5" xfId="1181"/>
    <cellStyle name="SAPBEXstdData 3 5 10" xfId="2418"/>
    <cellStyle name="SAPBEXstdData 3 5 10 2" xfId="7697"/>
    <cellStyle name="SAPBEXstdData 3 5 10 3" xfId="11506"/>
    <cellStyle name="SAPBEXstdData 3 5 11" xfId="6460"/>
    <cellStyle name="SAPBEXstdData 3 5 2" xfId="1798"/>
    <cellStyle name="SAPBEXstdData 3 5 2 2" xfId="3032"/>
    <cellStyle name="SAPBEXstdData 3 5 2 2 2" xfId="8311"/>
    <cellStyle name="SAPBEXstdData 3 5 2 2 3" xfId="15613"/>
    <cellStyle name="SAPBEXstdData 3 5 2 3" xfId="7077"/>
    <cellStyle name="SAPBEXstdData 3 5 2 4" xfId="15612"/>
    <cellStyle name="SAPBEXstdData 3 5 3" xfId="5506"/>
    <cellStyle name="SAPBEXstdData 3 5 3 2" xfId="10785"/>
    <cellStyle name="SAPBEXstdData 3 5 3 3" xfId="15614"/>
    <cellStyle name="SAPBEXstdData 3 5 4" xfId="5507"/>
    <cellStyle name="SAPBEXstdData 3 5 4 2" xfId="10786"/>
    <cellStyle name="SAPBEXstdData 3 5 4 3" xfId="15615"/>
    <cellStyle name="SAPBEXstdData 3 5 5" xfId="5508"/>
    <cellStyle name="SAPBEXstdData 3 5 5 2" xfId="10787"/>
    <cellStyle name="SAPBEXstdData 3 5 5 3" xfId="15616"/>
    <cellStyle name="SAPBEXstdData 3 5 6" xfId="5509"/>
    <cellStyle name="SAPBEXstdData 3 5 6 2" xfId="10788"/>
    <cellStyle name="SAPBEXstdData 3 5 6 3" xfId="15617"/>
    <cellStyle name="SAPBEXstdData 3 5 7" xfId="5510"/>
    <cellStyle name="SAPBEXstdData 3 5 7 2" xfId="10789"/>
    <cellStyle name="SAPBEXstdData 3 5 7 3" xfId="15618"/>
    <cellStyle name="SAPBEXstdData 3 5 8" xfId="5511"/>
    <cellStyle name="SAPBEXstdData 3 5 8 2" xfId="10790"/>
    <cellStyle name="SAPBEXstdData 3 5 8 3" xfId="15619"/>
    <cellStyle name="SAPBEXstdData 3 5 9" xfId="5512"/>
    <cellStyle name="SAPBEXstdData 3 5 9 2" xfId="10791"/>
    <cellStyle name="SAPBEXstdData 3 5 9 3" xfId="15620"/>
    <cellStyle name="SAPBEXstdData 3 6" xfId="1182"/>
    <cellStyle name="SAPBEXstdData 3 6 10" xfId="2419"/>
    <cellStyle name="SAPBEXstdData 3 6 10 2" xfId="7698"/>
    <cellStyle name="SAPBEXstdData 3 6 10 3" xfId="11507"/>
    <cellStyle name="SAPBEXstdData 3 6 11" xfId="6461"/>
    <cellStyle name="SAPBEXstdData 3 6 2" xfId="1799"/>
    <cellStyle name="SAPBEXstdData 3 6 2 2" xfId="3033"/>
    <cellStyle name="SAPBEXstdData 3 6 2 2 2" xfId="8312"/>
    <cellStyle name="SAPBEXstdData 3 6 2 2 3" xfId="15622"/>
    <cellStyle name="SAPBEXstdData 3 6 2 3" xfId="7078"/>
    <cellStyle name="SAPBEXstdData 3 6 2 4" xfId="15621"/>
    <cellStyle name="SAPBEXstdData 3 6 3" xfId="5513"/>
    <cellStyle name="SAPBEXstdData 3 6 3 2" xfId="10792"/>
    <cellStyle name="SAPBEXstdData 3 6 3 3" xfId="15623"/>
    <cellStyle name="SAPBEXstdData 3 6 4" xfId="5514"/>
    <cellStyle name="SAPBEXstdData 3 6 4 2" xfId="10793"/>
    <cellStyle name="SAPBEXstdData 3 6 4 3" xfId="15624"/>
    <cellStyle name="SAPBEXstdData 3 6 5" xfId="5515"/>
    <cellStyle name="SAPBEXstdData 3 6 5 2" xfId="10794"/>
    <cellStyle name="SAPBEXstdData 3 6 5 3" xfId="15625"/>
    <cellStyle name="SAPBEXstdData 3 6 6" xfId="5516"/>
    <cellStyle name="SAPBEXstdData 3 6 6 2" xfId="10795"/>
    <cellStyle name="SAPBEXstdData 3 6 6 3" xfId="15626"/>
    <cellStyle name="SAPBEXstdData 3 6 7" xfId="5517"/>
    <cellStyle name="SAPBEXstdData 3 6 7 2" xfId="10796"/>
    <cellStyle name="SAPBEXstdData 3 6 7 3" xfId="15627"/>
    <cellStyle name="SAPBEXstdData 3 6 8" xfId="5518"/>
    <cellStyle name="SAPBEXstdData 3 6 8 2" xfId="10797"/>
    <cellStyle name="SAPBEXstdData 3 6 8 3" xfId="15628"/>
    <cellStyle name="SAPBEXstdData 3 6 9" xfId="5519"/>
    <cellStyle name="SAPBEXstdData 3 6 9 2" xfId="10798"/>
    <cellStyle name="SAPBEXstdData 3 6 9 3" xfId="15629"/>
    <cellStyle name="SAPBEXstdData 3 7" xfId="1324"/>
    <cellStyle name="SAPBEXstdData 3 7 2" xfId="2558"/>
    <cellStyle name="SAPBEXstdData 3 7 2 2" xfId="7837"/>
    <cellStyle name="SAPBEXstdData 3 7 2 3" xfId="15631"/>
    <cellStyle name="SAPBEXstdData 3 7 3" xfId="6603"/>
    <cellStyle name="SAPBEXstdData 3 7 4" xfId="15630"/>
    <cellStyle name="SAPBEXstdData 3 8" xfId="5520"/>
    <cellStyle name="SAPBEXstdData 3 8 2" xfId="10799"/>
    <cellStyle name="SAPBEXstdData 3 8 3" xfId="15632"/>
    <cellStyle name="SAPBEXstdData 3 9" xfId="5521"/>
    <cellStyle name="SAPBEXstdData 3 9 2" xfId="10800"/>
    <cellStyle name="SAPBEXstdData 3 9 3" xfId="15633"/>
    <cellStyle name="SAPBEXstdData 4" xfId="640"/>
    <cellStyle name="SAPBEXstdData 4 10" xfId="5522"/>
    <cellStyle name="SAPBEXstdData 4 10 2" xfId="10801"/>
    <cellStyle name="SAPBEXstdData 4 10 3" xfId="15634"/>
    <cellStyle name="SAPBEXstdData 4 11" xfId="5523"/>
    <cellStyle name="SAPBEXstdData 4 11 2" xfId="10802"/>
    <cellStyle name="SAPBEXstdData 4 11 3" xfId="15635"/>
    <cellStyle name="SAPBEXstdData 4 12" xfId="2012"/>
    <cellStyle name="SAPBEXstdData 4 12 2" xfId="7291"/>
    <cellStyle name="SAPBEXstdData 4 12 3" xfId="11508"/>
    <cellStyle name="SAPBEXstdData 4 13" xfId="5987"/>
    <cellStyle name="SAPBEXstdData 4 2" xfId="741"/>
    <cellStyle name="SAPBEXstdData 4 2 2" xfId="1368"/>
    <cellStyle name="SAPBEXstdData 4 2 2 2" xfId="2602"/>
    <cellStyle name="SAPBEXstdData 4 2 2 2 2" xfId="7881"/>
    <cellStyle name="SAPBEXstdData 4 2 2 2 3" xfId="15638"/>
    <cellStyle name="SAPBEXstdData 4 2 2 3" xfId="6647"/>
    <cellStyle name="SAPBEXstdData 4 2 2 4" xfId="15637"/>
    <cellStyle name="SAPBEXstdData 4 2 3" xfId="1845"/>
    <cellStyle name="SAPBEXstdData 4 2 3 2" xfId="3079"/>
    <cellStyle name="SAPBEXstdData 4 2 3 2 2" xfId="8358"/>
    <cellStyle name="SAPBEXstdData 4 2 3 2 3" xfId="15640"/>
    <cellStyle name="SAPBEXstdData 4 2 3 3" xfId="7124"/>
    <cellStyle name="SAPBEXstdData 4 2 3 4" xfId="15639"/>
    <cellStyle name="SAPBEXstdData 4 2 4" xfId="5524"/>
    <cellStyle name="SAPBEXstdData 4 2 4 2" xfId="10803"/>
    <cellStyle name="SAPBEXstdData 4 2 4 3" xfId="15641"/>
    <cellStyle name="SAPBEXstdData 4 2 5" xfId="5525"/>
    <cellStyle name="SAPBEXstdData 4 2 5 2" xfId="10804"/>
    <cellStyle name="SAPBEXstdData 4 2 5 3" xfId="15642"/>
    <cellStyle name="SAPBEXstdData 4 2 6" xfId="5526"/>
    <cellStyle name="SAPBEXstdData 4 2 6 2" xfId="10805"/>
    <cellStyle name="SAPBEXstdData 4 2 6 3" xfId="15643"/>
    <cellStyle name="SAPBEXstdData 4 2 7" xfId="5527"/>
    <cellStyle name="SAPBEXstdData 4 2 7 2" xfId="10806"/>
    <cellStyle name="SAPBEXstdData 4 2 7 3" xfId="15644"/>
    <cellStyle name="SAPBEXstdData 4 2 8" xfId="6030"/>
    <cellStyle name="SAPBEXstdData 4 2 9" xfId="15636"/>
    <cellStyle name="SAPBEXstdData 4 3" xfId="1183"/>
    <cellStyle name="SAPBEXstdData 4 3 10" xfId="2420"/>
    <cellStyle name="SAPBEXstdData 4 3 10 2" xfId="7699"/>
    <cellStyle name="SAPBEXstdData 4 3 10 3" xfId="11509"/>
    <cellStyle name="SAPBEXstdData 4 3 11" xfId="6462"/>
    <cellStyle name="SAPBEXstdData 4 3 2" xfId="1800"/>
    <cellStyle name="SAPBEXstdData 4 3 2 2" xfId="3034"/>
    <cellStyle name="SAPBEXstdData 4 3 2 2 2" xfId="8313"/>
    <cellStyle name="SAPBEXstdData 4 3 2 2 3" xfId="15646"/>
    <cellStyle name="SAPBEXstdData 4 3 2 3" xfId="7079"/>
    <cellStyle name="SAPBEXstdData 4 3 2 4" xfId="15645"/>
    <cellStyle name="SAPBEXstdData 4 3 3" xfId="5528"/>
    <cellStyle name="SAPBEXstdData 4 3 3 2" xfId="10807"/>
    <cellStyle name="SAPBEXstdData 4 3 3 3" xfId="15647"/>
    <cellStyle name="SAPBEXstdData 4 3 4" xfId="5529"/>
    <cellStyle name="SAPBEXstdData 4 3 4 2" xfId="10808"/>
    <cellStyle name="SAPBEXstdData 4 3 4 3" xfId="15648"/>
    <cellStyle name="SAPBEXstdData 4 3 5" xfId="5530"/>
    <cellStyle name="SAPBEXstdData 4 3 5 2" xfId="10809"/>
    <cellStyle name="SAPBEXstdData 4 3 5 3" xfId="15649"/>
    <cellStyle name="SAPBEXstdData 4 3 6" xfId="5531"/>
    <cellStyle name="SAPBEXstdData 4 3 6 2" xfId="10810"/>
    <cellStyle name="SAPBEXstdData 4 3 6 3" xfId="15650"/>
    <cellStyle name="SAPBEXstdData 4 3 7" xfId="5532"/>
    <cellStyle name="SAPBEXstdData 4 3 7 2" xfId="10811"/>
    <cellStyle name="SAPBEXstdData 4 3 7 3" xfId="15651"/>
    <cellStyle name="SAPBEXstdData 4 3 8" xfId="5533"/>
    <cellStyle name="SAPBEXstdData 4 3 8 2" xfId="10812"/>
    <cellStyle name="SAPBEXstdData 4 3 8 3" xfId="15652"/>
    <cellStyle name="SAPBEXstdData 4 3 9" xfId="5534"/>
    <cellStyle name="SAPBEXstdData 4 3 9 2" xfId="10813"/>
    <cellStyle name="SAPBEXstdData 4 3 9 3" xfId="15653"/>
    <cellStyle name="SAPBEXstdData 4 4" xfId="1184"/>
    <cellStyle name="SAPBEXstdData 4 4 10" xfId="2421"/>
    <cellStyle name="SAPBEXstdData 4 4 10 2" xfId="7700"/>
    <cellStyle name="SAPBEXstdData 4 4 10 3" xfId="11510"/>
    <cellStyle name="SAPBEXstdData 4 4 11" xfId="6463"/>
    <cellStyle name="SAPBEXstdData 4 4 2" xfId="1801"/>
    <cellStyle name="SAPBEXstdData 4 4 2 2" xfId="3035"/>
    <cellStyle name="SAPBEXstdData 4 4 2 2 2" xfId="8314"/>
    <cellStyle name="SAPBEXstdData 4 4 2 2 3" xfId="15655"/>
    <cellStyle name="SAPBEXstdData 4 4 2 3" xfId="7080"/>
    <cellStyle name="SAPBEXstdData 4 4 2 4" xfId="15654"/>
    <cellStyle name="SAPBEXstdData 4 4 3" xfId="5535"/>
    <cellStyle name="SAPBEXstdData 4 4 3 2" xfId="10814"/>
    <cellStyle name="SAPBEXstdData 4 4 3 3" xfId="15656"/>
    <cellStyle name="SAPBEXstdData 4 4 4" xfId="5536"/>
    <cellStyle name="SAPBEXstdData 4 4 4 2" xfId="10815"/>
    <cellStyle name="SAPBEXstdData 4 4 4 3" xfId="15657"/>
    <cellStyle name="SAPBEXstdData 4 4 5" xfId="5537"/>
    <cellStyle name="SAPBEXstdData 4 4 5 2" xfId="10816"/>
    <cellStyle name="SAPBEXstdData 4 4 5 3" xfId="15658"/>
    <cellStyle name="SAPBEXstdData 4 4 6" xfId="5538"/>
    <cellStyle name="SAPBEXstdData 4 4 6 2" xfId="10817"/>
    <cellStyle name="SAPBEXstdData 4 4 6 3" xfId="15659"/>
    <cellStyle name="SAPBEXstdData 4 4 7" xfId="5539"/>
    <cellStyle name="SAPBEXstdData 4 4 7 2" xfId="10818"/>
    <cellStyle name="SAPBEXstdData 4 4 7 3" xfId="15660"/>
    <cellStyle name="SAPBEXstdData 4 4 8" xfId="5540"/>
    <cellStyle name="SAPBEXstdData 4 4 8 2" xfId="10819"/>
    <cellStyle name="SAPBEXstdData 4 4 8 3" xfId="15661"/>
    <cellStyle name="SAPBEXstdData 4 4 9" xfId="5541"/>
    <cellStyle name="SAPBEXstdData 4 4 9 2" xfId="10820"/>
    <cellStyle name="SAPBEXstdData 4 4 9 3" xfId="15662"/>
    <cellStyle name="SAPBEXstdData 4 5" xfId="1185"/>
    <cellStyle name="SAPBEXstdData 4 5 10" xfId="2422"/>
    <cellStyle name="SAPBEXstdData 4 5 10 2" xfId="7701"/>
    <cellStyle name="SAPBEXstdData 4 5 10 3" xfId="11511"/>
    <cellStyle name="SAPBEXstdData 4 5 11" xfId="6464"/>
    <cellStyle name="SAPBEXstdData 4 5 2" xfId="1802"/>
    <cellStyle name="SAPBEXstdData 4 5 2 2" xfId="3036"/>
    <cellStyle name="SAPBEXstdData 4 5 2 2 2" xfId="8315"/>
    <cellStyle name="SAPBEXstdData 4 5 2 2 3" xfId="15664"/>
    <cellStyle name="SAPBEXstdData 4 5 2 3" xfId="7081"/>
    <cellStyle name="SAPBEXstdData 4 5 2 4" xfId="15663"/>
    <cellStyle name="SAPBEXstdData 4 5 3" xfId="5542"/>
    <cellStyle name="SAPBEXstdData 4 5 3 2" xfId="10821"/>
    <cellStyle name="SAPBEXstdData 4 5 3 3" xfId="15665"/>
    <cellStyle name="SAPBEXstdData 4 5 4" xfId="5543"/>
    <cellStyle name="SAPBEXstdData 4 5 4 2" xfId="10822"/>
    <cellStyle name="SAPBEXstdData 4 5 4 3" xfId="15666"/>
    <cellStyle name="SAPBEXstdData 4 5 5" xfId="5544"/>
    <cellStyle name="SAPBEXstdData 4 5 5 2" xfId="10823"/>
    <cellStyle name="SAPBEXstdData 4 5 5 3" xfId="15667"/>
    <cellStyle name="SAPBEXstdData 4 5 6" xfId="5545"/>
    <cellStyle name="SAPBEXstdData 4 5 6 2" xfId="10824"/>
    <cellStyle name="SAPBEXstdData 4 5 6 3" xfId="15668"/>
    <cellStyle name="SAPBEXstdData 4 5 7" xfId="5546"/>
    <cellStyle name="SAPBEXstdData 4 5 7 2" xfId="10825"/>
    <cellStyle name="SAPBEXstdData 4 5 7 3" xfId="15669"/>
    <cellStyle name="SAPBEXstdData 4 5 8" xfId="5547"/>
    <cellStyle name="SAPBEXstdData 4 5 8 2" xfId="10826"/>
    <cellStyle name="SAPBEXstdData 4 5 8 3" xfId="15670"/>
    <cellStyle name="SAPBEXstdData 4 5 9" xfId="5548"/>
    <cellStyle name="SAPBEXstdData 4 5 9 2" xfId="10827"/>
    <cellStyle name="SAPBEXstdData 4 5 9 3" xfId="15671"/>
    <cellStyle name="SAPBEXstdData 4 6" xfId="1186"/>
    <cellStyle name="SAPBEXstdData 4 6 10" xfId="2423"/>
    <cellStyle name="SAPBEXstdData 4 6 10 2" xfId="7702"/>
    <cellStyle name="SAPBEXstdData 4 6 10 3" xfId="11512"/>
    <cellStyle name="SAPBEXstdData 4 6 11" xfId="6465"/>
    <cellStyle name="SAPBEXstdData 4 6 2" xfId="1803"/>
    <cellStyle name="SAPBEXstdData 4 6 2 2" xfId="3037"/>
    <cellStyle name="SAPBEXstdData 4 6 2 2 2" xfId="8316"/>
    <cellStyle name="SAPBEXstdData 4 6 2 2 3" xfId="15673"/>
    <cellStyle name="SAPBEXstdData 4 6 2 3" xfId="7082"/>
    <cellStyle name="SAPBEXstdData 4 6 2 4" xfId="15672"/>
    <cellStyle name="SAPBEXstdData 4 6 3" xfId="5549"/>
    <cellStyle name="SAPBEXstdData 4 6 3 2" xfId="10828"/>
    <cellStyle name="SAPBEXstdData 4 6 3 3" xfId="15674"/>
    <cellStyle name="SAPBEXstdData 4 6 4" xfId="5550"/>
    <cellStyle name="SAPBEXstdData 4 6 4 2" xfId="10829"/>
    <cellStyle name="SAPBEXstdData 4 6 4 3" xfId="15675"/>
    <cellStyle name="SAPBEXstdData 4 6 5" xfId="5551"/>
    <cellStyle name="SAPBEXstdData 4 6 5 2" xfId="10830"/>
    <cellStyle name="SAPBEXstdData 4 6 5 3" xfId="15676"/>
    <cellStyle name="SAPBEXstdData 4 6 6" xfId="5552"/>
    <cellStyle name="SAPBEXstdData 4 6 6 2" xfId="10831"/>
    <cellStyle name="SAPBEXstdData 4 6 6 3" xfId="15677"/>
    <cellStyle name="SAPBEXstdData 4 6 7" xfId="5553"/>
    <cellStyle name="SAPBEXstdData 4 6 7 2" xfId="10832"/>
    <cellStyle name="SAPBEXstdData 4 6 7 3" xfId="15678"/>
    <cellStyle name="SAPBEXstdData 4 6 8" xfId="5554"/>
    <cellStyle name="SAPBEXstdData 4 6 8 2" xfId="10833"/>
    <cellStyle name="SAPBEXstdData 4 6 8 3" xfId="15679"/>
    <cellStyle name="SAPBEXstdData 4 6 9" xfId="5555"/>
    <cellStyle name="SAPBEXstdData 4 6 9 2" xfId="10834"/>
    <cellStyle name="SAPBEXstdData 4 6 9 3" xfId="15680"/>
    <cellStyle name="SAPBEXstdData 4 7" xfId="1325"/>
    <cellStyle name="SAPBEXstdData 4 7 2" xfId="2559"/>
    <cellStyle name="SAPBEXstdData 4 7 2 2" xfId="7838"/>
    <cellStyle name="SAPBEXstdData 4 7 2 3" xfId="15682"/>
    <cellStyle name="SAPBEXstdData 4 7 3" xfId="6604"/>
    <cellStyle name="SAPBEXstdData 4 7 4" xfId="15681"/>
    <cellStyle name="SAPBEXstdData 4 8" xfId="5556"/>
    <cellStyle name="SAPBEXstdData 4 8 2" xfId="10835"/>
    <cellStyle name="SAPBEXstdData 4 8 3" xfId="15683"/>
    <cellStyle name="SAPBEXstdData 4 9" xfId="5557"/>
    <cellStyle name="SAPBEXstdData 4 9 2" xfId="10836"/>
    <cellStyle name="SAPBEXstdData 4 9 3" xfId="15684"/>
    <cellStyle name="SAPBEXstdData 5" xfId="1187"/>
    <cellStyle name="SAPBEXstdData 5 10" xfId="2424"/>
    <cellStyle name="SAPBEXstdData 5 10 2" xfId="7703"/>
    <cellStyle name="SAPBEXstdData 5 10 3" xfId="11513"/>
    <cellStyle name="SAPBEXstdData 5 11" xfId="6466"/>
    <cellStyle name="SAPBEXstdData 5 2" xfId="1804"/>
    <cellStyle name="SAPBEXstdData 5 2 2" xfId="3038"/>
    <cellStyle name="SAPBEXstdData 5 2 2 2" xfId="8317"/>
    <cellStyle name="SAPBEXstdData 5 2 2 3" xfId="15686"/>
    <cellStyle name="SAPBEXstdData 5 2 3" xfId="7083"/>
    <cellStyle name="SAPBEXstdData 5 2 4" xfId="15685"/>
    <cellStyle name="SAPBEXstdData 5 3" xfId="5558"/>
    <cellStyle name="SAPBEXstdData 5 3 2" xfId="10837"/>
    <cellStyle name="SAPBEXstdData 5 3 3" xfId="15687"/>
    <cellStyle name="SAPBEXstdData 5 4" xfId="5559"/>
    <cellStyle name="SAPBEXstdData 5 4 2" xfId="10838"/>
    <cellStyle name="SAPBEXstdData 5 4 3" xfId="15688"/>
    <cellStyle name="SAPBEXstdData 5 5" xfId="5560"/>
    <cellStyle name="SAPBEXstdData 5 5 2" xfId="10839"/>
    <cellStyle name="SAPBEXstdData 5 5 3" xfId="15689"/>
    <cellStyle name="SAPBEXstdData 5 6" xfId="5561"/>
    <cellStyle name="SAPBEXstdData 5 6 2" xfId="10840"/>
    <cellStyle name="SAPBEXstdData 5 6 3" xfId="15690"/>
    <cellStyle name="SAPBEXstdData 5 7" xfId="5562"/>
    <cellStyle name="SAPBEXstdData 5 7 2" xfId="10841"/>
    <cellStyle name="SAPBEXstdData 5 7 3" xfId="15691"/>
    <cellStyle name="SAPBEXstdData 5 8" xfId="5563"/>
    <cellStyle name="SAPBEXstdData 5 8 2" xfId="10842"/>
    <cellStyle name="SAPBEXstdData 5 8 3" xfId="15692"/>
    <cellStyle name="SAPBEXstdData 5 9" xfId="5564"/>
    <cellStyle name="SAPBEXstdData 5 9 2" xfId="10843"/>
    <cellStyle name="SAPBEXstdData 5 9 3" xfId="15693"/>
    <cellStyle name="SAPBEXstdData 6" xfId="1228"/>
    <cellStyle name="SAPBEXstdData 6 2" xfId="2462"/>
    <cellStyle name="SAPBEXstdData 6 2 2" xfId="7741"/>
    <cellStyle name="SAPBEXstdData 6 2 3" xfId="15695"/>
    <cellStyle name="SAPBEXstdData 6 3" xfId="6507"/>
    <cellStyle name="SAPBEXstdData 6 4" xfId="15694"/>
    <cellStyle name="SAPBEXstdData 7" xfId="5565"/>
    <cellStyle name="SAPBEXstdData 7 2" xfId="10844"/>
    <cellStyle name="SAPBEXstdData 7 3" xfId="15696"/>
    <cellStyle name="SAPBEXstdData 8" xfId="1915"/>
    <cellStyle name="SAPBEXstdData 8 2" xfId="7194"/>
    <cellStyle name="SAPBEXstdData 8 3" xfId="11514"/>
    <cellStyle name="SAPBEXstdData 9" xfId="5844"/>
    <cellStyle name="SAPBEXstdData_Copy of xSAPtemp5457" xfId="5886"/>
    <cellStyle name="SAPBEXstdDataEmph" xfId="5862"/>
    <cellStyle name="SAPBEXstdItem" xfId="35"/>
    <cellStyle name="SAPBEXstdItem 10" xfId="5843"/>
    <cellStyle name="SAPBEXstdItem 11" xfId="11162"/>
    <cellStyle name="SAPBEXstdItem 2" xfId="641"/>
    <cellStyle name="SAPBEXstdItem 2 10" xfId="5566"/>
    <cellStyle name="SAPBEXstdItem 2 10 2" xfId="10845"/>
    <cellStyle name="SAPBEXstdItem 2 10 3" xfId="15697"/>
    <cellStyle name="SAPBEXstdItem 2 10 3 2" xfId="62579"/>
    <cellStyle name="SAPBEXstdItem 2 11" xfId="5567"/>
    <cellStyle name="SAPBEXstdItem 2 11 2" xfId="10846"/>
    <cellStyle name="SAPBEXstdItem 2 11 3" xfId="15698"/>
    <cellStyle name="SAPBEXstdItem 2 12" xfId="2013"/>
    <cellStyle name="SAPBEXstdItem 2 12 2" xfId="7292"/>
    <cellStyle name="SAPBEXstdItem 2 12 3" xfId="11515"/>
    <cellStyle name="SAPBEXstdItem 2 13" xfId="5988"/>
    <cellStyle name="SAPBEXstdItem 2 2" xfId="740"/>
    <cellStyle name="SAPBEXstdItem 2 2 2" xfId="1367"/>
    <cellStyle name="SAPBEXstdItem 2 2 2 2" xfId="2601"/>
    <cellStyle name="SAPBEXstdItem 2 2 2 2 2" xfId="7880"/>
    <cellStyle name="SAPBEXstdItem 2 2 2 2 3" xfId="15701"/>
    <cellStyle name="SAPBEXstdItem 2 2 2 3" xfId="6646"/>
    <cellStyle name="SAPBEXstdItem 2 2 2 4" xfId="15700"/>
    <cellStyle name="SAPBEXstdItem 2 2 3" xfId="1844"/>
    <cellStyle name="SAPBEXstdItem 2 2 3 2" xfId="3078"/>
    <cellStyle name="SAPBEXstdItem 2 2 3 2 2" xfId="8357"/>
    <cellStyle name="SAPBEXstdItem 2 2 3 2 3" xfId="15703"/>
    <cellStyle name="SAPBEXstdItem 2 2 3 3" xfId="7123"/>
    <cellStyle name="SAPBEXstdItem 2 2 3 4" xfId="15702"/>
    <cellStyle name="SAPBEXstdItem 2 2 4" xfId="5568"/>
    <cellStyle name="SAPBEXstdItem 2 2 4 2" xfId="10847"/>
    <cellStyle name="SAPBEXstdItem 2 2 4 3" xfId="15704"/>
    <cellStyle name="SAPBEXstdItem 2 2 5" xfId="5569"/>
    <cellStyle name="SAPBEXstdItem 2 2 5 2" xfId="10848"/>
    <cellStyle name="SAPBEXstdItem 2 2 5 3" xfId="15705"/>
    <cellStyle name="SAPBEXstdItem 2 2 6" xfId="5570"/>
    <cellStyle name="SAPBEXstdItem 2 2 6 2" xfId="10849"/>
    <cellStyle name="SAPBEXstdItem 2 2 6 3" xfId="15706"/>
    <cellStyle name="SAPBEXstdItem 2 2 7" xfId="5571"/>
    <cellStyle name="SAPBEXstdItem 2 2 7 2" xfId="10850"/>
    <cellStyle name="SAPBEXstdItem 2 2 7 3" xfId="15707"/>
    <cellStyle name="SAPBEXstdItem 2 2 8" xfId="6029"/>
    <cellStyle name="SAPBEXstdItem 2 2 9" xfId="15699"/>
    <cellStyle name="SAPBEXstdItem 2 3" xfId="1188"/>
    <cellStyle name="SAPBEXstdItem 2 3 10" xfId="2425"/>
    <cellStyle name="SAPBEXstdItem 2 3 10 2" xfId="7704"/>
    <cellStyle name="SAPBEXstdItem 2 3 10 3" xfId="11516"/>
    <cellStyle name="SAPBEXstdItem 2 3 11" xfId="6467"/>
    <cellStyle name="SAPBEXstdItem 2 3 2" xfId="1805"/>
    <cellStyle name="SAPBEXstdItem 2 3 2 2" xfId="3039"/>
    <cellStyle name="SAPBEXstdItem 2 3 2 2 2" xfId="8318"/>
    <cellStyle name="SAPBEXstdItem 2 3 2 2 3" xfId="15709"/>
    <cellStyle name="SAPBEXstdItem 2 3 2 3" xfId="7084"/>
    <cellStyle name="SAPBEXstdItem 2 3 2 4" xfId="15708"/>
    <cellStyle name="SAPBEXstdItem 2 3 3" xfId="5572"/>
    <cellStyle name="SAPBEXstdItem 2 3 3 2" xfId="10851"/>
    <cellStyle name="SAPBEXstdItem 2 3 3 3" xfId="15710"/>
    <cellStyle name="SAPBEXstdItem 2 3 4" xfId="5573"/>
    <cellStyle name="SAPBEXstdItem 2 3 4 2" xfId="10852"/>
    <cellStyle name="SAPBEXstdItem 2 3 4 3" xfId="15711"/>
    <cellStyle name="SAPBEXstdItem 2 3 5" xfId="5574"/>
    <cellStyle name="SAPBEXstdItem 2 3 5 2" xfId="10853"/>
    <cellStyle name="SAPBEXstdItem 2 3 5 3" xfId="15712"/>
    <cellStyle name="SAPBEXstdItem 2 3 6" xfId="5575"/>
    <cellStyle name="SAPBEXstdItem 2 3 6 2" xfId="10854"/>
    <cellStyle name="SAPBEXstdItem 2 3 6 3" xfId="15713"/>
    <cellStyle name="SAPBEXstdItem 2 3 7" xfId="5576"/>
    <cellStyle name="SAPBEXstdItem 2 3 7 2" xfId="10855"/>
    <cellStyle name="SAPBEXstdItem 2 3 7 3" xfId="15714"/>
    <cellStyle name="SAPBEXstdItem 2 3 8" xfId="5577"/>
    <cellStyle name="SAPBEXstdItem 2 3 8 2" xfId="10856"/>
    <cellStyle name="SAPBEXstdItem 2 3 8 3" xfId="15715"/>
    <cellStyle name="SAPBEXstdItem 2 3 9" xfId="5578"/>
    <cellStyle name="SAPBEXstdItem 2 3 9 2" xfId="10857"/>
    <cellStyle name="SAPBEXstdItem 2 3 9 3" xfId="15716"/>
    <cellStyle name="SAPBEXstdItem 2 4" xfId="1189"/>
    <cellStyle name="SAPBEXstdItem 2 4 10" xfId="2426"/>
    <cellStyle name="SAPBEXstdItem 2 4 10 2" xfId="7705"/>
    <cellStyle name="SAPBEXstdItem 2 4 10 3" xfId="11517"/>
    <cellStyle name="SAPBEXstdItem 2 4 11" xfId="6468"/>
    <cellStyle name="SAPBEXstdItem 2 4 2" xfId="1806"/>
    <cellStyle name="SAPBEXstdItem 2 4 2 2" xfId="3040"/>
    <cellStyle name="SAPBEXstdItem 2 4 2 2 2" xfId="8319"/>
    <cellStyle name="SAPBEXstdItem 2 4 2 2 3" xfId="15718"/>
    <cellStyle name="SAPBEXstdItem 2 4 2 3" xfId="7085"/>
    <cellStyle name="SAPBEXstdItem 2 4 2 4" xfId="15717"/>
    <cellStyle name="SAPBEXstdItem 2 4 3" xfId="5579"/>
    <cellStyle name="SAPBEXstdItem 2 4 3 2" xfId="10858"/>
    <cellStyle name="SAPBEXstdItem 2 4 3 3" xfId="15719"/>
    <cellStyle name="SAPBEXstdItem 2 4 4" xfId="5580"/>
    <cellStyle name="SAPBEXstdItem 2 4 4 2" xfId="10859"/>
    <cellStyle name="SAPBEXstdItem 2 4 4 3" xfId="15720"/>
    <cellStyle name="SAPBEXstdItem 2 4 5" xfId="5581"/>
    <cellStyle name="SAPBEXstdItem 2 4 5 2" xfId="10860"/>
    <cellStyle name="SAPBEXstdItem 2 4 5 3" xfId="15721"/>
    <cellStyle name="SAPBEXstdItem 2 4 6" xfId="5582"/>
    <cellStyle name="SAPBEXstdItem 2 4 6 2" xfId="10861"/>
    <cellStyle name="SAPBEXstdItem 2 4 6 3" xfId="15722"/>
    <cellStyle name="SAPBEXstdItem 2 4 7" xfId="5583"/>
    <cellStyle name="SAPBEXstdItem 2 4 7 2" xfId="10862"/>
    <cellStyle name="SAPBEXstdItem 2 4 7 3" xfId="15723"/>
    <cellStyle name="SAPBEXstdItem 2 4 8" xfId="5584"/>
    <cellStyle name="SAPBEXstdItem 2 4 8 2" xfId="10863"/>
    <cellStyle name="SAPBEXstdItem 2 4 8 3" xfId="15724"/>
    <cellStyle name="SAPBEXstdItem 2 4 9" xfId="5585"/>
    <cellStyle name="SAPBEXstdItem 2 4 9 2" xfId="10864"/>
    <cellStyle name="SAPBEXstdItem 2 4 9 3" xfId="15725"/>
    <cellStyle name="SAPBEXstdItem 2 5" xfId="1190"/>
    <cellStyle name="SAPBEXstdItem 2 5 10" xfId="2427"/>
    <cellStyle name="SAPBEXstdItem 2 5 10 2" xfId="7706"/>
    <cellStyle name="SAPBEXstdItem 2 5 10 3" xfId="11518"/>
    <cellStyle name="SAPBEXstdItem 2 5 11" xfId="6469"/>
    <cellStyle name="SAPBEXstdItem 2 5 2" xfId="1807"/>
    <cellStyle name="SAPBEXstdItem 2 5 2 2" xfId="3041"/>
    <cellStyle name="SAPBEXstdItem 2 5 2 2 2" xfId="8320"/>
    <cellStyle name="SAPBEXstdItem 2 5 2 2 3" xfId="15727"/>
    <cellStyle name="SAPBEXstdItem 2 5 2 3" xfId="7086"/>
    <cellStyle name="SAPBEXstdItem 2 5 2 4" xfId="15726"/>
    <cellStyle name="SAPBEXstdItem 2 5 3" xfId="5586"/>
    <cellStyle name="SAPBEXstdItem 2 5 3 2" xfId="10865"/>
    <cellStyle name="SAPBEXstdItem 2 5 3 3" xfId="15728"/>
    <cellStyle name="SAPBEXstdItem 2 5 4" xfId="5587"/>
    <cellStyle name="SAPBEXstdItem 2 5 4 2" xfId="10866"/>
    <cellStyle name="SAPBEXstdItem 2 5 4 3" xfId="15729"/>
    <cellStyle name="SAPBEXstdItem 2 5 5" xfId="5588"/>
    <cellStyle name="SAPBEXstdItem 2 5 5 2" xfId="10867"/>
    <cellStyle name="SAPBEXstdItem 2 5 5 3" xfId="15730"/>
    <cellStyle name="SAPBEXstdItem 2 5 6" xfId="5589"/>
    <cellStyle name="SAPBEXstdItem 2 5 6 2" xfId="10868"/>
    <cellStyle name="SAPBEXstdItem 2 5 6 3" xfId="15731"/>
    <cellStyle name="SAPBEXstdItem 2 5 7" xfId="5590"/>
    <cellStyle name="SAPBEXstdItem 2 5 7 2" xfId="10869"/>
    <cellStyle name="SAPBEXstdItem 2 5 7 3" xfId="15732"/>
    <cellStyle name="SAPBEXstdItem 2 5 8" xfId="5591"/>
    <cellStyle name="SAPBEXstdItem 2 5 8 2" xfId="10870"/>
    <cellStyle name="SAPBEXstdItem 2 5 8 3" xfId="15733"/>
    <cellStyle name="SAPBEXstdItem 2 5 9" xfId="5592"/>
    <cellStyle name="SAPBEXstdItem 2 5 9 2" xfId="10871"/>
    <cellStyle name="SAPBEXstdItem 2 5 9 3" xfId="15734"/>
    <cellStyle name="SAPBEXstdItem 2 6" xfId="1191"/>
    <cellStyle name="SAPBEXstdItem 2 6 10" xfId="2428"/>
    <cellStyle name="SAPBEXstdItem 2 6 10 2" xfId="7707"/>
    <cellStyle name="SAPBEXstdItem 2 6 10 3" xfId="11519"/>
    <cellStyle name="SAPBEXstdItem 2 6 11" xfId="6470"/>
    <cellStyle name="SAPBEXstdItem 2 6 2" xfId="1808"/>
    <cellStyle name="SAPBEXstdItem 2 6 2 2" xfId="3042"/>
    <cellStyle name="SAPBEXstdItem 2 6 2 2 2" xfId="8321"/>
    <cellStyle name="SAPBEXstdItem 2 6 2 2 3" xfId="15736"/>
    <cellStyle name="SAPBEXstdItem 2 6 2 3" xfId="7087"/>
    <cellStyle name="SAPBEXstdItem 2 6 2 4" xfId="15735"/>
    <cellStyle name="SAPBEXstdItem 2 6 3" xfId="5593"/>
    <cellStyle name="SAPBEXstdItem 2 6 3 2" xfId="10872"/>
    <cellStyle name="SAPBEXstdItem 2 6 3 3" xfId="15737"/>
    <cellStyle name="SAPBEXstdItem 2 6 4" xfId="5594"/>
    <cellStyle name="SAPBEXstdItem 2 6 4 2" xfId="10873"/>
    <cellStyle name="SAPBEXstdItem 2 6 4 3" xfId="15738"/>
    <cellStyle name="SAPBEXstdItem 2 6 5" xfId="5595"/>
    <cellStyle name="SAPBEXstdItem 2 6 5 2" xfId="10874"/>
    <cellStyle name="SAPBEXstdItem 2 6 5 3" xfId="15739"/>
    <cellStyle name="SAPBEXstdItem 2 6 6" xfId="5596"/>
    <cellStyle name="SAPBEXstdItem 2 6 6 2" xfId="10875"/>
    <cellStyle name="SAPBEXstdItem 2 6 6 3" xfId="15740"/>
    <cellStyle name="SAPBEXstdItem 2 6 7" xfId="5597"/>
    <cellStyle name="SAPBEXstdItem 2 6 7 2" xfId="10876"/>
    <cellStyle name="SAPBEXstdItem 2 6 7 3" xfId="15741"/>
    <cellStyle name="SAPBEXstdItem 2 6 8" xfId="5598"/>
    <cellStyle name="SAPBEXstdItem 2 6 8 2" xfId="10877"/>
    <cellStyle name="SAPBEXstdItem 2 6 8 3" xfId="15742"/>
    <cellStyle name="SAPBEXstdItem 2 6 9" xfId="5599"/>
    <cellStyle name="SAPBEXstdItem 2 6 9 2" xfId="10878"/>
    <cellStyle name="SAPBEXstdItem 2 6 9 3" xfId="15743"/>
    <cellStyle name="SAPBEXstdItem 2 7" xfId="1326"/>
    <cellStyle name="SAPBEXstdItem 2 7 2" xfId="2560"/>
    <cellStyle name="SAPBEXstdItem 2 7 2 2" xfId="7839"/>
    <cellStyle name="SAPBEXstdItem 2 7 2 3" xfId="15745"/>
    <cellStyle name="SAPBEXstdItem 2 7 3" xfId="6605"/>
    <cellStyle name="SAPBEXstdItem 2 7 4" xfId="15744"/>
    <cellStyle name="SAPBEXstdItem 2 8" xfId="5600"/>
    <cellStyle name="SAPBEXstdItem 2 8 2" xfId="10879"/>
    <cellStyle name="SAPBEXstdItem 2 8 3" xfId="15746"/>
    <cellStyle name="SAPBEXstdItem 2 9" xfId="5601"/>
    <cellStyle name="SAPBEXstdItem 2 9 2" xfId="10880"/>
    <cellStyle name="SAPBEXstdItem 2 9 3" xfId="15747"/>
    <cellStyle name="SAPBEXstdItem 3" xfId="642"/>
    <cellStyle name="SAPBEXstdItem 3 10" xfId="5602"/>
    <cellStyle name="SAPBEXstdItem 3 10 2" xfId="10881"/>
    <cellStyle name="SAPBEXstdItem 3 10 3" xfId="15748"/>
    <cellStyle name="SAPBEXstdItem 3 11" xfId="5603"/>
    <cellStyle name="SAPBEXstdItem 3 11 2" xfId="10882"/>
    <cellStyle name="SAPBEXstdItem 3 11 3" xfId="15749"/>
    <cellStyle name="SAPBEXstdItem 3 12" xfId="2014"/>
    <cellStyle name="SAPBEXstdItem 3 12 2" xfId="7293"/>
    <cellStyle name="SAPBEXstdItem 3 12 3" xfId="11520"/>
    <cellStyle name="SAPBEXstdItem 3 13" xfId="5989"/>
    <cellStyle name="SAPBEXstdItem 3 2" xfId="739"/>
    <cellStyle name="SAPBEXstdItem 3 2 2" xfId="1366"/>
    <cellStyle name="SAPBEXstdItem 3 2 2 2" xfId="2600"/>
    <cellStyle name="SAPBEXstdItem 3 2 2 2 2" xfId="7879"/>
    <cellStyle name="SAPBEXstdItem 3 2 2 2 3" xfId="15752"/>
    <cellStyle name="SAPBEXstdItem 3 2 2 3" xfId="6645"/>
    <cellStyle name="SAPBEXstdItem 3 2 2 4" xfId="15751"/>
    <cellStyle name="SAPBEXstdItem 3 2 3" xfId="1843"/>
    <cellStyle name="SAPBEXstdItem 3 2 3 2" xfId="3077"/>
    <cellStyle name="SAPBEXstdItem 3 2 3 2 2" xfId="8356"/>
    <cellStyle name="SAPBEXstdItem 3 2 3 2 3" xfId="15754"/>
    <cellStyle name="SAPBEXstdItem 3 2 3 3" xfId="7122"/>
    <cellStyle name="SAPBEXstdItem 3 2 3 4" xfId="15753"/>
    <cellStyle name="SAPBEXstdItem 3 2 4" xfId="5604"/>
    <cellStyle name="SAPBEXstdItem 3 2 4 2" xfId="10883"/>
    <cellStyle name="SAPBEXstdItem 3 2 4 3" xfId="15755"/>
    <cellStyle name="SAPBEXstdItem 3 2 5" xfId="5605"/>
    <cellStyle name="SAPBEXstdItem 3 2 5 2" xfId="10884"/>
    <cellStyle name="SAPBEXstdItem 3 2 5 3" xfId="15756"/>
    <cellStyle name="SAPBEXstdItem 3 2 6" xfId="5606"/>
    <cellStyle name="SAPBEXstdItem 3 2 6 2" xfId="10885"/>
    <cellStyle name="SAPBEXstdItem 3 2 6 3" xfId="15757"/>
    <cellStyle name="SAPBEXstdItem 3 2 7" xfId="5607"/>
    <cellStyle name="SAPBEXstdItem 3 2 7 2" xfId="10886"/>
    <cellStyle name="SAPBEXstdItem 3 2 7 3" xfId="15758"/>
    <cellStyle name="SAPBEXstdItem 3 2 8" xfId="6028"/>
    <cellStyle name="SAPBEXstdItem 3 2 9" xfId="15750"/>
    <cellStyle name="SAPBEXstdItem 3 3" xfId="1192"/>
    <cellStyle name="SAPBEXstdItem 3 3 10" xfId="2429"/>
    <cellStyle name="SAPBEXstdItem 3 3 10 2" xfId="7708"/>
    <cellStyle name="SAPBEXstdItem 3 3 10 3" xfId="11521"/>
    <cellStyle name="SAPBEXstdItem 3 3 11" xfId="6471"/>
    <cellStyle name="SAPBEXstdItem 3 3 2" xfId="1809"/>
    <cellStyle name="SAPBEXstdItem 3 3 2 2" xfId="3043"/>
    <cellStyle name="SAPBEXstdItem 3 3 2 2 2" xfId="8322"/>
    <cellStyle name="SAPBEXstdItem 3 3 2 2 3" xfId="15760"/>
    <cellStyle name="SAPBEXstdItem 3 3 2 3" xfId="7088"/>
    <cellStyle name="SAPBEXstdItem 3 3 2 4" xfId="15759"/>
    <cellStyle name="SAPBEXstdItem 3 3 3" xfId="5608"/>
    <cellStyle name="SAPBEXstdItem 3 3 3 2" xfId="10887"/>
    <cellStyle name="SAPBEXstdItem 3 3 3 3" xfId="15761"/>
    <cellStyle name="SAPBEXstdItem 3 3 4" xfId="5609"/>
    <cellStyle name="SAPBEXstdItem 3 3 4 2" xfId="10888"/>
    <cellStyle name="SAPBEXstdItem 3 3 4 3" xfId="15762"/>
    <cellStyle name="SAPBEXstdItem 3 3 5" xfId="5610"/>
    <cellStyle name="SAPBEXstdItem 3 3 5 2" xfId="10889"/>
    <cellStyle name="SAPBEXstdItem 3 3 5 3" xfId="15763"/>
    <cellStyle name="SAPBEXstdItem 3 3 6" xfId="5611"/>
    <cellStyle name="SAPBEXstdItem 3 3 6 2" xfId="10890"/>
    <cellStyle name="SAPBEXstdItem 3 3 6 3" xfId="15764"/>
    <cellStyle name="SAPBEXstdItem 3 3 7" xfId="5612"/>
    <cellStyle name="SAPBEXstdItem 3 3 7 2" xfId="10891"/>
    <cellStyle name="SAPBEXstdItem 3 3 7 3" xfId="15765"/>
    <cellStyle name="SAPBEXstdItem 3 3 8" xfId="5613"/>
    <cellStyle name="SAPBEXstdItem 3 3 8 2" xfId="10892"/>
    <cellStyle name="SAPBEXstdItem 3 3 8 3" xfId="15766"/>
    <cellStyle name="SAPBEXstdItem 3 3 9" xfId="5614"/>
    <cellStyle name="SAPBEXstdItem 3 3 9 2" xfId="10893"/>
    <cellStyle name="SAPBEXstdItem 3 3 9 3" xfId="15767"/>
    <cellStyle name="SAPBEXstdItem 3 4" xfId="1193"/>
    <cellStyle name="SAPBEXstdItem 3 4 10" xfId="2430"/>
    <cellStyle name="SAPBEXstdItem 3 4 10 2" xfId="7709"/>
    <cellStyle name="SAPBEXstdItem 3 4 10 3" xfId="11522"/>
    <cellStyle name="SAPBEXstdItem 3 4 11" xfId="6472"/>
    <cellStyle name="SAPBEXstdItem 3 4 2" xfId="1810"/>
    <cellStyle name="SAPBEXstdItem 3 4 2 2" xfId="3044"/>
    <cellStyle name="SAPBEXstdItem 3 4 2 2 2" xfId="8323"/>
    <cellStyle name="SAPBEXstdItem 3 4 2 2 3" xfId="15769"/>
    <cellStyle name="SAPBEXstdItem 3 4 2 3" xfId="7089"/>
    <cellStyle name="SAPBEXstdItem 3 4 2 4" xfId="15768"/>
    <cellStyle name="SAPBEXstdItem 3 4 3" xfId="5615"/>
    <cellStyle name="SAPBEXstdItem 3 4 3 2" xfId="10894"/>
    <cellStyle name="SAPBEXstdItem 3 4 3 3" xfId="15770"/>
    <cellStyle name="SAPBEXstdItem 3 4 4" xfId="5616"/>
    <cellStyle name="SAPBEXstdItem 3 4 4 2" xfId="10895"/>
    <cellStyle name="SAPBEXstdItem 3 4 4 3" xfId="15771"/>
    <cellStyle name="SAPBEXstdItem 3 4 5" xfId="5617"/>
    <cellStyle name="SAPBEXstdItem 3 4 5 2" xfId="10896"/>
    <cellStyle name="SAPBEXstdItem 3 4 5 3" xfId="15772"/>
    <cellStyle name="SAPBEXstdItem 3 4 6" xfId="5618"/>
    <cellStyle name="SAPBEXstdItem 3 4 6 2" xfId="10897"/>
    <cellStyle name="SAPBEXstdItem 3 4 6 3" xfId="15773"/>
    <cellStyle name="SAPBEXstdItem 3 4 7" xfId="5619"/>
    <cellStyle name="SAPBEXstdItem 3 4 7 2" xfId="10898"/>
    <cellStyle name="SAPBEXstdItem 3 4 7 3" xfId="15774"/>
    <cellStyle name="SAPBEXstdItem 3 4 8" xfId="5620"/>
    <cellStyle name="SAPBEXstdItem 3 4 8 2" xfId="10899"/>
    <cellStyle name="SAPBEXstdItem 3 4 8 3" xfId="15775"/>
    <cellStyle name="SAPBEXstdItem 3 4 9" xfId="5621"/>
    <cellStyle name="SAPBEXstdItem 3 4 9 2" xfId="10900"/>
    <cellStyle name="SAPBEXstdItem 3 4 9 3" xfId="15776"/>
    <cellStyle name="SAPBEXstdItem 3 5" xfId="1194"/>
    <cellStyle name="SAPBEXstdItem 3 5 10" xfId="2431"/>
    <cellStyle name="SAPBEXstdItem 3 5 10 2" xfId="7710"/>
    <cellStyle name="SAPBEXstdItem 3 5 10 3" xfId="11523"/>
    <cellStyle name="SAPBEXstdItem 3 5 11" xfId="6473"/>
    <cellStyle name="SAPBEXstdItem 3 5 2" xfId="1811"/>
    <cellStyle name="SAPBEXstdItem 3 5 2 2" xfId="3045"/>
    <cellStyle name="SAPBEXstdItem 3 5 2 2 2" xfId="8324"/>
    <cellStyle name="SAPBEXstdItem 3 5 2 2 3" xfId="15778"/>
    <cellStyle name="SAPBEXstdItem 3 5 2 3" xfId="7090"/>
    <cellStyle name="SAPBEXstdItem 3 5 2 4" xfId="15777"/>
    <cellStyle name="SAPBEXstdItem 3 5 3" xfId="5622"/>
    <cellStyle name="SAPBEXstdItem 3 5 3 2" xfId="10901"/>
    <cellStyle name="SAPBEXstdItem 3 5 3 3" xfId="15779"/>
    <cellStyle name="SAPBEXstdItem 3 5 4" xfId="5623"/>
    <cellStyle name="SAPBEXstdItem 3 5 4 2" xfId="10902"/>
    <cellStyle name="SAPBEXstdItem 3 5 4 3" xfId="15780"/>
    <cellStyle name="SAPBEXstdItem 3 5 5" xfId="5624"/>
    <cellStyle name="SAPBEXstdItem 3 5 5 2" xfId="10903"/>
    <cellStyle name="SAPBEXstdItem 3 5 5 3" xfId="15781"/>
    <cellStyle name="SAPBEXstdItem 3 5 6" xfId="5625"/>
    <cellStyle name="SAPBEXstdItem 3 5 6 2" xfId="10904"/>
    <cellStyle name="SAPBEXstdItem 3 5 6 3" xfId="15782"/>
    <cellStyle name="SAPBEXstdItem 3 5 7" xfId="5626"/>
    <cellStyle name="SAPBEXstdItem 3 5 7 2" xfId="10905"/>
    <cellStyle name="SAPBEXstdItem 3 5 7 3" xfId="15783"/>
    <cellStyle name="SAPBEXstdItem 3 5 8" xfId="5627"/>
    <cellStyle name="SAPBEXstdItem 3 5 8 2" xfId="10906"/>
    <cellStyle name="SAPBEXstdItem 3 5 8 3" xfId="15784"/>
    <cellStyle name="SAPBEXstdItem 3 5 9" xfId="5628"/>
    <cellStyle name="SAPBEXstdItem 3 5 9 2" xfId="10907"/>
    <cellStyle name="SAPBEXstdItem 3 5 9 3" xfId="15785"/>
    <cellStyle name="SAPBEXstdItem 3 6" xfId="1195"/>
    <cellStyle name="SAPBEXstdItem 3 6 10" xfId="2432"/>
    <cellStyle name="SAPBEXstdItem 3 6 10 2" xfId="7711"/>
    <cellStyle name="SAPBEXstdItem 3 6 10 3" xfId="11524"/>
    <cellStyle name="SAPBEXstdItem 3 6 11" xfId="6474"/>
    <cellStyle name="SAPBEXstdItem 3 6 2" xfId="1812"/>
    <cellStyle name="SAPBEXstdItem 3 6 2 2" xfId="3046"/>
    <cellStyle name="SAPBEXstdItem 3 6 2 2 2" xfId="8325"/>
    <cellStyle name="SAPBEXstdItem 3 6 2 2 3" xfId="15787"/>
    <cellStyle name="SAPBEXstdItem 3 6 2 3" xfId="7091"/>
    <cellStyle name="SAPBEXstdItem 3 6 2 4" xfId="15786"/>
    <cellStyle name="SAPBEXstdItem 3 6 3" xfId="5629"/>
    <cellStyle name="SAPBEXstdItem 3 6 3 2" xfId="10908"/>
    <cellStyle name="SAPBEXstdItem 3 6 3 3" xfId="15788"/>
    <cellStyle name="SAPBEXstdItem 3 6 4" xfId="5630"/>
    <cellStyle name="SAPBEXstdItem 3 6 4 2" xfId="10909"/>
    <cellStyle name="SAPBEXstdItem 3 6 4 3" xfId="15789"/>
    <cellStyle name="SAPBEXstdItem 3 6 5" xfId="5631"/>
    <cellStyle name="SAPBEXstdItem 3 6 5 2" xfId="10910"/>
    <cellStyle name="SAPBEXstdItem 3 6 5 3" xfId="15790"/>
    <cellStyle name="SAPBEXstdItem 3 6 6" xfId="5632"/>
    <cellStyle name="SAPBEXstdItem 3 6 6 2" xfId="10911"/>
    <cellStyle name="SAPBEXstdItem 3 6 6 3" xfId="15791"/>
    <cellStyle name="SAPBEXstdItem 3 6 7" xfId="5633"/>
    <cellStyle name="SAPBEXstdItem 3 6 7 2" xfId="10912"/>
    <cellStyle name="SAPBEXstdItem 3 6 7 3" xfId="15792"/>
    <cellStyle name="SAPBEXstdItem 3 6 8" xfId="5634"/>
    <cellStyle name="SAPBEXstdItem 3 6 8 2" xfId="10913"/>
    <cellStyle name="SAPBEXstdItem 3 6 8 3" xfId="15793"/>
    <cellStyle name="SAPBEXstdItem 3 6 9" xfId="5635"/>
    <cellStyle name="SAPBEXstdItem 3 6 9 2" xfId="10914"/>
    <cellStyle name="SAPBEXstdItem 3 6 9 3" xfId="15794"/>
    <cellStyle name="SAPBEXstdItem 3 7" xfId="1327"/>
    <cellStyle name="SAPBEXstdItem 3 7 2" xfId="2561"/>
    <cellStyle name="SAPBEXstdItem 3 7 2 2" xfId="7840"/>
    <cellStyle name="SAPBEXstdItem 3 7 2 3" xfId="15796"/>
    <cellStyle name="SAPBEXstdItem 3 7 3" xfId="6606"/>
    <cellStyle name="SAPBEXstdItem 3 7 4" xfId="15795"/>
    <cellStyle name="SAPBEXstdItem 3 8" xfId="5636"/>
    <cellStyle name="SAPBEXstdItem 3 8 2" xfId="10915"/>
    <cellStyle name="SAPBEXstdItem 3 8 3" xfId="15797"/>
    <cellStyle name="SAPBEXstdItem 3 9" xfId="5637"/>
    <cellStyle name="SAPBEXstdItem 3 9 2" xfId="10916"/>
    <cellStyle name="SAPBEXstdItem 3 9 3" xfId="15798"/>
    <cellStyle name="SAPBEXstdItem 4" xfId="643"/>
    <cellStyle name="SAPBEXstdItem 4 10" xfId="5638"/>
    <cellStyle name="SAPBEXstdItem 4 10 2" xfId="10917"/>
    <cellStyle name="SAPBEXstdItem 4 10 3" xfId="15799"/>
    <cellStyle name="SAPBEXstdItem 4 11" xfId="5639"/>
    <cellStyle name="SAPBEXstdItem 4 11 2" xfId="10918"/>
    <cellStyle name="SAPBEXstdItem 4 11 3" xfId="15800"/>
    <cellStyle name="SAPBEXstdItem 4 12" xfId="2015"/>
    <cellStyle name="SAPBEXstdItem 4 12 2" xfId="7294"/>
    <cellStyle name="SAPBEXstdItem 4 12 3" xfId="11525"/>
    <cellStyle name="SAPBEXstdItem 4 13" xfId="5990"/>
    <cellStyle name="SAPBEXstdItem 4 2" xfId="738"/>
    <cellStyle name="SAPBEXstdItem 4 2 2" xfId="1365"/>
    <cellStyle name="SAPBEXstdItem 4 2 2 2" xfId="2599"/>
    <cellStyle name="SAPBEXstdItem 4 2 2 2 2" xfId="7878"/>
    <cellStyle name="SAPBEXstdItem 4 2 2 2 3" xfId="15803"/>
    <cellStyle name="SAPBEXstdItem 4 2 2 3" xfId="6644"/>
    <cellStyle name="SAPBEXstdItem 4 2 2 4" xfId="15802"/>
    <cellStyle name="SAPBEXstdItem 4 2 3" xfId="1842"/>
    <cellStyle name="SAPBEXstdItem 4 2 3 2" xfId="3076"/>
    <cellStyle name="SAPBEXstdItem 4 2 3 2 2" xfId="8355"/>
    <cellStyle name="SAPBEXstdItem 4 2 3 2 3" xfId="15805"/>
    <cellStyle name="SAPBEXstdItem 4 2 3 3" xfId="7121"/>
    <cellStyle name="SAPBEXstdItem 4 2 3 4" xfId="15804"/>
    <cellStyle name="SAPBEXstdItem 4 2 4" xfId="5640"/>
    <cellStyle name="SAPBEXstdItem 4 2 4 2" xfId="10919"/>
    <cellStyle name="SAPBEXstdItem 4 2 4 3" xfId="15806"/>
    <cellStyle name="SAPBEXstdItem 4 2 5" xfId="5641"/>
    <cellStyle name="SAPBEXstdItem 4 2 5 2" xfId="10920"/>
    <cellStyle name="SAPBEXstdItem 4 2 5 3" xfId="15807"/>
    <cellStyle name="SAPBEXstdItem 4 2 6" xfId="5642"/>
    <cellStyle name="SAPBEXstdItem 4 2 6 2" xfId="10921"/>
    <cellStyle name="SAPBEXstdItem 4 2 6 3" xfId="15808"/>
    <cellStyle name="SAPBEXstdItem 4 2 7" xfId="5643"/>
    <cellStyle name="SAPBEXstdItem 4 2 7 2" xfId="10922"/>
    <cellStyle name="SAPBEXstdItem 4 2 7 3" xfId="15809"/>
    <cellStyle name="SAPBEXstdItem 4 2 8" xfId="6027"/>
    <cellStyle name="SAPBEXstdItem 4 2 9" xfId="15801"/>
    <cellStyle name="SAPBEXstdItem 4 3" xfId="1196"/>
    <cellStyle name="SAPBEXstdItem 4 3 10" xfId="2433"/>
    <cellStyle name="SAPBEXstdItem 4 3 10 2" xfId="7712"/>
    <cellStyle name="SAPBEXstdItem 4 3 10 3" xfId="11526"/>
    <cellStyle name="SAPBEXstdItem 4 3 11" xfId="6475"/>
    <cellStyle name="SAPBEXstdItem 4 3 2" xfId="1813"/>
    <cellStyle name="SAPBEXstdItem 4 3 2 2" xfId="3047"/>
    <cellStyle name="SAPBEXstdItem 4 3 2 2 2" xfId="8326"/>
    <cellStyle name="SAPBEXstdItem 4 3 2 2 3" xfId="15811"/>
    <cellStyle name="SAPBEXstdItem 4 3 2 3" xfId="7092"/>
    <cellStyle name="SAPBEXstdItem 4 3 2 4" xfId="15810"/>
    <cellStyle name="SAPBEXstdItem 4 3 3" xfId="5644"/>
    <cellStyle name="SAPBEXstdItem 4 3 3 2" xfId="10923"/>
    <cellStyle name="SAPBEXstdItem 4 3 3 3" xfId="15812"/>
    <cellStyle name="SAPBEXstdItem 4 3 4" xfId="5645"/>
    <cellStyle name="SAPBEXstdItem 4 3 4 2" xfId="10924"/>
    <cellStyle name="SAPBEXstdItem 4 3 4 3" xfId="15813"/>
    <cellStyle name="SAPBEXstdItem 4 3 5" xfId="5646"/>
    <cellStyle name="SAPBEXstdItem 4 3 5 2" xfId="10925"/>
    <cellStyle name="SAPBEXstdItem 4 3 5 3" xfId="15814"/>
    <cellStyle name="SAPBEXstdItem 4 3 6" xfId="5647"/>
    <cellStyle name="SAPBEXstdItem 4 3 6 2" xfId="10926"/>
    <cellStyle name="SAPBEXstdItem 4 3 6 3" xfId="15815"/>
    <cellStyle name="SAPBEXstdItem 4 3 7" xfId="5648"/>
    <cellStyle name="SAPBEXstdItem 4 3 7 2" xfId="10927"/>
    <cellStyle name="SAPBEXstdItem 4 3 7 3" xfId="15816"/>
    <cellStyle name="SAPBEXstdItem 4 3 8" xfId="5649"/>
    <cellStyle name="SAPBEXstdItem 4 3 8 2" xfId="10928"/>
    <cellStyle name="SAPBEXstdItem 4 3 8 3" xfId="15817"/>
    <cellStyle name="SAPBEXstdItem 4 3 9" xfId="5650"/>
    <cellStyle name="SAPBEXstdItem 4 3 9 2" xfId="10929"/>
    <cellStyle name="SAPBEXstdItem 4 3 9 3" xfId="15818"/>
    <cellStyle name="SAPBEXstdItem 4 4" xfId="1197"/>
    <cellStyle name="SAPBEXstdItem 4 4 10" xfId="2434"/>
    <cellStyle name="SAPBEXstdItem 4 4 10 2" xfId="7713"/>
    <cellStyle name="SAPBEXstdItem 4 4 10 3" xfId="11527"/>
    <cellStyle name="SAPBEXstdItem 4 4 11" xfId="6476"/>
    <cellStyle name="SAPBEXstdItem 4 4 2" xfId="1814"/>
    <cellStyle name="SAPBEXstdItem 4 4 2 2" xfId="3048"/>
    <cellStyle name="SAPBEXstdItem 4 4 2 2 2" xfId="8327"/>
    <cellStyle name="SAPBEXstdItem 4 4 2 2 3" xfId="15820"/>
    <cellStyle name="SAPBEXstdItem 4 4 2 3" xfId="7093"/>
    <cellStyle name="SAPBEXstdItem 4 4 2 4" xfId="15819"/>
    <cellStyle name="SAPBEXstdItem 4 4 3" xfId="5651"/>
    <cellStyle name="SAPBEXstdItem 4 4 3 2" xfId="10930"/>
    <cellStyle name="SAPBEXstdItem 4 4 3 3" xfId="15821"/>
    <cellStyle name="SAPBEXstdItem 4 4 4" xfId="5652"/>
    <cellStyle name="SAPBEXstdItem 4 4 4 2" xfId="10931"/>
    <cellStyle name="SAPBEXstdItem 4 4 4 3" xfId="15822"/>
    <cellStyle name="SAPBEXstdItem 4 4 5" xfId="5653"/>
    <cellStyle name="SAPBEXstdItem 4 4 5 2" xfId="10932"/>
    <cellStyle name="SAPBEXstdItem 4 4 5 3" xfId="15823"/>
    <cellStyle name="SAPBEXstdItem 4 4 6" xfId="5654"/>
    <cellStyle name="SAPBEXstdItem 4 4 6 2" xfId="10933"/>
    <cellStyle name="SAPBEXstdItem 4 4 6 3" xfId="15824"/>
    <cellStyle name="SAPBEXstdItem 4 4 7" xfId="5655"/>
    <cellStyle name="SAPBEXstdItem 4 4 7 2" xfId="10934"/>
    <cellStyle name="SAPBEXstdItem 4 4 7 3" xfId="15825"/>
    <cellStyle name="SAPBEXstdItem 4 4 8" xfId="5656"/>
    <cellStyle name="SAPBEXstdItem 4 4 8 2" xfId="10935"/>
    <cellStyle name="SAPBEXstdItem 4 4 8 3" xfId="15826"/>
    <cellStyle name="SAPBEXstdItem 4 4 9" xfId="5657"/>
    <cellStyle name="SAPBEXstdItem 4 4 9 2" xfId="10936"/>
    <cellStyle name="SAPBEXstdItem 4 4 9 3" xfId="15827"/>
    <cellStyle name="SAPBEXstdItem 4 5" xfId="1198"/>
    <cellStyle name="SAPBEXstdItem 4 5 10" xfId="2435"/>
    <cellStyle name="SAPBEXstdItem 4 5 10 2" xfId="7714"/>
    <cellStyle name="SAPBEXstdItem 4 5 10 3" xfId="11528"/>
    <cellStyle name="SAPBEXstdItem 4 5 11" xfId="6477"/>
    <cellStyle name="SAPBEXstdItem 4 5 2" xfId="1815"/>
    <cellStyle name="SAPBEXstdItem 4 5 2 2" xfId="3049"/>
    <cellStyle name="SAPBEXstdItem 4 5 2 2 2" xfId="8328"/>
    <cellStyle name="SAPBEXstdItem 4 5 2 2 3" xfId="15829"/>
    <cellStyle name="SAPBEXstdItem 4 5 2 3" xfId="7094"/>
    <cellStyle name="SAPBEXstdItem 4 5 2 4" xfId="15828"/>
    <cellStyle name="SAPBEXstdItem 4 5 3" xfId="5658"/>
    <cellStyle name="SAPBEXstdItem 4 5 3 2" xfId="10937"/>
    <cellStyle name="SAPBEXstdItem 4 5 3 3" xfId="15830"/>
    <cellStyle name="SAPBEXstdItem 4 5 4" xfId="5659"/>
    <cellStyle name="SAPBEXstdItem 4 5 4 2" xfId="10938"/>
    <cellStyle name="SAPBEXstdItem 4 5 4 3" xfId="15831"/>
    <cellStyle name="SAPBEXstdItem 4 5 5" xfId="5660"/>
    <cellStyle name="SAPBEXstdItem 4 5 5 2" xfId="10939"/>
    <cellStyle name="SAPBEXstdItem 4 5 5 3" xfId="15832"/>
    <cellStyle name="SAPBEXstdItem 4 5 6" xfId="5661"/>
    <cellStyle name="SAPBEXstdItem 4 5 6 2" xfId="10940"/>
    <cellStyle name="SAPBEXstdItem 4 5 6 3" xfId="15833"/>
    <cellStyle name="SAPBEXstdItem 4 5 7" xfId="5662"/>
    <cellStyle name="SAPBEXstdItem 4 5 7 2" xfId="10941"/>
    <cellStyle name="SAPBEXstdItem 4 5 7 3" xfId="15834"/>
    <cellStyle name="SAPBEXstdItem 4 5 8" xfId="5663"/>
    <cellStyle name="SAPBEXstdItem 4 5 8 2" xfId="10942"/>
    <cellStyle name="SAPBEXstdItem 4 5 8 3" xfId="15835"/>
    <cellStyle name="SAPBEXstdItem 4 5 9" xfId="5664"/>
    <cellStyle name="SAPBEXstdItem 4 5 9 2" xfId="10943"/>
    <cellStyle name="SAPBEXstdItem 4 5 9 3" xfId="15836"/>
    <cellStyle name="SAPBEXstdItem 4 6" xfId="1199"/>
    <cellStyle name="SAPBEXstdItem 4 6 10" xfId="2436"/>
    <cellStyle name="SAPBEXstdItem 4 6 10 2" xfId="7715"/>
    <cellStyle name="SAPBEXstdItem 4 6 10 3" xfId="11529"/>
    <cellStyle name="SAPBEXstdItem 4 6 11" xfId="6478"/>
    <cellStyle name="SAPBEXstdItem 4 6 2" xfId="1816"/>
    <cellStyle name="SAPBEXstdItem 4 6 2 2" xfId="3050"/>
    <cellStyle name="SAPBEXstdItem 4 6 2 2 2" xfId="8329"/>
    <cellStyle name="SAPBEXstdItem 4 6 2 2 3" xfId="15838"/>
    <cellStyle name="SAPBEXstdItem 4 6 2 3" xfId="7095"/>
    <cellStyle name="SAPBEXstdItem 4 6 2 4" xfId="15837"/>
    <cellStyle name="SAPBEXstdItem 4 6 3" xfId="5665"/>
    <cellStyle name="SAPBEXstdItem 4 6 3 2" xfId="10944"/>
    <cellStyle name="SAPBEXstdItem 4 6 3 3" xfId="15839"/>
    <cellStyle name="SAPBEXstdItem 4 6 4" xfId="5666"/>
    <cellStyle name="SAPBEXstdItem 4 6 4 2" xfId="10945"/>
    <cellStyle name="SAPBEXstdItem 4 6 4 3" xfId="15840"/>
    <cellStyle name="SAPBEXstdItem 4 6 5" xfId="5667"/>
    <cellStyle name="SAPBEXstdItem 4 6 5 2" xfId="10946"/>
    <cellStyle name="SAPBEXstdItem 4 6 5 3" xfId="15841"/>
    <cellStyle name="SAPBEXstdItem 4 6 6" xfId="5668"/>
    <cellStyle name="SAPBEXstdItem 4 6 6 2" xfId="10947"/>
    <cellStyle name="SAPBEXstdItem 4 6 6 3" xfId="15842"/>
    <cellStyle name="SAPBEXstdItem 4 6 7" xfId="5669"/>
    <cellStyle name="SAPBEXstdItem 4 6 7 2" xfId="10948"/>
    <cellStyle name="SAPBEXstdItem 4 6 7 3" xfId="15843"/>
    <cellStyle name="SAPBEXstdItem 4 6 8" xfId="5670"/>
    <cellStyle name="SAPBEXstdItem 4 6 8 2" xfId="10949"/>
    <cellStyle name="SAPBEXstdItem 4 6 8 3" xfId="15844"/>
    <cellStyle name="SAPBEXstdItem 4 6 9" xfId="5671"/>
    <cellStyle name="SAPBEXstdItem 4 6 9 2" xfId="10950"/>
    <cellStyle name="SAPBEXstdItem 4 6 9 3" xfId="15845"/>
    <cellStyle name="SAPBEXstdItem 4 7" xfId="1328"/>
    <cellStyle name="SAPBEXstdItem 4 7 2" xfId="2562"/>
    <cellStyle name="SAPBEXstdItem 4 7 2 2" xfId="7841"/>
    <cellStyle name="SAPBEXstdItem 4 7 2 3" xfId="15847"/>
    <cellStyle name="SAPBEXstdItem 4 7 3" xfId="6607"/>
    <cellStyle name="SAPBEXstdItem 4 7 4" xfId="15846"/>
    <cellStyle name="SAPBEXstdItem 4 8" xfId="5672"/>
    <cellStyle name="SAPBEXstdItem 4 8 2" xfId="10951"/>
    <cellStyle name="SAPBEXstdItem 4 8 3" xfId="15848"/>
    <cellStyle name="SAPBEXstdItem 4 9" xfId="5673"/>
    <cellStyle name="SAPBEXstdItem 4 9 2" xfId="10952"/>
    <cellStyle name="SAPBEXstdItem 4 9 3" xfId="15849"/>
    <cellStyle name="SAPBEXstdItem 5" xfId="697"/>
    <cellStyle name="SAPBEXstdItem 5 10" xfId="5674"/>
    <cellStyle name="SAPBEXstdItem 5 10 2" xfId="10953"/>
    <cellStyle name="SAPBEXstdItem 5 10 3" xfId="15850"/>
    <cellStyle name="SAPBEXstdItem 5 11" xfId="5675"/>
    <cellStyle name="SAPBEXstdItem 5 11 2" xfId="10954"/>
    <cellStyle name="SAPBEXstdItem 5 11 3" xfId="15851"/>
    <cellStyle name="SAPBEXstdItem 5 12" xfId="2019"/>
    <cellStyle name="SAPBEXstdItem 5 12 2" xfId="7298"/>
    <cellStyle name="SAPBEXstdItem 5 12 3" xfId="11530"/>
    <cellStyle name="SAPBEXstdItem 5 13" xfId="5994"/>
    <cellStyle name="SAPBEXstdItem 5 2" xfId="734"/>
    <cellStyle name="SAPBEXstdItem 5 2 2" xfId="1361"/>
    <cellStyle name="SAPBEXstdItem 5 2 2 2" xfId="2595"/>
    <cellStyle name="SAPBEXstdItem 5 2 2 2 2" xfId="7874"/>
    <cellStyle name="SAPBEXstdItem 5 2 2 2 3" xfId="15854"/>
    <cellStyle name="SAPBEXstdItem 5 2 2 3" xfId="6640"/>
    <cellStyle name="SAPBEXstdItem 5 2 2 4" xfId="15853"/>
    <cellStyle name="SAPBEXstdItem 5 2 3" xfId="1838"/>
    <cellStyle name="SAPBEXstdItem 5 2 3 2" xfId="3072"/>
    <cellStyle name="SAPBEXstdItem 5 2 3 2 2" xfId="8351"/>
    <cellStyle name="SAPBEXstdItem 5 2 3 2 3" xfId="15856"/>
    <cellStyle name="SAPBEXstdItem 5 2 3 3" xfId="7117"/>
    <cellStyle name="SAPBEXstdItem 5 2 3 4" xfId="15855"/>
    <cellStyle name="SAPBEXstdItem 5 2 4" xfId="5676"/>
    <cellStyle name="SAPBEXstdItem 5 2 4 2" xfId="10955"/>
    <cellStyle name="SAPBEXstdItem 5 2 4 3" xfId="15857"/>
    <cellStyle name="SAPBEXstdItem 5 2 5" xfId="5677"/>
    <cellStyle name="SAPBEXstdItem 5 2 5 2" xfId="10956"/>
    <cellStyle name="SAPBEXstdItem 5 2 5 3" xfId="15858"/>
    <cellStyle name="SAPBEXstdItem 5 2 6" xfId="5678"/>
    <cellStyle name="SAPBEXstdItem 5 2 6 2" xfId="10957"/>
    <cellStyle name="SAPBEXstdItem 5 2 6 3" xfId="15859"/>
    <cellStyle name="SAPBEXstdItem 5 2 7" xfId="5679"/>
    <cellStyle name="SAPBEXstdItem 5 2 7 2" xfId="10958"/>
    <cellStyle name="SAPBEXstdItem 5 2 7 3" xfId="15860"/>
    <cellStyle name="SAPBEXstdItem 5 2 8" xfId="6023"/>
    <cellStyle name="SAPBEXstdItem 5 2 9" xfId="15852"/>
    <cellStyle name="SAPBEXstdItem 5 3" xfId="936"/>
    <cellStyle name="SAPBEXstdItem 5 3 2" xfId="1555"/>
    <cellStyle name="SAPBEXstdItem 5 3 2 2" xfId="2789"/>
    <cellStyle name="SAPBEXstdItem 5 3 2 2 2" xfId="8068"/>
    <cellStyle name="SAPBEXstdItem 5 3 2 2 3" xfId="15863"/>
    <cellStyle name="SAPBEXstdItem 5 3 2 3" xfId="6834"/>
    <cellStyle name="SAPBEXstdItem 5 3 2 4" xfId="15862"/>
    <cellStyle name="SAPBEXstdItem 5 3 3" xfId="1903"/>
    <cellStyle name="SAPBEXstdItem 5 3 3 2" xfId="3137"/>
    <cellStyle name="SAPBEXstdItem 5 3 3 2 2" xfId="8416"/>
    <cellStyle name="SAPBEXstdItem 5 3 3 2 3" xfId="15865"/>
    <cellStyle name="SAPBEXstdItem 5 3 3 3" xfId="7182"/>
    <cellStyle name="SAPBEXstdItem 5 3 3 4" xfId="15864"/>
    <cellStyle name="SAPBEXstdItem 5 3 4" xfId="5680"/>
    <cellStyle name="SAPBEXstdItem 5 3 4 2" xfId="10959"/>
    <cellStyle name="SAPBEXstdItem 5 3 4 3" xfId="15866"/>
    <cellStyle name="SAPBEXstdItem 5 3 5" xfId="5681"/>
    <cellStyle name="SAPBEXstdItem 5 3 5 2" xfId="10960"/>
    <cellStyle name="SAPBEXstdItem 5 3 5 3" xfId="15867"/>
    <cellStyle name="SAPBEXstdItem 5 3 6" xfId="5682"/>
    <cellStyle name="SAPBEXstdItem 5 3 6 2" xfId="10961"/>
    <cellStyle name="SAPBEXstdItem 5 3 6 3" xfId="15868"/>
    <cellStyle name="SAPBEXstdItem 5 3 7" xfId="5683"/>
    <cellStyle name="SAPBEXstdItem 5 3 7 2" xfId="10962"/>
    <cellStyle name="SAPBEXstdItem 5 3 7 3" xfId="15869"/>
    <cellStyle name="SAPBEXstdItem 5 3 8" xfId="6217"/>
    <cellStyle name="SAPBEXstdItem 5 3 9" xfId="15861"/>
    <cellStyle name="SAPBEXstdItem 5 4" xfId="1200"/>
    <cellStyle name="SAPBEXstdItem 5 4 2" xfId="1817"/>
    <cellStyle name="SAPBEXstdItem 5 4 2 2" xfId="3051"/>
    <cellStyle name="SAPBEXstdItem 5 4 2 2 2" xfId="8330"/>
    <cellStyle name="SAPBEXstdItem 5 4 2 2 3" xfId="15872"/>
    <cellStyle name="SAPBEXstdItem 5 4 2 3" xfId="7096"/>
    <cellStyle name="SAPBEXstdItem 5 4 2 4" xfId="15871"/>
    <cellStyle name="SAPBEXstdItem 5 4 3" xfId="1904"/>
    <cellStyle name="SAPBEXstdItem 5 4 3 2" xfId="3138"/>
    <cellStyle name="SAPBEXstdItem 5 4 3 2 2" xfId="8417"/>
    <cellStyle name="SAPBEXstdItem 5 4 3 2 3" xfId="15874"/>
    <cellStyle name="SAPBEXstdItem 5 4 3 3" xfId="7183"/>
    <cellStyle name="SAPBEXstdItem 5 4 3 4" xfId="15873"/>
    <cellStyle name="SAPBEXstdItem 5 4 4" xfId="5684"/>
    <cellStyle name="SAPBEXstdItem 5 4 4 2" xfId="10963"/>
    <cellStyle name="SAPBEXstdItem 5 4 4 3" xfId="15875"/>
    <cellStyle name="SAPBEXstdItem 5 4 5" xfId="5685"/>
    <cellStyle name="SAPBEXstdItem 5 4 5 2" xfId="10964"/>
    <cellStyle name="SAPBEXstdItem 5 4 5 3" xfId="15876"/>
    <cellStyle name="SAPBEXstdItem 5 4 6" xfId="5686"/>
    <cellStyle name="SAPBEXstdItem 5 4 6 2" xfId="10965"/>
    <cellStyle name="SAPBEXstdItem 5 4 6 3" xfId="15877"/>
    <cellStyle name="SAPBEXstdItem 5 4 7" xfId="5687"/>
    <cellStyle name="SAPBEXstdItem 5 4 7 2" xfId="10966"/>
    <cellStyle name="SAPBEXstdItem 5 4 7 3" xfId="15878"/>
    <cellStyle name="SAPBEXstdItem 5 4 8" xfId="6479"/>
    <cellStyle name="SAPBEXstdItem 5 4 9" xfId="15870"/>
    <cellStyle name="SAPBEXstdItem 5 5" xfId="1201"/>
    <cellStyle name="SAPBEXstdItem 5 5 2" xfId="1818"/>
    <cellStyle name="SAPBEXstdItem 5 5 2 2" xfId="3052"/>
    <cellStyle name="SAPBEXstdItem 5 5 2 2 2" xfId="8331"/>
    <cellStyle name="SAPBEXstdItem 5 5 2 2 3" xfId="15881"/>
    <cellStyle name="SAPBEXstdItem 5 5 2 3" xfId="7097"/>
    <cellStyle name="SAPBEXstdItem 5 5 2 4" xfId="15880"/>
    <cellStyle name="SAPBEXstdItem 5 5 3" xfId="1905"/>
    <cellStyle name="SAPBEXstdItem 5 5 3 2" xfId="3139"/>
    <cellStyle name="SAPBEXstdItem 5 5 3 2 2" xfId="8418"/>
    <cellStyle name="SAPBEXstdItem 5 5 3 2 3" xfId="15883"/>
    <cellStyle name="SAPBEXstdItem 5 5 3 3" xfId="7184"/>
    <cellStyle name="SAPBEXstdItem 5 5 3 4" xfId="15882"/>
    <cellStyle name="SAPBEXstdItem 5 5 4" xfId="5688"/>
    <cellStyle name="SAPBEXstdItem 5 5 4 2" xfId="10967"/>
    <cellStyle name="SAPBEXstdItem 5 5 4 3" xfId="15884"/>
    <cellStyle name="SAPBEXstdItem 5 5 5" xfId="5689"/>
    <cellStyle name="SAPBEXstdItem 5 5 5 2" xfId="10968"/>
    <cellStyle name="SAPBEXstdItem 5 5 5 3" xfId="15885"/>
    <cellStyle name="SAPBEXstdItem 5 5 6" xfId="5690"/>
    <cellStyle name="SAPBEXstdItem 5 5 6 2" xfId="10969"/>
    <cellStyle name="SAPBEXstdItem 5 5 6 3" xfId="15886"/>
    <cellStyle name="SAPBEXstdItem 5 5 7" xfId="5691"/>
    <cellStyle name="SAPBEXstdItem 5 5 7 2" xfId="10970"/>
    <cellStyle name="SAPBEXstdItem 5 5 7 3" xfId="15887"/>
    <cellStyle name="SAPBEXstdItem 5 5 8" xfId="6480"/>
    <cellStyle name="SAPBEXstdItem 5 5 9" xfId="15879"/>
    <cellStyle name="SAPBEXstdItem 5 6" xfId="1202"/>
    <cellStyle name="SAPBEXstdItem 5 6 2" xfId="1819"/>
    <cellStyle name="SAPBEXstdItem 5 6 2 2" xfId="3053"/>
    <cellStyle name="SAPBEXstdItem 5 6 2 2 2" xfId="8332"/>
    <cellStyle name="SAPBEXstdItem 5 6 2 2 3" xfId="15890"/>
    <cellStyle name="SAPBEXstdItem 5 6 2 3" xfId="7098"/>
    <cellStyle name="SAPBEXstdItem 5 6 2 4" xfId="15889"/>
    <cellStyle name="SAPBEXstdItem 5 6 3" xfId="1906"/>
    <cellStyle name="SAPBEXstdItem 5 6 3 2" xfId="3140"/>
    <cellStyle name="SAPBEXstdItem 5 6 3 2 2" xfId="8419"/>
    <cellStyle name="SAPBEXstdItem 5 6 3 2 3" xfId="15892"/>
    <cellStyle name="SAPBEXstdItem 5 6 3 3" xfId="7185"/>
    <cellStyle name="SAPBEXstdItem 5 6 3 4" xfId="15891"/>
    <cellStyle name="SAPBEXstdItem 5 6 4" xfId="5692"/>
    <cellStyle name="SAPBEXstdItem 5 6 4 2" xfId="10971"/>
    <cellStyle name="SAPBEXstdItem 5 6 4 3" xfId="15893"/>
    <cellStyle name="SAPBEXstdItem 5 6 5" xfId="5693"/>
    <cellStyle name="SAPBEXstdItem 5 6 5 2" xfId="10972"/>
    <cellStyle name="SAPBEXstdItem 5 6 5 3" xfId="15894"/>
    <cellStyle name="SAPBEXstdItem 5 6 6" xfId="5694"/>
    <cellStyle name="SAPBEXstdItem 5 6 6 2" xfId="10973"/>
    <cellStyle name="SAPBEXstdItem 5 6 6 3" xfId="15895"/>
    <cellStyle name="SAPBEXstdItem 5 6 7" xfId="5695"/>
    <cellStyle name="SAPBEXstdItem 5 6 7 2" xfId="10974"/>
    <cellStyle name="SAPBEXstdItem 5 6 7 3" xfId="15896"/>
    <cellStyle name="SAPBEXstdItem 5 6 8" xfId="6481"/>
    <cellStyle name="SAPBEXstdItem 5 6 9" xfId="15888"/>
    <cellStyle name="SAPBEXstdItem 5 7" xfId="1332"/>
    <cellStyle name="SAPBEXstdItem 5 7 2" xfId="2566"/>
    <cellStyle name="SAPBEXstdItem 5 7 2 2" xfId="7845"/>
    <cellStyle name="SAPBEXstdItem 5 7 2 3" xfId="15898"/>
    <cellStyle name="SAPBEXstdItem 5 7 3" xfId="6611"/>
    <cellStyle name="SAPBEXstdItem 5 7 4" xfId="15897"/>
    <cellStyle name="SAPBEXstdItem 5 8" xfId="5696"/>
    <cellStyle name="SAPBEXstdItem 5 8 2" xfId="10975"/>
    <cellStyle name="SAPBEXstdItem 5 8 3" xfId="15899"/>
    <cellStyle name="SAPBEXstdItem 5 9" xfId="5697"/>
    <cellStyle name="SAPBEXstdItem 5 9 2" xfId="10976"/>
    <cellStyle name="SAPBEXstdItem 5 9 3" xfId="15900"/>
    <cellStyle name="SAPBEXstdItem 6" xfId="1203"/>
    <cellStyle name="SAPBEXstdItem 6 10" xfId="2437"/>
    <cellStyle name="SAPBEXstdItem 6 10 2" xfId="7716"/>
    <cellStyle name="SAPBEXstdItem 6 10 3" xfId="11531"/>
    <cellStyle name="SAPBEXstdItem 6 11" xfId="6482"/>
    <cellStyle name="SAPBEXstdItem 6 2" xfId="1820"/>
    <cellStyle name="SAPBEXstdItem 6 2 2" xfId="3054"/>
    <cellStyle name="SAPBEXstdItem 6 2 2 2" xfId="8333"/>
    <cellStyle name="SAPBEXstdItem 6 2 2 3" xfId="15902"/>
    <cellStyle name="SAPBEXstdItem 6 2 3" xfId="7099"/>
    <cellStyle name="SAPBEXstdItem 6 2 4" xfId="15901"/>
    <cellStyle name="SAPBEXstdItem 6 3" xfId="5698"/>
    <cellStyle name="SAPBEXstdItem 6 3 2" xfId="10977"/>
    <cellStyle name="SAPBEXstdItem 6 3 3" xfId="15903"/>
    <cellStyle name="SAPBEXstdItem 6 4" xfId="5699"/>
    <cellStyle name="SAPBEXstdItem 6 4 2" xfId="10978"/>
    <cellStyle name="SAPBEXstdItem 6 4 3" xfId="15904"/>
    <cellStyle name="SAPBEXstdItem 6 5" xfId="5700"/>
    <cellStyle name="SAPBEXstdItem 6 5 2" xfId="10979"/>
    <cellStyle name="SAPBEXstdItem 6 5 3" xfId="15905"/>
    <cellStyle name="SAPBEXstdItem 6 6" xfId="5701"/>
    <cellStyle name="SAPBEXstdItem 6 6 2" xfId="10980"/>
    <cellStyle name="SAPBEXstdItem 6 6 3" xfId="15906"/>
    <cellStyle name="SAPBEXstdItem 6 7" xfId="5702"/>
    <cellStyle name="SAPBEXstdItem 6 7 2" xfId="10981"/>
    <cellStyle name="SAPBEXstdItem 6 7 3" xfId="15907"/>
    <cellStyle name="SAPBEXstdItem 6 8" xfId="5703"/>
    <cellStyle name="SAPBEXstdItem 6 8 2" xfId="10982"/>
    <cellStyle name="SAPBEXstdItem 6 8 3" xfId="15908"/>
    <cellStyle name="SAPBEXstdItem 6 9" xfId="5704"/>
    <cellStyle name="SAPBEXstdItem 6 9 2" xfId="10983"/>
    <cellStyle name="SAPBEXstdItem 6 9 3" xfId="15909"/>
    <cellStyle name="SAPBEXstdItem 7" xfId="1227"/>
    <cellStyle name="SAPBEXstdItem 7 2" xfId="2461"/>
    <cellStyle name="SAPBEXstdItem 7 2 2" xfId="7740"/>
    <cellStyle name="SAPBEXstdItem 7 2 3" xfId="15911"/>
    <cellStyle name="SAPBEXstdItem 7 3" xfId="6506"/>
    <cellStyle name="SAPBEXstdItem 7 4" xfId="15910"/>
    <cellStyle name="SAPBEXstdItem 8" xfId="5705"/>
    <cellStyle name="SAPBEXstdItem 8 2" xfId="10984"/>
    <cellStyle name="SAPBEXstdItem 8 3" xfId="15912"/>
    <cellStyle name="SAPBEXstdItem 9" xfId="1914"/>
    <cellStyle name="SAPBEXstdItem 9 2" xfId="7193"/>
    <cellStyle name="SAPBEXstdItem 9 3" xfId="11532"/>
    <cellStyle name="SAPBEXstdItem_Copy of xSAPtemp5457" xfId="11136"/>
    <cellStyle name="SAPBEXstdItemX" xfId="34"/>
    <cellStyle name="SAPBEXstdItemX 2" xfId="644"/>
    <cellStyle name="SAPBEXstdItemX 2 10" xfId="5706"/>
    <cellStyle name="SAPBEXstdItemX 2 10 2" xfId="10985"/>
    <cellStyle name="SAPBEXstdItemX 2 10 3" xfId="15913"/>
    <cellStyle name="SAPBEXstdItemX 2 10 3 2" xfId="62574"/>
    <cellStyle name="SAPBEXstdItemX 2 11" xfId="5707"/>
    <cellStyle name="SAPBEXstdItemX 2 11 2" xfId="10986"/>
    <cellStyle name="SAPBEXstdItemX 2 11 3" xfId="15914"/>
    <cellStyle name="SAPBEXstdItemX 2 12" xfId="2016"/>
    <cellStyle name="SAPBEXstdItemX 2 12 2" xfId="7295"/>
    <cellStyle name="SAPBEXstdItemX 2 12 3" xfId="11533"/>
    <cellStyle name="SAPBEXstdItemX 2 13" xfId="5991"/>
    <cellStyle name="SAPBEXstdItemX 2 2" xfId="737"/>
    <cellStyle name="SAPBEXstdItemX 2 2 2" xfId="1364"/>
    <cellStyle name="SAPBEXstdItemX 2 2 2 2" xfId="2598"/>
    <cellStyle name="SAPBEXstdItemX 2 2 2 2 2" xfId="7877"/>
    <cellStyle name="SAPBEXstdItemX 2 2 2 2 3" xfId="15917"/>
    <cellStyle name="SAPBEXstdItemX 2 2 2 3" xfId="6643"/>
    <cellStyle name="SAPBEXstdItemX 2 2 2 4" xfId="15916"/>
    <cellStyle name="SAPBEXstdItemX 2 2 3" xfId="1841"/>
    <cellStyle name="SAPBEXstdItemX 2 2 3 2" xfId="3075"/>
    <cellStyle name="SAPBEXstdItemX 2 2 3 2 2" xfId="8354"/>
    <cellStyle name="SAPBEXstdItemX 2 2 3 2 3" xfId="15919"/>
    <cellStyle name="SAPBEXstdItemX 2 2 3 3" xfId="7120"/>
    <cellStyle name="SAPBEXstdItemX 2 2 3 4" xfId="15918"/>
    <cellStyle name="SAPBEXstdItemX 2 2 4" xfId="5708"/>
    <cellStyle name="SAPBEXstdItemX 2 2 4 2" xfId="10987"/>
    <cellStyle name="SAPBEXstdItemX 2 2 4 3" xfId="15920"/>
    <cellStyle name="SAPBEXstdItemX 2 2 5" xfId="5709"/>
    <cellStyle name="SAPBEXstdItemX 2 2 5 2" xfId="10988"/>
    <cellStyle name="SAPBEXstdItemX 2 2 5 3" xfId="15921"/>
    <cellStyle name="SAPBEXstdItemX 2 2 6" xfId="5710"/>
    <cellStyle name="SAPBEXstdItemX 2 2 6 2" xfId="10989"/>
    <cellStyle name="SAPBEXstdItemX 2 2 6 3" xfId="15922"/>
    <cellStyle name="SAPBEXstdItemX 2 2 7" xfId="5711"/>
    <cellStyle name="SAPBEXstdItemX 2 2 7 2" xfId="10990"/>
    <cellStyle name="SAPBEXstdItemX 2 2 7 3" xfId="15923"/>
    <cellStyle name="SAPBEXstdItemX 2 2 8" xfId="6026"/>
    <cellStyle name="SAPBEXstdItemX 2 2 9" xfId="15915"/>
    <cellStyle name="SAPBEXstdItemX 2 3" xfId="1204"/>
    <cellStyle name="SAPBEXstdItemX 2 3 10" xfId="2438"/>
    <cellStyle name="SAPBEXstdItemX 2 3 10 2" xfId="7717"/>
    <cellStyle name="SAPBEXstdItemX 2 3 10 3" xfId="11534"/>
    <cellStyle name="SAPBEXstdItemX 2 3 11" xfId="6483"/>
    <cellStyle name="SAPBEXstdItemX 2 3 2" xfId="1821"/>
    <cellStyle name="SAPBEXstdItemX 2 3 2 2" xfId="3055"/>
    <cellStyle name="SAPBEXstdItemX 2 3 2 2 2" xfId="8334"/>
    <cellStyle name="SAPBEXstdItemX 2 3 2 2 3" xfId="15925"/>
    <cellStyle name="SAPBEXstdItemX 2 3 2 3" xfId="7100"/>
    <cellStyle name="SAPBEXstdItemX 2 3 2 4" xfId="15924"/>
    <cellStyle name="SAPBEXstdItemX 2 3 3" xfId="5712"/>
    <cellStyle name="SAPBEXstdItemX 2 3 3 2" xfId="10991"/>
    <cellStyle name="SAPBEXstdItemX 2 3 3 3" xfId="15926"/>
    <cellStyle name="SAPBEXstdItemX 2 3 4" xfId="5713"/>
    <cellStyle name="SAPBEXstdItemX 2 3 4 2" xfId="10992"/>
    <cellStyle name="SAPBEXstdItemX 2 3 4 3" xfId="15927"/>
    <cellStyle name="SAPBEXstdItemX 2 3 5" xfId="5714"/>
    <cellStyle name="SAPBEXstdItemX 2 3 5 2" xfId="10993"/>
    <cellStyle name="SAPBEXstdItemX 2 3 5 3" xfId="15928"/>
    <cellStyle name="SAPBEXstdItemX 2 3 6" xfId="5715"/>
    <cellStyle name="SAPBEXstdItemX 2 3 6 2" xfId="10994"/>
    <cellStyle name="SAPBEXstdItemX 2 3 6 3" xfId="15929"/>
    <cellStyle name="SAPBEXstdItemX 2 3 7" xfId="5716"/>
    <cellStyle name="SAPBEXstdItemX 2 3 7 2" xfId="10995"/>
    <cellStyle name="SAPBEXstdItemX 2 3 7 3" xfId="15930"/>
    <cellStyle name="SAPBEXstdItemX 2 3 8" xfId="5717"/>
    <cellStyle name="SAPBEXstdItemX 2 3 8 2" xfId="10996"/>
    <cellStyle name="SAPBEXstdItemX 2 3 8 3" xfId="15931"/>
    <cellStyle name="SAPBEXstdItemX 2 3 9" xfId="5718"/>
    <cellStyle name="SAPBEXstdItemX 2 3 9 2" xfId="10997"/>
    <cellStyle name="SAPBEXstdItemX 2 3 9 3" xfId="15932"/>
    <cellStyle name="SAPBEXstdItemX 2 4" xfId="1205"/>
    <cellStyle name="SAPBEXstdItemX 2 4 10" xfId="2439"/>
    <cellStyle name="SAPBEXstdItemX 2 4 10 2" xfId="7718"/>
    <cellStyle name="SAPBEXstdItemX 2 4 10 3" xfId="11535"/>
    <cellStyle name="SAPBEXstdItemX 2 4 11" xfId="6484"/>
    <cellStyle name="SAPBEXstdItemX 2 4 2" xfId="1822"/>
    <cellStyle name="SAPBEXstdItemX 2 4 2 2" xfId="3056"/>
    <cellStyle name="SAPBEXstdItemX 2 4 2 2 2" xfId="8335"/>
    <cellStyle name="SAPBEXstdItemX 2 4 2 2 3" xfId="15934"/>
    <cellStyle name="SAPBEXstdItemX 2 4 2 3" xfId="7101"/>
    <cellStyle name="SAPBEXstdItemX 2 4 2 4" xfId="15933"/>
    <cellStyle name="SAPBEXstdItemX 2 4 3" xfId="5719"/>
    <cellStyle name="SAPBEXstdItemX 2 4 3 2" xfId="10998"/>
    <cellStyle name="SAPBEXstdItemX 2 4 3 3" xfId="15935"/>
    <cellStyle name="SAPBEXstdItemX 2 4 4" xfId="5720"/>
    <cellStyle name="SAPBEXstdItemX 2 4 4 2" xfId="10999"/>
    <cellStyle name="SAPBEXstdItemX 2 4 4 3" xfId="15936"/>
    <cellStyle name="SAPBEXstdItemX 2 4 5" xfId="5721"/>
    <cellStyle name="SAPBEXstdItemX 2 4 5 2" xfId="11000"/>
    <cellStyle name="SAPBEXstdItemX 2 4 5 3" xfId="15937"/>
    <cellStyle name="SAPBEXstdItemX 2 4 6" xfId="5722"/>
    <cellStyle name="SAPBEXstdItemX 2 4 6 2" xfId="11001"/>
    <cellStyle name="SAPBEXstdItemX 2 4 6 3" xfId="15938"/>
    <cellStyle name="SAPBEXstdItemX 2 4 7" xfId="5723"/>
    <cellStyle name="SAPBEXstdItemX 2 4 7 2" xfId="11002"/>
    <cellStyle name="SAPBEXstdItemX 2 4 7 3" xfId="15939"/>
    <cellStyle name="SAPBEXstdItemX 2 4 8" xfId="5724"/>
    <cellStyle name="SAPBEXstdItemX 2 4 8 2" xfId="11003"/>
    <cellStyle name="SAPBEXstdItemX 2 4 8 3" xfId="15940"/>
    <cellStyle name="SAPBEXstdItemX 2 4 9" xfId="5725"/>
    <cellStyle name="SAPBEXstdItemX 2 4 9 2" xfId="11004"/>
    <cellStyle name="SAPBEXstdItemX 2 4 9 3" xfId="15941"/>
    <cellStyle name="SAPBEXstdItemX 2 5" xfId="1206"/>
    <cellStyle name="SAPBEXstdItemX 2 5 10" xfId="2440"/>
    <cellStyle name="SAPBEXstdItemX 2 5 10 2" xfId="7719"/>
    <cellStyle name="SAPBEXstdItemX 2 5 10 3" xfId="11536"/>
    <cellStyle name="SAPBEXstdItemX 2 5 11" xfId="6485"/>
    <cellStyle name="SAPBEXstdItemX 2 5 2" xfId="1823"/>
    <cellStyle name="SAPBEXstdItemX 2 5 2 2" xfId="3057"/>
    <cellStyle name="SAPBEXstdItemX 2 5 2 2 2" xfId="8336"/>
    <cellStyle name="SAPBEXstdItemX 2 5 2 2 3" xfId="15943"/>
    <cellStyle name="SAPBEXstdItemX 2 5 2 3" xfId="7102"/>
    <cellStyle name="SAPBEXstdItemX 2 5 2 4" xfId="15942"/>
    <cellStyle name="SAPBEXstdItemX 2 5 3" xfId="5726"/>
    <cellStyle name="SAPBEXstdItemX 2 5 3 2" xfId="11005"/>
    <cellStyle name="SAPBEXstdItemX 2 5 3 3" xfId="15944"/>
    <cellStyle name="SAPBEXstdItemX 2 5 4" xfId="5727"/>
    <cellStyle name="SAPBEXstdItemX 2 5 4 2" xfId="11006"/>
    <cellStyle name="SAPBEXstdItemX 2 5 4 3" xfId="15945"/>
    <cellStyle name="SAPBEXstdItemX 2 5 5" xfId="5728"/>
    <cellStyle name="SAPBEXstdItemX 2 5 5 2" xfId="11007"/>
    <cellStyle name="SAPBEXstdItemX 2 5 5 3" xfId="15946"/>
    <cellStyle name="SAPBEXstdItemX 2 5 6" xfId="5729"/>
    <cellStyle name="SAPBEXstdItemX 2 5 6 2" xfId="11008"/>
    <cellStyle name="SAPBEXstdItemX 2 5 6 3" xfId="15947"/>
    <cellStyle name="SAPBEXstdItemX 2 5 7" xfId="5730"/>
    <cellStyle name="SAPBEXstdItemX 2 5 7 2" xfId="11009"/>
    <cellStyle name="SAPBEXstdItemX 2 5 7 3" xfId="15948"/>
    <cellStyle name="SAPBEXstdItemX 2 5 8" xfId="5731"/>
    <cellStyle name="SAPBEXstdItemX 2 5 8 2" xfId="11010"/>
    <cellStyle name="SAPBEXstdItemX 2 5 8 3" xfId="15949"/>
    <cellStyle name="SAPBEXstdItemX 2 5 9" xfId="5732"/>
    <cellStyle name="SAPBEXstdItemX 2 5 9 2" xfId="11011"/>
    <cellStyle name="SAPBEXstdItemX 2 5 9 3" xfId="15950"/>
    <cellStyle name="SAPBEXstdItemX 2 6" xfId="1207"/>
    <cellStyle name="SAPBEXstdItemX 2 6 10" xfId="2441"/>
    <cellStyle name="SAPBEXstdItemX 2 6 10 2" xfId="7720"/>
    <cellStyle name="SAPBEXstdItemX 2 6 10 3" xfId="11537"/>
    <cellStyle name="SAPBEXstdItemX 2 6 11" xfId="6486"/>
    <cellStyle name="SAPBEXstdItemX 2 6 2" xfId="1824"/>
    <cellStyle name="SAPBEXstdItemX 2 6 2 2" xfId="3058"/>
    <cellStyle name="SAPBEXstdItemX 2 6 2 2 2" xfId="8337"/>
    <cellStyle name="SAPBEXstdItemX 2 6 2 2 3" xfId="15952"/>
    <cellStyle name="SAPBEXstdItemX 2 6 2 3" xfId="7103"/>
    <cellStyle name="SAPBEXstdItemX 2 6 2 4" xfId="15951"/>
    <cellStyle name="SAPBEXstdItemX 2 6 3" xfId="5733"/>
    <cellStyle name="SAPBEXstdItemX 2 6 3 2" xfId="11012"/>
    <cellStyle name="SAPBEXstdItemX 2 6 3 3" xfId="15953"/>
    <cellStyle name="SAPBEXstdItemX 2 6 4" xfId="5734"/>
    <cellStyle name="SAPBEXstdItemX 2 6 4 2" xfId="11013"/>
    <cellStyle name="SAPBEXstdItemX 2 6 4 3" xfId="15954"/>
    <cellStyle name="SAPBEXstdItemX 2 6 5" xfId="5735"/>
    <cellStyle name="SAPBEXstdItemX 2 6 5 2" xfId="11014"/>
    <cellStyle name="SAPBEXstdItemX 2 6 5 3" xfId="15955"/>
    <cellStyle name="SAPBEXstdItemX 2 6 6" xfId="5736"/>
    <cellStyle name="SAPBEXstdItemX 2 6 6 2" xfId="11015"/>
    <cellStyle name="SAPBEXstdItemX 2 6 6 3" xfId="15956"/>
    <cellStyle name="SAPBEXstdItemX 2 6 7" xfId="5737"/>
    <cellStyle name="SAPBEXstdItemX 2 6 7 2" xfId="11016"/>
    <cellStyle name="SAPBEXstdItemX 2 6 7 3" xfId="15957"/>
    <cellStyle name="SAPBEXstdItemX 2 6 8" xfId="5738"/>
    <cellStyle name="SAPBEXstdItemX 2 6 8 2" xfId="11017"/>
    <cellStyle name="SAPBEXstdItemX 2 6 8 3" xfId="15958"/>
    <cellStyle name="SAPBEXstdItemX 2 6 9" xfId="5739"/>
    <cellStyle name="SAPBEXstdItemX 2 6 9 2" xfId="11018"/>
    <cellStyle name="SAPBEXstdItemX 2 6 9 3" xfId="15959"/>
    <cellStyle name="SAPBEXstdItemX 2 7" xfId="1329"/>
    <cellStyle name="SAPBEXstdItemX 2 7 2" xfId="2563"/>
    <cellStyle name="SAPBEXstdItemX 2 7 2 2" xfId="7842"/>
    <cellStyle name="SAPBEXstdItemX 2 7 2 3" xfId="15961"/>
    <cellStyle name="SAPBEXstdItemX 2 7 3" xfId="6608"/>
    <cellStyle name="SAPBEXstdItemX 2 7 4" xfId="15960"/>
    <cellStyle name="SAPBEXstdItemX 2 8" xfId="5740"/>
    <cellStyle name="SAPBEXstdItemX 2 8 2" xfId="11019"/>
    <cellStyle name="SAPBEXstdItemX 2 8 3" xfId="15962"/>
    <cellStyle name="SAPBEXstdItemX 2 9" xfId="5741"/>
    <cellStyle name="SAPBEXstdItemX 2 9 2" xfId="11020"/>
    <cellStyle name="SAPBEXstdItemX 2 9 3" xfId="15963"/>
    <cellStyle name="SAPBEXstdItemX 3" xfId="645"/>
    <cellStyle name="SAPBEXstdItemX 3 10" xfId="5742"/>
    <cellStyle name="SAPBEXstdItemX 3 10 2" xfId="11021"/>
    <cellStyle name="SAPBEXstdItemX 3 10 3" xfId="15964"/>
    <cellStyle name="SAPBEXstdItemX 3 11" xfId="5743"/>
    <cellStyle name="SAPBEXstdItemX 3 11 2" xfId="11022"/>
    <cellStyle name="SAPBEXstdItemX 3 11 3" xfId="15965"/>
    <cellStyle name="SAPBEXstdItemX 3 12" xfId="2017"/>
    <cellStyle name="SAPBEXstdItemX 3 12 2" xfId="7296"/>
    <cellStyle name="SAPBEXstdItemX 3 12 3" xfId="11538"/>
    <cellStyle name="SAPBEXstdItemX 3 13" xfId="5992"/>
    <cellStyle name="SAPBEXstdItemX 3 2" xfId="736"/>
    <cellStyle name="SAPBEXstdItemX 3 2 2" xfId="1363"/>
    <cellStyle name="SAPBEXstdItemX 3 2 2 2" xfId="2597"/>
    <cellStyle name="SAPBEXstdItemX 3 2 2 2 2" xfId="7876"/>
    <cellStyle name="SAPBEXstdItemX 3 2 2 2 3" xfId="15968"/>
    <cellStyle name="SAPBEXstdItemX 3 2 2 3" xfId="6642"/>
    <cellStyle name="SAPBEXstdItemX 3 2 2 4" xfId="15967"/>
    <cellStyle name="SAPBEXstdItemX 3 2 3" xfId="1840"/>
    <cellStyle name="SAPBEXstdItemX 3 2 3 2" xfId="3074"/>
    <cellStyle name="SAPBEXstdItemX 3 2 3 2 2" xfId="8353"/>
    <cellStyle name="SAPBEXstdItemX 3 2 3 2 3" xfId="15970"/>
    <cellStyle name="SAPBEXstdItemX 3 2 3 3" xfId="7119"/>
    <cellStyle name="SAPBEXstdItemX 3 2 3 4" xfId="15969"/>
    <cellStyle name="SAPBEXstdItemX 3 2 4" xfId="5744"/>
    <cellStyle name="SAPBEXstdItemX 3 2 4 2" xfId="11023"/>
    <cellStyle name="SAPBEXstdItemX 3 2 4 3" xfId="15971"/>
    <cellStyle name="SAPBEXstdItemX 3 2 5" xfId="5745"/>
    <cellStyle name="SAPBEXstdItemX 3 2 5 2" xfId="11024"/>
    <cellStyle name="SAPBEXstdItemX 3 2 5 3" xfId="15972"/>
    <cellStyle name="SAPBEXstdItemX 3 2 6" xfId="5746"/>
    <cellStyle name="SAPBEXstdItemX 3 2 6 2" xfId="11025"/>
    <cellStyle name="SAPBEXstdItemX 3 2 6 3" xfId="15973"/>
    <cellStyle name="SAPBEXstdItemX 3 2 7" xfId="5747"/>
    <cellStyle name="SAPBEXstdItemX 3 2 7 2" xfId="11026"/>
    <cellStyle name="SAPBEXstdItemX 3 2 7 3" xfId="15974"/>
    <cellStyle name="SAPBEXstdItemX 3 2 8" xfId="6025"/>
    <cellStyle name="SAPBEXstdItemX 3 2 9" xfId="15966"/>
    <cellStyle name="SAPBEXstdItemX 3 3" xfId="1208"/>
    <cellStyle name="SAPBEXstdItemX 3 3 10" xfId="2442"/>
    <cellStyle name="SAPBEXstdItemX 3 3 10 2" xfId="7721"/>
    <cellStyle name="SAPBEXstdItemX 3 3 10 3" xfId="11539"/>
    <cellStyle name="SAPBEXstdItemX 3 3 11" xfId="6487"/>
    <cellStyle name="SAPBEXstdItemX 3 3 2" xfId="1825"/>
    <cellStyle name="SAPBEXstdItemX 3 3 2 2" xfId="3059"/>
    <cellStyle name="SAPBEXstdItemX 3 3 2 2 2" xfId="8338"/>
    <cellStyle name="SAPBEXstdItemX 3 3 2 2 3" xfId="15976"/>
    <cellStyle name="SAPBEXstdItemX 3 3 2 3" xfId="7104"/>
    <cellStyle name="SAPBEXstdItemX 3 3 2 4" xfId="15975"/>
    <cellStyle name="SAPBEXstdItemX 3 3 3" xfId="5748"/>
    <cellStyle name="SAPBEXstdItemX 3 3 3 2" xfId="11027"/>
    <cellStyle name="SAPBEXstdItemX 3 3 3 3" xfId="15977"/>
    <cellStyle name="SAPBEXstdItemX 3 3 4" xfId="5749"/>
    <cellStyle name="SAPBEXstdItemX 3 3 4 2" xfId="11028"/>
    <cellStyle name="SAPBEXstdItemX 3 3 4 3" xfId="15978"/>
    <cellStyle name="SAPBEXstdItemX 3 3 5" xfId="5750"/>
    <cellStyle name="SAPBEXstdItemX 3 3 5 2" xfId="11029"/>
    <cellStyle name="SAPBEXstdItemX 3 3 5 3" xfId="15979"/>
    <cellStyle name="SAPBEXstdItemX 3 3 6" xfId="5751"/>
    <cellStyle name="SAPBEXstdItemX 3 3 6 2" xfId="11030"/>
    <cellStyle name="SAPBEXstdItemX 3 3 6 3" xfId="15980"/>
    <cellStyle name="SAPBEXstdItemX 3 3 7" xfId="5752"/>
    <cellStyle name="SAPBEXstdItemX 3 3 7 2" xfId="11031"/>
    <cellStyle name="SAPBEXstdItemX 3 3 7 3" xfId="15981"/>
    <cellStyle name="SAPBEXstdItemX 3 3 8" xfId="5753"/>
    <cellStyle name="SAPBEXstdItemX 3 3 8 2" xfId="11032"/>
    <cellStyle name="SAPBEXstdItemX 3 3 8 3" xfId="15982"/>
    <cellStyle name="SAPBEXstdItemX 3 3 9" xfId="5754"/>
    <cellStyle name="SAPBEXstdItemX 3 3 9 2" xfId="11033"/>
    <cellStyle name="SAPBEXstdItemX 3 3 9 3" xfId="15983"/>
    <cellStyle name="SAPBEXstdItemX 3 4" xfId="1209"/>
    <cellStyle name="SAPBEXstdItemX 3 4 10" xfId="2443"/>
    <cellStyle name="SAPBEXstdItemX 3 4 10 2" xfId="7722"/>
    <cellStyle name="SAPBEXstdItemX 3 4 10 3" xfId="11540"/>
    <cellStyle name="SAPBEXstdItemX 3 4 11" xfId="6488"/>
    <cellStyle name="SAPBEXstdItemX 3 4 2" xfId="1826"/>
    <cellStyle name="SAPBEXstdItemX 3 4 2 2" xfId="3060"/>
    <cellStyle name="SAPBEXstdItemX 3 4 2 2 2" xfId="8339"/>
    <cellStyle name="SAPBEXstdItemX 3 4 2 2 3" xfId="15985"/>
    <cellStyle name="SAPBEXstdItemX 3 4 2 3" xfId="7105"/>
    <cellStyle name="SAPBEXstdItemX 3 4 2 4" xfId="15984"/>
    <cellStyle name="SAPBEXstdItemX 3 4 3" xfId="5755"/>
    <cellStyle name="SAPBEXstdItemX 3 4 3 2" xfId="11034"/>
    <cellStyle name="SAPBEXstdItemX 3 4 3 3" xfId="15986"/>
    <cellStyle name="SAPBEXstdItemX 3 4 4" xfId="5756"/>
    <cellStyle name="SAPBEXstdItemX 3 4 4 2" xfId="11035"/>
    <cellStyle name="SAPBEXstdItemX 3 4 4 3" xfId="15987"/>
    <cellStyle name="SAPBEXstdItemX 3 4 5" xfId="5757"/>
    <cellStyle name="SAPBEXstdItemX 3 4 5 2" xfId="11036"/>
    <cellStyle name="SAPBEXstdItemX 3 4 5 3" xfId="15988"/>
    <cellStyle name="SAPBEXstdItemX 3 4 6" xfId="5758"/>
    <cellStyle name="SAPBEXstdItemX 3 4 6 2" xfId="11037"/>
    <cellStyle name="SAPBEXstdItemX 3 4 6 3" xfId="15989"/>
    <cellStyle name="SAPBEXstdItemX 3 4 7" xfId="5759"/>
    <cellStyle name="SAPBEXstdItemX 3 4 7 2" xfId="11038"/>
    <cellStyle name="SAPBEXstdItemX 3 4 7 3" xfId="15990"/>
    <cellStyle name="SAPBEXstdItemX 3 4 8" xfId="5760"/>
    <cellStyle name="SAPBEXstdItemX 3 4 8 2" xfId="11039"/>
    <cellStyle name="SAPBEXstdItemX 3 4 8 3" xfId="15991"/>
    <cellStyle name="SAPBEXstdItemX 3 4 9" xfId="5761"/>
    <cellStyle name="SAPBEXstdItemX 3 4 9 2" xfId="11040"/>
    <cellStyle name="SAPBEXstdItemX 3 4 9 3" xfId="15992"/>
    <cellStyle name="SAPBEXstdItemX 3 5" xfId="1210"/>
    <cellStyle name="SAPBEXstdItemX 3 5 10" xfId="2444"/>
    <cellStyle name="SAPBEXstdItemX 3 5 10 2" xfId="7723"/>
    <cellStyle name="SAPBEXstdItemX 3 5 10 3" xfId="11541"/>
    <cellStyle name="SAPBEXstdItemX 3 5 11" xfId="6489"/>
    <cellStyle name="SAPBEXstdItemX 3 5 2" xfId="1827"/>
    <cellStyle name="SAPBEXstdItemX 3 5 2 2" xfId="3061"/>
    <cellStyle name="SAPBEXstdItemX 3 5 2 2 2" xfId="8340"/>
    <cellStyle name="SAPBEXstdItemX 3 5 2 2 3" xfId="15994"/>
    <cellStyle name="SAPBEXstdItemX 3 5 2 3" xfId="7106"/>
    <cellStyle name="SAPBEXstdItemX 3 5 2 4" xfId="15993"/>
    <cellStyle name="SAPBEXstdItemX 3 5 3" xfId="5762"/>
    <cellStyle name="SAPBEXstdItemX 3 5 3 2" xfId="11041"/>
    <cellStyle name="SAPBEXstdItemX 3 5 3 3" xfId="15995"/>
    <cellStyle name="SAPBEXstdItemX 3 5 4" xfId="5763"/>
    <cellStyle name="SAPBEXstdItemX 3 5 4 2" xfId="11042"/>
    <cellStyle name="SAPBEXstdItemX 3 5 4 3" xfId="15996"/>
    <cellStyle name="SAPBEXstdItemX 3 5 5" xfId="5764"/>
    <cellStyle name="SAPBEXstdItemX 3 5 5 2" xfId="11043"/>
    <cellStyle name="SAPBEXstdItemX 3 5 5 3" xfId="15997"/>
    <cellStyle name="SAPBEXstdItemX 3 5 6" xfId="5765"/>
    <cellStyle name="SAPBEXstdItemX 3 5 6 2" xfId="11044"/>
    <cellStyle name="SAPBEXstdItemX 3 5 6 3" xfId="15998"/>
    <cellStyle name="SAPBEXstdItemX 3 5 7" xfId="5766"/>
    <cellStyle name="SAPBEXstdItemX 3 5 7 2" xfId="11045"/>
    <cellStyle name="SAPBEXstdItemX 3 5 7 3" xfId="15999"/>
    <cellStyle name="SAPBEXstdItemX 3 5 8" xfId="5767"/>
    <cellStyle name="SAPBEXstdItemX 3 5 8 2" xfId="11046"/>
    <cellStyle name="SAPBEXstdItemX 3 5 8 3" xfId="16000"/>
    <cellStyle name="SAPBEXstdItemX 3 5 9" xfId="5768"/>
    <cellStyle name="SAPBEXstdItemX 3 5 9 2" xfId="11047"/>
    <cellStyle name="SAPBEXstdItemX 3 5 9 3" xfId="16001"/>
    <cellStyle name="SAPBEXstdItemX 3 6" xfId="1211"/>
    <cellStyle name="SAPBEXstdItemX 3 6 10" xfId="2445"/>
    <cellStyle name="SAPBEXstdItemX 3 6 10 2" xfId="7724"/>
    <cellStyle name="SAPBEXstdItemX 3 6 10 3" xfId="11542"/>
    <cellStyle name="SAPBEXstdItemX 3 6 11" xfId="6490"/>
    <cellStyle name="SAPBEXstdItemX 3 6 2" xfId="1828"/>
    <cellStyle name="SAPBEXstdItemX 3 6 2 2" xfId="3062"/>
    <cellStyle name="SAPBEXstdItemX 3 6 2 2 2" xfId="8341"/>
    <cellStyle name="SAPBEXstdItemX 3 6 2 2 3" xfId="16003"/>
    <cellStyle name="SAPBEXstdItemX 3 6 2 3" xfId="7107"/>
    <cellStyle name="SAPBEXstdItemX 3 6 2 4" xfId="16002"/>
    <cellStyle name="SAPBEXstdItemX 3 6 3" xfId="5769"/>
    <cellStyle name="SAPBEXstdItemX 3 6 3 2" xfId="11048"/>
    <cellStyle name="SAPBEXstdItemX 3 6 3 3" xfId="16004"/>
    <cellStyle name="SAPBEXstdItemX 3 6 4" xfId="5770"/>
    <cellStyle name="SAPBEXstdItemX 3 6 4 2" xfId="11049"/>
    <cellStyle name="SAPBEXstdItemX 3 6 4 3" xfId="16005"/>
    <cellStyle name="SAPBEXstdItemX 3 6 5" xfId="5771"/>
    <cellStyle name="SAPBEXstdItemX 3 6 5 2" xfId="11050"/>
    <cellStyle name="SAPBEXstdItemX 3 6 5 3" xfId="16006"/>
    <cellStyle name="SAPBEXstdItemX 3 6 6" xfId="5772"/>
    <cellStyle name="SAPBEXstdItemX 3 6 6 2" xfId="11051"/>
    <cellStyle name="SAPBEXstdItemX 3 6 6 3" xfId="16007"/>
    <cellStyle name="SAPBEXstdItemX 3 6 7" xfId="5773"/>
    <cellStyle name="SAPBEXstdItemX 3 6 7 2" xfId="11052"/>
    <cellStyle name="SAPBEXstdItemX 3 6 7 3" xfId="16008"/>
    <cellStyle name="SAPBEXstdItemX 3 6 8" xfId="5774"/>
    <cellStyle name="SAPBEXstdItemX 3 6 8 2" xfId="11053"/>
    <cellStyle name="SAPBEXstdItemX 3 6 8 3" xfId="16009"/>
    <cellStyle name="SAPBEXstdItemX 3 6 9" xfId="5775"/>
    <cellStyle name="SAPBEXstdItemX 3 6 9 2" xfId="11054"/>
    <cellStyle name="SAPBEXstdItemX 3 6 9 3" xfId="16010"/>
    <cellStyle name="SAPBEXstdItemX 3 7" xfId="1330"/>
    <cellStyle name="SAPBEXstdItemX 3 7 2" xfId="2564"/>
    <cellStyle name="SAPBEXstdItemX 3 7 2 2" xfId="7843"/>
    <cellStyle name="SAPBEXstdItemX 3 7 2 3" xfId="16012"/>
    <cellStyle name="SAPBEXstdItemX 3 7 3" xfId="6609"/>
    <cellStyle name="SAPBEXstdItemX 3 7 4" xfId="16011"/>
    <cellStyle name="SAPBEXstdItemX 3 8" xfId="5776"/>
    <cellStyle name="SAPBEXstdItemX 3 8 2" xfId="11055"/>
    <cellStyle name="SAPBEXstdItemX 3 8 3" xfId="16013"/>
    <cellStyle name="SAPBEXstdItemX 3 9" xfId="5777"/>
    <cellStyle name="SAPBEXstdItemX 3 9 2" xfId="11056"/>
    <cellStyle name="SAPBEXstdItemX 3 9 3" xfId="16014"/>
    <cellStyle name="SAPBEXstdItemX 4" xfId="1212"/>
    <cellStyle name="SAPBEXstdItemX 4 10" xfId="2446"/>
    <cellStyle name="SAPBEXstdItemX 4 10 2" xfId="7725"/>
    <cellStyle name="SAPBEXstdItemX 4 10 3" xfId="11543"/>
    <cellStyle name="SAPBEXstdItemX 4 11" xfId="6491"/>
    <cellStyle name="SAPBEXstdItemX 4 2" xfId="1829"/>
    <cellStyle name="SAPBEXstdItemX 4 2 2" xfId="3063"/>
    <cellStyle name="SAPBEXstdItemX 4 2 2 2" xfId="8342"/>
    <cellStyle name="SAPBEXstdItemX 4 2 2 3" xfId="16016"/>
    <cellStyle name="SAPBEXstdItemX 4 2 3" xfId="7108"/>
    <cellStyle name="SAPBEXstdItemX 4 2 4" xfId="16015"/>
    <cellStyle name="SAPBEXstdItemX 4 3" xfId="5778"/>
    <cellStyle name="SAPBEXstdItemX 4 3 2" xfId="11057"/>
    <cellStyle name="SAPBEXstdItemX 4 3 3" xfId="16017"/>
    <cellStyle name="SAPBEXstdItemX 4 4" xfId="5779"/>
    <cellStyle name="SAPBEXstdItemX 4 4 2" xfId="11058"/>
    <cellStyle name="SAPBEXstdItemX 4 4 3" xfId="16018"/>
    <cellStyle name="SAPBEXstdItemX 4 5" xfId="5780"/>
    <cellStyle name="SAPBEXstdItemX 4 5 2" xfId="11059"/>
    <cellStyle name="SAPBEXstdItemX 4 5 3" xfId="16019"/>
    <cellStyle name="SAPBEXstdItemX 4 6" xfId="5781"/>
    <cellStyle name="SAPBEXstdItemX 4 6 2" xfId="11060"/>
    <cellStyle name="SAPBEXstdItemX 4 6 3" xfId="16020"/>
    <cellStyle name="SAPBEXstdItemX 4 7" xfId="5782"/>
    <cellStyle name="SAPBEXstdItemX 4 7 2" xfId="11061"/>
    <cellStyle name="SAPBEXstdItemX 4 7 3" xfId="16021"/>
    <cellStyle name="SAPBEXstdItemX 4 8" xfId="5783"/>
    <cellStyle name="SAPBEXstdItemX 4 8 2" xfId="11062"/>
    <cellStyle name="SAPBEXstdItemX 4 8 3" xfId="16022"/>
    <cellStyle name="SAPBEXstdItemX 4 9" xfId="5784"/>
    <cellStyle name="SAPBEXstdItemX 4 9 2" xfId="11063"/>
    <cellStyle name="SAPBEXstdItemX 4 9 3" xfId="16023"/>
    <cellStyle name="SAPBEXstdItemX 5" xfId="1226"/>
    <cellStyle name="SAPBEXstdItemX 5 2" xfId="2460"/>
    <cellStyle name="SAPBEXstdItemX 5 2 2" xfId="7739"/>
    <cellStyle name="SAPBEXstdItemX 5 2 3" xfId="16025"/>
    <cellStyle name="SAPBEXstdItemX 5 3" xfId="6505"/>
    <cellStyle name="SAPBEXstdItemX 5 4" xfId="16024"/>
    <cellStyle name="SAPBEXstdItemX 6" xfId="5785"/>
    <cellStyle name="SAPBEXstdItemX 6 2" xfId="11064"/>
    <cellStyle name="SAPBEXstdItemX 6 3" xfId="16026"/>
    <cellStyle name="SAPBEXstdItemX 7" xfId="1913"/>
    <cellStyle name="SAPBEXstdItemX 7 2" xfId="7192"/>
    <cellStyle name="SAPBEXstdItemX 7 3" xfId="11544"/>
    <cellStyle name="SAPBEXstdItemX 8" xfId="5842"/>
    <cellStyle name="SAPBEXstdItemX 9" xfId="5828"/>
    <cellStyle name="SAPBEXstdItemX_Copy of xSAPtemp5457" xfId="5885"/>
    <cellStyle name="SAPBEXtitle" xfId="5884"/>
    <cellStyle name="SAPBEXtitle 2" xfId="11183"/>
    <cellStyle name="SAPBEXtitle 3" xfId="11124"/>
    <cellStyle name="SAPBEXtitle 4" xfId="5834"/>
    <cellStyle name="SAPBEXtitle 5" xfId="5882"/>
    <cellStyle name="SAPBEXtitle 6" xfId="5881"/>
    <cellStyle name="SAPBEXtitle 7" xfId="11167"/>
    <cellStyle name="SAPBEXtitle_Copy of xSAPtemp5457" xfId="11102"/>
    <cellStyle name="SAPBEXundefined" xfId="11113"/>
    <cellStyle name="Shade" xfId="52213"/>
    <cellStyle name="Special" xfId="52214"/>
    <cellStyle name="Special 10" xfId="52215"/>
    <cellStyle name="Special 11" xfId="52216"/>
    <cellStyle name="Special 12" xfId="52217"/>
    <cellStyle name="Special 13" xfId="52218"/>
    <cellStyle name="Special 14" xfId="52219"/>
    <cellStyle name="Special 15" xfId="52220"/>
    <cellStyle name="Special 16" xfId="52221"/>
    <cellStyle name="Special 17" xfId="52222"/>
    <cellStyle name="Special 18" xfId="52223"/>
    <cellStyle name="Special 19" xfId="52224"/>
    <cellStyle name="Special 2" xfId="52225"/>
    <cellStyle name="Special 2 10" xfId="52226"/>
    <cellStyle name="Special 2 11" xfId="52227"/>
    <cellStyle name="Special 2 12" xfId="52228"/>
    <cellStyle name="Special 2 13" xfId="52229"/>
    <cellStyle name="Special 2 14" xfId="52230"/>
    <cellStyle name="Special 2 15" xfId="52231"/>
    <cellStyle name="Special 2 16" xfId="52232"/>
    <cellStyle name="Special 2 17" xfId="52233"/>
    <cellStyle name="Special 2 18" xfId="52234"/>
    <cellStyle name="Special 2 19" xfId="52235"/>
    <cellStyle name="Special 2 2" xfId="52236"/>
    <cellStyle name="Special 2 20" xfId="52237"/>
    <cellStyle name="Special 2 21" xfId="52238"/>
    <cellStyle name="Special 2 3" xfId="52239"/>
    <cellStyle name="Special 2 4" xfId="52240"/>
    <cellStyle name="Special 2 5" xfId="52241"/>
    <cellStyle name="Special 2 6" xfId="52242"/>
    <cellStyle name="Special 2 7" xfId="52243"/>
    <cellStyle name="Special 2 8" xfId="52244"/>
    <cellStyle name="Special 2 9" xfId="52245"/>
    <cellStyle name="Special 20" xfId="52246"/>
    <cellStyle name="Special 21" xfId="52247"/>
    <cellStyle name="Special 22" xfId="52248"/>
    <cellStyle name="Special 23" xfId="52249"/>
    <cellStyle name="Special 24" xfId="52250"/>
    <cellStyle name="Special 25" xfId="52251"/>
    <cellStyle name="Special 26" xfId="52252"/>
    <cellStyle name="Special 27" xfId="52253"/>
    <cellStyle name="Special 28" xfId="52254"/>
    <cellStyle name="Special 29" xfId="52255"/>
    <cellStyle name="Special 3" xfId="52256"/>
    <cellStyle name="Special 3 2" xfId="52257"/>
    <cellStyle name="Special 3 3" xfId="52258"/>
    <cellStyle name="Special 3 4" xfId="52259"/>
    <cellStyle name="Special 3 5" xfId="52260"/>
    <cellStyle name="Special 3 6" xfId="52261"/>
    <cellStyle name="Special 3 6 10" xfId="52262"/>
    <cellStyle name="Special 3 6 11" xfId="52263"/>
    <cellStyle name="Special 3 6 12" xfId="52264"/>
    <cellStyle name="Special 3 6 13" xfId="52265"/>
    <cellStyle name="Special 3 6 2" xfId="52266"/>
    <cellStyle name="Special 3 6 3" xfId="52267"/>
    <cellStyle name="Special 3 6 4" xfId="52268"/>
    <cellStyle name="Special 3 6 5" xfId="52269"/>
    <cellStyle name="Special 3 6 6" xfId="52270"/>
    <cellStyle name="Special 3 6 7" xfId="52271"/>
    <cellStyle name="Special 3 6 8" xfId="52272"/>
    <cellStyle name="Special 3 6 9" xfId="52273"/>
    <cellStyle name="Special 3 7" xfId="52274"/>
    <cellStyle name="Special 3 7 10" xfId="52275"/>
    <cellStyle name="Special 3 7 11" xfId="52276"/>
    <cellStyle name="Special 3 7 12" xfId="52277"/>
    <cellStyle name="Special 3 7 13" xfId="52278"/>
    <cellStyle name="Special 3 7 2" xfId="52279"/>
    <cellStyle name="Special 3 7 3" xfId="52280"/>
    <cellStyle name="Special 3 7 4" xfId="52281"/>
    <cellStyle name="Special 3 7 5" xfId="52282"/>
    <cellStyle name="Special 3 7 6" xfId="52283"/>
    <cellStyle name="Special 3 7 7" xfId="52284"/>
    <cellStyle name="Special 3 7 8" xfId="52285"/>
    <cellStyle name="Special 3 7 9" xfId="52286"/>
    <cellStyle name="Special 3 8" xfId="52287"/>
    <cellStyle name="Special 3 8 10" xfId="52288"/>
    <cellStyle name="Special 3 8 11" xfId="52289"/>
    <cellStyle name="Special 3 8 12" xfId="52290"/>
    <cellStyle name="Special 3 8 13" xfId="52291"/>
    <cellStyle name="Special 3 8 2" xfId="52292"/>
    <cellStyle name="Special 3 8 3" xfId="52293"/>
    <cellStyle name="Special 3 8 4" xfId="52294"/>
    <cellStyle name="Special 3 8 5" xfId="52295"/>
    <cellStyle name="Special 3 8 6" xfId="52296"/>
    <cellStyle name="Special 3 8 7" xfId="52297"/>
    <cellStyle name="Special 3 8 8" xfId="52298"/>
    <cellStyle name="Special 3 8 9" xfId="52299"/>
    <cellStyle name="Special 30" xfId="52300"/>
    <cellStyle name="Special 31" xfId="52301"/>
    <cellStyle name="Special 32" xfId="52302"/>
    <cellStyle name="Special 33" xfId="52303"/>
    <cellStyle name="Special 34" xfId="52304"/>
    <cellStyle name="Special 35" xfId="52305"/>
    <cellStyle name="Special 36" xfId="52306"/>
    <cellStyle name="Special 37" xfId="52307"/>
    <cellStyle name="Special 38" xfId="52308"/>
    <cellStyle name="Special 39" xfId="52309"/>
    <cellStyle name="Special 39 2" xfId="52310"/>
    <cellStyle name="Special 39 2 10" xfId="52311"/>
    <cellStyle name="Special 39 2 11" xfId="52312"/>
    <cellStyle name="Special 39 2 12" xfId="52313"/>
    <cellStyle name="Special 39 2 13" xfId="52314"/>
    <cellStyle name="Special 39 2 2" xfId="52315"/>
    <cellStyle name="Special 39 2 3" xfId="52316"/>
    <cellStyle name="Special 39 2 4" xfId="52317"/>
    <cellStyle name="Special 39 2 5" xfId="52318"/>
    <cellStyle name="Special 39 2 6" xfId="52319"/>
    <cellStyle name="Special 39 2 7" xfId="52320"/>
    <cellStyle name="Special 39 2 8" xfId="52321"/>
    <cellStyle name="Special 39 2 9" xfId="52322"/>
    <cellStyle name="Special 39 3" xfId="52323"/>
    <cellStyle name="Special 39 3 10" xfId="52324"/>
    <cellStyle name="Special 39 3 11" xfId="52325"/>
    <cellStyle name="Special 39 3 12" xfId="52326"/>
    <cellStyle name="Special 39 3 13" xfId="52327"/>
    <cellStyle name="Special 39 3 2" xfId="52328"/>
    <cellStyle name="Special 39 3 3" xfId="52329"/>
    <cellStyle name="Special 39 3 4" xfId="52330"/>
    <cellStyle name="Special 39 3 5" xfId="52331"/>
    <cellStyle name="Special 39 3 6" xfId="52332"/>
    <cellStyle name="Special 39 3 7" xfId="52333"/>
    <cellStyle name="Special 39 3 8" xfId="52334"/>
    <cellStyle name="Special 39 3 9" xfId="52335"/>
    <cellStyle name="Special 39 4" xfId="52336"/>
    <cellStyle name="Special 39 4 10" xfId="52337"/>
    <cellStyle name="Special 39 4 11" xfId="52338"/>
    <cellStyle name="Special 39 4 12" xfId="52339"/>
    <cellStyle name="Special 39 4 13" xfId="52340"/>
    <cellStyle name="Special 39 4 2" xfId="52341"/>
    <cellStyle name="Special 39 4 3" xfId="52342"/>
    <cellStyle name="Special 39 4 4" xfId="52343"/>
    <cellStyle name="Special 39 4 5" xfId="52344"/>
    <cellStyle name="Special 39 4 6" xfId="52345"/>
    <cellStyle name="Special 39 4 7" xfId="52346"/>
    <cellStyle name="Special 39 4 8" xfId="52347"/>
    <cellStyle name="Special 39 4 9" xfId="52348"/>
    <cellStyle name="Special 4" xfId="52349"/>
    <cellStyle name="Special 40" xfId="52350"/>
    <cellStyle name="Special 40 2" xfId="52351"/>
    <cellStyle name="Special 40 2 10" xfId="52352"/>
    <cellStyle name="Special 40 2 11" xfId="52353"/>
    <cellStyle name="Special 40 2 12" xfId="52354"/>
    <cellStyle name="Special 40 2 13" xfId="52355"/>
    <cellStyle name="Special 40 2 2" xfId="52356"/>
    <cellStyle name="Special 40 2 3" xfId="52357"/>
    <cellStyle name="Special 40 2 4" xfId="52358"/>
    <cellStyle name="Special 40 2 5" xfId="52359"/>
    <cellStyle name="Special 40 2 6" xfId="52360"/>
    <cellStyle name="Special 40 2 7" xfId="52361"/>
    <cellStyle name="Special 40 2 8" xfId="52362"/>
    <cellStyle name="Special 40 2 9" xfId="52363"/>
    <cellStyle name="Special 40 3" xfId="52364"/>
    <cellStyle name="Special 40 3 10" xfId="52365"/>
    <cellStyle name="Special 40 3 11" xfId="52366"/>
    <cellStyle name="Special 40 3 12" xfId="52367"/>
    <cellStyle name="Special 40 3 13" xfId="52368"/>
    <cellStyle name="Special 40 3 2" xfId="52369"/>
    <cellStyle name="Special 40 3 3" xfId="52370"/>
    <cellStyle name="Special 40 3 4" xfId="52371"/>
    <cellStyle name="Special 40 3 5" xfId="52372"/>
    <cellStyle name="Special 40 3 6" xfId="52373"/>
    <cellStyle name="Special 40 3 7" xfId="52374"/>
    <cellStyle name="Special 40 3 8" xfId="52375"/>
    <cellStyle name="Special 40 3 9" xfId="52376"/>
    <cellStyle name="Special 40 4" xfId="52377"/>
    <cellStyle name="Special 40 4 10" xfId="52378"/>
    <cellStyle name="Special 40 4 11" xfId="52379"/>
    <cellStyle name="Special 40 4 12" xfId="52380"/>
    <cellStyle name="Special 40 4 13" xfId="52381"/>
    <cellStyle name="Special 40 4 2" xfId="52382"/>
    <cellStyle name="Special 40 4 3" xfId="52383"/>
    <cellStyle name="Special 40 4 4" xfId="52384"/>
    <cellStyle name="Special 40 4 5" xfId="52385"/>
    <cellStyle name="Special 40 4 6" xfId="52386"/>
    <cellStyle name="Special 40 4 7" xfId="52387"/>
    <cellStyle name="Special 40 4 8" xfId="52388"/>
    <cellStyle name="Special 40 4 9" xfId="52389"/>
    <cellStyle name="Special 41" xfId="52390"/>
    <cellStyle name="Special 41 2" xfId="52391"/>
    <cellStyle name="Special 41 3" xfId="52392"/>
    <cellStyle name="Special 41 4" xfId="52393"/>
    <cellStyle name="Special 41 5" xfId="52394"/>
    <cellStyle name="Special 41 6" xfId="52395"/>
    <cellStyle name="Special 41 7" xfId="52396"/>
    <cellStyle name="Special 42" xfId="52397"/>
    <cellStyle name="Special 42 2" xfId="52398"/>
    <cellStyle name="Special 42 3" xfId="52399"/>
    <cellStyle name="Special 42 4" xfId="52400"/>
    <cellStyle name="Special 42 5" xfId="52401"/>
    <cellStyle name="Special 42 6" xfId="52402"/>
    <cellStyle name="Special 42 7" xfId="52403"/>
    <cellStyle name="Special 43" xfId="52404"/>
    <cellStyle name="Special 43 2" xfId="52405"/>
    <cellStyle name="Special 43 3" xfId="52406"/>
    <cellStyle name="Special 43 4" xfId="52407"/>
    <cellStyle name="Special 43 5" xfId="52408"/>
    <cellStyle name="Special 43 6" xfId="52409"/>
    <cellStyle name="Special 43 7" xfId="52410"/>
    <cellStyle name="Special 44" xfId="52411"/>
    <cellStyle name="Special 5" xfId="52412"/>
    <cellStyle name="Special 6" xfId="52413"/>
    <cellStyle name="Special 7" xfId="52414"/>
    <cellStyle name="Special 8" xfId="52415"/>
    <cellStyle name="Special 9" xfId="52416"/>
    <cellStyle name="STYL1 - Style1" xfId="52417"/>
    <cellStyle name="STYL1 - Style1 2" xfId="52418"/>
    <cellStyle name="Style 1" xfId="646"/>
    <cellStyle name="Style 1 10" xfId="647"/>
    <cellStyle name="Style 1 10 2" xfId="648"/>
    <cellStyle name="Style 1 10 2 2" xfId="649"/>
    <cellStyle name="Style 1 10 3" xfId="650"/>
    <cellStyle name="Style 1 11" xfId="651"/>
    <cellStyle name="Style 1 11 2" xfId="652"/>
    <cellStyle name="Style 1 11 2 2" xfId="653"/>
    <cellStyle name="Style 1 11 3" xfId="654"/>
    <cellStyle name="Style 1 12" xfId="655"/>
    <cellStyle name="Style 1 12 2" xfId="656"/>
    <cellStyle name="Style 1 12 2 2" xfId="657"/>
    <cellStyle name="Style 1 12 3" xfId="658"/>
    <cellStyle name="Style 1 13" xfId="659"/>
    <cellStyle name="Style 1 13 2" xfId="660"/>
    <cellStyle name="Style 1 2" xfId="661"/>
    <cellStyle name="Style 1 2 2" xfId="662"/>
    <cellStyle name="Style 1 2 2 2" xfId="663"/>
    <cellStyle name="Style 1 2 3" xfId="664"/>
    <cellStyle name="Style 1 3" xfId="665"/>
    <cellStyle name="Style 1 3 2" xfId="666"/>
    <cellStyle name="Style 1 3 2 2" xfId="667"/>
    <cellStyle name="Style 1 3 3" xfId="668"/>
    <cellStyle name="Style 1 4" xfId="669"/>
    <cellStyle name="Style 1 4 2" xfId="670"/>
    <cellStyle name="Style 1 4 2 2" xfId="671"/>
    <cellStyle name="Style 1 4 3" xfId="672"/>
    <cellStyle name="Style 1 5" xfId="673"/>
    <cellStyle name="Style 1 5 2" xfId="674"/>
    <cellStyle name="Style 1 5 2 2" xfId="675"/>
    <cellStyle name="Style 1 5 3" xfId="676"/>
    <cellStyle name="Style 1 6" xfId="677"/>
    <cellStyle name="Style 1 6 2" xfId="678"/>
    <cellStyle name="Style 1 6 2 2" xfId="679"/>
    <cellStyle name="Style 1 6 3" xfId="680"/>
    <cellStyle name="Style 1 7" xfId="681"/>
    <cellStyle name="Style 1 7 2" xfId="682"/>
    <cellStyle name="Style 1 7 2 2" xfId="683"/>
    <cellStyle name="Style 1 7 3" xfId="684"/>
    <cellStyle name="Style 1 8" xfId="685"/>
    <cellStyle name="Style 1 8 2" xfId="686"/>
    <cellStyle name="Style 1 8 2 2" xfId="687"/>
    <cellStyle name="Style 1 8 3" xfId="688"/>
    <cellStyle name="Style 1 9" xfId="689"/>
    <cellStyle name="Style 1 9 2" xfId="690"/>
    <cellStyle name="Style 1 9 2 2" xfId="691"/>
    <cellStyle name="Style 1 9 3" xfId="692"/>
    <cellStyle name="Style 1_FERC General Taxes" xfId="693"/>
    <cellStyle name="Style 27" xfId="11194"/>
    <cellStyle name="Style 35" xfId="5863"/>
    <cellStyle name="Style 36" xfId="11149"/>
    <cellStyle name="Table  - Style6" xfId="52419"/>
    <cellStyle name="Text" xfId="52420"/>
    <cellStyle name="Text 10" xfId="52421"/>
    <cellStyle name="Text 11" xfId="52422"/>
    <cellStyle name="Text 12" xfId="52423"/>
    <cellStyle name="Text 13" xfId="52424"/>
    <cellStyle name="Text 14" xfId="52425"/>
    <cellStyle name="Text 15" xfId="52426"/>
    <cellStyle name="Text 16" xfId="52427"/>
    <cellStyle name="Text 17" xfId="52428"/>
    <cellStyle name="Text 18" xfId="52429"/>
    <cellStyle name="Text 19" xfId="52430"/>
    <cellStyle name="Text 2" xfId="52431"/>
    <cellStyle name="Text 20" xfId="52432"/>
    <cellStyle name="Text 21" xfId="52433"/>
    <cellStyle name="Text 22" xfId="52434"/>
    <cellStyle name="Text 23" xfId="52435"/>
    <cellStyle name="Text 24" xfId="52436"/>
    <cellStyle name="Text 25" xfId="52437"/>
    <cellStyle name="Text 26" xfId="52438"/>
    <cellStyle name="Text 27" xfId="52439"/>
    <cellStyle name="Text 28" xfId="52440"/>
    <cellStyle name="Text 29" xfId="52441"/>
    <cellStyle name="Text 3" xfId="52442"/>
    <cellStyle name="Text 4" xfId="52443"/>
    <cellStyle name="Text 5" xfId="52444"/>
    <cellStyle name="Text 6" xfId="52445"/>
    <cellStyle name="Text 7" xfId="52446"/>
    <cellStyle name="Text 8" xfId="52447"/>
    <cellStyle name="Text 9" xfId="52448"/>
    <cellStyle name="Title  - Style1" xfId="52449"/>
    <cellStyle name="Title 2" xfId="694"/>
    <cellStyle name="Title 2 2" xfId="52450"/>
    <cellStyle name="Title 2 2 2" xfId="52451"/>
    <cellStyle name="Title 2 3" xfId="52452"/>
    <cellStyle name="Title 3" xfId="52453"/>
    <cellStyle name="Title 4" xfId="52454"/>
    <cellStyle name="Title 4 2" xfId="52455"/>
    <cellStyle name="Title 5" xfId="52456"/>
    <cellStyle name="Title 6" xfId="52457"/>
    <cellStyle name="Title 7" xfId="52458"/>
    <cellStyle name="Title 8" xfId="52459"/>
    <cellStyle name="Titles" xfId="11201"/>
    <cellStyle name="Total 10" xfId="52460"/>
    <cellStyle name="Total 11" xfId="52461"/>
    <cellStyle name="Total 12" xfId="52462"/>
    <cellStyle name="Total 13" xfId="52463"/>
    <cellStyle name="Total 14" xfId="52464"/>
    <cellStyle name="Total 15" xfId="52465"/>
    <cellStyle name="Total 16" xfId="52466"/>
    <cellStyle name="Total 17" xfId="52467"/>
    <cellStyle name="Total 18" xfId="52468"/>
    <cellStyle name="Total 19" xfId="52469"/>
    <cellStyle name="Total 2" xfId="695"/>
    <cellStyle name="Total 2 10" xfId="5786"/>
    <cellStyle name="Total 2 10 2" xfId="11065"/>
    <cellStyle name="Total 2 10 3" xfId="16027"/>
    <cellStyle name="Total 2 11" xfId="5787"/>
    <cellStyle name="Total 2 11 2" xfId="11066"/>
    <cellStyle name="Total 2 11 3" xfId="16028"/>
    <cellStyle name="Total 2 12" xfId="2018"/>
    <cellStyle name="Total 2 12 2" xfId="7297"/>
    <cellStyle name="Total 2 12 3" xfId="11545"/>
    <cellStyle name="Total 2 13" xfId="5993"/>
    <cellStyle name="Total 2 2" xfId="735"/>
    <cellStyle name="Total 2 2 2" xfId="1362"/>
    <cellStyle name="Total 2 2 2 10" xfId="52470"/>
    <cellStyle name="Total 2 2 2 11" xfId="52471"/>
    <cellStyle name="Total 2 2 2 12" xfId="52472"/>
    <cellStyle name="Total 2 2 2 13" xfId="52473"/>
    <cellStyle name="Total 2 2 2 2" xfId="2596"/>
    <cellStyle name="Total 2 2 2 2 2" xfId="7875"/>
    <cellStyle name="Total 2 2 2 2 3" xfId="16031"/>
    <cellStyle name="Total 2 2 2 3" xfId="6641"/>
    <cellStyle name="Total 2 2 2 4" xfId="16030"/>
    <cellStyle name="Total 2 2 2 5" xfId="52474"/>
    <cellStyle name="Total 2 2 2 6" xfId="52475"/>
    <cellStyle name="Total 2 2 2 7" xfId="52476"/>
    <cellStyle name="Total 2 2 2 8" xfId="52477"/>
    <cellStyle name="Total 2 2 2 9" xfId="52478"/>
    <cellStyle name="Total 2 2 3" xfId="1839"/>
    <cellStyle name="Total 2 2 3 10" xfId="52479"/>
    <cellStyle name="Total 2 2 3 11" xfId="52480"/>
    <cellStyle name="Total 2 2 3 12" xfId="52481"/>
    <cellStyle name="Total 2 2 3 13" xfId="52482"/>
    <cellStyle name="Total 2 2 3 2" xfId="3073"/>
    <cellStyle name="Total 2 2 3 2 2" xfId="8352"/>
    <cellStyle name="Total 2 2 3 2 3" xfId="16033"/>
    <cellStyle name="Total 2 2 3 3" xfId="7118"/>
    <cellStyle name="Total 2 2 3 4" xfId="16032"/>
    <cellStyle name="Total 2 2 3 5" xfId="52483"/>
    <cellStyle name="Total 2 2 3 6" xfId="52484"/>
    <cellStyle name="Total 2 2 3 7" xfId="52485"/>
    <cellStyle name="Total 2 2 3 8" xfId="52486"/>
    <cellStyle name="Total 2 2 3 9" xfId="52487"/>
    <cellStyle name="Total 2 2 4" xfId="5788"/>
    <cellStyle name="Total 2 2 4 10" xfId="52488"/>
    <cellStyle name="Total 2 2 4 11" xfId="52489"/>
    <cellStyle name="Total 2 2 4 12" xfId="52490"/>
    <cellStyle name="Total 2 2 4 13" xfId="52491"/>
    <cellStyle name="Total 2 2 4 2" xfId="11067"/>
    <cellStyle name="Total 2 2 4 3" xfId="16034"/>
    <cellStyle name="Total 2 2 4 4" xfId="52492"/>
    <cellStyle name="Total 2 2 4 5" xfId="52493"/>
    <cellStyle name="Total 2 2 4 6" xfId="52494"/>
    <cellStyle name="Total 2 2 4 7" xfId="52495"/>
    <cellStyle name="Total 2 2 4 8" xfId="52496"/>
    <cellStyle name="Total 2 2 4 9" xfId="52497"/>
    <cellStyle name="Total 2 2 5" xfId="5789"/>
    <cellStyle name="Total 2 2 5 2" xfId="11068"/>
    <cellStyle name="Total 2 2 5 3" xfId="16035"/>
    <cellStyle name="Total 2 2 6" xfId="5790"/>
    <cellStyle name="Total 2 2 6 2" xfId="11069"/>
    <cellStyle name="Total 2 2 6 3" xfId="16036"/>
    <cellStyle name="Total 2 2 7" xfId="5791"/>
    <cellStyle name="Total 2 2 7 2" xfId="11070"/>
    <cellStyle name="Total 2 2 7 3" xfId="16037"/>
    <cellStyle name="Total 2 2 8" xfId="6024"/>
    <cellStyle name="Total 2 2 9" xfId="16029"/>
    <cellStyle name="Total 2 3" xfId="1213"/>
    <cellStyle name="Total 2 3 10" xfId="2447"/>
    <cellStyle name="Total 2 3 10 2" xfId="7726"/>
    <cellStyle name="Total 2 3 10 3" xfId="11546"/>
    <cellStyle name="Total 2 3 11" xfId="6492"/>
    <cellStyle name="Total 2 3 2" xfId="1830"/>
    <cellStyle name="Total 2 3 2 10" xfId="52498"/>
    <cellStyle name="Total 2 3 2 11" xfId="52499"/>
    <cellStyle name="Total 2 3 2 12" xfId="52500"/>
    <cellStyle name="Total 2 3 2 13" xfId="52501"/>
    <cellStyle name="Total 2 3 2 2" xfId="3064"/>
    <cellStyle name="Total 2 3 2 2 2" xfId="8343"/>
    <cellStyle name="Total 2 3 2 2 3" xfId="16039"/>
    <cellStyle name="Total 2 3 2 3" xfId="7109"/>
    <cellStyle name="Total 2 3 2 4" xfId="16038"/>
    <cellStyle name="Total 2 3 2 5" xfId="52502"/>
    <cellStyle name="Total 2 3 2 6" xfId="52503"/>
    <cellStyle name="Total 2 3 2 7" xfId="52504"/>
    <cellStyle name="Total 2 3 2 8" xfId="52505"/>
    <cellStyle name="Total 2 3 2 9" xfId="52506"/>
    <cellStyle name="Total 2 3 3" xfId="5792"/>
    <cellStyle name="Total 2 3 3 10" xfId="52507"/>
    <cellStyle name="Total 2 3 3 11" xfId="52508"/>
    <cellStyle name="Total 2 3 3 12" xfId="52509"/>
    <cellStyle name="Total 2 3 3 13" xfId="52510"/>
    <cellStyle name="Total 2 3 3 2" xfId="11071"/>
    <cellStyle name="Total 2 3 3 3" xfId="16040"/>
    <cellStyle name="Total 2 3 3 4" xfId="52511"/>
    <cellStyle name="Total 2 3 3 5" xfId="52512"/>
    <cellStyle name="Total 2 3 3 6" xfId="52513"/>
    <cellStyle name="Total 2 3 3 7" xfId="52514"/>
    <cellStyle name="Total 2 3 3 8" xfId="52515"/>
    <cellStyle name="Total 2 3 3 9" xfId="52516"/>
    <cellStyle name="Total 2 3 4" xfId="5793"/>
    <cellStyle name="Total 2 3 4 10" xfId="52517"/>
    <cellStyle name="Total 2 3 4 11" xfId="52518"/>
    <cellStyle name="Total 2 3 4 12" xfId="52519"/>
    <cellStyle name="Total 2 3 4 13" xfId="52520"/>
    <cellStyle name="Total 2 3 4 2" xfId="11072"/>
    <cellStyle name="Total 2 3 4 3" xfId="16041"/>
    <cellStyle name="Total 2 3 4 4" xfId="52521"/>
    <cellStyle name="Total 2 3 4 5" xfId="52522"/>
    <cellStyle name="Total 2 3 4 6" xfId="52523"/>
    <cellStyle name="Total 2 3 4 7" xfId="52524"/>
    <cellStyle name="Total 2 3 4 8" xfId="52525"/>
    <cellStyle name="Total 2 3 4 9" xfId="52526"/>
    <cellStyle name="Total 2 3 5" xfId="5794"/>
    <cellStyle name="Total 2 3 5 2" xfId="11073"/>
    <cellStyle name="Total 2 3 5 3" xfId="16042"/>
    <cellStyle name="Total 2 3 6" xfId="5795"/>
    <cellStyle name="Total 2 3 6 2" xfId="11074"/>
    <cellStyle name="Total 2 3 6 3" xfId="16043"/>
    <cellStyle name="Total 2 3 7" xfId="5796"/>
    <cellStyle name="Total 2 3 7 2" xfId="11075"/>
    <cellStyle name="Total 2 3 7 3" xfId="16044"/>
    <cellStyle name="Total 2 3 8" xfId="5797"/>
    <cellStyle name="Total 2 3 8 2" xfId="11076"/>
    <cellStyle name="Total 2 3 8 3" xfId="16045"/>
    <cellStyle name="Total 2 3 9" xfId="5798"/>
    <cellStyle name="Total 2 3 9 2" xfId="11077"/>
    <cellStyle name="Total 2 3 9 3" xfId="16046"/>
    <cellStyle name="Total 2 4" xfId="1214"/>
    <cellStyle name="Total 2 4 10" xfId="2448"/>
    <cellStyle name="Total 2 4 10 2" xfId="7727"/>
    <cellStyle name="Total 2 4 10 3" xfId="11547"/>
    <cellStyle name="Total 2 4 11" xfId="6493"/>
    <cellStyle name="Total 2 4 2" xfId="1831"/>
    <cellStyle name="Total 2 4 2 10" xfId="52527"/>
    <cellStyle name="Total 2 4 2 11" xfId="52528"/>
    <cellStyle name="Total 2 4 2 12" xfId="52529"/>
    <cellStyle name="Total 2 4 2 13" xfId="52530"/>
    <cellStyle name="Total 2 4 2 2" xfId="3065"/>
    <cellStyle name="Total 2 4 2 2 2" xfId="8344"/>
    <cellStyle name="Total 2 4 2 2 3" xfId="16048"/>
    <cellStyle name="Total 2 4 2 3" xfId="7110"/>
    <cellStyle name="Total 2 4 2 4" xfId="16047"/>
    <cellStyle name="Total 2 4 2 5" xfId="52531"/>
    <cellStyle name="Total 2 4 2 6" xfId="52532"/>
    <cellStyle name="Total 2 4 2 7" xfId="52533"/>
    <cellStyle name="Total 2 4 2 8" xfId="52534"/>
    <cellStyle name="Total 2 4 2 9" xfId="52535"/>
    <cellStyle name="Total 2 4 3" xfId="5799"/>
    <cellStyle name="Total 2 4 3 10" xfId="52536"/>
    <cellStyle name="Total 2 4 3 11" xfId="52537"/>
    <cellStyle name="Total 2 4 3 12" xfId="52538"/>
    <cellStyle name="Total 2 4 3 13" xfId="52539"/>
    <cellStyle name="Total 2 4 3 2" xfId="11078"/>
    <cellStyle name="Total 2 4 3 3" xfId="16049"/>
    <cellStyle name="Total 2 4 3 4" xfId="52540"/>
    <cellStyle name="Total 2 4 3 5" xfId="52541"/>
    <cellStyle name="Total 2 4 3 6" xfId="52542"/>
    <cellStyle name="Total 2 4 3 7" xfId="52543"/>
    <cellStyle name="Total 2 4 3 8" xfId="52544"/>
    <cellStyle name="Total 2 4 3 9" xfId="52545"/>
    <cellStyle name="Total 2 4 4" xfId="5800"/>
    <cellStyle name="Total 2 4 4 10" xfId="52546"/>
    <cellStyle name="Total 2 4 4 11" xfId="52547"/>
    <cellStyle name="Total 2 4 4 12" xfId="52548"/>
    <cellStyle name="Total 2 4 4 13" xfId="52549"/>
    <cellStyle name="Total 2 4 4 2" xfId="11079"/>
    <cellStyle name="Total 2 4 4 3" xfId="16050"/>
    <cellStyle name="Total 2 4 4 4" xfId="52550"/>
    <cellStyle name="Total 2 4 4 5" xfId="52551"/>
    <cellStyle name="Total 2 4 4 6" xfId="52552"/>
    <cellStyle name="Total 2 4 4 7" xfId="52553"/>
    <cellStyle name="Total 2 4 4 8" xfId="52554"/>
    <cellStyle name="Total 2 4 4 9" xfId="52555"/>
    <cellStyle name="Total 2 4 5" xfId="5801"/>
    <cellStyle name="Total 2 4 5 2" xfId="11080"/>
    <cellStyle name="Total 2 4 5 3" xfId="16051"/>
    <cellStyle name="Total 2 4 6" xfId="5802"/>
    <cellStyle name="Total 2 4 6 2" xfId="11081"/>
    <cellStyle name="Total 2 4 6 3" xfId="16052"/>
    <cellStyle name="Total 2 4 7" xfId="5803"/>
    <cellStyle name="Total 2 4 7 2" xfId="11082"/>
    <cellStyle name="Total 2 4 7 3" xfId="16053"/>
    <cellStyle name="Total 2 4 8" xfId="5804"/>
    <cellStyle name="Total 2 4 8 2" xfId="11083"/>
    <cellStyle name="Total 2 4 8 3" xfId="16054"/>
    <cellStyle name="Total 2 4 9" xfId="5805"/>
    <cellStyle name="Total 2 4 9 2" xfId="11084"/>
    <cellStyle name="Total 2 4 9 3" xfId="16055"/>
    <cellStyle name="Total 2 5" xfId="1215"/>
    <cellStyle name="Total 2 5 10" xfId="2449"/>
    <cellStyle name="Total 2 5 10 2" xfId="7728"/>
    <cellStyle name="Total 2 5 10 3" xfId="11548"/>
    <cellStyle name="Total 2 5 11" xfId="6494"/>
    <cellStyle name="Total 2 5 2" xfId="1832"/>
    <cellStyle name="Total 2 5 2 2" xfId="3066"/>
    <cellStyle name="Total 2 5 2 2 2" xfId="8345"/>
    <cellStyle name="Total 2 5 2 2 3" xfId="16057"/>
    <cellStyle name="Total 2 5 2 3" xfId="7111"/>
    <cellStyle name="Total 2 5 2 4" xfId="16056"/>
    <cellStyle name="Total 2 5 3" xfId="5806"/>
    <cellStyle name="Total 2 5 3 2" xfId="11085"/>
    <cellStyle name="Total 2 5 3 3" xfId="16058"/>
    <cellStyle name="Total 2 5 4" xfId="5807"/>
    <cellStyle name="Total 2 5 4 2" xfId="11086"/>
    <cellStyle name="Total 2 5 4 3" xfId="16059"/>
    <cellStyle name="Total 2 5 5" xfId="5808"/>
    <cellStyle name="Total 2 5 5 2" xfId="11087"/>
    <cellStyle name="Total 2 5 5 3" xfId="16060"/>
    <cellStyle name="Total 2 5 6" xfId="5809"/>
    <cellStyle name="Total 2 5 6 2" xfId="11088"/>
    <cellStyle name="Total 2 5 6 3" xfId="16061"/>
    <cellStyle name="Total 2 5 7" xfId="5810"/>
    <cellStyle name="Total 2 5 7 2" xfId="11089"/>
    <cellStyle name="Total 2 5 7 3" xfId="16062"/>
    <cellStyle name="Total 2 5 8" xfId="5811"/>
    <cellStyle name="Total 2 5 8 2" xfId="11090"/>
    <cellStyle name="Total 2 5 8 3" xfId="16063"/>
    <cellStyle name="Total 2 5 9" xfId="5812"/>
    <cellStyle name="Total 2 5 9 2" xfId="11091"/>
    <cellStyle name="Total 2 5 9 3" xfId="16064"/>
    <cellStyle name="Total 2 6" xfId="1216"/>
    <cellStyle name="Total 2 6 10" xfId="2450"/>
    <cellStyle name="Total 2 6 10 2" xfId="7729"/>
    <cellStyle name="Total 2 6 10 3" xfId="11549"/>
    <cellStyle name="Total 2 6 11" xfId="6495"/>
    <cellStyle name="Total 2 6 2" xfId="1833"/>
    <cellStyle name="Total 2 6 2 2" xfId="3067"/>
    <cellStyle name="Total 2 6 2 2 2" xfId="8346"/>
    <cellStyle name="Total 2 6 2 2 3" xfId="16066"/>
    <cellStyle name="Total 2 6 2 3" xfId="7112"/>
    <cellStyle name="Total 2 6 2 4" xfId="16065"/>
    <cellStyle name="Total 2 6 3" xfId="5813"/>
    <cellStyle name="Total 2 6 3 2" xfId="11092"/>
    <cellStyle name="Total 2 6 3 3" xfId="16067"/>
    <cellStyle name="Total 2 6 4" xfId="5814"/>
    <cellStyle name="Total 2 6 4 2" xfId="11093"/>
    <cellStyle name="Total 2 6 4 3" xfId="16068"/>
    <cellStyle name="Total 2 6 5" xfId="5815"/>
    <cellStyle name="Total 2 6 5 2" xfId="11094"/>
    <cellStyle name="Total 2 6 5 3" xfId="16069"/>
    <cellStyle name="Total 2 6 6" xfId="5816"/>
    <cellStyle name="Total 2 6 6 2" xfId="11095"/>
    <cellStyle name="Total 2 6 6 3" xfId="16070"/>
    <cellStyle name="Total 2 6 7" xfId="5817"/>
    <cellStyle name="Total 2 6 7 2" xfId="11096"/>
    <cellStyle name="Total 2 6 7 3" xfId="16071"/>
    <cellStyle name="Total 2 6 8" xfId="5818"/>
    <cellStyle name="Total 2 6 8 2" xfId="11097"/>
    <cellStyle name="Total 2 6 8 3" xfId="16072"/>
    <cellStyle name="Total 2 6 9" xfId="5819"/>
    <cellStyle name="Total 2 6 9 2" xfId="11098"/>
    <cellStyle name="Total 2 6 9 3" xfId="16073"/>
    <cellStyle name="Total 2 7" xfId="1331"/>
    <cellStyle name="Total 2 7 2" xfId="2565"/>
    <cellStyle name="Total 2 7 2 2" xfId="7844"/>
    <cellStyle name="Total 2 7 2 3" xfId="16075"/>
    <cellStyle name="Total 2 7 3" xfId="6610"/>
    <cellStyle name="Total 2 7 4" xfId="16074"/>
    <cellStyle name="Total 2 8" xfId="5820"/>
    <cellStyle name="Total 2 8 2" xfId="11099"/>
    <cellStyle name="Total 2 8 3" xfId="16076"/>
    <cellStyle name="Total 2 9" xfId="5821"/>
    <cellStyle name="Total 2 9 2" xfId="11100"/>
    <cellStyle name="Total 2 9 3" xfId="16077"/>
    <cellStyle name="Total 20" xfId="52556"/>
    <cellStyle name="Total 21" xfId="52557"/>
    <cellStyle name="Total 22" xfId="52558"/>
    <cellStyle name="Total 23" xfId="52559"/>
    <cellStyle name="Total 24" xfId="52560"/>
    <cellStyle name="Total 25" xfId="52561"/>
    <cellStyle name="Total 26" xfId="52562"/>
    <cellStyle name="Total 27" xfId="52563"/>
    <cellStyle name="Total 28" xfId="52564"/>
    <cellStyle name="Total 29" xfId="52565"/>
    <cellStyle name="Total 3" xfId="52566"/>
    <cellStyle name="Total 3 2" xfId="52567"/>
    <cellStyle name="Total 3 3" xfId="52568"/>
    <cellStyle name="Total 3 4" xfId="52569"/>
    <cellStyle name="Total 3 5" xfId="52570"/>
    <cellStyle name="Total 30" xfId="52571"/>
    <cellStyle name="Total 31" xfId="52572"/>
    <cellStyle name="Total 32" xfId="52573"/>
    <cellStyle name="Total 33" xfId="52574"/>
    <cellStyle name="Total 34" xfId="52575"/>
    <cellStyle name="Total 35" xfId="52576"/>
    <cellStyle name="Total 36" xfId="52577"/>
    <cellStyle name="Total 37" xfId="52578"/>
    <cellStyle name="Total 38" xfId="52579"/>
    <cellStyle name="Total 39" xfId="52580"/>
    <cellStyle name="Total 4" xfId="52581"/>
    <cellStyle name="Total 4 10" xfId="52582"/>
    <cellStyle name="Total 4 11" xfId="52583"/>
    <cellStyle name="Total 4 12" xfId="52584"/>
    <cellStyle name="Total 4 13" xfId="52585"/>
    <cellStyle name="Total 4 14" xfId="52586"/>
    <cellStyle name="Total 4 15" xfId="52587"/>
    <cellStyle name="Total 4 16" xfId="52588"/>
    <cellStyle name="Total 4 17" xfId="52589"/>
    <cellStyle name="Total 4 18" xfId="52590"/>
    <cellStyle name="Total 4 19" xfId="52591"/>
    <cellStyle name="Total 4 2" xfId="52592"/>
    <cellStyle name="Total 4 20" xfId="52593"/>
    <cellStyle name="Total 4 21" xfId="52594"/>
    <cellStyle name="Total 4 3" xfId="52595"/>
    <cellStyle name="Total 4 4" xfId="52596"/>
    <cellStyle name="Total 4 5" xfId="52597"/>
    <cellStyle name="Total 4 6" xfId="52598"/>
    <cellStyle name="Total 4 7" xfId="52599"/>
    <cellStyle name="Total 4 8" xfId="52600"/>
    <cellStyle name="Total 4 9" xfId="52601"/>
    <cellStyle name="Total 40" xfId="52602"/>
    <cellStyle name="Total 40 2" xfId="52603"/>
    <cellStyle name="Total 40 2 10" xfId="52604"/>
    <cellStyle name="Total 40 2 11" xfId="52605"/>
    <cellStyle name="Total 40 2 12" xfId="52606"/>
    <cellStyle name="Total 40 2 13" xfId="52607"/>
    <cellStyle name="Total 40 2 2" xfId="52608"/>
    <cellStyle name="Total 40 2 3" xfId="52609"/>
    <cellStyle name="Total 40 2 4" xfId="52610"/>
    <cellStyle name="Total 40 2 5" xfId="52611"/>
    <cellStyle name="Total 40 2 6" xfId="52612"/>
    <cellStyle name="Total 40 2 7" xfId="52613"/>
    <cellStyle name="Total 40 2 8" xfId="52614"/>
    <cellStyle name="Total 40 2 9" xfId="52615"/>
    <cellStyle name="Total 40 3" xfId="52616"/>
    <cellStyle name="Total 40 3 10" xfId="52617"/>
    <cellStyle name="Total 40 3 11" xfId="52618"/>
    <cellStyle name="Total 40 3 12" xfId="52619"/>
    <cellStyle name="Total 40 3 13" xfId="52620"/>
    <cellStyle name="Total 40 3 2" xfId="52621"/>
    <cellStyle name="Total 40 3 3" xfId="52622"/>
    <cellStyle name="Total 40 3 4" xfId="52623"/>
    <cellStyle name="Total 40 3 5" xfId="52624"/>
    <cellStyle name="Total 40 3 6" xfId="52625"/>
    <cellStyle name="Total 40 3 7" xfId="52626"/>
    <cellStyle name="Total 40 3 8" xfId="52627"/>
    <cellStyle name="Total 40 3 9" xfId="52628"/>
    <cellStyle name="Total 40 4" xfId="52629"/>
    <cellStyle name="Total 40 4 10" xfId="52630"/>
    <cellStyle name="Total 40 4 11" xfId="52631"/>
    <cellStyle name="Total 40 4 12" xfId="52632"/>
    <cellStyle name="Total 40 4 13" xfId="52633"/>
    <cellStyle name="Total 40 4 2" xfId="52634"/>
    <cellStyle name="Total 40 4 3" xfId="52635"/>
    <cellStyle name="Total 40 4 4" xfId="52636"/>
    <cellStyle name="Total 40 4 5" xfId="52637"/>
    <cellStyle name="Total 40 4 6" xfId="52638"/>
    <cellStyle name="Total 40 4 7" xfId="52639"/>
    <cellStyle name="Total 40 4 8" xfId="52640"/>
    <cellStyle name="Total 40 4 9" xfId="52641"/>
    <cellStyle name="Total 41" xfId="52642"/>
    <cellStyle name="Total 41 2" xfId="52643"/>
    <cellStyle name="Total 41 2 10" xfId="52644"/>
    <cellStyle name="Total 41 2 11" xfId="52645"/>
    <cellStyle name="Total 41 2 12" xfId="52646"/>
    <cellStyle name="Total 41 2 13" xfId="52647"/>
    <cellStyle name="Total 41 2 2" xfId="52648"/>
    <cellStyle name="Total 41 2 3" xfId="52649"/>
    <cellStyle name="Total 41 2 4" xfId="52650"/>
    <cellStyle name="Total 41 2 5" xfId="52651"/>
    <cellStyle name="Total 41 2 6" xfId="52652"/>
    <cellStyle name="Total 41 2 7" xfId="52653"/>
    <cellStyle name="Total 41 2 8" xfId="52654"/>
    <cellStyle name="Total 41 2 9" xfId="52655"/>
    <cellStyle name="Total 41 3" xfId="52656"/>
    <cellStyle name="Total 41 3 10" xfId="52657"/>
    <cellStyle name="Total 41 3 11" xfId="52658"/>
    <cellStyle name="Total 41 3 12" xfId="52659"/>
    <cellStyle name="Total 41 3 13" xfId="52660"/>
    <cellStyle name="Total 41 3 2" xfId="52661"/>
    <cellStyle name="Total 41 3 3" xfId="52662"/>
    <cellStyle name="Total 41 3 4" xfId="52663"/>
    <cellStyle name="Total 41 3 5" xfId="52664"/>
    <cellStyle name="Total 41 3 6" xfId="52665"/>
    <cellStyle name="Total 41 3 7" xfId="52666"/>
    <cellStyle name="Total 41 3 8" xfId="52667"/>
    <cellStyle name="Total 41 3 9" xfId="52668"/>
    <cellStyle name="Total 41 4" xfId="52669"/>
    <cellStyle name="Total 41 4 10" xfId="52670"/>
    <cellStyle name="Total 41 4 11" xfId="52671"/>
    <cellStyle name="Total 41 4 12" xfId="52672"/>
    <cellStyle name="Total 41 4 13" xfId="52673"/>
    <cellStyle name="Total 41 4 2" xfId="52674"/>
    <cellStyle name="Total 41 4 3" xfId="52675"/>
    <cellStyle name="Total 41 4 4" xfId="52676"/>
    <cellStyle name="Total 41 4 5" xfId="52677"/>
    <cellStyle name="Total 41 4 6" xfId="52678"/>
    <cellStyle name="Total 41 4 7" xfId="52679"/>
    <cellStyle name="Total 41 4 8" xfId="52680"/>
    <cellStyle name="Total 41 4 9" xfId="52681"/>
    <cellStyle name="Total 42" xfId="52682"/>
    <cellStyle name="Total 42 2" xfId="52683"/>
    <cellStyle name="Total 42 3" xfId="52684"/>
    <cellStyle name="Total 42 4" xfId="52685"/>
    <cellStyle name="Total 42 5" xfId="52686"/>
    <cellStyle name="Total 42 6" xfId="52687"/>
    <cellStyle name="Total 42 7" xfId="52688"/>
    <cellStyle name="Total 43" xfId="52689"/>
    <cellStyle name="Total 43 2" xfId="52690"/>
    <cellStyle name="Total 43 3" xfId="52691"/>
    <cellStyle name="Total 43 4" xfId="52692"/>
    <cellStyle name="Total 43 5" xfId="52693"/>
    <cellStyle name="Total 43 6" xfId="52694"/>
    <cellStyle name="Total 43 7" xfId="52695"/>
    <cellStyle name="Total 44" xfId="52696"/>
    <cellStyle name="Total 44 2" xfId="52697"/>
    <cellStyle name="Total 44 3" xfId="52698"/>
    <cellStyle name="Total 44 4" xfId="52699"/>
    <cellStyle name="Total 44 5" xfId="52700"/>
    <cellStyle name="Total 44 6" xfId="52701"/>
    <cellStyle name="Total 44 7" xfId="52702"/>
    <cellStyle name="Total 45" xfId="52703"/>
    <cellStyle name="Total 46" xfId="52704"/>
    <cellStyle name="Total 5" xfId="52705"/>
    <cellStyle name="Total 5 2" xfId="52706"/>
    <cellStyle name="Total 5 3" xfId="52707"/>
    <cellStyle name="Total 5 4" xfId="52708"/>
    <cellStyle name="Total 5 5" xfId="52709"/>
    <cellStyle name="Total 5 6" xfId="52710"/>
    <cellStyle name="Total 5 6 10" xfId="52711"/>
    <cellStyle name="Total 5 6 11" xfId="52712"/>
    <cellStyle name="Total 5 6 12" xfId="52713"/>
    <cellStyle name="Total 5 6 13" xfId="52714"/>
    <cellStyle name="Total 5 6 2" xfId="52715"/>
    <cellStyle name="Total 5 6 3" xfId="52716"/>
    <cellStyle name="Total 5 6 4" xfId="52717"/>
    <cellStyle name="Total 5 6 5" xfId="52718"/>
    <cellStyle name="Total 5 6 6" xfId="52719"/>
    <cellStyle name="Total 5 6 7" xfId="52720"/>
    <cellStyle name="Total 5 6 8" xfId="52721"/>
    <cellStyle name="Total 5 6 9" xfId="52722"/>
    <cellStyle name="Total 5 7" xfId="52723"/>
    <cellStyle name="Total 5 7 10" xfId="52724"/>
    <cellStyle name="Total 5 7 11" xfId="52725"/>
    <cellStyle name="Total 5 7 12" xfId="52726"/>
    <cellStyle name="Total 5 7 13" xfId="52727"/>
    <cellStyle name="Total 5 7 2" xfId="52728"/>
    <cellStyle name="Total 5 7 3" xfId="52729"/>
    <cellStyle name="Total 5 7 4" xfId="52730"/>
    <cellStyle name="Total 5 7 5" xfId="52731"/>
    <cellStyle name="Total 5 7 6" xfId="52732"/>
    <cellStyle name="Total 5 7 7" xfId="52733"/>
    <cellStyle name="Total 5 7 8" xfId="52734"/>
    <cellStyle name="Total 5 7 9" xfId="52735"/>
    <cellStyle name="Total 5 8" xfId="52736"/>
    <cellStyle name="Total 5 8 10" xfId="52737"/>
    <cellStyle name="Total 5 8 11" xfId="52738"/>
    <cellStyle name="Total 5 8 12" xfId="52739"/>
    <cellStyle name="Total 5 8 13" xfId="52740"/>
    <cellStyle name="Total 5 8 2" xfId="52741"/>
    <cellStyle name="Total 5 8 3" xfId="52742"/>
    <cellStyle name="Total 5 8 4" xfId="52743"/>
    <cellStyle name="Total 5 8 5" xfId="52744"/>
    <cellStyle name="Total 5 8 6" xfId="52745"/>
    <cellStyle name="Total 5 8 7" xfId="52746"/>
    <cellStyle name="Total 5 8 8" xfId="52747"/>
    <cellStyle name="Total 5 8 9" xfId="52748"/>
    <cellStyle name="Total 6" xfId="52749"/>
    <cellStyle name="Total 7" xfId="52750"/>
    <cellStyle name="Total 8" xfId="52751"/>
    <cellStyle name="Total 9" xfId="52752"/>
    <cellStyle name="Total2 - Style2" xfId="52753"/>
    <cellStyle name="TotCol - Style5" xfId="52754"/>
    <cellStyle name="TotRow - Style4" xfId="52755"/>
    <cellStyle name="Tusental (0)_pldt" xfId="52756"/>
    <cellStyle name="Tusental_pldt" xfId="52757"/>
    <cellStyle name="Underl - Style4" xfId="52758"/>
    <cellStyle name="UNLocked" xfId="52759"/>
    <cellStyle name="UNLocked 10" xfId="52760"/>
    <cellStyle name="UNLocked 11" xfId="52761"/>
    <cellStyle name="UNLocked 12" xfId="52762"/>
    <cellStyle name="UNLocked 13" xfId="52763"/>
    <cellStyle name="UNLocked 14" xfId="52764"/>
    <cellStyle name="UNLocked 15" xfId="52765"/>
    <cellStyle name="UNLocked 16" xfId="52766"/>
    <cellStyle name="UNLocked 17" xfId="52767"/>
    <cellStyle name="UNLocked 18" xfId="52768"/>
    <cellStyle name="UNLocked 19" xfId="52769"/>
    <cellStyle name="UNLocked 2" xfId="52770"/>
    <cellStyle name="UNLocked 20" xfId="52771"/>
    <cellStyle name="UNLocked 21" xfId="52772"/>
    <cellStyle name="UNLocked 22" xfId="52773"/>
    <cellStyle name="UNLocked 23" xfId="52774"/>
    <cellStyle name="UNLocked 24" xfId="52775"/>
    <cellStyle name="UNLocked 25" xfId="52776"/>
    <cellStyle name="UNLocked 26" xfId="52777"/>
    <cellStyle name="UNLocked 27" xfId="52778"/>
    <cellStyle name="UNLocked 28" xfId="52779"/>
    <cellStyle name="UNLocked 29" xfId="52780"/>
    <cellStyle name="UNLocked 3" xfId="52781"/>
    <cellStyle name="UNLocked 3 10" xfId="52782"/>
    <cellStyle name="UNLocked 3 11" xfId="52783"/>
    <cellStyle name="UNLocked 3 12" xfId="52784"/>
    <cellStyle name="UNLocked 3 13" xfId="52785"/>
    <cellStyle name="UNLocked 3 14" xfId="52786"/>
    <cellStyle name="UNLocked 3 15" xfId="52787"/>
    <cellStyle name="UNLocked 3 16" xfId="52788"/>
    <cellStyle name="UNLocked 3 17" xfId="52789"/>
    <cellStyle name="UNLocked 3 18" xfId="52790"/>
    <cellStyle name="UNLocked 3 19" xfId="52791"/>
    <cellStyle name="UNLocked 3 2" xfId="52792"/>
    <cellStyle name="UNLocked 3 20" xfId="52793"/>
    <cellStyle name="UNLocked 3 21" xfId="52794"/>
    <cellStyle name="UNLocked 3 3" xfId="52795"/>
    <cellStyle name="UNLocked 3 4" xfId="52796"/>
    <cellStyle name="UNLocked 3 5" xfId="52797"/>
    <cellStyle name="UNLocked 3 6" xfId="52798"/>
    <cellStyle name="UNLocked 3 7" xfId="52799"/>
    <cellStyle name="UNLocked 3 8" xfId="52800"/>
    <cellStyle name="UNLocked 3 9" xfId="52801"/>
    <cellStyle name="UNLocked 30" xfId="52802"/>
    <cellStyle name="UNLocked 31" xfId="52803"/>
    <cellStyle name="UNLocked 32" xfId="52804"/>
    <cellStyle name="UNLocked 33" xfId="52805"/>
    <cellStyle name="UNLocked 34" xfId="52806"/>
    <cellStyle name="UNLocked 35" xfId="52807"/>
    <cellStyle name="UNLocked 36" xfId="52808"/>
    <cellStyle name="UNLocked 37" xfId="52809"/>
    <cellStyle name="UNLocked 38" xfId="52810"/>
    <cellStyle name="UNLocked 39" xfId="52811"/>
    <cellStyle name="UNLocked 4" xfId="52812"/>
    <cellStyle name="UNLocked 40" xfId="52813"/>
    <cellStyle name="UNLocked 41" xfId="52814"/>
    <cellStyle name="UNLocked 42" xfId="52815"/>
    <cellStyle name="UNLocked 43" xfId="52816"/>
    <cellStyle name="UNLocked 44" xfId="52817"/>
    <cellStyle name="UNLocked 45" xfId="52818"/>
    <cellStyle name="UNLocked 46" xfId="52819"/>
    <cellStyle name="UNLocked 47" xfId="52820"/>
    <cellStyle name="UNLocked 48" xfId="52821"/>
    <cellStyle name="UNLocked 49" xfId="52822"/>
    <cellStyle name="UNLocked 5" xfId="52823"/>
    <cellStyle name="UNLocked 50" xfId="52824"/>
    <cellStyle name="UNLocked 51" xfId="52825"/>
    <cellStyle name="UNLocked 52" xfId="52826"/>
    <cellStyle name="UNLocked 53" xfId="52827"/>
    <cellStyle name="UNLocked 54" xfId="52828"/>
    <cellStyle name="UNLocked 55" xfId="52829"/>
    <cellStyle name="UNLocked 55 2" xfId="52830"/>
    <cellStyle name="UNLocked 56" xfId="52831"/>
    <cellStyle name="UNLocked 57" xfId="52832"/>
    <cellStyle name="UNLocked 58" xfId="52833"/>
    <cellStyle name="UNLocked 59" xfId="52834"/>
    <cellStyle name="UNLocked 6" xfId="52835"/>
    <cellStyle name="UNLocked 60" xfId="52836"/>
    <cellStyle name="UNLocked 61" xfId="52837"/>
    <cellStyle name="UNLocked 7" xfId="52838"/>
    <cellStyle name="UNLocked 8" xfId="52839"/>
    <cellStyle name="UNLocked 9" xfId="52840"/>
    <cellStyle name="Unprot" xfId="11109"/>
    <cellStyle name="Unprot$" xfId="5880"/>
    <cellStyle name="Unprotect" xfId="5879"/>
    <cellStyle name="Valuta (0)_pldt" xfId="52841"/>
    <cellStyle name="Valuta_pldt" xfId="52842"/>
    <cellStyle name="Warning Text 2" xfId="696"/>
    <cellStyle name="Warning Text 3" xfId="52843"/>
  </cellStyles>
  <dxfs count="0"/>
  <tableStyles count="0" defaultTableStyle="TableStyleMedium9" defaultPivotStyle="PivotStyleLight16"/>
  <colors>
    <mruColors>
      <color rgb="FF0000FF"/>
      <color rgb="FFFFFFCC"/>
      <color rgb="FF00FF00"/>
      <color rgb="FFFFFF99"/>
      <color rgb="FF00FFCC"/>
      <color rgb="FFFF00FF"/>
      <color rgb="FFFF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1.xml"/><Relationship Id="rId35"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H:\2009%20transmission%20rate%20case\Last%20File%20Schedules%20(version%20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ocuments%20and%20Settings/p04092.000/Local%20Settings/Temporary%20Internet%20Files/OLK1AC/RECOV04.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A2"/>
      <sheetName val="AB2"/>
      <sheetName val="AC2"/>
      <sheetName val="AD2"/>
      <sheetName val="AE1"/>
      <sheetName val="AE2"/>
      <sheetName val="AF2 253"/>
      <sheetName val="AF2 254"/>
      <sheetName val="AF2 255"/>
      <sheetName val="AF2 ADIT New"/>
      <sheetName val="AF 253"/>
      <sheetName val="AF 255"/>
      <sheetName val="AF ADIT New"/>
      <sheetName val="AG2 114"/>
      <sheetName val="AG2 182.3"/>
      <sheetName val="AG2 186"/>
      <sheetName val="AG2 190 New"/>
      <sheetName val="AG 114"/>
      <sheetName val="AG 182.3"/>
      <sheetName val="AG 186"/>
      <sheetName val="AG 190 New"/>
      <sheetName val="AH2 Summary"/>
      <sheetName val="AH2 Prod"/>
      <sheetName val="AH2 Prod (2)"/>
      <sheetName val="AH2 Def Fuel"/>
      <sheetName val="AH2 930"/>
      <sheetName val="AH2 Fuel"/>
      <sheetName val="AH2 PurchPower"/>
      <sheetName val="AH Summary"/>
      <sheetName val="AH Prod"/>
      <sheetName val="AH Prod (2)"/>
      <sheetName val="AH Def Fuel"/>
      <sheetName val="AH 930"/>
      <sheetName val="AH Fuel"/>
      <sheetName val="AH PurchPower"/>
      <sheetName val="AI2 P1"/>
      <sheetName val="AI2 P2"/>
      <sheetName val="AI2 P3"/>
      <sheetName val="AI P1"/>
      <sheetName val="AI P2"/>
      <sheetName val="AI P3"/>
      <sheetName val="AI Labor WP"/>
      <sheetName val="AJ2"/>
      <sheetName val="AK2 P1"/>
      <sheetName val="AK2 PropTax"/>
      <sheetName val="AL2 Summary"/>
      <sheetName val="AL2 151"/>
      <sheetName val="AL2 120"/>
      <sheetName val="AL2 154"/>
      <sheetName val="AL2 163"/>
      <sheetName val="AL2 165"/>
      <sheetName val="AL Summary"/>
      <sheetName val="AL 151"/>
      <sheetName val="AL 120"/>
      <sheetName val="AL154"/>
      <sheetName val="AL 163"/>
      <sheetName val="AL 165"/>
      <sheetName val="AM 2"/>
      <sheetName val="AN 2"/>
      <sheetName val="AN"/>
      <sheetName val="AO2 AFUDC"/>
      <sheetName val="AO2 S-T"/>
      <sheetName val="AO2 L-T and Pref rate"/>
      <sheetName val="AO AFUDC"/>
      <sheetName val="AO S-T"/>
      <sheetName val="AO L-T and Pref rate"/>
      <sheetName val="AP-Period II"/>
      <sheetName val="AP"/>
      <sheetName val="AQ 2 AQ 1"/>
      <sheetName val="AQ 2 AQ2"/>
      <sheetName val="AQ AQ 1"/>
      <sheetName val="AQ AQ"/>
      <sheetName val="AR 2 A"/>
      <sheetName val="AR 2 ITC"/>
      <sheetName val="AR A"/>
      <sheetName val="AR ITC"/>
      <sheetName val="AS 2 AS"/>
      <sheetName val="AS AS"/>
      <sheetName val="AT 2 A"/>
      <sheetName val="AT A"/>
      <sheetName val="AU 2 AU"/>
      <sheetName val="AU AU"/>
      <sheetName val="AU AU (2)"/>
      <sheetName val="AV 2 COC"/>
      <sheetName val="AV 2 LTD"/>
      <sheetName val="AV 2 SUN"/>
      <sheetName val="AV 2 PCB"/>
      <sheetName val="AV 2 FMB"/>
      <sheetName val="AV 2 Prfd"/>
      <sheetName val="AV 2 Sheet1"/>
      <sheetName val="AV 2 Common"/>
      <sheetName val="AV 2 Cash Flow"/>
      <sheetName val="AV COC"/>
      <sheetName val="AV LTD"/>
      <sheetName val="AV SUN"/>
      <sheetName val="AV PCB"/>
      <sheetName val="AV FMB"/>
      <sheetName val="AV Prfd"/>
      <sheetName val="AV Sheet1"/>
      <sheetName val="AV Common"/>
      <sheetName val="AW 2 AW-Period II"/>
      <sheetName val="AW AW"/>
      <sheetName val="AW ST Debt Bal"/>
      <sheetName val="AX 2 AX"/>
      <sheetName val="AX AX"/>
      <sheetName val="AY 2 AY"/>
      <sheetName val="AY AY"/>
      <sheetName val="BA 2 BA"/>
      <sheetName val="BA BA"/>
      <sheetName val="BB 2 p1"/>
      <sheetName val="BB p1"/>
      <sheetName val="BC 2 2005BC"/>
      <sheetName val="BC 2000_2003"/>
      <sheetName val="BD 2 BD"/>
      <sheetName val="BD BD"/>
      <sheetName val="BD_6-12-06"/>
      <sheetName val="BG 2 p2"/>
      <sheetName val="BG p2"/>
      <sheetName val="BH 2 p1"/>
      <sheetName val="BH 2 p2"/>
      <sheetName val="BH p1"/>
      <sheetName val="BH p2"/>
      <sheetName val="BI 2 BI"/>
      <sheetName val="BI BI"/>
      <sheetName val="BK 2 BK"/>
      <sheetName val="BL 2 Rate design-Schedule BL"/>
      <sheetName val="BL BI"/>
      <sheetName val="CAPST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RInput"/>
      <sheetName val="Voltage"/>
      <sheetName val="Process"/>
      <sheetName val="Codes"/>
      <sheetName val="SCRInput2"/>
      <sheetName val="Inputs"/>
      <sheetName val="Centralia Credit"/>
      <sheetName val="Y2K"/>
      <sheetName val="Deferred Acct."/>
      <sheetName val="Trail Mtn."/>
      <sheetName val="Halsey"/>
      <sheetName val="Adjustment 10"/>
      <sheetName val="WA SBC"/>
      <sheetName val="0103 Proration (191)"/>
      <sheetName val="WA Centralia"/>
      <sheetName val="WA SBC - Class 48T"/>
      <sheetName val="Utah DSM"/>
      <sheetName val="Summary"/>
      <sheetName val="DSM Output"/>
      <sheetName val="Adjustment 08"/>
      <sheetName val="Adjustment 07"/>
      <sheetName val="DSM Dollars"/>
      <sheetName val="Module2"/>
      <sheetName val="Adjustment 11"/>
      <sheetName val="CA Pub Purp"/>
      <sheetName val="No Longer Used --&gt;"/>
      <sheetName val="Adjustment 12"/>
    </sheetNames>
    <sheetDataSet>
      <sheetData sheetId="0" refreshError="1"/>
      <sheetData sheetId="1"/>
      <sheetData sheetId="2" refreshError="1"/>
      <sheetData sheetId="3"/>
      <sheetData sheetId="4"/>
      <sheetData sheetId="5"/>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refreshError="1"/>
      <sheetData sheetId="26"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8.bin"/><Relationship Id="rId3" Type="http://schemas.openxmlformats.org/officeDocument/2006/relationships/printerSettings" Target="../printerSettings/printerSettings3.bin"/><Relationship Id="rId7" Type="http://schemas.openxmlformats.org/officeDocument/2006/relationships/printerSettings" Target="../printerSettings/printerSettings7.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5" Type="http://schemas.openxmlformats.org/officeDocument/2006/relationships/printerSettings" Target="../printerSettings/printerSettings5.bin"/><Relationship Id="rId4" Type="http://schemas.openxmlformats.org/officeDocument/2006/relationships/printerSettings" Target="../printerSettings/printerSettings4.bin"/><Relationship Id="rId9" Type="http://schemas.openxmlformats.org/officeDocument/2006/relationships/printerSettings" Target="../printerSettings/printerSettings9.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2.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8" Type="http://schemas.openxmlformats.org/officeDocument/2006/relationships/printerSettings" Target="../printerSettings/printerSettings23.bin"/><Relationship Id="rId3" Type="http://schemas.openxmlformats.org/officeDocument/2006/relationships/printerSettings" Target="../printerSettings/printerSettings18.bin"/><Relationship Id="rId7" Type="http://schemas.openxmlformats.org/officeDocument/2006/relationships/printerSettings" Target="../printerSettings/printerSettings22.bin"/><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6" Type="http://schemas.openxmlformats.org/officeDocument/2006/relationships/printerSettings" Target="../printerSettings/printerSettings21.bin"/><Relationship Id="rId5" Type="http://schemas.openxmlformats.org/officeDocument/2006/relationships/printerSettings" Target="../printerSettings/printerSettings20.bin"/><Relationship Id="rId4" Type="http://schemas.openxmlformats.org/officeDocument/2006/relationships/printerSettings" Target="../printerSettings/printerSettings19.bin"/><Relationship Id="rId9" Type="http://schemas.openxmlformats.org/officeDocument/2006/relationships/printerSettings" Target="../printerSettings/printerSettings24.bin"/></Relationships>
</file>

<file path=xl/worksheets/_rels/sheet9.xml.rels><?xml version="1.0" encoding="UTF-8" standalone="yes"?>
<Relationships xmlns="http://schemas.openxmlformats.org/package/2006/relationships"><Relationship Id="rId8" Type="http://schemas.openxmlformats.org/officeDocument/2006/relationships/printerSettings" Target="../printerSettings/printerSettings32.bin"/><Relationship Id="rId3" Type="http://schemas.openxmlformats.org/officeDocument/2006/relationships/printerSettings" Target="../printerSettings/printerSettings27.bin"/><Relationship Id="rId7" Type="http://schemas.openxmlformats.org/officeDocument/2006/relationships/printerSettings" Target="../printerSettings/printerSettings31.bin"/><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 Id="rId6" Type="http://schemas.openxmlformats.org/officeDocument/2006/relationships/printerSettings" Target="../printerSettings/printerSettings30.bin"/><Relationship Id="rId5" Type="http://schemas.openxmlformats.org/officeDocument/2006/relationships/printerSettings" Target="../printerSettings/printerSettings29.bin"/><Relationship Id="rId4" Type="http://schemas.openxmlformats.org/officeDocument/2006/relationships/printerSettings" Target="../printerSettings/printerSettings28.bin"/><Relationship Id="rId9" Type="http://schemas.openxmlformats.org/officeDocument/2006/relationships/printerSettings" Target="../printerSettings/printerSettings3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pageSetUpPr autoPageBreaks="0" fitToPage="1"/>
  </sheetPr>
  <dimension ref="A1:XEQ2152"/>
  <sheetViews>
    <sheetView tabSelected="1" zoomScale="70" zoomScaleNormal="70" workbookViewId="0"/>
  </sheetViews>
  <sheetFormatPr defaultColWidth="9.140625" defaultRowHeight="15" outlineLevelCol="1"/>
  <cols>
    <col min="1" max="1" width="7.42578125" style="30" customWidth="1"/>
    <col min="2" max="2" width="3.42578125" style="9" customWidth="1"/>
    <col min="3" max="3" width="65.85546875" style="9" customWidth="1"/>
    <col min="4" max="4" width="31.85546875" style="9" customWidth="1"/>
    <col min="5" max="5" width="29.42578125" style="44" customWidth="1"/>
    <col min="6" max="6" width="47.28515625" style="18" customWidth="1"/>
    <col min="7" max="7" width="17.7109375" style="18" customWidth="1"/>
    <col min="8" max="8" width="29.42578125" style="18" customWidth="1"/>
    <col min="9" max="9" width="7.140625" style="349" customWidth="1"/>
    <col min="10" max="12" width="29.42578125" style="349" hidden="1" customWidth="1" outlineLevel="1"/>
    <col min="13" max="13" width="7.140625" style="18" hidden="1" customWidth="1" outlineLevel="1"/>
    <col min="14" max="14" width="29.42578125" style="349" customWidth="1" collapsed="1"/>
    <col min="15" max="16" width="29.42578125" style="349" customWidth="1"/>
    <col min="17" max="17" width="5.5703125" style="2132" customWidth="1"/>
    <col min="18" max="18" width="19.140625" style="2190" bestFit="1" customWidth="1"/>
    <col min="19" max="19" width="16.7109375" style="18" bestFit="1" customWidth="1"/>
    <col min="20" max="16384" width="9.140625" style="18"/>
  </cols>
  <sheetData>
    <row r="1" spans="1:19" ht="21" customHeight="1">
      <c r="A1" s="354" t="s">
        <v>522</v>
      </c>
      <c r="B1" s="354"/>
      <c r="C1" s="354"/>
      <c r="D1" s="354"/>
      <c r="E1" s="354"/>
      <c r="F1" s="354"/>
      <c r="G1" s="354"/>
      <c r="H1" s="354"/>
      <c r="I1" s="354"/>
      <c r="J1" s="354" t="s">
        <v>1397</v>
      </c>
      <c r="K1" s="354"/>
      <c r="L1" s="354"/>
      <c r="N1" s="354"/>
      <c r="O1" s="354"/>
      <c r="P1" s="354"/>
      <c r="Q1" s="2128"/>
    </row>
    <row r="2" spans="1:19" s="349" customFormat="1" ht="21" customHeight="1">
      <c r="A2" s="354" t="s">
        <v>365</v>
      </c>
      <c r="B2" s="354"/>
      <c r="C2" s="354"/>
      <c r="D2" s="354"/>
      <c r="E2" s="354"/>
      <c r="F2" s="354"/>
      <c r="G2" s="354"/>
      <c r="H2" s="354"/>
      <c r="I2" s="354"/>
      <c r="J2" s="354" t="s">
        <v>1397</v>
      </c>
      <c r="K2" s="354"/>
      <c r="L2" s="354"/>
      <c r="N2" s="354"/>
      <c r="O2" s="354"/>
      <c r="P2" s="354"/>
      <c r="Q2" s="2128"/>
      <c r="R2" s="2190"/>
    </row>
    <row r="3" spans="1:19" s="349" customFormat="1" ht="21.75" customHeight="1">
      <c r="A3" s="354" t="s">
        <v>1074</v>
      </c>
      <c r="B3" s="354"/>
      <c r="C3" s="354"/>
      <c r="D3" s="354"/>
      <c r="E3" s="354"/>
      <c r="F3" s="354"/>
      <c r="G3" s="354"/>
      <c r="H3" s="354"/>
      <c r="I3" s="354"/>
      <c r="J3" s="354" t="s">
        <v>1397</v>
      </c>
      <c r="K3" s="354"/>
      <c r="L3" s="354"/>
      <c r="N3" s="354"/>
      <c r="O3" s="354"/>
      <c r="P3" s="354"/>
      <c r="Q3" s="2128"/>
      <c r="R3" s="2190"/>
    </row>
    <row r="4" spans="1:19" s="349" customFormat="1" ht="16.5" customHeight="1" thickBot="1">
      <c r="A4" s="354"/>
      <c r="B4" s="354"/>
      <c r="C4" s="354"/>
      <c r="D4" s="354"/>
      <c r="E4" s="354"/>
      <c r="F4" s="354"/>
      <c r="G4" s="354"/>
      <c r="H4" s="354"/>
      <c r="I4" s="354"/>
      <c r="J4" s="354"/>
      <c r="K4" s="354"/>
      <c r="L4" s="354"/>
      <c r="N4" s="354"/>
      <c r="O4" s="354"/>
      <c r="P4" s="354"/>
      <c r="Q4" s="2128"/>
      <c r="R4" s="2190"/>
    </row>
    <row r="5" spans="1:19" ht="21" customHeight="1" thickBot="1">
      <c r="A5" s="2127"/>
      <c r="B5" s="1072"/>
      <c r="C5" s="1072"/>
      <c r="D5" s="1072"/>
      <c r="E5" s="1072"/>
      <c r="F5" s="1072"/>
      <c r="G5" s="1072"/>
      <c r="H5" s="2406" t="str">
        <f>IF(Toggle=Projection,data_year+1&amp;" "&amp;Toggle,IF(Toggle=True_up,data_year&amp;" "&amp;Toggle,"Set toggle!"))</f>
        <v>2016 True-up</v>
      </c>
      <c r="I5" s="1263"/>
      <c r="J5" s="1649" t="s">
        <v>1843</v>
      </c>
      <c r="K5" s="1263"/>
      <c r="L5" s="1263"/>
      <c r="M5" s="1263"/>
      <c r="N5" s="1649" t="s">
        <v>2085</v>
      </c>
      <c r="O5" s="1263"/>
      <c r="P5" s="1263"/>
      <c r="Q5" s="2129"/>
      <c r="R5" s="1260" t="s">
        <v>1013</v>
      </c>
    </row>
    <row r="6" spans="1:19" s="31" customFormat="1" ht="15.75">
      <c r="A6" s="2658" t="s">
        <v>921</v>
      </c>
      <c r="B6" s="2659"/>
      <c r="C6" s="2659"/>
      <c r="D6" s="2660"/>
      <c r="E6" s="2656" t="s">
        <v>304</v>
      </c>
      <c r="F6" s="2658" t="s">
        <v>890</v>
      </c>
      <c r="G6" s="2660"/>
      <c r="H6" s="1657">
        <v>2016</v>
      </c>
      <c r="I6" s="1651"/>
      <c r="J6" s="1658">
        <v>2014</v>
      </c>
      <c r="K6" s="1652" t="s">
        <v>1314</v>
      </c>
      <c r="L6" s="1653" t="s">
        <v>1152</v>
      </c>
      <c r="N6" s="1658">
        <v>2015</v>
      </c>
      <c r="O6" s="1652" t="s">
        <v>1314</v>
      </c>
      <c r="P6" s="1653" t="s">
        <v>1152</v>
      </c>
      <c r="Q6" s="2130"/>
      <c r="R6" s="1261" t="s">
        <v>1824</v>
      </c>
      <c r="S6" s="1651"/>
    </row>
    <row r="7" spans="1:19" s="121" customFormat="1" ht="16.5" thickBot="1">
      <c r="A7" s="2661"/>
      <c r="B7" s="2662"/>
      <c r="C7" s="2662"/>
      <c r="D7" s="2663"/>
      <c r="E7" s="2657"/>
      <c r="F7" s="2661"/>
      <c r="G7" s="2663"/>
      <c r="H7" s="1654" t="s">
        <v>1038</v>
      </c>
      <c r="I7" s="2"/>
      <c r="J7" s="1655" t="s">
        <v>1844</v>
      </c>
      <c r="K7" s="1650" t="str">
        <f>$H$5&amp;" value minus "&amp;$J$5&amp;" value"</f>
        <v>2016 True-up value minus 2015 Projection (as-filed) value</v>
      </c>
      <c r="L7" s="1656" t="str">
        <f>"Change over "&amp;$J$5</f>
        <v>Change over 2015 Projection (as-filed)</v>
      </c>
      <c r="N7" s="1655" t="s">
        <v>2086</v>
      </c>
      <c r="O7" s="1650" t="str">
        <f>$H$5&amp;" value minus "&amp;$N$5&amp;" value"</f>
        <v>2016 True-up value minus 2016 Projection (as-filed) value</v>
      </c>
      <c r="P7" s="1656" t="str">
        <f>"Change over "&amp;$N$5</f>
        <v>Change over 2016 Projection (as-filed)</v>
      </c>
      <c r="Q7" s="2131"/>
      <c r="R7" s="1262" t="s">
        <v>1825</v>
      </c>
    </row>
    <row r="8" spans="1:19" customFormat="1" ht="8.25" customHeight="1">
      <c r="I8" s="462"/>
      <c r="J8" s="462"/>
      <c r="K8" s="462"/>
      <c r="L8" s="462"/>
      <c r="N8" s="462"/>
      <c r="O8" s="462"/>
      <c r="P8" s="462"/>
      <c r="Q8" s="321"/>
      <c r="R8" s="2191"/>
    </row>
    <row r="9" spans="1:19" s="23" customFormat="1" ht="15.75">
      <c r="A9" s="625" t="s">
        <v>246</v>
      </c>
      <c r="B9" s="43"/>
      <c r="C9" s="56"/>
      <c r="D9" s="56"/>
      <c r="E9" s="503"/>
      <c r="F9" s="500"/>
      <c r="G9" s="57"/>
      <c r="H9" s="501"/>
      <c r="I9"/>
      <c r="J9" s="501"/>
      <c r="K9" s="501"/>
      <c r="L9" s="501"/>
      <c r="N9" s="501"/>
      <c r="O9" s="501"/>
      <c r="P9" s="501"/>
      <c r="Q9" s="321"/>
      <c r="R9" s="2192"/>
    </row>
    <row r="10" spans="1:19" s="23" customFormat="1" ht="15.75">
      <c r="A10" s="47"/>
      <c r="B10" s="37"/>
      <c r="C10" s="37"/>
      <c r="D10" s="37"/>
      <c r="E10" s="502"/>
      <c r="F10" s="51"/>
      <c r="G10" s="51"/>
      <c r="H10" s="463"/>
      <c r="I10"/>
      <c r="J10" s="497"/>
      <c r="K10" s="497"/>
      <c r="L10" s="497"/>
      <c r="N10" s="497"/>
      <c r="O10" s="497"/>
      <c r="P10" s="497"/>
      <c r="Q10" s="321"/>
      <c r="R10" s="2192"/>
    </row>
    <row r="11" spans="1:19" ht="15.75">
      <c r="A11" s="16"/>
      <c r="B11" s="7" t="s">
        <v>250</v>
      </c>
      <c r="E11" s="157"/>
      <c r="F11" s="254"/>
      <c r="G11" s="476"/>
      <c r="H11" s="254"/>
      <c r="I11"/>
      <c r="J11" s="254"/>
      <c r="K11" s="254"/>
      <c r="L11" s="254"/>
      <c r="M11" s="23"/>
      <c r="N11" s="254"/>
      <c r="O11" s="254"/>
      <c r="P11" s="254"/>
      <c r="Q11" s="2131"/>
      <c r="R11" s="2192"/>
      <c r="S11" s="623"/>
    </row>
    <row r="12" spans="1:19" ht="15.75">
      <c r="A12" s="8">
        <v>1</v>
      </c>
      <c r="B12" s="8"/>
      <c r="C12" s="51" t="s">
        <v>223</v>
      </c>
      <c r="D12" s="104"/>
      <c r="E12" s="45"/>
      <c r="F12" s="254" t="s">
        <v>44</v>
      </c>
      <c r="G12" s="9"/>
      <c r="H12" s="1094">
        <f>INDEX(Inputs_EndYrBal,MATCH(F12,Inputs_FF1_Map,0))</f>
        <v>27291677</v>
      </c>
      <c r="I12" s="2187"/>
      <c r="J12" s="1267">
        <v>24934991</v>
      </c>
      <c r="K12" s="1094">
        <f>$H12-J12</f>
        <v>2356686</v>
      </c>
      <c r="L12" s="1579">
        <f>IF(J12=0,"n/m",K12/ABS(J12))</f>
        <v>9.4513208366507936E-2</v>
      </c>
      <c r="M12" s="23"/>
      <c r="N12" s="1267">
        <v>25137301</v>
      </c>
      <c r="O12" s="1094">
        <f>$H12-N12</f>
        <v>2154376</v>
      </c>
      <c r="P12" s="1579">
        <f>IF(N12=0,"n/m",O12/ABS(N12))</f>
        <v>8.5704348291011825E-2</v>
      </c>
      <c r="Q12" s="2131"/>
      <c r="R12" s="2192"/>
      <c r="S12" s="23"/>
    </row>
    <row r="13" spans="1:19" ht="15.75">
      <c r="A13" s="44"/>
      <c r="F13" s="23"/>
      <c r="G13" s="349"/>
      <c r="H13" s="623"/>
      <c r="I13" s="2188"/>
      <c r="J13" s="623"/>
      <c r="K13" s="623"/>
      <c r="L13" s="623"/>
      <c r="M13" s="23"/>
      <c r="N13" s="623"/>
      <c r="O13" s="623"/>
      <c r="P13" s="623"/>
      <c r="Q13" s="2131"/>
      <c r="R13" s="2192"/>
      <c r="S13" s="23"/>
    </row>
    <row r="14" spans="1:19" ht="15.75">
      <c r="A14" s="8">
        <f>+A12+1</f>
        <v>2</v>
      </c>
      <c r="B14" s="8"/>
      <c r="C14" s="51" t="s">
        <v>224</v>
      </c>
      <c r="D14" s="51"/>
      <c r="E14" s="426"/>
      <c r="F14" s="51" t="s">
        <v>46</v>
      </c>
      <c r="G14" s="9"/>
      <c r="H14" s="1094">
        <f>INDEX(Inputs_EndYrBal,MATCH(F14,Inputs_FF1_Map,0))</f>
        <v>351524131</v>
      </c>
      <c r="I14" s="2187"/>
      <c r="J14" s="1267">
        <v>362793740</v>
      </c>
      <c r="K14" s="1094">
        <f>$H14-J14</f>
        <v>-11269609</v>
      </c>
      <c r="L14" s="1579">
        <f>IF(J14=0,"n/m",K14/ABS(J14))</f>
        <v>-3.1063405338802152E-2</v>
      </c>
      <c r="M14" s="23"/>
      <c r="N14" s="1267">
        <v>356682932</v>
      </c>
      <c r="O14" s="1094">
        <f>$H14-N14</f>
        <v>-5158801</v>
      </c>
      <c r="P14" s="1579">
        <f>IF(N14=0,"n/m",O14/ABS(N14))</f>
        <v>-1.4463268458273186E-2</v>
      </c>
      <c r="Q14" s="2131"/>
      <c r="R14" s="2192"/>
      <c r="S14" s="23"/>
    </row>
    <row r="15" spans="1:19" ht="15.75">
      <c r="A15" s="8">
        <f>+A14+1</f>
        <v>3</v>
      </c>
      <c r="B15" s="8"/>
      <c r="C15" s="51" t="s">
        <v>248</v>
      </c>
      <c r="D15" s="51"/>
      <c r="F15" s="51" t="s">
        <v>45</v>
      </c>
      <c r="G15" s="9"/>
      <c r="H15" s="1094">
        <f>INDEX(Inputs_EndYrBal,MATCH(F15,Inputs_FF1_Map,0))</f>
        <v>38710883</v>
      </c>
      <c r="I15" s="2187"/>
      <c r="J15" s="1267">
        <v>41620401</v>
      </c>
      <c r="K15" s="1094">
        <f>$H15-J15</f>
        <v>-2909518</v>
      </c>
      <c r="L15" s="1579">
        <f>IF(J15=0,"n/m",K15/ABS(J15))</f>
        <v>-6.9906054004621437E-2</v>
      </c>
      <c r="M15" s="23"/>
      <c r="N15" s="1267">
        <v>37744556</v>
      </c>
      <c r="O15" s="1094">
        <f>$H15-N15</f>
        <v>966327</v>
      </c>
      <c r="P15" s="1579">
        <f>IF(N15=0,"n/m",O15/ABS(N15))</f>
        <v>2.5601758303899508E-2</v>
      </c>
      <c r="Q15" s="2131"/>
      <c r="R15" s="2192"/>
      <c r="S15" s="23"/>
    </row>
    <row r="16" spans="1:19" ht="15.75">
      <c r="A16" s="8">
        <f>+A15+1</f>
        <v>4</v>
      </c>
      <c r="B16" s="8"/>
      <c r="C16" s="313" t="s">
        <v>11</v>
      </c>
      <c r="D16" s="504"/>
      <c r="E16" s="505"/>
      <c r="F16" s="372" t="str">
        <f>"(Line "&amp;A14&amp;" - Line "&amp;A15&amp;")"</f>
        <v>(Line 2 - Line 3)</v>
      </c>
      <c r="G16" s="27"/>
      <c r="H16" s="624">
        <f>H14-H15</f>
        <v>312813248</v>
      </c>
      <c r="I16" s="2187"/>
      <c r="J16" s="624">
        <v>321173339</v>
      </c>
      <c r="K16" s="1613">
        <f>$H16-J16</f>
        <v>-8360091</v>
      </c>
      <c r="L16" s="1605">
        <f>IF(J16=0,"n/m",K16/ABS(J16))</f>
        <v>-2.6029841163123443E-2</v>
      </c>
      <c r="M16" s="23"/>
      <c r="N16" s="624">
        <v>318938376</v>
      </c>
      <c r="O16" s="1613">
        <f>$H16-N16</f>
        <v>-6125128</v>
      </c>
      <c r="P16" s="1605">
        <f>IF(N16=0,"n/m",O16/ABS(N16))</f>
        <v>-1.9204738159198504E-2</v>
      </c>
      <c r="Q16" s="2131"/>
      <c r="R16" s="2192"/>
      <c r="S16" s="23"/>
    </row>
    <row r="17" spans="1:19" ht="15.75">
      <c r="A17" s="8"/>
      <c r="B17" s="8"/>
      <c r="C17" s="506"/>
      <c r="E17" s="157"/>
      <c r="F17" s="22"/>
      <c r="G17" s="9"/>
      <c r="H17" s="254"/>
      <c r="I17"/>
      <c r="J17" s="254"/>
      <c r="K17" s="254"/>
      <c r="L17" s="254"/>
      <c r="M17" s="23"/>
      <c r="N17" s="254"/>
      <c r="O17" s="254"/>
      <c r="P17" s="254"/>
      <c r="Q17" s="2131"/>
      <c r="R17" s="2192"/>
      <c r="S17" s="23"/>
    </row>
    <row r="18" spans="1:19" ht="16.5" thickBot="1">
      <c r="A18" s="34">
        <f>A16+1</f>
        <v>5</v>
      </c>
      <c r="B18" s="13" t="s">
        <v>271</v>
      </c>
      <c r="C18" s="13"/>
      <c r="D18" s="58"/>
      <c r="E18" s="507"/>
      <c r="F18" s="508" t="str">
        <f>"(Line "&amp;A12&amp;" / Line "&amp;A16&amp;")"</f>
        <v>(Line 1 / Line 4)</v>
      </c>
      <c r="G18" s="59"/>
      <c r="H18" s="371">
        <f>H12/H16</f>
        <v>8.7245911656529326E-2</v>
      </c>
      <c r="I18" s="2187"/>
      <c r="J18" s="371">
        <v>7.7637175855371984E-2</v>
      </c>
      <c r="K18" s="1659">
        <f>$H18-J18</f>
        <v>9.608735801157342E-3</v>
      </c>
      <c r="L18" s="1643">
        <f>IF(J18=0,"n/m",K18/ABS(J18))</f>
        <v>0.12376462300814721</v>
      </c>
      <c r="M18" s="23"/>
      <c r="N18" s="371">
        <v>7.8815542097072699E-2</v>
      </c>
      <c r="O18" s="1659">
        <f>$H18-N18</f>
        <v>8.4303695594566269E-3</v>
      </c>
      <c r="P18" s="1643">
        <f>IF(N18=0,"n/m",O18/ABS(N18))</f>
        <v>0.10696328839651209</v>
      </c>
      <c r="Q18" s="2131"/>
      <c r="R18" s="2192"/>
      <c r="S18" s="23"/>
    </row>
    <row r="19" spans="1:19" ht="16.5" thickTop="1">
      <c r="A19" s="8"/>
      <c r="B19" s="8"/>
      <c r="C19" s="7"/>
      <c r="D19" s="22"/>
      <c r="E19" s="373"/>
      <c r="F19" s="22"/>
      <c r="G19" s="9"/>
      <c r="H19" s="318"/>
      <c r="I19"/>
      <c r="J19" s="318"/>
      <c r="K19" s="318"/>
      <c r="L19" s="318"/>
      <c r="M19" s="23"/>
      <c r="N19" s="318"/>
      <c r="O19" s="1622"/>
      <c r="P19" s="1622"/>
      <c r="Q19" s="2131"/>
      <c r="R19" s="2192"/>
      <c r="S19" s="23"/>
    </row>
    <row r="20" spans="1:19" ht="15.75">
      <c r="A20" s="44"/>
      <c r="B20" s="7" t="s">
        <v>280</v>
      </c>
      <c r="D20" s="349"/>
      <c r="F20" s="23"/>
      <c r="G20" s="349"/>
      <c r="H20" s="23"/>
      <c r="I20"/>
      <c r="J20" s="23"/>
      <c r="K20" s="23"/>
      <c r="L20" s="23"/>
      <c r="M20" s="23"/>
      <c r="N20" s="23"/>
      <c r="O20" s="23"/>
      <c r="P20" s="23"/>
      <c r="Q20" s="2131"/>
      <c r="R20" s="2192"/>
      <c r="S20" s="23"/>
    </row>
    <row r="21" spans="1:19" ht="15.75">
      <c r="A21" s="34">
        <f>+A18+1</f>
        <v>6</v>
      </c>
      <c r="B21" s="349"/>
      <c r="C21" s="51" t="s">
        <v>288</v>
      </c>
      <c r="E21" s="99" t="str">
        <f>"(Note "&amp;B$319&amp;")"</f>
        <v>(Note M)</v>
      </c>
      <c r="F21" s="51" t="s">
        <v>177</v>
      </c>
      <c r="G21" s="349"/>
      <c r="H21" s="626">
        <f>'Att 5 - Cost Support'!G68</f>
        <v>26732315549.222305</v>
      </c>
      <c r="I21"/>
      <c r="J21" s="1267">
        <v>25826088115.559998</v>
      </c>
      <c r="K21" s="1094">
        <f>$H21-J21</f>
        <v>906227433.66230774</v>
      </c>
      <c r="L21" s="1579">
        <f>IF(J21=0,"n/m",K21/ABS(J21))</f>
        <v>3.508961285996362E-2</v>
      </c>
      <c r="M21" s="23"/>
      <c r="N21" s="1267">
        <v>26518616700.57</v>
      </c>
      <c r="O21" s="1094">
        <f>$H21-N21</f>
        <v>213698848.6523056</v>
      </c>
      <c r="P21" s="1579">
        <f>IF(N21=0,"n/m",O21/ABS(N21))</f>
        <v>8.0584463007722529E-3</v>
      </c>
      <c r="Q21" s="2131"/>
      <c r="R21" s="2192"/>
      <c r="S21" s="23"/>
    </row>
    <row r="22" spans="1:19" ht="15.75">
      <c r="A22" s="45"/>
      <c r="B22" s="349"/>
      <c r="C22" s="51"/>
      <c r="F22" s="51"/>
      <c r="G22" s="349"/>
      <c r="H22" s="626"/>
      <c r="I22"/>
      <c r="J22" s="626"/>
      <c r="K22" s="626"/>
      <c r="L22" s="626"/>
      <c r="M22" s="23"/>
      <c r="N22" s="2072"/>
      <c r="O22" s="626"/>
      <c r="P22" s="626"/>
      <c r="Q22" s="2131"/>
      <c r="R22" s="2192"/>
      <c r="S22" s="23"/>
    </row>
    <row r="23" spans="1:19" ht="15" customHeight="1">
      <c r="A23" s="34">
        <f>A21+1</f>
        <v>7</v>
      </c>
      <c r="B23" s="349"/>
      <c r="C23" s="51" t="s">
        <v>221</v>
      </c>
      <c r="E23" s="99" t="str">
        <f>"(Note "&amp;B$319&amp;")"</f>
        <v>(Note M)</v>
      </c>
      <c r="F23" s="51" t="s">
        <v>177</v>
      </c>
      <c r="G23" s="349"/>
      <c r="H23" s="626">
        <f>'Att 5 - Cost Support'!$G$132</f>
        <v>8783488446.8103848</v>
      </c>
      <c r="I23"/>
      <c r="J23" s="1267">
        <v>8395189232.0100002</v>
      </c>
      <c r="K23" s="1094">
        <f>$H23-J23</f>
        <v>388299214.80038452</v>
      </c>
      <c r="L23" s="1579">
        <f>IF(J23=0,"n/m",K23/ABS(J23))</f>
        <v>4.6252586340738956E-2</v>
      </c>
      <c r="M23" s="23"/>
      <c r="N23" s="1267">
        <v>8565801806</v>
      </c>
      <c r="O23" s="1094">
        <f>$H23-N23</f>
        <v>217686640.81038475</v>
      </c>
      <c r="P23" s="1579">
        <f>IF(N23=0,"n/m",O23/ABS(N23))</f>
        <v>2.5413457577071655E-2</v>
      </c>
      <c r="Q23" s="2131"/>
      <c r="R23" s="2192"/>
      <c r="S23" s="23"/>
    </row>
    <row r="24" spans="1:19" ht="15" customHeight="1">
      <c r="A24" s="34">
        <f>+A23+1</f>
        <v>8</v>
      </c>
      <c r="B24" s="349"/>
      <c r="C24" s="51" t="s">
        <v>193</v>
      </c>
      <c r="E24" s="99" t="str">
        <f>"(Note "&amp;B$320&amp;")"</f>
        <v>(Note N)</v>
      </c>
      <c r="F24" s="254" t="s">
        <v>177</v>
      </c>
      <c r="G24" s="349"/>
      <c r="H24" s="626">
        <f>'Att 5 - Cost Support'!G109</f>
        <v>555176795.81999993</v>
      </c>
      <c r="I24"/>
      <c r="J24" s="1267">
        <v>555584757.8499999</v>
      </c>
      <c r="K24" s="1094">
        <f>$H24-J24</f>
        <v>-407962.02999997139</v>
      </c>
      <c r="L24" s="1579">
        <f>IF(J24=0,"n/m",K24/ABS(J24))</f>
        <v>-7.3429305652426737E-4</v>
      </c>
      <c r="M24"/>
      <c r="N24" s="1267">
        <v>559800279.63999999</v>
      </c>
      <c r="O24" s="1094">
        <f>$H24-N24</f>
        <v>-4623483.8200000525</v>
      </c>
      <c r="P24" s="1579">
        <f>IF(N24=0,"n/m",O24/ABS(N24))</f>
        <v>-8.259166685256664E-3</v>
      </c>
      <c r="Q24" s="2131"/>
      <c r="R24" s="2192"/>
      <c r="S24" s="23"/>
    </row>
    <row r="25" spans="1:19" ht="15" customHeight="1">
      <c r="A25" s="34">
        <f>A24+1</f>
        <v>9</v>
      </c>
      <c r="C25" s="26" t="s">
        <v>249</v>
      </c>
      <c r="D25" s="27"/>
      <c r="E25" s="86"/>
      <c r="F25" s="372" t="str">
        <f>"(Line "&amp;A23&amp;" + "&amp;A24&amp;")"</f>
        <v>(Line 7 + 8)</v>
      </c>
      <c r="G25" s="25"/>
      <c r="H25" s="624">
        <f>SUM(H23:H24)</f>
        <v>9338665242.6303844</v>
      </c>
      <c r="I25"/>
      <c r="J25" s="624">
        <v>8950773989.8600006</v>
      </c>
      <c r="K25" s="1613">
        <f>$H25-J25</f>
        <v>387891252.77038383</v>
      </c>
      <c r="L25" s="1605">
        <f>IF(J25=0,"n/m",K25/ABS(J25))</f>
        <v>4.3336057106325265E-2</v>
      </c>
      <c r="M25" s="23"/>
      <c r="N25" s="624">
        <v>9125602085.6399994</v>
      </c>
      <c r="O25" s="1613">
        <f>$H25-N25</f>
        <v>213063156.99038506</v>
      </c>
      <c r="P25" s="1605">
        <f>IF(N25=0,"n/m",O25/ABS(N25))</f>
        <v>2.3347846530111162E-2</v>
      </c>
      <c r="Q25" s="2131"/>
      <c r="R25" s="2192"/>
      <c r="S25" s="23"/>
    </row>
    <row r="26" spans="1:19" ht="15" customHeight="1">
      <c r="A26" s="44"/>
      <c r="C26" s="37"/>
      <c r="F26" s="254"/>
      <c r="G26" s="349"/>
      <c r="H26" s="623"/>
      <c r="I26"/>
      <c r="J26" s="623"/>
      <c r="K26" s="623"/>
      <c r="L26" s="623"/>
      <c r="M26" s="23"/>
      <c r="N26" s="623"/>
      <c r="O26" s="623"/>
      <c r="P26" s="623"/>
      <c r="Q26" s="2131"/>
      <c r="R26" s="2192"/>
      <c r="S26" s="23"/>
    </row>
    <row r="27" spans="1:19" ht="15" customHeight="1">
      <c r="A27" s="8">
        <f>+A25+1</f>
        <v>10</v>
      </c>
      <c r="B27" s="349"/>
      <c r="C27" s="25" t="s">
        <v>276</v>
      </c>
      <c r="D27" s="25"/>
      <c r="E27" s="86"/>
      <c r="F27" s="372" t="str">
        <f>"(Line "&amp;A21&amp;" - Line "&amp;A25&amp;")"</f>
        <v>(Line 6 - Line 9)</v>
      </c>
      <c r="G27" s="25"/>
      <c r="H27" s="624">
        <f>H21-H25</f>
        <v>17393650306.591919</v>
      </c>
      <c r="I27"/>
      <c r="J27" s="624">
        <v>16875314125.699997</v>
      </c>
      <c r="K27" s="1613">
        <f>$H27-J27</f>
        <v>518336180.891922</v>
      </c>
      <c r="L27" s="1605">
        <f>IF(J27=0,"n/m",K27/ABS(J27))</f>
        <v>3.0715646359585683E-2</v>
      </c>
      <c r="M27" s="23"/>
      <c r="N27" s="624">
        <v>17393014614.93</v>
      </c>
      <c r="O27" s="1613">
        <f>$H27-N27</f>
        <v>635691.66191864014</v>
      </c>
      <c r="P27" s="1605">
        <f>IF(N27=0,"n/m",O27/ABS(N27))</f>
        <v>3.654867635038772E-5</v>
      </c>
      <c r="Q27" s="2131"/>
      <c r="R27" s="2192"/>
      <c r="S27" s="23"/>
    </row>
    <row r="28" spans="1:19" ht="15" customHeight="1">
      <c r="A28" s="44"/>
      <c r="B28" s="349"/>
      <c r="C28" s="349"/>
      <c r="D28" s="349"/>
      <c r="F28" s="23"/>
      <c r="G28" s="349"/>
      <c r="H28" s="623"/>
      <c r="I28"/>
      <c r="J28" s="623"/>
      <c r="K28" s="623"/>
      <c r="L28" s="623"/>
      <c r="M28" s="23"/>
      <c r="N28" s="623"/>
      <c r="O28" s="623"/>
      <c r="P28" s="623"/>
      <c r="Q28" s="2131"/>
      <c r="R28" s="2192"/>
      <c r="S28" s="23"/>
    </row>
    <row r="29" spans="1:19" ht="15" customHeight="1">
      <c r="A29" s="34">
        <f>+A27+1</f>
        <v>11</v>
      </c>
      <c r="B29" s="349"/>
      <c r="C29" s="349" t="s">
        <v>127</v>
      </c>
      <c r="D29" s="349"/>
      <c r="F29" s="478" t="str">
        <f>"(Line "&amp;A50&amp;" - Line "&amp;A48&amp;")"</f>
        <v>(Line 24 - Line 23)</v>
      </c>
      <c r="G29" s="349"/>
      <c r="H29" s="623">
        <f>H50-H48</f>
        <v>6158355562.1440105</v>
      </c>
      <c r="I29"/>
      <c r="J29" s="623">
        <v>5880019112.0832796</v>
      </c>
      <c r="K29" s="1640">
        <f>$H29-J29</f>
        <v>278336450.06073093</v>
      </c>
      <c r="L29" s="1641">
        <f>IF(J29=0,"n/m",K29/ABS(J29))</f>
        <v>4.7335977104012654E-2</v>
      </c>
      <c r="M29" s="23"/>
      <c r="N29" s="623">
        <v>6150705544.5418415</v>
      </c>
      <c r="O29" s="1640">
        <f>$H29-N29</f>
        <v>7650017.6021690369</v>
      </c>
      <c r="P29" s="1641">
        <f>IF(N29=0,"n/m",O29/ABS(N29))</f>
        <v>1.2437626133733049E-3</v>
      </c>
      <c r="Q29" s="2131"/>
      <c r="R29" s="2192"/>
      <c r="S29" s="23"/>
    </row>
    <row r="30" spans="1:19" ht="15" customHeight="1" thickBot="1">
      <c r="A30" s="8">
        <f>+A29+1</f>
        <v>12</v>
      </c>
      <c r="B30" s="15" t="s">
        <v>216</v>
      </c>
      <c r="C30" s="15"/>
      <c r="D30" s="53"/>
      <c r="E30" s="87"/>
      <c r="F30" s="508" t="str">
        <f>"(Line "&amp;A29&amp;" / Line "&amp;A21&amp;")"</f>
        <v>(Line 11 / Line 6)</v>
      </c>
      <c r="G30" s="53"/>
      <c r="H30" s="371">
        <f>H29/H21</f>
        <v>0.23037119814049065</v>
      </c>
      <c r="I30"/>
      <c r="J30" s="371">
        <v>0.22767749748908422</v>
      </c>
      <c r="K30" s="1659">
        <f>$H30-J30</f>
        <v>2.6937006514064221E-3</v>
      </c>
      <c r="L30" s="1643">
        <f>IF(J30=0,"n/m",K30/ABS(J30))</f>
        <v>1.1831211609024159E-2</v>
      </c>
      <c r="M30" s="23"/>
      <c r="N30" s="371">
        <v>0.23193915482060706</v>
      </c>
      <c r="O30" s="1659">
        <f>$H30-N30</f>
        <v>-1.5679566801164169E-3</v>
      </c>
      <c r="P30" s="1643">
        <f>IF(N30=0,"n/m",O30/ABS(N30))</f>
        <v>-6.7602069229283444E-3</v>
      </c>
      <c r="Q30" s="2131"/>
      <c r="R30" s="2192"/>
      <c r="S30" s="23"/>
    </row>
    <row r="31" spans="1:19" ht="15" customHeight="1" thickTop="1">
      <c r="A31" s="44"/>
      <c r="F31" s="23"/>
      <c r="G31" s="349"/>
      <c r="H31" s="23"/>
      <c r="I31"/>
      <c r="J31" s="23"/>
      <c r="K31" s="23"/>
      <c r="L31" s="23"/>
      <c r="M31" s="23"/>
      <c r="N31" s="23"/>
      <c r="O31" s="23"/>
      <c r="P31" s="23"/>
      <c r="Q31" s="2131"/>
      <c r="R31" s="2192"/>
      <c r="S31" s="23"/>
    </row>
    <row r="32" spans="1:19" s="10" customFormat="1" ht="15" customHeight="1">
      <c r="A32" s="34">
        <f>+A30+1</f>
        <v>13</v>
      </c>
      <c r="B32" s="8"/>
      <c r="C32" s="309" t="s">
        <v>128</v>
      </c>
      <c r="D32" s="22"/>
      <c r="E32" s="373"/>
      <c r="F32" s="478" t="str">
        <f>"(Line "&amp;A64&amp;" - Line "&amp;A48&amp;")"</f>
        <v>(Line 32 - Line 23)</v>
      </c>
      <c r="G32" s="9"/>
      <c r="H32" s="623">
        <f>H64-H48</f>
        <v>4524319312.9399471</v>
      </c>
      <c r="I32"/>
      <c r="J32" s="623">
        <v>4359821833.5086298</v>
      </c>
      <c r="K32" s="1640">
        <f>$H32-J32</f>
        <v>164497479.43131733</v>
      </c>
      <c r="L32" s="1641">
        <f>IF(J32=0,"n/m",K32/ABS(J32))</f>
        <v>3.7730321493191755E-2</v>
      </c>
      <c r="M32" s="23"/>
      <c r="N32" s="623">
        <v>4569827764.1202307</v>
      </c>
      <c r="O32" s="1640">
        <f>$H32-N32</f>
        <v>-45508451.180283546</v>
      </c>
      <c r="P32" s="1641">
        <f>IF(N32=0,"n/m",O32/ABS(N32))</f>
        <v>-9.9584609156587543E-3</v>
      </c>
      <c r="Q32" s="2131"/>
      <c r="R32" s="2192"/>
      <c r="S32" s="23"/>
    </row>
    <row r="33" spans="1:19" ht="15" customHeight="1" thickBot="1">
      <c r="A33" s="8">
        <f>+A32+1</f>
        <v>14</v>
      </c>
      <c r="B33" s="15" t="s">
        <v>277</v>
      </c>
      <c r="C33" s="15"/>
      <c r="D33" s="53"/>
      <c r="E33" s="87"/>
      <c r="F33" s="508" t="str">
        <f>"(Line "&amp;A32&amp;" / Line "&amp;A27&amp;")"</f>
        <v>(Line 13 / Line 10)</v>
      </c>
      <c r="G33" s="53"/>
      <c r="H33" s="371">
        <f>H32/H27</f>
        <v>0.26011327313078736</v>
      </c>
      <c r="I33"/>
      <c r="J33" s="371">
        <v>0.25835500311481058</v>
      </c>
      <c r="K33" s="1659">
        <f>$H33-J33</f>
        <v>1.7582700159767817E-3</v>
      </c>
      <c r="L33" s="1643">
        <f>IF(J33=0,"n/m",K33/ABS(J33))</f>
        <v>6.8056356361538032E-3</v>
      </c>
      <c r="M33" s="23"/>
      <c r="N33" s="371">
        <v>0.26273925856404062</v>
      </c>
      <c r="O33" s="1659">
        <f>$H33-N33</f>
        <v>-2.6259854332532639E-3</v>
      </c>
      <c r="P33" s="1643">
        <f>IF(N33=0,"n/m",O33/ABS(N33))</f>
        <v>-9.9946443009893814E-3</v>
      </c>
      <c r="Q33" s="2131"/>
      <c r="R33" s="2192"/>
      <c r="S33" s="23"/>
    </row>
    <row r="34" spans="1:19" ht="15" customHeight="1" thickTop="1">
      <c r="A34" s="19"/>
      <c r="B34" s="8"/>
      <c r="C34" s="7"/>
      <c r="D34" s="22"/>
      <c r="E34" s="373"/>
      <c r="F34" s="9"/>
      <c r="G34" s="9"/>
      <c r="H34" s="318"/>
      <c r="I34"/>
      <c r="J34" s="318"/>
      <c r="K34" s="318"/>
      <c r="L34" s="318"/>
      <c r="M34" s="23"/>
      <c r="N34" s="318"/>
      <c r="O34" s="1622"/>
      <c r="P34" s="1622"/>
      <c r="Q34" s="2131"/>
      <c r="R34" s="2192"/>
      <c r="S34" s="23"/>
    </row>
    <row r="35" spans="1:19" s="23" customFormat="1" ht="15" customHeight="1">
      <c r="A35" s="625" t="s">
        <v>275</v>
      </c>
      <c r="B35" s="43"/>
      <c r="C35" s="56"/>
      <c r="D35" s="56"/>
      <c r="E35" s="509"/>
      <c r="F35" s="57"/>
      <c r="G35" s="57"/>
      <c r="H35" s="64"/>
      <c r="I35"/>
      <c r="J35" s="64">
        <v>0</v>
      </c>
      <c r="K35" s="64"/>
      <c r="L35" s="64"/>
      <c r="N35" s="64">
        <v>0</v>
      </c>
      <c r="O35" s="64"/>
      <c r="P35" s="64"/>
      <c r="Q35" s="2131"/>
      <c r="R35" s="2192"/>
    </row>
    <row r="36" spans="1:19" s="23" customFormat="1" ht="15" customHeight="1">
      <c r="A36" s="60"/>
      <c r="B36" s="61"/>
      <c r="C36" s="37"/>
      <c r="D36" s="37"/>
      <c r="E36" s="502"/>
      <c r="F36" s="51"/>
      <c r="G36" s="51"/>
      <c r="H36" s="463"/>
      <c r="I36"/>
      <c r="J36" s="497"/>
      <c r="K36" s="497"/>
      <c r="L36" s="497"/>
      <c r="N36" s="497"/>
      <c r="O36" s="497"/>
      <c r="P36" s="497"/>
      <c r="Q36" s="2131"/>
      <c r="R36" s="2192"/>
    </row>
    <row r="37" spans="1:19" ht="15" customHeight="1">
      <c r="A37" s="44"/>
      <c r="B37" s="7" t="s">
        <v>251</v>
      </c>
      <c r="E37" s="373"/>
      <c r="F37" s="254"/>
      <c r="G37" s="16"/>
      <c r="H37" s="254"/>
      <c r="I37"/>
      <c r="J37" s="254"/>
      <c r="K37" s="254"/>
      <c r="L37" s="254"/>
      <c r="M37" s="23"/>
      <c r="N37" s="254"/>
      <c r="O37" s="254"/>
      <c r="P37" s="254"/>
      <c r="Q37" s="2131"/>
      <c r="R37" s="2192"/>
      <c r="S37" s="23"/>
    </row>
    <row r="38" spans="1:19" ht="15" customHeight="1">
      <c r="A38" s="34">
        <f>+A33+1</f>
        <v>15</v>
      </c>
      <c r="B38" s="34"/>
      <c r="C38" s="309" t="s">
        <v>274</v>
      </c>
      <c r="D38" s="22"/>
      <c r="E38" s="99" t="str">
        <f>"(Note "&amp;B$319&amp;")"</f>
        <v>(Note M)</v>
      </c>
      <c r="F38" s="254" t="s">
        <v>177</v>
      </c>
      <c r="G38" s="9"/>
      <c r="H38" s="626">
        <f>'Att 5 - Cost Support'!G20</f>
        <v>5978969781.9130754</v>
      </c>
      <c r="I38"/>
      <c r="J38" s="1267">
        <v>5387870876.6499996</v>
      </c>
      <c r="K38" s="1094">
        <f>$H38-J38</f>
        <v>591098905.26307583</v>
      </c>
      <c r="L38" s="1579">
        <f>IF(J38=0,"n/m",K38/ABS(J38))</f>
        <v>0.10970918175206931</v>
      </c>
      <c r="M38" s="23"/>
      <c r="N38" s="1267">
        <v>5910756444.3699999</v>
      </c>
      <c r="O38" s="1094">
        <f>$H38-N38</f>
        <v>68213337.543075562</v>
      </c>
      <c r="P38" s="1579">
        <f>IF(N38=0,"n/m",O38/ABS(N38))</f>
        <v>1.1540542768946066E-2</v>
      </c>
      <c r="Q38" s="2131"/>
      <c r="R38" s="2192"/>
      <c r="S38" s="23"/>
    </row>
    <row r="39" spans="1:19" ht="15" customHeight="1">
      <c r="A39" s="34">
        <f>+A38+1</f>
        <v>16</v>
      </c>
      <c r="B39" s="34"/>
      <c r="C39" s="510" t="s">
        <v>159</v>
      </c>
      <c r="D39" s="98"/>
      <c r="E39" s="102" t="str">
        <f>"(Notes "&amp;B$297&amp;" &amp; "&amp;B322&amp;")"</f>
        <v>(Notes A &amp; P)</v>
      </c>
      <c r="F39" s="46" t="s">
        <v>176</v>
      </c>
      <c r="G39" s="48"/>
      <c r="H39" s="630">
        <f>IF(Toggle=Projection,'Att 6 - Est &amp; Reconcile WS'!W46,IF(Toggle=True_up,0,"Set Toggle!"))</f>
        <v>0</v>
      </c>
      <c r="I39"/>
      <c r="J39" s="1268">
        <v>311624183.28836286</v>
      </c>
      <c r="K39" s="1094">
        <f>$H39-J39</f>
        <v>-311624183.28836286</v>
      </c>
      <c r="L39" s="1579">
        <f>IF(J39=0,"n/m",K39/ABS(J39))</f>
        <v>-1</v>
      </c>
      <c r="M39" s="23"/>
      <c r="N39" s="1268">
        <v>78371399.303223729</v>
      </c>
      <c r="O39" s="1094">
        <f>$H39-N39</f>
        <v>-78371399.303223729</v>
      </c>
      <c r="P39" s="1579">
        <f>IF(N39=0,"n/m",O39/ABS(N39))</f>
        <v>-1</v>
      </c>
      <c r="Q39" s="2131"/>
      <c r="R39" s="2192"/>
      <c r="S39" s="23"/>
    </row>
    <row r="40" spans="1:19" ht="15" customHeight="1">
      <c r="A40" s="34">
        <f>+A39+1</f>
        <v>17</v>
      </c>
      <c r="B40" s="34"/>
      <c r="C40" s="7" t="s">
        <v>13</v>
      </c>
      <c r="D40" s="22"/>
      <c r="E40" s="99"/>
      <c r="F40" s="242" t="str">
        <f>"(Line "&amp;A38&amp;" + Line "&amp;A39&amp;")"</f>
        <v>(Line 15 + Line 16)</v>
      </c>
      <c r="G40" s="9"/>
      <c r="H40" s="627">
        <f>H38+H39</f>
        <v>5978969781.9130754</v>
      </c>
      <c r="I40"/>
      <c r="J40" s="627">
        <v>5699495059.9383621</v>
      </c>
      <c r="K40" s="1613">
        <f>$H40-J40</f>
        <v>279474721.97471333</v>
      </c>
      <c r="L40" s="1605">
        <f>IF(J40=0,"n/m",K40/ABS(J40))</f>
        <v>4.9034996791055337E-2</v>
      </c>
      <c r="N40" s="627">
        <v>5989127843.6732235</v>
      </c>
      <c r="O40" s="1613">
        <f>$H40-N40</f>
        <v>-10158061.760148048</v>
      </c>
      <c r="P40" s="1605">
        <f>IF(N40=0,"n/m",O40/ABS(N40))</f>
        <v>-1.6960836411062407E-3</v>
      </c>
      <c r="Q40" s="2131"/>
      <c r="R40" s="2192"/>
      <c r="S40" s="38"/>
    </row>
    <row r="41" spans="1:19" s="23" customFormat="1" ht="15" customHeight="1">
      <c r="A41" s="34"/>
      <c r="B41" s="34"/>
      <c r="C41" s="309"/>
      <c r="D41" s="22"/>
      <c r="E41" s="2643"/>
      <c r="F41" s="254"/>
      <c r="G41" s="22"/>
      <c r="H41" s="626"/>
      <c r="I41"/>
      <c r="J41" s="626"/>
      <c r="K41" s="626"/>
      <c r="L41" s="626"/>
      <c r="N41" s="626"/>
      <c r="O41" s="626"/>
      <c r="P41" s="626"/>
      <c r="Q41" s="2131"/>
      <c r="R41" s="2192"/>
      <c r="S41" s="51"/>
    </row>
    <row r="42" spans="1:19" ht="15" customHeight="1">
      <c r="A42" s="34">
        <f>+A40+1</f>
        <v>18</v>
      </c>
      <c r="B42" s="34"/>
      <c r="C42" s="309" t="s">
        <v>469</v>
      </c>
      <c r="D42" s="22"/>
      <c r="E42" s="99" t="str">
        <f>"(Note "&amp;B$320&amp;")"</f>
        <v>(Note N)</v>
      </c>
      <c r="F42" s="254" t="s">
        <v>177</v>
      </c>
      <c r="G42" s="22"/>
      <c r="H42" s="626">
        <f>+'Att 5 - Cost Support'!G46</f>
        <v>1175633254.3249998</v>
      </c>
      <c r="I42"/>
      <c r="J42" s="1267">
        <v>1445031806.9200001</v>
      </c>
      <c r="K42" s="1094">
        <f>$H42-J42</f>
        <v>-269398552.59500027</v>
      </c>
      <c r="L42" s="1579">
        <f>IF(J42=0,"n/m",K42/ABS(J42))</f>
        <v>-0.18643088083244849</v>
      </c>
      <c r="N42" s="1267">
        <v>1173341617.1799996</v>
      </c>
      <c r="O42" s="1094">
        <f>$H42-N42</f>
        <v>2291637.1450002193</v>
      </c>
      <c r="P42" s="1579">
        <f>IF(N42=0,"n/m",O42/ABS(N42))</f>
        <v>1.9530860505126569E-3</v>
      </c>
      <c r="Q42" s="2131"/>
      <c r="R42" s="2192"/>
      <c r="S42" s="51"/>
    </row>
    <row r="43" spans="1:19" ht="15" customHeight="1">
      <c r="A43" s="34">
        <f>A42+1</f>
        <v>19</v>
      </c>
      <c r="B43" s="34"/>
      <c r="C43" s="309" t="s">
        <v>835</v>
      </c>
      <c r="D43" s="22"/>
      <c r="E43" s="99" t="str">
        <f>"(Note "&amp;B$320&amp;")"</f>
        <v>(Note N)</v>
      </c>
      <c r="F43" s="478" t="s">
        <v>177</v>
      </c>
      <c r="G43" s="22"/>
      <c r="H43" s="626">
        <f>+'Att 5 - Cost Support'!G41</f>
        <v>880460570.875</v>
      </c>
      <c r="I43"/>
      <c r="J43" s="1267">
        <v>880195124.06999993</v>
      </c>
      <c r="K43" s="1094">
        <f>$H43-J43</f>
        <v>265446.80500006676</v>
      </c>
      <c r="L43" s="1579">
        <f>IF(J43=0,"n/m",K43/ABS(J43))</f>
        <v>3.0157722730006438E-4</v>
      </c>
      <c r="N43" s="1267">
        <v>876732474.41999996</v>
      </c>
      <c r="O43" s="1094">
        <f>$H43-N43</f>
        <v>3728096.4550000429</v>
      </c>
      <c r="P43" s="1579">
        <f>IF(N43=0,"n/m",O43/ABS(N43))</f>
        <v>4.2522623077995998E-3</v>
      </c>
      <c r="Q43" s="2131"/>
      <c r="R43" s="2192"/>
      <c r="S43" s="51"/>
    </row>
    <row r="44" spans="1:19" ht="15" customHeight="1">
      <c r="A44" s="34">
        <f>A43+1</f>
        <v>20</v>
      </c>
      <c r="B44" s="34"/>
      <c r="C44" s="313" t="s">
        <v>88</v>
      </c>
      <c r="D44" s="24"/>
      <c r="E44" s="90"/>
      <c r="F44" s="242" t="str">
        <f>"(Line "&amp;A42&amp;" + Line "&amp;A43&amp;")"</f>
        <v>(Line 18 + Line 19)</v>
      </c>
      <c r="G44" s="24"/>
      <c r="H44" s="624">
        <f>SUM(H42:H43)</f>
        <v>2056093825.1999998</v>
      </c>
      <c r="I44"/>
      <c r="J44" s="624">
        <v>2325226930.9899998</v>
      </c>
      <c r="K44" s="1613">
        <f>$H44-J44</f>
        <v>-269133105.78999996</v>
      </c>
      <c r="L44" s="1605">
        <f>IF(J44=0,"n/m",K44/ABS(J44))</f>
        <v>-0.11574487728619785</v>
      </c>
      <c r="N44" s="624">
        <v>2050074091.5999994</v>
      </c>
      <c r="O44" s="1613">
        <f>$H44-N44</f>
        <v>6019733.6000003815</v>
      </c>
      <c r="P44" s="1605">
        <f>IF(N44=0,"n/m",O44/ABS(N44))</f>
        <v>2.9363492883821697E-3</v>
      </c>
      <c r="Q44" s="2131"/>
      <c r="R44" s="2192"/>
      <c r="S44" s="51"/>
    </row>
    <row r="45" spans="1:19" ht="15" customHeight="1">
      <c r="A45" s="34">
        <f>+A44+1</f>
        <v>21</v>
      </c>
      <c r="B45" s="34"/>
      <c r="C45" s="78" t="s">
        <v>12</v>
      </c>
      <c r="D45" s="309"/>
      <c r="E45" s="373"/>
      <c r="F45" s="478" t="str">
        <f>"(Line "&amp;A$18&amp;")"</f>
        <v>(Line 5)</v>
      </c>
      <c r="G45" s="185"/>
      <c r="H45" s="511">
        <f>Allocator.wages.salary</f>
        <v>8.7245911656529326E-2</v>
      </c>
      <c r="I45"/>
      <c r="J45" s="511">
        <v>7.7637175855371984E-2</v>
      </c>
      <c r="K45" s="511"/>
      <c r="L45" s="511"/>
      <c r="N45" s="511">
        <v>7.8815542097072699E-2</v>
      </c>
      <c r="O45" s="1618"/>
      <c r="P45" s="1618"/>
      <c r="Q45" s="2131"/>
      <c r="R45" s="2192"/>
      <c r="S45" s="51"/>
    </row>
    <row r="46" spans="1:19" ht="15" customHeight="1">
      <c r="A46" s="34">
        <f>A45+1</f>
        <v>22</v>
      </c>
      <c r="B46" s="23"/>
      <c r="C46" s="249" t="s">
        <v>466</v>
      </c>
      <c r="D46" s="26"/>
      <c r="E46" s="512"/>
      <c r="F46" s="242" t="str">
        <f>"(Line "&amp;A44&amp;" * Line "&amp;A45&amp;")"</f>
        <v>(Line 20 * Line 21)</v>
      </c>
      <c r="G46" s="26"/>
      <c r="H46" s="624">
        <f>+H44*H45</f>
        <v>179385780.23093462</v>
      </c>
      <c r="I46"/>
      <c r="J46" s="624">
        <v>180524052.14491752</v>
      </c>
      <c r="K46" s="1613">
        <f>$H46-J46</f>
        <v>-1138271.913982898</v>
      </c>
      <c r="L46" s="1605">
        <f>IF(J46=0,"n/m",K46/ABS(J46))</f>
        <v>-6.3053753805013121E-3</v>
      </c>
      <c r="M46" s="343"/>
      <c r="N46" s="624">
        <v>161577700.86861783</v>
      </c>
      <c r="O46" s="1613">
        <f>$H46-N46</f>
        <v>17808079.362316787</v>
      </c>
      <c r="P46" s="1605">
        <f>IF(N46=0,"n/m",O46/ABS(N46))</f>
        <v>0.11021371926066026</v>
      </c>
      <c r="Q46" s="2131"/>
      <c r="R46" s="2192"/>
      <c r="S46" s="51"/>
    </row>
    <row r="47" spans="1:19" ht="15" customHeight="1">
      <c r="A47" s="45"/>
      <c r="B47" s="23"/>
      <c r="C47" s="7"/>
      <c r="D47" s="23"/>
      <c r="E47" s="125"/>
      <c r="F47" s="23"/>
      <c r="G47" s="23"/>
      <c r="H47" s="628"/>
      <c r="I47"/>
      <c r="J47" s="628"/>
      <c r="K47" s="628"/>
      <c r="L47" s="628"/>
      <c r="N47" s="628"/>
      <c r="O47" s="628"/>
      <c r="P47" s="628"/>
      <c r="Q47" s="2131"/>
      <c r="R47" s="2192"/>
    </row>
    <row r="48" spans="1:19" ht="15" customHeight="1">
      <c r="A48" s="34">
        <f>+A46+1</f>
        <v>23</v>
      </c>
      <c r="B48" s="34"/>
      <c r="C48" s="12" t="s">
        <v>112</v>
      </c>
      <c r="D48" s="100"/>
      <c r="E48" s="99" t="str">
        <f>"(Notes "&amp;B$300&amp;" &amp; "&amp;B$317&amp;")"</f>
        <v>(Notes B &amp; L)</v>
      </c>
      <c r="F48" s="372" t="s">
        <v>177</v>
      </c>
      <c r="G48" s="24"/>
      <c r="H48" s="642">
        <f>'Att 5 - Cost Support'!I174</f>
        <v>3657534.48</v>
      </c>
      <c r="I48"/>
      <c r="J48" s="1269">
        <v>3657534.48</v>
      </c>
      <c r="K48" s="1613">
        <f>$H48-J48</f>
        <v>0</v>
      </c>
      <c r="L48" s="1605">
        <f>IF(J48=0,"n/m",K48/ABS(J48))</f>
        <v>0</v>
      </c>
      <c r="N48" s="1269">
        <v>3657534.48</v>
      </c>
      <c r="O48" s="1613">
        <f>$H48-N48</f>
        <v>0</v>
      </c>
      <c r="P48" s="1605">
        <f>IF(N48=0,"n/m",O48/ABS(N48))</f>
        <v>0</v>
      </c>
      <c r="Q48" s="2131"/>
      <c r="R48" s="2192"/>
    </row>
    <row r="49" spans="1:16371" ht="15" customHeight="1">
      <c r="A49" s="45"/>
      <c r="B49" s="23"/>
      <c r="C49" s="7"/>
      <c r="D49" s="23"/>
      <c r="E49" s="45"/>
      <c r="F49" s="23"/>
      <c r="G49" s="349"/>
      <c r="H49" s="628"/>
      <c r="I49"/>
      <c r="J49" s="628"/>
      <c r="K49" s="628"/>
      <c r="L49" s="628"/>
      <c r="N49" s="628"/>
      <c r="O49" s="628"/>
      <c r="P49" s="628"/>
      <c r="Q49" s="2131"/>
      <c r="R49" s="2192"/>
    </row>
    <row r="50" spans="1:16371" s="1" customFormat="1" ht="15" customHeight="1" thickBot="1">
      <c r="A50" s="34">
        <f>+A48+1</f>
        <v>24</v>
      </c>
      <c r="B50" s="15" t="s">
        <v>195</v>
      </c>
      <c r="C50" s="171"/>
      <c r="D50" s="171"/>
      <c r="E50" s="194"/>
      <c r="F50" s="508" t="str">
        <f>"(Line "&amp;A40&amp;" + Line "&amp;A46&amp;" + Line "&amp;A48&amp;")"</f>
        <v>(Line 17 + Line 22 + Line 23)</v>
      </c>
      <c r="G50" s="15"/>
      <c r="H50" s="629">
        <f>H40+H46+H48</f>
        <v>6162013096.6240101</v>
      </c>
      <c r="I50"/>
      <c r="J50" s="629">
        <v>5883676646.5632792</v>
      </c>
      <c r="K50" s="1642">
        <f>$H50-J50</f>
        <v>278336450.06073093</v>
      </c>
      <c r="L50" s="1643">
        <f>IF(J50=0,"n/m",K50/ABS(J50))</f>
        <v>4.73065511211107E-2</v>
      </c>
      <c r="N50" s="629">
        <v>6154363079.021841</v>
      </c>
      <c r="O50" s="1642">
        <f>$H50-N50</f>
        <v>7650017.6021690369</v>
      </c>
      <c r="P50" s="1643">
        <f>IF(N50=0,"n/m",O50/ABS(N50))</f>
        <v>1.2430234459590759E-3</v>
      </c>
      <c r="Q50" s="2131"/>
      <c r="R50" s="2192"/>
    </row>
    <row r="51" spans="1:16371" ht="15" customHeight="1" thickTop="1">
      <c r="A51" s="45"/>
      <c r="B51" s="349"/>
      <c r="C51" s="23"/>
      <c r="D51" s="23"/>
      <c r="E51" s="45"/>
      <c r="F51" s="349"/>
      <c r="G51" s="349"/>
      <c r="H51" s="623"/>
      <c r="I51"/>
      <c r="J51" s="623"/>
      <c r="K51" s="623"/>
      <c r="L51" s="623"/>
      <c r="N51" s="623"/>
      <c r="O51" s="623"/>
      <c r="P51" s="623"/>
      <c r="Q51" s="2131"/>
      <c r="R51" s="2192"/>
    </row>
    <row r="52" spans="1:16371" ht="15" customHeight="1">
      <c r="A52" s="34"/>
      <c r="B52" s="7" t="s">
        <v>708</v>
      </c>
      <c r="C52" s="7"/>
      <c r="D52" s="254"/>
      <c r="E52" s="373"/>
      <c r="F52" s="476"/>
      <c r="G52" s="513"/>
      <c r="H52" s="626"/>
      <c r="I52"/>
      <c r="J52" s="626"/>
      <c r="K52" s="626"/>
      <c r="L52" s="626"/>
      <c r="N52" s="626"/>
      <c r="O52" s="626"/>
      <c r="P52" s="626"/>
      <c r="Q52" s="2131"/>
      <c r="R52" s="2192"/>
    </row>
    <row r="53" spans="1:16371" ht="15" customHeight="1">
      <c r="A53" s="45"/>
      <c r="B53" s="22"/>
      <c r="C53" s="22"/>
      <c r="D53" s="22"/>
      <c r="E53" s="373"/>
      <c r="F53" s="254"/>
      <c r="G53" s="476"/>
      <c r="H53" s="626"/>
      <c r="I53"/>
      <c r="J53" s="626"/>
      <c r="K53" s="626"/>
      <c r="L53" s="626"/>
      <c r="N53" s="626"/>
      <c r="O53" s="626"/>
      <c r="P53" s="626"/>
      <c r="Q53" s="2131"/>
      <c r="R53" s="2192"/>
    </row>
    <row r="54" spans="1:16371" ht="15" customHeight="1">
      <c r="A54" s="34">
        <f>+A50+1</f>
        <v>25</v>
      </c>
      <c r="B54" s="34"/>
      <c r="C54" s="309" t="s">
        <v>287</v>
      </c>
      <c r="D54" s="22"/>
      <c r="E54" s="99" t="str">
        <f>"(Note "&amp;B$319&amp;")"</f>
        <v>(Note M)</v>
      </c>
      <c r="F54" s="254" t="s">
        <v>177</v>
      </c>
      <c r="G54" s="22"/>
      <c r="H54" s="627">
        <f>+'Att 5 - Cost Support'!G88</f>
        <v>1548377436.5607696</v>
      </c>
      <c r="I54"/>
      <c r="J54" s="1270">
        <v>1432003537.01</v>
      </c>
      <c r="K54" s="1094">
        <f>$H54-J54</f>
        <v>116373899.55076957</v>
      </c>
      <c r="L54" s="1579">
        <f>IF(J54=0,"n/m",K54/ABS(J54))</f>
        <v>8.1266488903900591E-2</v>
      </c>
      <c r="N54" s="1270">
        <v>1503737224.9200001</v>
      </c>
      <c r="O54" s="1094">
        <f>$H54-N54</f>
        <v>44640211.640769482</v>
      </c>
      <c r="P54" s="1579">
        <f>IF(N54=0,"n/m",O54/ABS(N54))</f>
        <v>2.9686178476524962E-2</v>
      </c>
      <c r="Q54" s="2131"/>
      <c r="R54" s="2192"/>
      <c r="S54" s="2250"/>
      <c r="T54" s="2250"/>
      <c r="U54" s="2250"/>
      <c r="V54" s="2250"/>
      <c r="W54" s="2250"/>
      <c r="X54" s="2250"/>
      <c r="Y54" s="2250"/>
      <c r="Z54" s="2250"/>
      <c r="AA54" s="2250"/>
    </row>
    <row r="55" spans="1:16371" ht="15" customHeight="1">
      <c r="A55" s="34"/>
      <c r="B55" s="34"/>
      <c r="C55" s="249"/>
      <c r="D55" s="37"/>
      <c r="E55" s="99"/>
      <c r="F55" s="242"/>
      <c r="G55" s="37"/>
      <c r="H55" s="628"/>
      <c r="I55"/>
      <c r="J55" s="628">
        <v>0</v>
      </c>
      <c r="K55" s="628"/>
      <c r="L55" s="628"/>
      <c r="N55" s="628"/>
      <c r="O55" s="628"/>
      <c r="P55" s="628"/>
      <c r="Q55" s="2131"/>
      <c r="R55" s="2192"/>
    </row>
    <row r="56" spans="1:16371" ht="15" customHeight="1">
      <c r="A56" s="34">
        <f>A54+1</f>
        <v>26</v>
      </c>
      <c r="B56" s="34"/>
      <c r="C56" s="249" t="s">
        <v>318</v>
      </c>
      <c r="D56" s="37"/>
      <c r="E56" s="99" t="str">
        <f>"(Note "&amp;B320&amp;")"</f>
        <v>(Note N)</v>
      </c>
      <c r="F56" s="254" t="s">
        <v>177</v>
      </c>
      <c r="G56" s="37"/>
      <c r="H56" s="628">
        <f>+'Att 5 - Cost Support'!G114</f>
        <v>426632105.21500003</v>
      </c>
      <c r="I56"/>
      <c r="J56" s="1126">
        <v>580388319.38999999</v>
      </c>
      <c r="K56" s="1094">
        <f>$H56-J56</f>
        <v>-153756214.17499995</v>
      </c>
      <c r="L56" s="1579">
        <f>IF(J56=0,"n/m",K56/ABS(J56))</f>
        <v>-0.26491955306164827</v>
      </c>
      <c r="N56" s="1126">
        <v>418947736.92000002</v>
      </c>
      <c r="O56" s="1094">
        <f>$H56-N56</f>
        <v>7684368.2950000167</v>
      </c>
      <c r="P56" s="1579">
        <f>IF(N56=0,"n/m",O56/ABS(N56))</f>
        <v>1.8342068992885815E-2</v>
      </c>
      <c r="Q56" s="2131"/>
      <c r="R56" s="2192"/>
    </row>
    <row r="57" spans="1:16371" ht="15" customHeight="1">
      <c r="A57" s="344">
        <f>+A56+1</f>
        <v>27</v>
      </c>
      <c r="B57" s="34"/>
      <c r="C57" s="510" t="str">
        <f>+C24</f>
        <v>Accumulated Amortization</v>
      </c>
      <c r="D57" s="98"/>
      <c r="E57" s="102" t="str">
        <f>"(Note "&amp;B$320&amp;")"</f>
        <v>(Note N)</v>
      </c>
      <c r="F57" s="478" t="str">
        <f>"(Line "&amp;A$24&amp;")"</f>
        <v>(Line 8)</v>
      </c>
      <c r="G57" s="98"/>
      <c r="H57" s="630">
        <f>H24</f>
        <v>555176795.81999993</v>
      </c>
      <c r="I57"/>
      <c r="J57" s="630">
        <v>555584757.8499999</v>
      </c>
      <c r="K57" s="1094">
        <f>$H57-J57</f>
        <v>-407962.02999997139</v>
      </c>
      <c r="L57" s="1579">
        <f>IF(J57=0,"n/m",K57/ABS(J57))</f>
        <v>-7.3429305652426737E-4</v>
      </c>
      <c r="N57" s="630">
        <v>559800279.63999999</v>
      </c>
      <c r="O57" s="1094">
        <f>$H57-N57</f>
        <v>-4623483.8200000525</v>
      </c>
      <c r="P57" s="1579">
        <f>IF(N57=0,"n/m",O57/ABS(N57))</f>
        <v>-8.259166685256664E-3</v>
      </c>
      <c r="Q57" s="2131"/>
      <c r="R57" s="2192"/>
    </row>
    <row r="58" spans="1:16371" ht="15" customHeight="1">
      <c r="A58" s="34">
        <f>A57+1</f>
        <v>28</v>
      </c>
      <c r="B58" s="34"/>
      <c r="C58" s="26" t="s">
        <v>738</v>
      </c>
      <c r="D58" s="37"/>
      <c r="E58" s="245"/>
      <c r="F58" s="242" t="str">
        <f>"(Line "&amp;A56&amp;" + "&amp;A57&amp;")"</f>
        <v>(Line 26 + 27)</v>
      </c>
      <c r="G58" s="242"/>
      <c r="H58" s="628">
        <f>+H56+H57</f>
        <v>981808901.03499997</v>
      </c>
      <c r="I58"/>
      <c r="J58" s="628">
        <v>1135973077.2399998</v>
      </c>
      <c r="K58" s="1613">
        <f>$H58-J58</f>
        <v>-154164176.2049998</v>
      </c>
      <c r="L58" s="1605">
        <f>IF(J58=0,"n/m",K58/ABS(J58))</f>
        <v>-0.13571111788983814</v>
      </c>
      <c r="N58" s="628">
        <v>978748016.55999994</v>
      </c>
      <c r="O58" s="1613">
        <f>$H58-N58</f>
        <v>3060884.4750000238</v>
      </c>
      <c r="P58" s="1605">
        <f>IF(N58=0,"n/m",O58/ABS(N58))</f>
        <v>3.1273467973484096E-3</v>
      </c>
      <c r="Q58" s="2131"/>
      <c r="R58" s="2192"/>
    </row>
    <row r="59" spans="1:16371" ht="15" customHeight="1">
      <c r="A59" s="34">
        <f>+A58+1</f>
        <v>29</v>
      </c>
      <c r="B59" s="34"/>
      <c r="C59" s="249" t="str">
        <f>+C45</f>
        <v>Wage &amp; Salary Allocator</v>
      </c>
      <c r="D59" s="37"/>
      <c r="E59" s="245"/>
      <c r="F59" s="478" t="str">
        <f>"(Line "&amp;A$18&amp;")"</f>
        <v>(Line 5)</v>
      </c>
      <c r="G59" s="242"/>
      <c r="H59" s="514">
        <f>Allocator.wages.salary</f>
        <v>8.7245911656529326E-2</v>
      </c>
      <c r="I59"/>
      <c r="J59" s="1607">
        <v>7.7637175855371984E-2</v>
      </c>
      <c r="K59" s="514"/>
      <c r="L59" s="514"/>
      <c r="N59" s="1607">
        <v>7.8815542097072699E-2</v>
      </c>
      <c r="O59" s="1607"/>
      <c r="P59" s="1607"/>
      <c r="Q59" s="2131"/>
      <c r="R59" s="2192"/>
    </row>
    <row r="60" spans="1:16371" ht="15" customHeight="1">
      <c r="A60" s="34">
        <f>+A59+1</f>
        <v>30</v>
      </c>
      <c r="B60" s="23"/>
      <c r="C60" s="313" t="s">
        <v>87</v>
      </c>
      <c r="D60" s="26"/>
      <c r="E60" s="90"/>
      <c r="F60" s="242" t="str">
        <f>"(Line "&amp;A58&amp;" * Line "&amp;A59&amp;")"</f>
        <v>(Line 28 * Line 29)</v>
      </c>
      <c r="G60" s="26"/>
      <c r="H60" s="624">
        <f>H58*H59</f>
        <v>85658812.643293753</v>
      </c>
      <c r="I60"/>
      <c r="J60" s="624">
        <v>88193741.564649925</v>
      </c>
      <c r="K60" s="1613">
        <f>$H60-J60</f>
        <v>-2534928.9213561714</v>
      </c>
      <c r="L60" s="1605">
        <f>IF(J60=0,"n/m",K60/ABS(J60))</f>
        <v>-2.8742730225340945E-2</v>
      </c>
      <c r="N60" s="624">
        <v>77140555.501611084</v>
      </c>
      <c r="O60" s="1613">
        <f>$H60-N60</f>
        <v>8518257.1416826695</v>
      </c>
      <c r="P60" s="1605">
        <f>IF(N60=0,"n/m",O60/ABS(N60))</f>
        <v>0.1104251464912612</v>
      </c>
      <c r="Q60" s="2131"/>
      <c r="R60" s="2192"/>
    </row>
    <row r="61" spans="1:16371" ht="15" customHeight="1">
      <c r="A61" s="45"/>
      <c r="B61" s="23"/>
      <c r="C61" s="23"/>
      <c r="D61" s="23"/>
      <c r="E61" s="45"/>
      <c r="F61" s="45"/>
      <c r="G61" s="44"/>
      <c r="H61" s="438"/>
      <c r="I61"/>
      <c r="J61" s="438"/>
      <c r="K61" s="438"/>
      <c r="L61" s="438"/>
      <c r="N61" s="438"/>
      <c r="O61" s="438"/>
      <c r="P61" s="438"/>
      <c r="Q61" s="2131"/>
      <c r="R61" s="2192"/>
    </row>
    <row r="62" spans="1:16371" ht="15" customHeight="1" thickBot="1">
      <c r="A62" s="34">
        <f>+A60+1</f>
        <v>31</v>
      </c>
      <c r="B62" s="171" t="s">
        <v>707</v>
      </c>
      <c r="C62" s="171"/>
      <c r="D62" s="171"/>
      <c r="E62" s="194"/>
      <c r="F62" s="974" t="str">
        <f>"(Line "&amp;A54&amp;" + Line "&amp;A60&amp;" )"</f>
        <v>(Line 25 + Line 30 )</v>
      </c>
      <c r="G62" s="199"/>
      <c r="H62" s="629">
        <f>H54+H60</f>
        <v>1634036249.2040634</v>
      </c>
      <c r="I62"/>
      <c r="J62" s="629">
        <v>1520197278.5746498</v>
      </c>
      <c r="K62" s="1642">
        <f>$H62-J62</f>
        <v>113838970.6294136</v>
      </c>
      <c r="L62" s="1643">
        <f>IF(J62=0,"n/m",K62/ABS(J62))</f>
        <v>7.4884340495695409E-2</v>
      </c>
      <c r="N62" s="629">
        <v>1580877780.4216111</v>
      </c>
      <c r="O62" s="1642">
        <f>$H62-N62</f>
        <v>53158468.782452345</v>
      </c>
      <c r="P62" s="1643">
        <f>IF(N62=0,"n/m",O62/ABS(N62))</f>
        <v>3.3625919372638209E-2</v>
      </c>
      <c r="Q62" s="2131"/>
      <c r="R62" s="2192"/>
    </row>
    <row r="63" spans="1:16371" ht="15" customHeight="1" thickTop="1">
      <c r="A63" s="45"/>
      <c r="B63" s="349"/>
      <c r="C63" s="349"/>
      <c r="D63" s="349"/>
      <c r="F63" s="23"/>
      <c r="G63" s="9"/>
      <c r="H63" s="623"/>
      <c r="I63"/>
      <c r="J63" s="623">
        <v>0</v>
      </c>
      <c r="K63" s="623"/>
      <c r="L63" s="623"/>
      <c r="M63" s="349"/>
      <c r="N63" s="623"/>
      <c r="O63" s="623"/>
      <c r="P63" s="623"/>
      <c r="Q63" s="2131"/>
      <c r="R63" s="2192"/>
      <c r="S63" s="349"/>
      <c r="T63" s="349"/>
      <c r="U63" s="349"/>
      <c r="V63" s="349"/>
      <c r="W63" s="349"/>
      <c r="X63" s="349"/>
      <c r="Y63" s="349"/>
      <c r="Z63" s="349"/>
      <c r="AA63" s="349"/>
      <c r="AB63" s="349"/>
      <c r="AC63" s="349"/>
      <c r="AD63" s="349"/>
      <c r="AE63" s="349"/>
      <c r="AF63" s="349"/>
      <c r="AG63" s="349"/>
      <c r="AH63" s="349"/>
      <c r="AI63" s="349"/>
      <c r="AJ63" s="349"/>
      <c r="AK63" s="349"/>
      <c r="AL63" s="349"/>
      <c r="AM63" s="349"/>
      <c r="AN63" s="349"/>
      <c r="AO63" s="349"/>
      <c r="AP63" s="349"/>
      <c r="AQ63" s="349"/>
      <c r="AR63" s="349"/>
      <c r="AS63" s="349"/>
      <c r="AT63" s="349"/>
      <c r="AU63" s="349"/>
      <c r="AV63" s="349"/>
      <c r="AW63" s="349"/>
      <c r="AX63" s="349"/>
      <c r="AY63" s="349"/>
      <c r="AZ63" s="349"/>
      <c r="BA63" s="349"/>
      <c r="BB63" s="349"/>
      <c r="BC63" s="349"/>
      <c r="BD63" s="349"/>
      <c r="BE63" s="349"/>
      <c r="BF63" s="349"/>
      <c r="BG63" s="349"/>
      <c r="BH63" s="349"/>
      <c r="BI63" s="349"/>
      <c r="BJ63" s="349"/>
      <c r="BK63" s="349"/>
      <c r="BL63" s="349"/>
      <c r="BM63" s="349"/>
      <c r="BN63" s="349"/>
      <c r="BO63" s="349"/>
      <c r="BP63" s="349"/>
      <c r="BQ63" s="349"/>
      <c r="BR63" s="349"/>
      <c r="BS63" s="349"/>
      <c r="BT63" s="349"/>
      <c r="BU63" s="349"/>
      <c r="BV63" s="349"/>
      <c r="BW63" s="349"/>
      <c r="BX63" s="349"/>
      <c r="BY63" s="349"/>
      <c r="BZ63" s="349"/>
      <c r="CA63" s="349"/>
      <c r="CB63" s="349"/>
      <c r="CC63" s="349"/>
      <c r="CD63" s="349"/>
      <c r="CE63" s="349"/>
      <c r="CF63" s="349"/>
      <c r="CG63" s="349"/>
      <c r="CH63" s="349"/>
      <c r="CI63" s="349"/>
      <c r="CJ63" s="349"/>
      <c r="CK63" s="349"/>
      <c r="CL63" s="349"/>
      <c r="CM63" s="349"/>
      <c r="CN63" s="349"/>
      <c r="CO63" s="349"/>
      <c r="CP63" s="349"/>
      <c r="CQ63" s="349"/>
      <c r="CR63" s="349"/>
      <c r="CS63" s="349"/>
      <c r="CT63" s="349"/>
      <c r="CU63" s="349"/>
      <c r="CV63" s="349"/>
      <c r="CW63" s="349"/>
      <c r="CX63" s="349"/>
      <c r="CY63" s="349"/>
      <c r="CZ63" s="349"/>
      <c r="DA63" s="349"/>
      <c r="DB63" s="349"/>
      <c r="DC63" s="349"/>
      <c r="DD63" s="349"/>
      <c r="DE63" s="349"/>
      <c r="DF63" s="349"/>
      <c r="DG63" s="349"/>
      <c r="DH63" s="349"/>
      <c r="DI63" s="349"/>
      <c r="DJ63" s="349"/>
      <c r="DK63" s="349"/>
      <c r="DL63" s="349"/>
      <c r="DM63" s="349"/>
      <c r="DN63" s="349"/>
      <c r="DO63" s="349"/>
      <c r="DP63" s="349"/>
      <c r="DQ63" s="349"/>
      <c r="DR63" s="349"/>
      <c r="DS63" s="349"/>
      <c r="DT63" s="349"/>
      <c r="DU63" s="349"/>
      <c r="DV63" s="349"/>
      <c r="DW63" s="349"/>
      <c r="DX63" s="349"/>
      <c r="DY63" s="349"/>
      <c r="DZ63" s="349"/>
      <c r="EA63" s="349"/>
      <c r="EB63" s="349"/>
      <c r="EC63" s="349"/>
      <c r="ED63" s="349"/>
      <c r="EE63" s="349"/>
      <c r="EF63" s="349"/>
      <c r="EG63" s="349"/>
      <c r="EH63" s="349"/>
      <c r="EI63" s="349"/>
      <c r="EJ63" s="349"/>
      <c r="EK63" s="349"/>
      <c r="EL63" s="349"/>
      <c r="EM63" s="349"/>
      <c r="EN63" s="349"/>
      <c r="EO63" s="349"/>
      <c r="EP63" s="349"/>
      <c r="EQ63" s="349"/>
      <c r="ER63" s="349"/>
      <c r="ES63" s="349"/>
      <c r="ET63" s="349"/>
      <c r="EU63" s="349"/>
      <c r="EV63" s="349"/>
      <c r="EW63" s="349"/>
      <c r="EX63" s="349"/>
      <c r="EY63" s="349"/>
      <c r="EZ63" s="349"/>
      <c r="FA63" s="349"/>
      <c r="FB63" s="349"/>
      <c r="FC63" s="349"/>
      <c r="FD63" s="349"/>
      <c r="FE63" s="349"/>
      <c r="FF63" s="349"/>
      <c r="FG63" s="349"/>
      <c r="FH63" s="349"/>
      <c r="FI63" s="349"/>
      <c r="FJ63" s="349"/>
      <c r="FK63" s="349"/>
      <c r="FL63" s="349"/>
      <c r="FM63" s="349"/>
      <c r="FN63" s="349"/>
      <c r="FO63" s="349"/>
      <c r="FP63" s="349"/>
      <c r="FQ63" s="349"/>
      <c r="FR63" s="349"/>
      <c r="FS63" s="349"/>
      <c r="FT63" s="349"/>
      <c r="FU63" s="349"/>
      <c r="FV63" s="349"/>
      <c r="FW63" s="349"/>
      <c r="FX63" s="349"/>
      <c r="FY63" s="349"/>
      <c r="FZ63" s="349"/>
      <c r="GA63" s="349"/>
      <c r="GB63" s="349"/>
      <c r="GC63" s="349"/>
      <c r="GD63" s="349"/>
      <c r="GE63" s="349"/>
      <c r="GF63" s="349"/>
      <c r="GG63" s="349"/>
      <c r="GH63" s="349"/>
      <c r="GI63" s="349"/>
      <c r="GJ63" s="349"/>
      <c r="GK63" s="349"/>
      <c r="GL63" s="349"/>
      <c r="GM63" s="349"/>
      <c r="GN63" s="349"/>
      <c r="GO63" s="349"/>
      <c r="GP63" s="349"/>
      <c r="GQ63" s="349"/>
      <c r="GR63" s="349"/>
      <c r="GS63" s="349"/>
      <c r="GT63" s="349"/>
      <c r="GU63" s="349"/>
      <c r="GV63" s="349"/>
      <c r="GW63" s="349"/>
      <c r="GX63" s="349"/>
      <c r="GY63" s="349"/>
      <c r="GZ63" s="349"/>
      <c r="HA63" s="349"/>
      <c r="HB63" s="349"/>
      <c r="HC63" s="349"/>
      <c r="HD63" s="349"/>
      <c r="HE63" s="349"/>
      <c r="HF63" s="349"/>
      <c r="HG63" s="349"/>
      <c r="HH63" s="349"/>
      <c r="HI63" s="349"/>
      <c r="HJ63" s="349"/>
      <c r="HK63" s="349"/>
      <c r="HL63" s="349"/>
      <c r="HM63" s="349"/>
      <c r="HN63" s="349"/>
      <c r="HO63" s="349"/>
      <c r="HP63" s="349"/>
      <c r="HQ63" s="349"/>
      <c r="HR63" s="349"/>
      <c r="HS63" s="349"/>
      <c r="HT63" s="349"/>
      <c r="HU63" s="349"/>
      <c r="HV63" s="349"/>
      <c r="HW63" s="349"/>
      <c r="HX63" s="349"/>
      <c r="HY63" s="349"/>
      <c r="HZ63" s="349"/>
      <c r="IA63" s="349"/>
      <c r="IB63" s="349"/>
      <c r="IC63" s="349"/>
      <c r="ID63" s="349"/>
      <c r="IE63" s="349"/>
      <c r="IF63" s="349"/>
      <c r="IG63" s="349"/>
      <c r="IH63" s="349"/>
      <c r="II63" s="349"/>
      <c r="IJ63" s="349"/>
      <c r="IK63" s="349"/>
      <c r="IL63" s="349"/>
      <c r="IM63" s="349"/>
      <c r="IN63" s="349"/>
      <c r="IO63" s="349"/>
      <c r="IP63" s="349"/>
      <c r="IQ63" s="349"/>
      <c r="IR63" s="349"/>
      <c r="IS63" s="349"/>
      <c r="IT63" s="349"/>
      <c r="IU63" s="349"/>
      <c r="IV63" s="349"/>
      <c r="IW63" s="349"/>
      <c r="IX63" s="349"/>
      <c r="IY63" s="349"/>
      <c r="IZ63" s="349"/>
      <c r="JA63" s="349"/>
      <c r="JB63" s="349"/>
      <c r="JC63" s="349"/>
      <c r="JD63" s="349"/>
      <c r="JE63" s="349"/>
      <c r="JF63" s="349"/>
      <c r="JG63" s="349"/>
      <c r="JH63" s="349"/>
      <c r="JI63" s="349"/>
      <c r="JJ63" s="349"/>
      <c r="JK63" s="349"/>
      <c r="JL63" s="349"/>
      <c r="JM63" s="349"/>
      <c r="JN63" s="349"/>
      <c r="JO63" s="349"/>
      <c r="JP63" s="349"/>
      <c r="JQ63" s="349"/>
      <c r="JR63" s="349"/>
      <c r="JS63" s="349"/>
      <c r="JT63" s="349"/>
      <c r="JU63" s="349"/>
      <c r="JV63" s="349"/>
      <c r="JW63" s="349"/>
      <c r="JX63" s="349"/>
      <c r="JY63" s="349"/>
      <c r="JZ63" s="349"/>
      <c r="KA63" s="349"/>
      <c r="KB63" s="349"/>
      <c r="KC63" s="349"/>
      <c r="KD63" s="349"/>
      <c r="KE63" s="349"/>
      <c r="KF63" s="349"/>
      <c r="KG63" s="349"/>
      <c r="KH63" s="349"/>
      <c r="KI63" s="349"/>
      <c r="KJ63" s="349"/>
      <c r="KK63" s="349"/>
      <c r="KL63" s="349"/>
      <c r="KM63" s="349"/>
      <c r="KN63" s="349"/>
      <c r="KO63" s="349"/>
      <c r="KP63" s="349"/>
      <c r="KQ63" s="349"/>
      <c r="KR63" s="349"/>
      <c r="KS63" s="349"/>
      <c r="KT63" s="349"/>
      <c r="KU63" s="349"/>
      <c r="KV63" s="349"/>
      <c r="KW63" s="349"/>
      <c r="KX63" s="349"/>
      <c r="KY63" s="349"/>
      <c r="KZ63" s="349"/>
      <c r="LA63" s="349"/>
      <c r="LB63" s="349"/>
      <c r="LC63" s="349"/>
      <c r="LD63" s="349"/>
      <c r="LE63" s="349"/>
      <c r="LF63" s="349"/>
      <c r="LG63" s="349"/>
      <c r="LH63" s="349"/>
      <c r="LI63" s="349"/>
      <c r="LJ63" s="349"/>
      <c r="LK63" s="349"/>
      <c r="LL63" s="349"/>
      <c r="LM63" s="349"/>
      <c r="LN63" s="349"/>
      <c r="LO63" s="349"/>
      <c r="LP63" s="349"/>
      <c r="LQ63" s="349"/>
      <c r="LR63" s="349"/>
      <c r="LS63" s="349"/>
      <c r="LT63" s="349"/>
      <c r="LU63" s="349"/>
      <c r="LV63" s="349"/>
      <c r="LW63" s="349"/>
      <c r="LX63" s="349"/>
      <c r="LY63" s="349"/>
      <c r="LZ63" s="349"/>
      <c r="MA63" s="349"/>
      <c r="MB63" s="349"/>
      <c r="MC63" s="349"/>
      <c r="MD63" s="349"/>
      <c r="ME63" s="349"/>
      <c r="MF63" s="349"/>
      <c r="MG63" s="349"/>
      <c r="MH63" s="349"/>
      <c r="MI63" s="349"/>
      <c r="MJ63" s="349"/>
      <c r="MK63" s="349"/>
      <c r="ML63" s="349"/>
      <c r="MM63" s="349"/>
      <c r="MN63" s="349"/>
      <c r="MO63" s="349"/>
      <c r="MP63" s="349"/>
      <c r="MQ63" s="349"/>
      <c r="MR63" s="349"/>
      <c r="MS63" s="349"/>
      <c r="MT63" s="349"/>
      <c r="MU63" s="349"/>
      <c r="MV63" s="349"/>
      <c r="MW63" s="349"/>
      <c r="MX63" s="349"/>
      <c r="MY63" s="349"/>
      <c r="MZ63" s="349"/>
      <c r="NA63" s="349"/>
      <c r="NB63" s="349"/>
      <c r="NC63" s="349"/>
      <c r="ND63" s="349"/>
      <c r="NE63" s="349"/>
      <c r="NF63" s="349"/>
      <c r="NG63" s="349"/>
      <c r="NH63" s="349"/>
      <c r="NI63" s="349"/>
      <c r="NJ63" s="349"/>
      <c r="NK63" s="349"/>
      <c r="NL63" s="349"/>
      <c r="NM63" s="349"/>
      <c r="NN63" s="349"/>
      <c r="NO63" s="349"/>
      <c r="NP63" s="349"/>
      <c r="NQ63" s="349"/>
      <c r="NR63" s="349"/>
      <c r="NS63" s="349"/>
      <c r="NT63" s="349"/>
      <c r="NU63" s="349"/>
      <c r="NV63" s="349"/>
      <c r="NW63" s="349"/>
      <c r="NX63" s="349"/>
      <c r="NY63" s="349"/>
      <c r="NZ63" s="349"/>
      <c r="OA63" s="349"/>
      <c r="OB63" s="349"/>
      <c r="OC63" s="349"/>
      <c r="OD63" s="349"/>
      <c r="OE63" s="349"/>
      <c r="OF63" s="349"/>
      <c r="OG63" s="349"/>
      <c r="OH63" s="349"/>
      <c r="OI63" s="349"/>
      <c r="OJ63" s="349"/>
      <c r="OK63" s="349"/>
      <c r="OL63" s="349"/>
      <c r="OM63" s="349"/>
      <c r="ON63" s="349"/>
      <c r="OO63" s="349"/>
      <c r="OP63" s="349"/>
      <c r="OQ63" s="349"/>
      <c r="OR63" s="349"/>
      <c r="OS63" s="349"/>
      <c r="OT63" s="349"/>
      <c r="OU63" s="349"/>
      <c r="OV63" s="349"/>
      <c r="OW63" s="349"/>
      <c r="OX63" s="349"/>
      <c r="OY63" s="349"/>
      <c r="OZ63" s="349"/>
      <c r="PA63" s="349"/>
      <c r="PB63" s="349"/>
      <c r="PC63" s="349"/>
      <c r="PD63" s="349"/>
      <c r="PE63" s="349"/>
      <c r="PF63" s="349"/>
      <c r="PG63" s="349"/>
      <c r="PH63" s="349"/>
      <c r="PI63" s="349"/>
      <c r="PJ63" s="349"/>
      <c r="PK63" s="349"/>
      <c r="PL63" s="349"/>
      <c r="PM63" s="349"/>
      <c r="PN63" s="349"/>
      <c r="PO63" s="349"/>
      <c r="PP63" s="349"/>
      <c r="PQ63" s="349"/>
      <c r="PR63" s="349"/>
      <c r="PS63" s="349"/>
      <c r="PT63" s="349"/>
      <c r="PU63" s="349"/>
      <c r="PV63" s="349"/>
      <c r="PW63" s="349"/>
      <c r="PX63" s="349"/>
      <c r="PY63" s="349"/>
      <c r="PZ63" s="349"/>
      <c r="QA63" s="349"/>
      <c r="QB63" s="349"/>
      <c r="QC63" s="349"/>
      <c r="QD63" s="349"/>
      <c r="QE63" s="349"/>
      <c r="QF63" s="349"/>
      <c r="QG63" s="349"/>
      <c r="QH63" s="349"/>
      <c r="QI63" s="349"/>
      <c r="QJ63" s="349"/>
      <c r="QK63" s="349"/>
      <c r="QL63" s="349"/>
      <c r="QM63" s="349"/>
      <c r="QN63" s="349"/>
      <c r="QO63" s="349"/>
      <c r="QP63" s="349"/>
      <c r="QQ63" s="349"/>
      <c r="QR63" s="349"/>
      <c r="QS63" s="349"/>
      <c r="QT63" s="349"/>
      <c r="QU63" s="349"/>
      <c r="QV63" s="349"/>
      <c r="QW63" s="349"/>
      <c r="QX63" s="349"/>
      <c r="QY63" s="349"/>
      <c r="QZ63" s="349"/>
      <c r="RA63" s="349"/>
      <c r="RB63" s="349"/>
      <c r="RC63" s="349"/>
      <c r="RD63" s="349"/>
      <c r="RE63" s="349"/>
      <c r="RF63" s="349"/>
      <c r="RG63" s="349"/>
      <c r="RH63" s="349"/>
      <c r="RI63" s="349"/>
      <c r="RJ63" s="349"/>
      <c r="RK63" s="349"/>
      <c r="RL63" s="349"/>
      <c r="RM63" s="349"/>
      <c r="RN63" s="349"/>
      <c r="RO63" s="349"/>
      <c r="RP63" s="349"/>
      <c r="RQ63" s="349"/>
      <c r="RR63" s="349"/>
      <c r="RS63" s="349"/>
      <c r="RT63" s="349"/>
      <c r="RU63" s="349"/>
      <c r="RV63" s="349"/>
      <c r="RW63" s="349"/>
      <c r="RX63" s="349"/>
      <c r="RY63" s="349"/>
      <c r="RZ63" s="349"/>
      <c r="SA63" s="349"/>
      <c r="SB63" s="349"/>
      <c r="SC63" s="349"/>
      <c r="SD63" s="349"/>
      <c r="SE63" s="349"/>
      <c r="SF63" s="349"/>
      <c r="SG63" s="349"/>
      <c r="SH63" s="349"/>
      <c r="SI63" s="349"/>
      <c r="SJ63" s="349"/>
      <c r="SK63" s="349"/>
      <c r="SL63" s="349"/>
      <c r="SM63" s="349"/>
      <c r="SN63" s="349"/>
      <c r="SO63" s="349"/>
      <c r="SP63" s="349"/>
      <c r="SQ63" s="349"/>
      <c r="SR63" s="349"/>
      <c r="SS63" s="349"/>
      <c r="ST63" s="349"/>
      <c r="SU63" s="349"/>
      <c r="SV63" s="349"/>
      <c r="SW63" s="349"/>
      <c r="SX63" s="349"/>
      <c r="SY63" s="349"/>
      <c r="SZ63" s="349"/>
      <c r="TA63" s="349"/>
      <c r="TB63" s="349"/>
      <c r="TC63" s="349"/>
      <c r="TD63" s="349"/>
      <c r="TE63" s="349"/>
      <c r="TF63" s="349"/>
      <c r="TG63" s="349"/>
      <c r="TH63" s="349"/>
      <c r="TI63" s="349"/>
      <c r="TJ63" s="349"/>
      <c r="TK63" s="349"/>
      <c r="TL63" s="349"/>
      <c r="TM63" s="349"/>
      <c r="TN63" s="349"/>
      <c r="TO63" s="349"/>
      <c r="TP63" s="349"/>
      <c r="TQ63" s="349"/>
      <c r="TR63" s="349"/>
      <c r="TS63" s="349"/>
      <c r="TT63" s="349"/>
      <c r="TU63" s="349"/>
      <c r="TV63" s="349"/>
      <c r="TW63" s="349"/>
      <c r="TX63" s="349"/>
      <c r="TY63" s="349"/>
      <c r="TZ63" s="349"/>
      <c r="UA63" s="349"/>
      <c r="UB63" s="349"/>
      <c r="UC63" s="349"/>
      <c r="UD63" s="349"/>
      <c r="UE63" s="349"/>
      <c r="UF63" s="349"/>
      <c r="UG63" s="349"/>
      <c r="UH63" s="349"/>
      <c r="UI63" s="349"/>
      <c r="UJ63" s="349"/>
      <c r="UK63" s="349"/>
      <c r="UL63" s="349"/>
      <c r="UM63" s="349"/>
      <c r="UN63" s="349"/>
      <c r="UO63" s="349"/>
      <c r="UP63" s="349"/>
      <c r="UQ63" s="349"/>
      <c r="UR63" s="349"/>
      <c r="US63" s="349"/>
      <c r="UT63" s="349"/>
      <c r="UU63" s="349"/>
      <c r="UV63" s="349"/>
      <c r="UW63" s="349"/>
      <c r="UX63" s="349"/>
      <c r="UY63" s="349"/>
      <c r="UZ63" s="349"/>
      <c r="VA63" s="349"/>
      <c r="VB63" s="349"/>
      <c r="VC63" s="349"/>
      <c r="VD63" s="349"/>
      <c r="VE63" s="349"/>
      <c r="VF63" s="349"/>
      <c r="VG63" s="349"/>
      <c r="VH63" s="349"/>
      <c r="VI63" s="349"/>
      <c r="VJ63" s="349"/>
      <c r="VK63" s="349"/>
      <c r="VL63" s="349"/>
      <c r="VM63" s="349"/>
      <c r="VN63" s="349"/>
      <c r="VO63" s="349"/>
      <c r="VP63" s="349"/>
      <c r="VQ63" s="349"/>
      <c r="VR63" s="349"/>
      <c r="VS63" s="349"/>
      <c r="VT63" s="349"/>
      <c r="VU63" s="349"/>
      <c r="VV63" s="349"/>
      <c r="VW63" s="349"/>
      <c r="VX63" s="349"/>
      <c r="VY63" s="349"/>
      <c r="VZ63" s="349"/>
      <c r="WA63" s="349"/>
      <c r="WB63" s="349"/>
      <c r="WC63" s="349"/>
      <c r="WD63" s="349"/>
      <c r="WE63" s="349"/>
      <c r="WF63" s="349"/>
      <c r="WG63" s="349"/>
      <c r="WH63" s="349"/>
      <c r="WI63" s="349"/>
      <c r="WJ63" s="349"/>
      <c r="WK63" s="349"/>
      <c r="WL63" s="349"/>
      <c r="WM63" s="349"/>
      <c r="WN63" s="349"/>
      <c r="WO63" s="349"/>
      <c r="WP63" s="349"/>
      <c r="WQ63" s="349"/>
      <c r="WR63" s="349"/>
      <c r="WS63" s="349"/>
      <c r="WT63" s="349"/>
      <c r="WU63" s="349"/>
      <c r="WV63" s="349"/>
      <c r="WW63" s="349"/>
      <c r="WX63" s="349"/>
      <c r="WY63" s="349"/>
      <c r="WZ63" s="349"/>
      <c r="XA63" s="349"/>
      <c r="XB63" s="349"/>
      <c r="XC63" s="349"/>
      <c r="XD63" s="349"/>
      <c r="XE63" s="349"/>
      <c r="XF63" s="349"/>
      <c r="XG63" s="349"/>
      <c r="XH63" s="349"/>
      <c r="XI63" s="349"/>
      <c r="XJ63" s="349"/>
      <c r="XK63" s="349"/>
      <c r="XL63" s="349"/>
      <c r="XM63" s="349"/>
      <c r="XN63" s="349"/>
      <c r="XO63" s="349"/>
      <c r="XP63" s="349"/>
      <c r="XQ63" s="349"/>
      <c r="XR63" s="349"/>
      <c r="XS63" s="349"/>
      <c r="XT63" s="349"/>
      <c r="XU63" s="349"/>
      <c r="XV63" s="349"/>
      <c r="XW63" s="349"/>
      <c r="XX63" s="349"/>
      <c r="XY63" s="349"/>
      <c r="XZ63" s="349"/>
      <c r="YA63" s="349"/>
      <c r="YB63" s="349"/>
      <c r="YC63" s="349"/>
      <c r="YD63" s="349"/>
      <c r="YE63" s="349"/>
      <c r="YF63" s="349"/>
      <c r="YG63" s="349"/>
      <c r="YH63" s="349"/>
      <c r="YI63" s="349"/>
      <c r="YJ63" s="349"/>
      <c r="YK63" s="349"/>
      <c r="YL63" s="349"/>
      <c r="YM63" s="349"/>
      <c r="YN63" s="349"/>
      <c r="YO63" s="349"/>
      <c r="YP63" s="349"/>
      <c r="YQ63" s="349"/>
      <c r="YR63" s="349"/>
      <c r="YS63" s="349"/>
      <c r="YT63" s="349"/>
      <c r="YU63" s="349"/>
      <c r="YV63" s="349"/>
      <c r="YW63" s="349"/>
      <c r="YX63" s="349"/>
      <c r="YY63" s="349"/>
      <c r="YZ63" s="349"/>
      <c r="ZA63" s="349"/>
      <c r="ZB63" s="349"/>
      <c r="ZC63" s="349"/>
      <c r="ZD63" s="349"/>
      <c r="ZE63" s="349"/>
      <c r="ZF63" s="349"/>
      <c r="ZG63" s="349"/>
      <c r="ZH63" s="349"/>
      <c r="ZI63" s="349"/>
      <c r="ZJ63" s="349"/>
      <c r="ZK63" s="349"/>
      <c r="ZL63" s="349"/>
      <c r="ZM63" s="349"/>
      <c r="ZN63" s="349"/>
      <c r="ZO63" s="349"/>
      <c r="ZP63" s="349"/>
      <c r="ZQ63" s="349"/>
      <c r="ZR63" s="349"/>
      <c r="ZS63" s="349"/>
      <c r="ZT63" s="349"/>
      <c r="ZU63" s="349"/>
      <c r="ZV63" s="349"/>
      <c r="ZW63" s="349"/>
      <c r="ZX63" s="349"/>
      <c r="ZY63" s="349"/>
      <c r="ZZ63" s="349"/>
      <c r="AAA63" s="349"/>
      <c r="AAB63" s="349"/>
      <c r="AAC63" s="349"/>
      <c r="AAD63" s="349"/>
      <c r="AAE63" s="349"/>
      <c r="AAF63" s="349"/>
      <c r="AAG63" s="349"/>
      <c r="AAH63" s="349"/>
      <c r="AAI63" s="349"/>
      <c r="AAJ63" s="349"/>
      <c r="AAK63" s="349"/>
      <c r="AAL63" s="349"/>
      <c r="AAM63" s="349"/>
      <c r="AAN63" s="349"/>
      <c r="AAO63" s="349"/>
      <c r="AAP63" s="349"/>
      <c r="AAQ63" s="349"/>
      <c r="AAR63" s="349"/>
      <c r="AAS63" s="349"/>
      <c r="AAT63" s="349"/>
      <c r="AAU63" s="349"/>
      <c r="AAV63" s="349"/>
      <c r="AAW63" s="349"/>
      <c r="AAX63" s="349"/>
      <c r="AAY63" s="349"/>
      <c r="AAZ63" s="349"/>
      <c r="ABA63" s="349"/>
      <c r="ABB63" s="349"/>
      <c r="ABC63" s="349"/>
      <c r="ABD63" s="349"/>
      <c r="ABE63" s="349"/>
      <c r="ABF63" s="349"/>
      <c r="ABG63" s="349"/>
      <c r="ABH63" s="349"/>
      <c r="ABI63" s="349"/>
      <c r="ABJ63" s="349"/>
      <c r="ABK63" s="349"/>
      <c r="ABL63" s="349"/>
      <c r="ABM63" s="349"/>
      <c r="ABN63" s="349"/>
      <c r="ABO63" s="349"/>
      <c r="ABP63" s="349"/>
      <c r="ABQ63" s="349"/>
      <c r="ABR63" s="349"/>
      <c r="ABS63" s="349"/>
      <c r="ABT63" s="349"/>
      <c r="ABU63" s="349"/>
      <c r="ABV63" s="349"/>
      <c r="ABW63" s="349"/>
      <c r="ABX63" s="349"/>
      <c r="ABY63" s="349"/>
      <c r="ABZ63" s="349"/>
      <c r="ACA63" s="349"/>
      <c r="ACB63" s="349"/>
      <c r="ACC63" s="349"/>
      <c r="ACD63" s="349"/>
      <c r="ACE63" s="349"/>
      <c r="ACF63" s="349"/>
      <c r="ACG63" s="349"/>
      <c r="ACH63" s="349"/>
      <c r="ACI63" s="349"/>
      <c r="ACJ63" s="349"/>
      <c r="ACK63" s="349"/>
      <c r="ACL63" s="349"/>
      <c r="ACM63" s="349"/>
      <c r="ACN63" s="349"/>
      <c r="ACO63" s="349"/>
      <c r="ACP63" s="349"/>
      <c r="ACQ63" s="349"/>
      <c r="ACR63" s="349"/>
      <c r="ACS63" s="349"/>
      <c r="ACT63" s="349"/>
      <c r="ACU63" s="349"/>
      <c r="ACV63" s="349"/>
      <c r="ACW63" s="349"/>
      <c r="ACX63" s="349"/>
      <c r="ACY63" s="349"/>
      <c r="ACZ63" s="349"/>
      <c r="ADA63" s="349"/>
      <c r="ADB63" s="349"/>
      <c r="ADC63" s="349"/>
      <c r="ADD63" s="349"/>
      <c r="ADE63" s="349"/>
      <c r="ADF63" s="349"/>
      <c r="ADG63" s="349"/>
      <c r="ADH63" s="349"/>
      <c r="ADI63" s="349"/>
      <c r="ADJ63" s="349"/>
      <c r="ADK63" s="349"/>
      <c r="ADL63" s="349"/>
      <c r="ADM63" s="349"/>
      <c r="ADN63" s="349"/>
      <c r="ADO63" s="349"/>
      <c r="ADP63" s="349"/>
      <c r="ADQ63" s="349"/>
      <c r="ADR63" s="349"/>
      <c r="ADS63" s="349"/>
      <c r="ADT63" s="349"/>
      <c r="ADU63" s="349"/>
      <c r="ADV63" s="349"/>
      <c r="ADW63" s="349"/>
      <c r="ADX63" s="349"/>
      <c r="ADY63" s="349"/>
      <c r="ADZ63" s="349"/>
      <c r="AEA63" s="349"/>
      <c r="AEB63" s="349"/>
      <c r="AEC63" s="349"/>
      <c r="AED63" s="349"/>
      <c r="AEE63" s="349"/>
      <c r="AEF63" s="349"/>
      <c r="AEG63" s="349"/>
      <c r="AEH63" s="349"/>
      <c r="AEI63" s="349"/>
      <c r="AEJ63" s="349"/>
      <c r="AEK63" s="349"/>
      <c r="AEL63" s="349"/>
      <c r="AEM63" s="349"/>
      <c r="AEN63" s="349"/>
      <c r="AEO63" s="349"/>
      <c r="AEP63" s="349"/>
      <c r="AEQ63" s="349"/>
      <c r="AER63" s="349"/>
      <c r="AES63" s="349"/>
      <c r="AET63" s="349"/>
      <c r="AEU63" s="349"/>
      <c r="AEV63" s="349"/>
      <c r="AEW63" s="349"/>
      <c r="AEX63" s="349"/>
      <c r="AEY63" s="349"/>
      <c r="AEZ63" s="349"/>
      <c r="AFA63" s="349"/>
      <c r="AFB63" s="349"/>
      <c r="AFC63" s="349"/>
      <c r="AFD63" s="349"/>
      <c r="AFE63" s="349"/>
      <c r="AFF63" s="349"/>
      <c r="AFG63" s="349"/>
      <c r="AFH63" s="349"/>
      <c r="AFI63" s="349"/>
      <c r="AFJ63" s="349"/>
      <c r="AFK63" s="349"/>
      <c r="AFL63" s="349"/>
      <c r="AFM63" s="349"/>
      <c r="AFN63" s="349"/>
      <c r="AFO63" s="349"/>
      <c r="AFP63" s="349"/>
      <c r="AFQ63" s="349"/>
      <c r="AFR63" s="349"/>
      <c r="AFS63" s="349"/>
      <c r="AFT63" s="349"/>
      <c r="AFU63" s="349"/>
      <c r="AFV63" s="349"/>
      <c r="AFW63" s="349"/>
      <c r="AFX63" s="349"/>
      <c r="AFY63" s="349"/>
      <c r="AFZ63" s="349"/>
      <c r="AGA63" s="349"/>
      <c r="AGB63" s="349"/>
      <c r="AGC63" s="349"/>
      <c r="AGD63" s="349"/>
      <c r="AGE63" s="349"/>
      <c r="AGF63" s="349"/>
      <c r="AGG63" s="349"/>
      <c r="AGH63" s="349"/>
      <c r="AGI63" s="349"/>
      <c r="AGJ63" s="349"/>
      <c r="AGK63" s="349"/>
      <c r="AGL63" s="349"/>
      <c r="AGM63" s="349"/>
      <c r="AGN63" s="349"/>
      <c r="AGO63" s="349"/>
      <c r="AGP63" s="349"/>
      <c r="AGQ63" s="349"/>
      <c r="AGR63" s="349"/>
      <c r="AGS63" s="349"/>
      <c r="AGT63" s="349"/>
      <c r="AGU63" s="349"/>
      <c r="AGV63" s="349"/>
      <c r="AGW63" s="349"/>
      <c r="AGX63" s="349"/>
      <c r="AGY63" s="349"/>
      <c r="AGZ63" s="349"/>
      <c r="AHA63" s="349"/>
      <c r="AHB63" s="349"/>
      <c r="AHC63" s="349"/>
      <c r="AHD63" s="349"/>
      <c r="AHE63" s="349"/>
      <c r="AHF63" s="349"/>
      <c r="AHG63" s="349"/>
      <c r="AHH63" s="349"/>
      <c r="AHI63" s="349"/>
      <c r="AHJ63" s="349"/>
      <c r="AHK63" s="349"/>
      <c r="AHL63" s="349"/>
      <c r="AHM63" s="349"/>
      <c r="AHN63" s="349"/>
      <c r="AHO63" s="349"/>
      <c r="AHP63" s="349"/>
      <c r="AHQ63" s="349"/>
      <c r="AHR63" s="349"/>
      <c r="AHS63" s="349"/>
      <c r="AHT63" s="349"/>
      <c r="AHU63" s="349"/>
      <c r="AHV63" s="349"/>
      <c r="AHW63" s="349"/>
      <c r="AHX63" s="349"/>
      <c r="AHY63" s="349"/>
      <c r="AHZ63" s="349"/>
      <c r="AIA63" s="349"/>
      <c r="AIB63" s="349"/>
      <c r="AIC63" s="349"/>
      <c r="AID63" s="349"/>
      <c r="AIE63" s="349"/>
      <c r="AIF63" s="349"/>
      <c r="AIG63" s="349"/>
      <c r="AIH63" s="349"/>
      <c r="AII63" s="349"/>
      <c r="AIJ63" s="349"/>
      <c r="AIK63" s="349"/>
      <c r="AIL63" s="349"/>
      <c r="AIM63" s="349"/>
      <c r="AIN63" s="349"/>
      <c r="AIO63" s="349"/>
      <c r="AIP63" s="349"/>
      <c r="AIQ63" s="349"/>
      <c r="AIR63" s="349"/>
      <c r="AIS63" s="349"/>
      <c r="AIT63" s="349"/>
      <c r="AIU63" s="349"/>
      <c r="AIV63" s="349"/>
      <c r="AIW63" s="349"/>
      <c r="AIX63" s="349"/>
      <c r="AIY63" s="349"/>
      <c r="AIZ63" s="349"/>
      <c r="AJA63" s="349"/>
      <c r="AJB63" s="349"/>
      <c r="AJC63" s="349"/>
      <c r="AJD63" s="349"/>
      <c r="AJE63" s="349"/>
      <c r="AJF63" s="349"/>
      <c r="AJG63" s="349"/>
      <c r="AJH63" s="349"/>
      <c r="AJI63" s="349"/>
      <c r="AJJ63" s="349"/>
      <c r="AJK63" s="349"/>
      <c r="AJL63" s="349"/>
      <c r="AJM63" s="349"/>
      <c r="AJN63" s="349"/>
      <c r="AJO63" s="349"/>
      <c r="AJP63" s="349"/>
      <c r="AJQ63" s="349"/>
      <c r="AJR63" s="349"/>
      <c r="AJS63" s="349"/>
      <c r="AJT63" s="349"/>
      <c r="AJU63" s="349"/>
      <c r="AJV63" s="349"/>
      <c r="AJW63" s="349"/>
      <c r="AJX63" s="349"/>
      <c r="AJY63" s="349"/>
      <c r="AJZ63" s="349"/>
      <c r="AKA63" s="349"/>
      <c r="AKB63" s="349"/>
      <c r="AKC63" s="349"/>
      <c r="AKD63" s="349"/>
      <c r="AKE63" s="349"/>
      <c r="AKF63" s="349"/>
      <c r="AKG63" s="349"/>
      <c r="AKH63" s="349"/>
      <c r="AKI63" s="349"/>
      <c r="AKJ63" s="349"/>
      <c r="AKK63" s="349"/>
      <c r="AKL63" s="349"/>
      <c r="AKM63" s="349"/>
      <c r="AKN63" s="349"/>
      <c r="AKO63" s="349"/>
      <c r="AKP63" s="349"/>
      <c r="AKQ63" s="349"/>
      <c r="AKR63" s="349"/>
      <c r="AKS63" s="349"/>
      <c r="AKT63" s="349"/>
      <c r="AKU63" s="349"/>
      <c r="AKV63" s="349"/>
      <c r="AKW63" s="349"/>
      <c r="AKX63" s="349"/>
      <c r="AKY63" s="349"/>
      <c r="AKZ63" s="349"/>
      <c r="ALA63" s="349"/>
      <c r="ALB63" s="349"/>
      <c r="ALC63" s="349"/>
      <c r="ALD63" s="349"/>
      <c r="ALE63" s="349"/>
      <c r="ALF63" s="349"/>
      <c r="ALG63" s="349"/>
      <c r="ALH63" s="349"/>
      <c r="ALI63" s="349"/>
      <c r="ALJ63" s="349"/>
      <c r="ALK63" s="349"/>
      <c r="ALL63" s="349"/>
      <c r="ALM63" s="349"/>
      <c r="ALN63" s="349"/>
      <c r="ALO63" s="349"/>
      <c r="ALP63" s="349"/>
      <c r="ALQ63" s="349"/>
      <c r="ALR63" s="349"/>
      <c r="ALS63" s="349"/>
      <c r="ALT63" s="349"/>
      <c r="ALU63" s="349"/>
      <c r="ALV63" s="349"/>
      <c r="ALW63" s="349"/>
      <c r="ALX63" s="349"/>
      <c r="ALY63" s="349"/>
      <c r="ALZ63" s="349"/>
      <c r="AMA63" s="349"/>
      <c r="AMB63" s="349"/>
      <c r="AMC63" s="349"/>
      <c r="AMD63" s="349"/>
      <c r="AME63" s="349"/>
      <c r="AMF63" s="349"/>
      <c r="AMG63" s="349"/>
      <c r="AMH63" s="349"/>
      <c r="AMI63" s="349"/>
      <c r="AMJ63" s="349"/>
      <c r="AMK63" s="349"/>
      <c r="AML63" s="349"/>
      <c r="AMM63" s="349"/>
      <c r="AMN63" s="349"/>
      <c r="AMO63" s="349"/>
      <c r="AMP63" s="349"/>
      <c r="AMQ63" s="349"/>
      <c r="AMR63" s="349"/>
      <c r="AMS63" s="349"/>
      <c r="AMT63" s="349"/>
      <c r="AMU63" s="349"/>
      <c r="AMV63" s="349"/>
      <c r="AMW63" s="349"/>
      <c r="AMX63" s="349"/>
      <c r="AMY63" s="349"/>
      <c r="AMZ63" s="349"/>
      <c r="ANA63" s="349"/>
      <c r="ANB63" s="349"/>
      <c r="ANC63" s="349"/>
      <c r="AND63" s="349"/>
      <c r="ANE63" s="349"/>
      <c r="ANF63" s="349"/>
      <c r="ANG63" s="349"/>
      <c r="ANH63" s="349"/>
      <c r="ANI63" s="349"/>
      <c r="ANJ63" s="349"/>
      <c r="ANK63" s="349"/>
      <c r="ANL63" s="349"/>
      <c r="ANM63" s="349"/>
      <c r="ANN63" s="349"/>
      <c r="ANO63" s="349"/>
      <c r="ANP63" s="349"/>
      <c r="ANQ63" s="349"/>
      <c r="ANR63" s="349"/>
      <c r="ANS63" s="349"/>
      <c r="ANT63" s="349"/>
      <c r="ANU63" s="349"/>
      <c r="ANV63" s="349"/>
      <c r="ANW63" s="349"/>
      <c r="ANX63" s="349"/>
      <c r="ANY63" s="349"/>
      <c r="ANZ63" s="349"/>
      <c r="AOA63" s="349"/>
      <c r="AOB63" s="349"/>
      <c r="AOC63" s="349"/>
      <c r="AOD63" s="349"/>
      <c r="AOE63" s="349"/>
      <c r="AOF63" s="349"/>
      <c r="AOG63" s="349"/>
      <c r="AOH63" s="349"/>
      <c r="AOI63" s="349"/>
      <c r="AOJ63" s="349"/>
      <c r="AOK63" s="349"/>
      <c r="AOL63" s="349"/>
      <c r="AOM63" s="349"/>
      <c r="AON63" s="349"/>
      <c r="AOO63" s="349"/>
      <c r="AOP63" s="349"/>
      <c r="AOQ63" s="349"/>
      <c r="AOR63" s="349"/>
      <c r="AOS63" s="349"/>
      <c r="AOT63" s="349"/>
      <c r="AOU63" s="349"/>
      <c r="AOV63" s="349"/>
      <c r="AOW63" s="349"/>
      <c r="AOX63" s="349"/>
      <c r="AOY63" s="349"/>
      <c r="AOZ63" s="349"/>
      <c r="APA63" s="349"/>
      <c r="APB63" s="349"/>
      <c r="APC63" s="349"/>
      <c r="APD63" s="349"/>
      <c r="APE63" s="349"/>
      <c r="APF63" s="349"/>
      <c r="APG63" s="349"/>
      <c r="APH63" s="349"/>
      <c r="API63" s="349"/>
      <c r="APJ63" s="349"/>
      <c r="APK63" s="349"/>
      <c r="APL63" s="349"/>
      <c r="APM63" s="349"/>
      <c r="APN63" s="349"/>
      <c r="APO63" s="349"/>
      <c r="APP63" s="349"/>
      <c r="APQ63" s="349"/>
      <c r="APR63" s="349"/>
      <c r="APS63" s="349"/>
      <c r="APT63" s="349"/>
      <c r="APU63" s="349"/>
      <c r="APV63" s="349"/>
      <c r="APW63" s="349"/>
      <c r="APX63" s="349"/>
      <c r="APY63" s="349"/>
      <c r="APZ63" s="349"/>
      <c r="AQA63" s="349"/>
      <c r="AQB63" s="349"/>
      <c r="AQC63" s="349"/>
      <c r="AQD63" s="349"/>
      <c r="AQE63" s="349"/>
      <c r="AQF63" s="349"/>
      <c r="AQG63" s="349"/>
      <c r="AQH63" s="349"/>
      <c r="AQI63" s="349"/>
      <c r="AQJ63" s="349"/>
      <c r="AQK63" s="349"/>
      <c r="AQL63" s="349"/>
      <c r="AQM63" s="349"/>
      <c r="AQN63" s="349"/>
      <c r="AQO63" s="349"/>
      <c r="AQP63" s="349"/>
      <c r="AQQ63" s="349"/>
      <c r="AQR63" s="349"/>
      <c r="AQS63" s="349"/>
      <c r="AQT63" s="349"/>
      <c r="AQU63" s="349"/>
      <c r="AQV63" s="349"/>
      <c r="AQW63" s="349"/>
      <c r="AQX63" s="349"/>
      <c r="AQY63" s="349"/>
      <c r="AQZ63" s="349"/>
      <c r="ARA63" s="349"/>
      <c r="ARB63" s="349"/>
      <c r="ARC63" s="349"/>
      <c r="ARD63" s="349"/>
      <c r="ARE63" s="349"/>
      <c r="ARF63" s="349"/>
      <c r="ARG63" s="349"/>
      <c r="ARH63" s="349"/>
      <c r="ARI63" s="349"/>
      <c r="ARJ63" s="349"/>
      <c r="ARK63" s="349"/>
      <c r="ARL63" s="349"/>
      <c r="ARM63" s="349"/>
      <c r="ARN63" s="349"/>
      <c r="ARO63" s="349"/>
      <c r="ARP63" s="349"/>
      <c r="ARQ63" s="349"/>
      <c r="ARR63" s="349"/>
      <c r="ARS63" s="349"/>
      <c r="ART63" s="349"/>
      <c r="ARU63" s="349"/>
      <c r="ARV63" s="349"/>
      <c r="ARW63" s="349"/>
      <c r="ARX63" s="349"/>
      <c r="ARY63" s="349"/>
      <c r="ARZ63" s="349"/>
      <c r="ASA63" s="349"/>
      <c r="ASB63" s="349"/>
      <c r="ASC63" s="349"/>
      <c r="ASD63" s="349"/>
      <c r="ASE63" s="349"/>
      <c r="ASF63" s="349"/>
      <c r="ASG63" s="349"/>
      <c r="ASH63" s="349"/>
      <c r="ASI63" s="349"/>
      <c r="ASJ63" s="349"/>
      <c r="ASK63" s="349"/>
      <c r="ASL63" s="349"/>
      <c r="ASM63" s="349"/>
      <c r="ASN63" s="349"/>
      <c r="ASO63" s="349"/>
      <c r="ASP63" s="349"/>
      <c r="ASQ63" s="349"/>
      <c r="ASR63" s="349"/>
      <c r="ASS63" s="349"/>
      <c r="AST63" s="349"/>
      <c r="ASU63" s="349"/>
      <c r="ASV63" s="349"/>
      <c r="ASW63" s="349"/>
      <c r="ASX63" s="349"/>
      <c r="ASY63" s="349"/>
      <c r="ASZ63" s="349"/>
      <c r="ATA63" s="349"/>
      <c r="ATB63" s="349"/>
      <c r="ATC63" s="349"/>
      <c r="ATD63" s="349"/>
      <c r="ATE63" s="349"/>
      <c r="ATF63" s="349"/>
      <c r="ATG63" s="349"/>
      <c r="ATH63" s="349"/>
      <c r="ATI63" s="349"/>
      <c r="ATJ63" s="349"/>
      <c r="ATK63" s="349"/>
      <c r="ATL63" s="349"/>
      <c r="ATM63" s="349"/>
      <c r="ATN63" s="349"/>
      <c r="ATO63" s="349"/>
      <c r="ATP63" s="349"/>
      <c r="ATQ63" s="349"/>
      <c r="ATR63" s="349"/>
      <c r="ATS63" s="349"/>
      <c r="ATT63" s="349"/>
      <c r="ATU63" s="349"/>
      <c r="ATV63" s="349"/>
      <c r="ATW63" s="349"/>
      <c r="ATX63" s="349"/>
      <c r="ATY63" s="349"/>
      <c r="ATZ63" s="349"/>
      <c r="AUA63" s="349"/>
      <c r="AUB63" s="349"/>
      <c r="AUC63" s="349"/>
      <c r="AUD63" s="349"/>
      <c r="AUE63" s="349"/>
      <c r="AUF63" s="349"/>
      <c r="AUG63" s="349"/>
      <c r="AUH63" s="349"/>
      <c r="AUI63" s="349"/>
      <c r="AUJ63" s="349"/>
      <c r="AUK63" s="349"/>
      <c r="AUL63" s="349"/>
      <c r="AUM63" s="349"/>
      <c r="AUN63" s="349"/>
      <c r="AUO63" s="349"/>
      <c r="AUP63" s="349"/>
      <c r="AUQ63" s="349"/>
      <c r="AUR63" s="349"/>
      <c r="AUS63" s="349"/>
      <c r="AUT63" s="349"/>
      <c r="AUU63" s="349"/>
      <c r="AUV63" s="349"/>
      <c r="AUW63" s="349"/>
      <c r="AUX63" s="349"/>
      <c r="AUY63" s="349"/>
      <c r="AUZ63" s="349"/>
      <c r="AVA63" s="349"/>
      <c r="AVB63" s="349"/>
      <c r="AVC63" s="349"/>
      <c r="AVD63" s="349"/>
      <c r="AVE63" s="349"/>
      <c r="AVF63" s="349"/>
      <c r="AVG63" s="349"/>
      <c r="AVH63" s="349"/>
      <c r="AVI63" s="349"/>
      <c r="AVJ63" s="349"/>
      <c r="AVK63" s="349"/>
      <c r="AVL63" s="349"/>
      <c r="AVM63" s="349"/>
      <c r="AVN63" s="349"/>
      <c r="AVO63" s="349"/>
      <c r="AVP63" s="349"/>
      <c r="AVQ63" s="349"/>
      <c r="AVR63" s="349"/>
      <c r="AVS63" s="349"/>
      <c r="AVT63" s="349"/>
      <c r="AVU63" s="349"/>
      <c r="AVV63" s="349"/>
      <c r="AVW63" s="349"/>
      <c r="AVX63" s="349"/>
      <c r="AVY63" s="349"/>
      <c r="AVZ63" s="349"/>
      <c r="AWA63" s="349"/>
      <c r="AWB63" s="349"/>
      <c r="AWC63" s="349"/>
      <c r="AWD63" s="349"/>
      <c r="AWE63" s="349"/>
      <c r="AWF63" s="349"/>
      <c r="AWG63" s="349"/>
      <c r="AWH63" s="349"/>
      <c r="AWI63" s="349"/>
      <c r="AWJ63" s="349"/>
      <c r="AWK63" s="349"/>
      <c r="AWL63" s="349"/>
      <c r="AWM63" s="349"/>
      <c r="AWN63" s="349"/>
      <c r="AWO63" s="349"/>
      <c r="AWP63" s="349"/>
      <c r="AWQ63" s="349"/>
      <c r="AWR63" s="349"/>
      <c r="AWS63" s="349"/>
      <c r="AWT63" s="349"/>
      <c r="AWU63" s="349"/>
      <c r="AWV63" s="349"/>
      <c r="AWW63" s="349"/>
      <c r="AWX63" s="349"/>
      <c r="AWY63" s="349"/>
      <c r="AWZ63" s="349"/>
      <c r="AXA63" s="349"/>
      <c r="AXB63" s="349"/>
      <c r="AXC63" s="349"/>
      <c r="AXD63" s="349"/>
      <c r="AXE63" s="349"/>
      <c r="AXF63" s="349"/>
      <c r="AXG63" s="349"/>
      <c r="AXH63" s="349"/>
      <c r="AXI63" s="349"/>
      <c r="AXJ63" s="349"/>
      <c r="AXK63" s="349"/>
      <c r="AXL63" s="349"/>
      <c r="AXM63" s="349"/>
      <c r="AXN63" s="349"/>
      <c r="AXO63" s="349"/>
      <c r="AXP63" s="349"/>
      <c r="AXQ63" s="349"/>
      <c r="AXR63" s="349"/>
      <c r="AXS63" s="349"/>
      <c r="AXT63" s="349"/>
      <c r="AXU63" s="349"/>
      <c r="AXV63" s="349"/>
      <c r="AXW63" s="349"/>
      <c r="AXX63" s="349"/>
      <c r="AXY63" s="349"/>
      <c r="AXZ63" s="349"/>
      <c r="AYA63" s="349"/>
      <c r="AYB63" s="349"/>
      <c r="AYC63" s="349"/>
      <c r="AYD63" s="349"/>
      <c r="AYE63" s="349"/>
      <c r="AYF63" s="349"/>
      <c r="AYG63" s="349"/>
      <c r="AYH63" s="349"/>
      <c r="AYI63" s="349"/>
      <c r="AYJ63" s="349"/>
      <c r="AYK63" s="349"/>
      <c r="AYL63" s="349"/>
      <c r="AYM63" s="349"/>
      <c r="AYN63" s="349"/>
      <c r="AYO63" s="349"/>
      <c r="AYP63" s="349"/>
      <c r="AYQ63" s="349"/>
      <c r="AYR63" s="349"/>
      <c r="AYS63" s="349"/>
      <c r="AYT63" s="349"/>
      <c r="AYU63" s="349"/>
      <c r="AYV63" s="349"/>
      <c r="AYW63" s="349"/>
      <c r="AYX63" s="349"/>
      <c r="AYY63" s="349"/>
      <c r="AYZ63" s="349"/>
      <c r="AZA63" s="349"/>
      <c r="AZB63" s="349"/>
      <c r="AZC63" s="349"/>
      <c r="AZD63" s="349"/>
      <c r="AZE63" s="349"/>
      <c r="AZF63" s="349"/>
      <c r="AZG63" s="349"/>
      <c r="AZH63" s="349"/>
      <c r="AZI63" s="349"/>
      <c r="AZJ63" s="349"/>
      <c r="AZK63" s="349"/>
      <c r="AZL63" s="349"/>
      <c r="AZM63" s="349"/>
      <c r="AZN63" s="349"/>
      <c r="AZO63" s="349"/>
      <c r="AZP63" s="349"/>
      <c r="AZQ63" s="349"/>
      <c r="AZR63" s="349"/>
      <c r="AZS63" s="349"/>
      <c r="AZT63" s="349"/>
      <c r="AZU63" s="349"/>
      <c r="AZV63" s="349"/>
      <c r="AZW63" s="349"/>
      <c r="AZX63" s="349"/>
      <c r="AZY63" s="349"/>
      <c r="AZZ63" s="349"/>
      <c r="BAA63" s="349"/>
      <c r="BAB63" s="349"/>
      <c r="BAC63" s="349"/>
      <c r="BAD63" s="349"/>
      <c r="BAE63" s="349"/>
      <c r="BAF63" s="349"/>
      <c r="BAG63" s="349"/>
      <c r="BAH63" s="349"/>
      <c r="BAI63" s="349"/>
      <c r="BAJ63" s="349"/>
      <c r="BAK63" s="349"/>
      <c r="BAL63" s="349"/>
      <c r="BAM63" s="349"/>
      <c r="BAN63" s="349"/>
      <c r="BAO63" s="349"/>
      <c r="BAP63" s="349"/>
      <c r="BAQ63" s="349"/>
      <c r="BAR63" s="349"/>
      <c r="BAS63" s="349"/>
      <c r="BAT63" s="349"/>
      <c r="BAU63" s="349"/>
      <c r="BAV63" s="349"/>
      <c r="BAW63" s="349"/>
      <c r="BAX63" s="349"/>
      <c r="BAY63" s="349"/>
      <c r="BAZ63" s="349"/>
      <c r="BBA63" s="349"/>
      <c r="BBB63" s="349"/>
      <c r="BBC63" s="349"/>
      <c r="BBD63" s="349"/>
      <c r="BBE63" s="349"/>
      <c r="BBF63" s="349"/>
      <c r="BBG63" s="349"/>
      <c r="BBH63" s="349"/>
      <c r="BBI63" s="349"/>
      <c r="BBJ63" s="349"/>
      <c r="BBK63" s="349"/>
      <c r="BBL63" s="349"/>
      <c r="BBM63" s="349"/>
      <c r="BBN63" s="349"/>
      <c r="BBO63" s="349"/>
      <c r="BBP63" s="349"/>
      <c r="BBQ63" s="349"/>
      <c r="BBR63" s="349"/>
      <c r="BBS63" s="349"/>
      <c r="BBT63" s="349"/>
      <c r="BBU63" s="349"/>
      <c r="BBV63" s="349"/>
      <c r="BBW63" s="349"/>
      <c r="BBX63" s="349"/>
      <c r="BBY63" s="349"/>
      <c r="BBZ63" s="349"/>
      <c r="BCA63" s="349"/>
      <c r="BCB63" s="349"/>
      <c r="BCC63" s="349"/>
      <c r="BCD63" s="349"/>
      <c r="BCE63" s="349"/>
      <c r="BCF63" s="349"/>
      <c r="BCG63" s="349"/>
      <c r="BCH63" s="349"/>
      <c r="BCI63" s="349"/>
      <c r="BCJ63" s="349"/>
      <c r="BCK63" s="349"/>
      <c r="BCL63" s="349"/>
      <c r="BCM63" s="349"/>
      <c r="BCN63" s="349"/>
      <c r="BCO63" s="349"/>
      <c r="BCP63" s="349"/>
      <c r="BCQ63" s="349"/>
      <c r="BCR63" s="349"/>
      <c r="BCS63" s="349"/>
      <c r="BCT63" s="349"/>
      <c r="BCU63" s="349"/>
      <c r="BCV63" s="349"/>
      <c r="BCW63" s="349"/>
      <c r="BCX63" s="349"/>
      <c r="BCY63" s="349"/>
      <c r="BCZ63" s="349"/>
      <c r="BDA63" s="349"/>
      <c r="BDB63" s="349"/>
      <c r="BDC63" s="349"/>
      <c r="BDD63" s="349"/>
      <c r="BDE63" s="349"/>
      <c r="BDF63" s="349"/>
      <c r="BDG63" s="349"/>
      <c r="BDH63" s="349"/>
      <c r="BDI63" s="349"/>
      <c r="BDJ63" s="349"/>
      <c r="BDK63" s="349"/>
      <c r="BDL63" s="349"/>
      <c r="BDM63" s="349"/>
      <c r="BDN63" s="349"/>
      <c r="BDO63" s="349"/>
      <c r="BDP63" s="349"/>
      <c r="BDQ63" s="349"/>
      <c r="BDR63" s="349"/>
      <c r="BDS63" s="349"/>
      <c r="BDT63" s="349"/>
      <c r="BDU63" s="349"/>
      <c r="BDV63" s="349"/>
      <c r="BDW63" s="349"/>
      <c r="BDX63" s="349"/>
      <c r="BDY63" s="349"/>
      <c r="BDZ63" s="349"/>
      <c r="BEA63" s="349"/>
      <c r="BEB63" s="349"/>
      <c r="BEC63" s="349"/>
      <c r="BED63" s="349"/>
      <c r="BEE63" s="349"/>
      <c r="BEF63" s="349"/>
      <c r="BEG63" s="349"/>
      <c r="BEH63" s="349"/>
      <c r="BEI63" s="349"/>
      <c r="BEJ63" s="349"/>
      <c r="BEK63" s="349"/>
      <c r="BEL63" s="349"/>
      <c r="BEM63" s="349"/>
      <c r="BEN63" s="349"/>
      <c r="BEO63" s="349"/>
      <c r="BEP63" s="349"/>
      <c r="BEQ63" s="349"/>
      <c r="BER63" s="349"/>
      <c r="BES63" s="349"/>
      <c r="BET63" s="349"/>
      <c r="BEU63" s="349"/>
      <c r="BEV63" s="349"/>
      <c r="BEW63" s="349"/>
      <c r="BEX63" s="349"/>
      <c r="BEY63" s="349"/>
      <c r="BEZ63" s="349"/>
      <c r="BFA63" s="349"/>
      <c r="BFB63" s="349"/>
      <c r="BFC63" s="349"/>
      <c r="BFD63" s="349"/>
      <c r="BFE63" s="349"/>
      <c r="BFF63" s="349"/>
      <c r="BFG63" s="349"/>
      <c r="BFH63" s="349"/>
      <c r="BFI63" s="349"/>
      <c r="BFJ63" s="349"/>
      <c r="BFK63" s="349"/>
      <c r="BFL63" s="349"/>
      <c r="BFM63" s="349"/>
      <c r="BFN63" s="349"/>
      <c r="BFO63" s="349"/>
      <c r="BFP63" s="349"/>
      <c r="BFQ63" s="349"/>
      <c r="BFR63" s="349"/>
      <c r="BFS63" s="349"/>
      <c r="BFT63" s="349"/>
      <c r="BFU63" s="349"/>
      <c r="BFV63" s="349"/>
      <c r="BFW63" s="349"/>
      <c r="BFX63" s="349"/>
      <c r="BFY63" s="349"/>
      <c r="BFZ63" s="349"/>
      <c r="BGA63" s="349"/>
      <c r="BGB63" s="349"/>
      <c r="BGC63" s="349"/>
      <c r="BGD63" s="349"/>
      <c r="BGE63" s="349"/>
      <c r="BGF63" s="349"/>
      <c r="BGG63" s="349"/>
      <c r="BGH63" s="349"/>
      <c r="BGI63" s="349"/>
      <c r="BGJ63" s="349"/>
      <c r="BGK63" s="349"/>
      <c r="BGL63" s="349"/>
      <c r="BGM63" s="349"/>
      <c r="BGN63" s="349"/>
      <c r="BGO63" s="349"/>
      <c r="BGP63" s="349"/>
      <c r="BGQ63" s="349"/>
      <c r="BGR63" s="349"/>
      <c r="BGS63" s="349"/>
      <c r="BGT63" s="349"/>
      <c r="BGU63" s="349"/>
      <c r="BGV63" s="349"/>
      <c r="BGW63" s="349"/>
      <c r="BGX63" s="349"/>
      <c r="BGY63" s="349"/>
      <c r="BGZ63" s="349"/>
      <c r="BHA63" s="349"/>
      <c r="BHB63" s="349"/>
      <c r="BHC63" s="349"/>
      <c r="BHD63" s="349"/>
      <c r="BHE63" s="349"/>
      <c r="BHF63" s="349"/>
      <c r="BHG63" s="349"/>
      <c r="BHH63" s="349"/>
      <c r="BHI63" s="349"/>
      <c r="BHJ63" s="349"/>
      <c r="BHK63" s="349"/>
      <c r="BHL63" s="349"/>
      <c r="BHM63" s="349"/>
      <c r="BHN63" s="349"/>
      <c r="BHO63" s="349"/>
      <c r="BHP63" s="349"/>
      <c r="BHQ63" s="349"/>
      <c r="BHR63" s="349"/>
      <c r="BHS63" s="349"/>
      <c r="BHT63" s="349"/>
      <c r="BHU63" s="349"/>
      <c r="BHV63" s="349"/>
      <c r="BHW63" s="349"/>
      <c r="BHX63" s="349"/>
      <c r="BHY63" s="349"/>
      <c r="BHZ63" s="349"/>
      <c r="BIA63" s="349"/>
      <c r="BIB63" s="349"/>
      <c r="BIC63" s="349"/>
      <c r="BID63" s="349"/>
      <c r="BIE63" s="349"/>
      <c r="BIF63" s="349"/>
      <c r="BIG63" s="349"/>
      <c r="BIH63" s="349"/>
      <c r="BII63" s="349"/>
      <c r="BIJ63" s="349"/>
      <c r="BIK63" s="349"/>
      <c r="BIL63" s="349"/>
      <c r="BIM63" s="349"/>
      <c r="BIN63" s="349"/>
      <c r="BIO63" s="349"/>
      <c r="BIP63" s="349"/>
      <c r="BIQ63" s="349"/>
      <c r="BIR63" s="349"/>
      <c r="BIS63" s="349"/>
      <c r="BIT63" s="349"/>
      <c r="BIU63" s="349"/>
      <c r="BIV63" s="349"/>
      <c r="BIW63" s="349"/>
      <c r="BIX63" s="349"/>
      <c r="BIY63" s="349"/>
      <c r="BIZ63" s="349"/>
      <c r="BJA63" s="349"/>
      <c r="BJB63" s="349"/>
      <c r="BJC63" s="349"/>
      <c r="BJD63" s="349"/>
      <c r="BJE63" s="349"/>
      <c r="BJF63" s="349"/>
      <c r="BJG63" s="349"/>
      <c r="BJH63" s="349"/>
      <c r="BJI63" s="349"/>
      <c r="BJJ63" s="349"/>
      <c r="BJK63" s="349"/>
      <c r="BJL63" s="349"/>
      <c r="BJM63" s="349"/>
      <c r="BJN63" s="349"/>
      <c r="BJO63" s="349"/>
      <c r="BJP63" s="349"/>
      <c r="BJQ63" s="349"/>
      <c r="BJR63" s="349"/>
      <c r="BJS63" s="349"/>
      <c r="BJT63" s="349"/>
      <c r="BJU63" s="349"/>
      <c r="BJV63" s="349"/>
      <c r="BJW63" s="349"/>
      <c r="BJX63" s="349"/>
      <c r="BJY63" s="349"/>
      <c r="BJZ63" s="349"/>
      <c r="BKA63" s="349"/>
      <c r="BKB63" s="349"/>
      <c r="BKC63" s="349"/>
      <c r="BKD63" s="349"/>
      <c r="BKE63" s="349"/>
      <c r="BKF63" s="349"/>
      <c r="BKG63" s="349"/>
      <c r="BKH63" s="349"/>
      <c r="BKI63" s="349"/>
      <c r="BKJ63" s="349"/>
      <c r="BKK63" s="349"/>
      <c r="BKL63" s="349"/>
      <c r="BKM63" s="349"/>
      <c r="BKN63" s="349"/>
      <c r="BKO63" s="349"/>
      <c r="BKP63" s="349"/>
      <c r="BKQ63" s="349"/>
      <c r="BKR63" s="349"/>
      <c r="BKS63" s="349"/>
      <c r="BKT63" s="349"/>
      <c r="BKU63" s="349"/>
      <c r="BKV63" s="349"/>
      <c r="BKW63" s="349"/>
      <c r="BKX63" s="349"/>
      <c r="BKY63" s="349"/>
      <c r="BKZ63" s="349"/>
      <c r="BLA63" s="349"/>
      <c r="BLB63" s="349"/>
      <c r="BLC63" s="349"/>
      <c r="BLD63" s="349"/>
      <c r="BLE63" s="349"/>
      <c r="BLF63" s="349"/>
      <c r="BLG63" s="349"/>
      <c r="BLH63" s="349"/>
      <c r="BLI63" s="349"/>
      <c r="BLJ63" s="349"/>
      <c r="BLK63" s="349"/>
      <c r="BLL63" s="349"/>
      <c r="BLM63" s="349"/>
      <c r="BLN63" s="349"/>
      <c r="BLO63" s="349"/>
      <c r="BLP63" s="349"/>
      <c r="BLQ63" s="349"/>
      <c r="BLR63" s="349"/>
      <c r="BLS63" s="349"/>
      <c r="BLT63" s="349"/>
      <c r="BLU63" s="349"/>
      <c r="BLV63" s="349"/>
      <c r="BLW63" s="349"/>
      <c r="BLX63" s="349"/>
      <c r="BLY63" s="349"/>
      <c r="BLZ63" s="349"/>
      <c r="BMA63" s="349"/>
      <c r="BMB63" s="349"/>
      <c r="BMC63" s="349"/>
      <c r="BMD63" s="349"/>
      <c r="BME63" s="349"/>
      <c r="BMF63" s="349"/>
      <c r="BMG63" s="349"/>
      <c r="BMH63" s="349"/>
      <c r="BMI63" s="349"/>
      <c r="BMJ63" s="349"/>
      <c r="BMK63" s="349"/>
      <c r="BML63" s="349"/>
      <c r="BMM63" s="349"/>
      <c r="BMN63" s="349"/>
      <c r="BMO63" s="349"/>
      <c r="BMP63" s="349"/>
      <c r="BMQ63" s="349"/>
      <c r="BMR63" s="349"/>
      <c r="BMS63" s="349"/>
      <c r="BMT63" s="349"/>
      <c r="BMU63" s="349"/>
      <c r="BMV63" s="349"/>
      <c r="BMW63" s="349"/>
      <c r="BMX63" s="349"/>
      <c r="BMY63" s="349"/>
      <c r="BMZ63" s="349"/>
      <c r="BNA63" s="349"/>
      <c r="BNB63" s="349"/>
      <c r="BNC63" s="349"/>
      <c r="BND63" s="349"/>
      <c r="BNE63" s="349"/>
      <c r="BNF63" s="349"/>
      <c r="BNG63" s="349"/>
      <c r="BNH63" s="349"/>
      <c r="BNI63" s="349"/>
      <c r="BNJ63" s="349"/>
      <c r="BNK63" s="349"/>
      <c r="BNL63" s="349"/>
      <c r="BNM63" s="349"/>
      <c r="BNN63" s="349"/>
      <c r="BNO63" s="349"/>
      <c r="BNP63" s="349"/>
      <c r="BNQ63" s="349"/>
      <c r="BNR63" s="349"/>
      <c r="BNS63" s="349"/>
      <c r="BNT63" s="349"/>
      <c r="BNU63" s="349"/>
      <c r="BNV63" s="349"/>
      <c r="BNW63" s="349"/>
      <c r="BNX63" s="349"/>
      <c r="BNY63" s="349"/>
      <c r="BNZ63" s="349"/>
      <c r="BOA63" s="349"/>
      <c r="BOB63" s="349"/>
      <c r="BOC63" s="349"/>
      <c r="BOD63" s="349"/>
      <c r="BOE63" s="349"/>
      <c r="BOF63" s="349"/>
      <c r="BOG63" s="349"/>
      <c r="BOH63" s="349"/>
      <c r="BOI63" s="349"/>
      <c r="BOJ63" s="349"/>
      <c r="BOK63" s="349"/>
      <c r="BOL63" s="349"/>
      <c r="BOM63" s="349"/>
      <c r="BON63" s="349"/>
      <c r="BOO63" s="349"/>
      <c r="BOP63" s="349"/>
      <c r="BOQ63" s="349"/>
      <c r="BOR63" s="349"/>
      <c r="BOS63" s="349"/>
      <c r="BOT63" s="349"/>
      <c r="BOU63" s="349"/>
      <c r="BOV63" s="349"/>
      <c r="BOW63" s="349"/>
      <c r="BOX63" s="349"/>
      <c r="BOY63" s="349"/>
      <c r="BOZ63" s="349"/>
      <c r="BPA63" s="349"/>
      <c r="BPB63" s="349"/>
      <c r="BPC63" s="349"/>
      <c r="BPD63" s="349"/>
      <c r="BPE63" s="349"/>
      <c r="BPF63" s="349"/>
      <c r="BPG63" s="349"/>
      <c r="BPH63" s="349"/>
      <c r="BPI63" s="349"/>
      <c r="BPJ63" s="349"/>
      <c r="BPK63" s="349"/>
      <c r="BPL63" s="349"/>
      <c r="BPM63" s="349"/>
      <c r="BPN63" s="349"/>
      <c r="BPO63" s="349"/>
      <c r="BPP63" s="349"/>
      <c r="BPQ63" s="349"/>
      <c r="BPR63" s="349"/>
      <c r="BPS63" s="349"/>
      <c r="BPT63" s="349"/>
      <c r="BPU63" s="349"/>
      <c r="BPV63" s="349"/>
      <c r="BPW63" s="349"/>
      <c r="BPX63" s="349"/>
      <c r="BPY63" s="349"/>
      <c r="BPZ63" s="349"/>
      <c r="BQA63" s="349"/>
      <c r="BQB63" s="349"/>
      <c r="BQC63" s="349"/>
      <c r="BQD63" s="349"/>
      <c r="BQE63" s="349"/>
      <c r="BQF63" s="349"/>
      <c r="BQG63" s="349"/>
      <c r="BQH63" s="349"/>
      <c r="BQI63" s="349"/>
      <c r="BQJ63" s="349"/>
      <c r="BQK63" s="349"/>
      <c r="BQL63" s="349"/>
      <c r="BQM63" s="349"/>
      <c r="BQN63" s="349"/>
      <c r="BQO63" s="349"/>
      <c r="BQP63" s="349"/>
      <c r="BQQ63" s="349"/>
      <c r="BQR63" s="349"/>
      <c r="BQS63" s="349"/>
      <c r="BQT63" s="349"/>
      <c r="BQU63" s="349"/>
      <c r="BQV63" s="349"/>
      <c r="BQW63" s="349"/>
      <c r="BQX63" s="349"/>
      <c r="BQY63" s="349"/>
      <c r="BQZ63" s="349"/>
      <c r="BRA63" s="349"/>
      <c r="BRB63" s="349"/>
      <c r="BRC63" s="349"/>
      <c r="BRD63" s="349"/>
      <c r="BRE63" s="349"/>
      <c r="BRF63" s="349"/>
      <c r="BRG63" s="349"/>
      <c r="BRH63" s="349"/>
      <c r="BRI63" s="349"/>
      <c r="BRJ63" s="349"/>
      <c r="BRK63" s="349"/>
      <c r="BRL63" s="349"/>
      <c r="BRM63" s="349"/>
      <c r="BRN63" s="349"/>
      <c r="BRO63" s="349"/>
      <c r="BRP63" s="349"/>
      <c r="BRQ63" s="349"/>
      <c r="BRR63" s="349"/>
      <c r="BRS63" s="349"/>
      <c r="BRT63" s="349"/>
      <c r="BRU63" s="349"/>
      <c r="BRV63" s="349"/>
      <c r="BRW63" s="349"/>
      <c r="BRX63" s="349"/>
      <c r="BRY63" s="349"/>
      <c r="BRZ63" s="349"/>
      <c r="BSA63" s="349"/>
      <c r="BSB63" s="349"/>
      <c r="BSC63" s="349"/>
      <c r="BSD63" s="349"/>
      <c r="BSE63" s="349"/>
      <c r="BSF63" s="349"/>
      <c r="BSG63" s="349"/>
      <c r="BSH63" s="349"/>
      <c r="BSI63" s="349"/>
      <c r="BSJ63" s="349"/>
      <c r="BSK63" s="349"/>
      <c r="BSL63" s="349"/>
      <c r="BSM63" s="349"/>
      <c r="BSN63" s="349"/>
      <c r="BSO63" s="349"/>
      <c r="BSP63" s="349"/>
      <c r="BSQ63" s="349"/>
      <c r="BSR63" s="349"/>
      <c r="BSS63" s="349"/>
      <c r="BST63" s="349"/>
      <c r="BSU63" s="349"/>
      <c r="BSV63" s="349"/>
      <c r="BSW63" s="349"/>
      <c r="BSX63" s="349"/>
      <c r="BSY63" s="349"/>
      <c r="BSZ63" s="349"/>
      <c r="BTA63" s="349"/>
      <c r="BTB63" s="349"/>
      <c r="BTC63" s="349"/>
      <c r="BTD63" s="349"/>
      <c r="BTE63" s="349"/>
      <c r="BTF63" s="349"/>
      <c r="BTG63" s="349"/>
      <c r="BTH63" s="349"/>
      <c r="BTI63" s="349"/>
      <c r="BTJ63" s="349"/>
      <c r="BTK63" s="349"/>
      <c r="BTL63" s="349"/>
      <c r="BTM63" s="349"/>
      <c r="BTN63" s="349"/>
      <c r="BTO63" s="349"/>
      <c r="BTP63" s="349"/>
      <c r="BTQ63" s="349"/>
      <c r="BTR63" s="349"/>
      <c r="BTS63" s="349"/>
      <c r="BTT63" s="349"/>
      <c r="BTU63" s="349"/>
      <c r="BTV63" s="349"/>
      <c r="BTW63" s="349"/>
      <c r="BTX63" s="349"/>
      <c r="BTY63" s="349"/>
      <c r="BTZ63" s="349"/>
      <c r="BUA63" s="349"/>
      <c r="BUB63" s="349"/>
      <c r="BUC63" s="349"/>
      <c r="BUD63" s="349"/>
      <c r="BUE63" s="349"/>
      <c r="BUF63" s="349"/>
      <c r="BUG63" s="349"/>
      <c r="BUH63" s="349"/>
      <c r="BUI63" s="349"/>
      <c r="BUJ63" s="349"/>
      <c r="BUK63" s="349"/>
      <c r="BUL63" s="349"/>
      <c r="BUM63" s="349"/>
      <c r="BUN63" s="349"/>
      <c r="BUO63" s="349"/>
      <c r="BUP63" s="349"/>
      <c r="BUQ63" s="349"/>
      <c r="BUR63" s="349"/>
      <c r="BUS63" s="349"/>
      <c r="BUT63" s="349"/>
      <c r="BUU63" s="349"/>
      <c r="BUV63" s="349"/>
      <c r="BUW63" s="349"/>
      <c r="BUX63" s="349"/>
      <c r="BUY63" s="349"/>
      <c r="BUZ63" s="349"/>
      <c r="BVA63" s="349"/>
      <c r="BVB63" s="349"/>
      <c r="BVC63" s="349"/>
      <c r="BVD63" s="349"/>
      <c r="BVE63" s="349"/>
      <c r="BVF63" s="349"/>
      <c r="BVG63" s="349"/>
      <c r="BVH63" s="349"/>
      <c r="BVI63" s="349"/>
      <c r="BVJ63" s="349"/>
      <c r="BVK63" s="349"/>
      <c r="BVL63" s="349"/>
      <c r="BVM63" s="349"/>
      <c r="BVN63" s="349"/>
      <c r="BVO63" s="349"/>
      <c r="BVP63" s="349"/>
      <c r="BVQ63" s="349"/>
      <c r="BVR63" s="349"/>
      <c r="BVS63" s="349"/>
      <c r="BVT63" s="349"/>
      <c r="BVU63" s="349"/>
      <c r="BVV63" s="349"/>
      <c r="BVW63" s="349"/>
      <c r="BVX63" s="349"/>
      <c r="BVY63" s="349"/>
      <c r="BVZ63" s="349"/>
      <c r="BWA63" s="349"/>
      <c r="BWB63" s="349"/>
      <c r="BWC63" s="349"/>
      <c r="BWD63" s="349"/>
      <c r="BWE63" s="349"/>
      <c r="BWF63" s="349"/>
      <c r="BWG63" s="349"/>
      <c r="BWH63" s="349"/>
      <c r="BWI63" s="349"/>
      <c r="BWJ63" s="349"/>
      <c r="BWK63" s="349"/>
      <c r="BWL63" s="349"/>
      <c r="BWM63" s="349"/>
      <c r="BWN63" s="349"/>
      <c r="BWO63" s="349"/>
      <c r="BWP63" s="349"/>
      <c r="BWQ63" s="349"/>
      <c r="BWR63" s="349"/>
      <c r="BWS63" s="349"/>
      <c r="BWT63" s="349"/>
      <c r="BWU63" s="349"/>
      <c r="BWV63" s="349"/>
      <c r="BWW63" s="349"/>
      <c r="BWX63" s="349"/>
      <c r="BWY63" s="349"/>
      <c r="BWZ63" s="349"/>
      <c r="BXA63" s="349"/>
      <c r="BXB63" s="349"/>
      <c r="BXC63" s="349"/>
      <c r="BXD63" s="349"/>
      <c r="BXE63" s="349"/>
      <c r="BXF63" s="349"/>
      <c r="BXG63" s="349"/>
      <c r="BXH63" s="349"/>
      <c r="BXI63" s="349"/>
      <c r="BXJ63" s="349"/>
      <c r="BXK63" s="349"/>
      <c r="BXL63" s="349"/>
      <c r="BXM63" s="349"/>
      <c r="BXN63" s="349"/>
      <c r="BXO63" s="349"/>
      <c r="BXP63" s="349"/>
      <c r="BXQ63" s="349"/>
      <c r="BXR63" s="349"/>
      <c r="BXS63" s="349"/>
      <c r="BXT63" s="349"/>
      <c r="BXU63" s="349"/>
      <c r="BXV63" s="349"/>
      <c r="BXW63" s="349"/>
      <c r="BXX63" s="349"/>
      <c r="BXY63" s="349"/>
      <c r="BXZ63" s="349"/>
      <c r="BYA63" s="349"/>
      <c r="BYB63" s="349"/>
      <c r="BYC63" s="349"/>
      <c r="BYD63" s="349"/>
      <c r="BYE63" s="349"/>
      <c r="BYF63" s="349"/>
      <c r="BYG63" s="349"/>
      <c r="BYH63" s="349"/>
      <c r="BYI63" s="349"/>
      <c r="BYJ63" s="349"/>
      <c r="BYK63" s="349"/>
      <c r="BYL63" s="349"/>
      <c r="BYM63" s="349"/>
      <c r="BYN63" s="349"/>
      <c r="BYO63" s="349"/>
      <c r="BYP63" s="349"/>
      <c r="BYQ63" s="349"/>
      <c r="BYR63" s="349"/>
      <c r="BYS63" s="349"/>
      <c r="BYT63" s="349"/>
      <c r="BYU63" s="349"/>
      <c r="BYV63" s="349"/>
      <c r="BYW63" s="349"/>
      <c r="BYX63" s="349"/>
      <c r="BYY63" s="349"/>
      <c r="BYZ63" s="349"/>
      <c r="BZA63" s="349"/>
      <c r="BZB63" s="349"/>
      <c r="BZC63" s="349"/>
      <c r="BZD63" s="349"/>
      <c r="BZE63" s="349"/>
      <c r="BZF63" s="349"/>
      <c r="BZG63" s="349"/>
      <c r="BZH63" s="349"/>
      <c r="BZI63" s="349"/>
      <c r="BZJ63" s="349"/>
      <c r="BZK63" s="349"/>
      <c r="BZL63" s="349"/>
      <c r="BZM63" s="349"/>
      <c r="BZN63" s="349"/>
      <c r="BZO63" s="349"/>
      <c r="BZP63" s="349"/>
      <c r="BZQ63" s="349"/>
      <c r="BZR63" s="349"/>
      <c r="BZS63" s="349"/>
      <c r="BZT63" s="349"/>
      <c r="BZU63" s="349"/>
      <c r="BZV63" s="349"/>
      <c r="BZW63" s="349"/>
      <c r="BZX63" s="349"/>
      <c r="BZY63" s="349"/>
      <c r="BZZ63" s="349"/>
      <c r="CAA63" s="349"/>
      <c r="CAB63" s="349"/>
      <c r="CAC63" s="349"/>
      <c r="CAD63" s="349"/>
      <c r="CAE63" s="349"/>
      <c r="CAF63" s="349"/>
      <c r="CAG63" s="349"/>
      <c r="CAH63" s="349"/>
      <c r="CAI63" s="349"/>
      <c r="CAJ63" s="349"/>
      <c r="CAK63" s="349"/>
      <c r="CAL63" s="349"/>
      <c r="CAM63" s="349"/>
      <c r="CAN63" s="349"/>
      <c r="CAO63" s="349"/>
      <c r="CAP63" s="349"/>
      <c r="CAQ63" s="349"/>
      <c r="CAR63" s="349"/>
      <c r="CAS63" s="349"/>
      <c r="CAT63" s="349"/>
      <c r="CAU63" s="349"/>
      <c r="CAV63" s="349"/>
      <c r="CAW63" s="349"/>
      <c r="CAX63" s="349"/>
      <c r="CAY63" s="349"/>
      <c r="CAZ63" s="349"/>
      <c r="CBA63" s="349"/>
      <c r="CBB63" s="349"/>
      <c r="CBC63" s="349"/>
      <c r="CBD63" s="349"/>
      <c r="CBE63" s="349"/>
      <c r="CBF63" s="349"/>
      <c r="CBG63" s="349"/>
      <c r="CBH63" s="349"/>
      <c r="CBI63" s="349"/>
      <c r="CBJ63" s="349"/>
      <c r="CBK63" s="349"/>
      <c r="CBL63" s="349"/>
      <c r="CBM63" s="349"/>
      <c r="CBN63" s="349"/>
      <c r="CBO63" s="349"/>
      <c r="CBP63" s="349"/>
      <c r="CBQ63" s="349"/>
      <c r="CBR63" s="349"/>
      <c r="CBS63" s="349"/>
      <c r="CBT63" s="349"/>
      <c r="CBU63" s="349"/>
      <c r="CBV63" s="349"/>
      <c r="CBW63" s="349"/>
      <c r="CBX63" s="349"/>
      <c r="CBY63" s="349"/>
      <c r="CBZ63" s="349"/>
      <c r="CCA63" s="349"/>
      <c r="CCB63" s="349"/>
      <c r="CCC63" s="349"/>
      <c r="CCD63" s="349"/>
      <c r="CCE63" s="349"/>
      <c r="CCF63" s="349"/>
      <c r="CCG63" s="349"/>
      <c r="CCH63" s="349"/>
      <c r="CCI63" s="349"/>
      <c r="CCJ63" s="349"/>
      <c r="CCK63" s="349"/>
      <c r="CCL63" s="349"/>
      <c r="CCM63" s="349"/>
      <c r="CCN63" s="349"/>
      <c r="CCO63" s="349"/>
      <c r="CCP63" s="349"/>
      <c r="CCQ63" s="349"/>
      <c r="CCR63" s="349"/>
      <c r="CCS63" s="349"/>
      <c r="CCT63" s="349"/>
      <c r="CCU63" s="349"/>
      <c r="CCV63" s="349"/>
      <c r="CCW63" s="349"/>
      <c r="CCX63" s="349"/>
      <c r="CCY63" s="349"/>
      <c r="CCZ63" s="349"/>
      <c r="CDA63" s="349"/>
      <c r="CDB63" s="349"/>
      <c r="CDC63" s="349"/>
      <c r="CDD63" s="349"/>
      <c r="CDE63" s="349"/>
      <c r="CDF63" s="349"/>
      <c r="CDG63" s="349"/>
      <c r="CDH63" s="349"/>
      <c r="CDI63" s="349"/>
      <c r="CDJ63" s="349"/>
      <c r="CDK63" s="349"/>
      <c r="CDL63" s="349"/>
      <c r="CDM63" s="349"/>
      <c r="CDN63" s="349"/>
      <c r="CDO63" s="349"/>
      <c r="CDP63" s="349"/>
      <c r="CDQ63" s="349"/>
      <c r="CDR63" s="349"/>
      <c r="CDS63" s="349"/>
      <c r="CDT63" s="349"/>
      <c r="CDU63" s="349"/>
      <c r="CDV63" s="349"/>
      <c r="CDW63" s="349"/>
      <c r="CDX63" s="349"/>
      <c r="CDY63" s="349"/>
      <c r="CDZ63" s="349"/>
      <c r="CEA63" s="349"/>
      <c r="CEB63" s="349"/>
      <c r="CEC63" s="349"/>
      <c r="CED63" s="349"/>
      <c r="CEE63" s="349"/>
      <c r="CEF63" s="349"/>
      <c r="CEG63" s="349"/>
      <c r="CEH63" s="349"/>
      <c r="CEI63" s="349"/>
      <c r="CEJ63" s="349"/>
      <c r="CEK63" s="349"/>
      <c r="CEL63" s="349"/>
      <c r="CEM63" s="349"/>
      <c r="CEN63" s="349"/>
      <c r="CEO63" s="349"/>
      <c r="CEP63" s="349"/>
      <c r="CEQ63" s="349"/>
      <c r="CER63" s="349"/>
      <c r="CES63" s="349"/>
      <c r="CET63" s="349"/>
      <c r="CEU63" s="349"/>
      <c r="CEV63" s="349"/>
      <c r="CEW63" s="349"/>
      <c r="CEX63" s="349"/>
      <c r="CEY63" s="349"/>
      <c r="CEZ63" s="349"/>
      <c r="CFA63" s="349"/>
      <c r="CFB63" s="349"/>
      <c r="CFC63" s="349"/>
      <c r="CFD63" s="349"/>
      <c r="CFE63" s="349"/>
      <c r="CFF63" s="349"/>
      <c r="CFG63" s="349"/>
      <c r="CFH63" s="349"/>
      <c r="CFI63" s="349"/>
      <c r="CFJ63" s="349"/>
      <c r="CFK63" s="349"/>
      <c r="CFL63" s="349"/>
      <c r="CFM63" s="349"/>
      <c r="CFN63" s="349"/>
      <c r="CFO63" s="349"/>
      <c r="CFP63" s="349"/>
      <c r="CFQ63" s="349"/>
      <c r="CFR63" s="349"/>
      <c r="CFS63" s="349"/>
      <c r="CFT63" s="349"/>
      <c r="CFU63" s="349"/>
      <c r="CFV63" s="349"/>
      <c r="CFW63" s="349"/>
      <c r="CFX63" s="349"/>
      <c r="CFY63" s="349"/>
      <c r="CFZ63" s="349"/>
      <c r="CGA63" s="349"/>
      <c r="CGB63" s="349"/>
      <c r="CGC63" s="349"/>
      <c r="CGD63" s="349"/>
      <c r="CGE63" s="349"/>
      <c r="CGF63" s="349"/>
      <c r="CGG63" s="349"/>
      <c r="CGH63" s="349"/>
      <c r="CGI63" s="349"/>
      <c r="CGJ63" s="349"/>
      <c r="CGK63" s="349"/>
      <c r="CGL63" s="349"/>
      <c r="CGM63" s="349"/>
      <c r="CGN63" s="349"/>
      <c r="CGO63" s="349"/>
      <c r="CGP63" s="349"/>
      <c r="CGQ63" s="349"/>
      <c r="CGR63" s="349"/>
      <c r="CGS63" s="349"/>
      <c r="CGT63" s="349"/>
      <c r="CGU63" s="349"/>
      <c r="CGV63" s="349"/>
      <c r="CGW63" s="349"/>
      <c r="CGX63" s="349"/>
      <c r="CGY63" s="349"/>
      <c r="CGZ63" s="349"/>
      <c r="CHA63" s="349"/>
      <c r="CHB63" s="349"/>
      <c r="CHC63" s="349"/>
      <c r="CHD63" s="349"/>
      <c r="CHE63" s="349"/>
      <c r="CHF63" s="349"/>
      <c r="CHG63" s="349"/>
      <c r="CHH63" s="349"/>
      <c r="CHI63" s="349"/>
      <c r="CHJ63" s="349"/>
      <c r="CHK63" s="349"/>
      <c r="CHL63" s="349"/>
      <c r="CHM63" s="349"/>
      <c r="CHN63" s="349"/>
      <c r="CHO63" s="349"/>
      <c r="CHP63" s="349"/>
      <c r="CHQ63" s="349"/>
      <c r="CHR63" s="349"/>
      <c r="CHS63" s="349"/>
      <c r="CHT63" s="349"/>
      <c r="CHU63" s="349"/>
      <c r="CHV63" s="349"/>
      <c r="CHW63" s="349"/>
      <c r="CHX63" s="349"/>
      <c r="CHY63" s="349"/>
      <c r="CHZ63" s="349"/>
      <c r="CIA63" s="349"/>
      <c r="CIB63" s="349"/>
      <c r="CIC63" s="349"/>
      <c r="CID63" s="349"/>
      <c r="CIE63" s="349"/>
      <c r="CIF63" s="349"/>
      <c r="CIG63" s="349"/>
      <c r="CIH63" s="349"/>
      <c r="CII63" s="349"/>
      <c r="CIJ63" s="349"/>
      <c r="CIK63" s="349"/>
      <c r="CIL63" s="349"/>
      <c r="CIM63" s="349"/>
      <c r="CIN63" s="349"/>
      <c r="CIO63" s="349"/>
      <c r="CIP63" s="349"/>
      <c r="CIQ63" s="349"/>
      <c r="CIR63" s="349"/>
      <c r="CIS63" s="349"/>
      <c r="CIT63" s="349"/>
      <c r="CIU63" s="349"/>
      <c r="CIV63" s="349"/>
      <c r="CIW63" s="349"/>
      <c r="CIX63" s="349"/>
      <c r="CIY63" s="349"/>
      <c r="CIZ63" s="349"/>
      <c r="CJA63" s="349"/>
      <c r="CJB63" s="349"/>
      <c r="CJC63" s="349"/>
      <c r="CJD63" s="349"/>
      <c r="CJE63" s="349"/>
      <c r="CJF63" s="349"/>
      <c r="CJG63" s="349"/>
      <c r="CJH63" s="349"/>
      <c r="CJI63" s="349"/>
      <c r="CJJ63" s="349"/>
      <c r="CJK63" s="349"/>
      <c r="CJL63" s="349"/>
      <c r="CJM63" s="349"/>
      <c r="CJN63" s="349"/>
      <c r="CJO63" s="349"/>
      <c r="CJP63" s="349"/>
      <c r="CJQ63" s="349"/>
      <c r="CJR63" s="349"/>
      <c r="CJS63" s="349"/>
      <c r="CJT63" s="349"/>
      <c r="CJU63" s="349"/>
      <c r="CJV63" s="349"/>
      <c r="CJW63" s="349"/>
      <c r="CJX63" s="349"/>
      <c r="CJY63" s="349"/>
      <c r="CJZ63" s="349"/>
      <c r="CKA63" s="349"/>
      <c r="CKB63" s="349"/>
      <c r="CKC63" s="349"/>
      <c r="CKD63" s="349"/>
      <c r="CKE63" s="349"/>
      <c r="CKF63" s="349"/>
      <c r="CKG63" s="349"/>
      <c r="CKH63" s="349"/>
      <c r="CKI63" s="349"/>
      <c r="CKJ63" s="349"/>
      <c r="CKK63" s="349"/>
      <c r="CKL63" s="349"/>
      <c r="CKM63" s="349"/>
      <c r="CKN63" s="349"/>
      <c r="CKO63" s="349"/>
      <c r="CKP63" s="349"/>
      <c r="CKQ63" s="349"/>
      <c r="CKR63" s="349"/>
      <c r="CKS63" s="349"/>
      <c r="CKT63" s="349"/>
      <c r="CKU63" s="349"/>
      <c r="CKV63" s="349"/>
      <c r="CKW63" s="349"/>
      <c r="CKX63" s="349"/>
      <c r="CKY63" s="349"/>
      <c r="CKZ63" s="349"/>
      <c r="CLA63" s="349"/>
      <c r="CLB63" s="349"/>
      <c r="CLC63" s="349"/>
      <c r="CLD63" s="349"/>
      <c r="CLE63" s="349"/>
      <c r="CLF63" s="349"/>
      <c r="CLG63" s="349"/>
      <c r="CLH63" s="349"/>
      <c r="CLI63" s="349"/>
      <c r="CLJ63" s="349"/>
      <c r="CLK63" s="349"/>
      <c r="CLL63" s="349"/>
      <c r="CLM63" s="349"/>
      <c r="CLN63" s="349"/>
      <c r="CLO63" s="349"/>
      <c r="CLP63" s="349"/>
      <c r="CLQ63" s="349"/>
      <c r="CLR63" s="349"/>
      <c r="CLS63" s="349"/>
      <c r="CLT63" s="349"/>
      <c r="CLU63" s="349"/>
      <c r="CLV63" s="349"/>
      <c r="CLW63" s="349"/>
      <c r="CLX63" s="349"/>
      <c r="CLY63" s="349"/>
      <c r="CLZ63" s="349"/>
      <c r="CMA63" s="349"/>
      <c r="CMB63" s="349"/>
      <c r="CMC63" s="349"/>
      <c r="CMD63" s="349"/>
      <c r="CME63" s="349"/>
      <c r="CMF63" s="349"/>
      <c r="CMG63" s="349"/>
      <c r="CMH63" s="349"/>
      <c r="CMI63" s="349"/>
      <c r="CMJ63" s="349"/>
      <c r="CMK63" s="349"/>
      <c r="CML63" s="349"/>
      <c r="CMM63" s="349"/>
      <c r="CMN63" s="349"/>
      <c r="CMO63" s="349"/>
      <c r="CMP63" s="349"/>
      <c r="CMQ63" s="349"/>
      <c r="CMR63" s="349"/>
      <c r="CMS63" s="349"/>
      <c r="CMT63" s="349"/>
      <c r="CMU63" s="349"/>
      <c r="CMV63" s="349"/>
      <c r="CMW63" s="349"/>
      <c r="CMX63" s="349"/>
      <c r="CMY63" s="349"/>
      <c r="CMZ63" s="349"/>
      <c r="CNA63" s="349"/>
      <c r="CNB63" s="349"/>
      <c r="CNC63" s="349"/>
      <c r="CND63" s="349"/>
      <c r="CNE63" s="349"/>
      <c r="CNF63" s="349"/>
      <c r="CNG63" s="349"/>
      <c r="CNH63" s="349"/>
      <c r="CNI63" s="349"/>
      <c r="CNJ63" s="349"/>
      <c r="CNK63" s="349"/>
      <c r="CNL63" s="349"/>
      <c r="CNM63" s="349"/>
      <c r="CNN63" s="349"/>
      <c r="CNO63" s="349"/>
      <c r="CNP63" s="349"/>
      <c r="CNQ63" s="349"/>
      <c r="CNR63" s="349"/>
      <c r="CNS63" s="349"/>
      <c r="CNT63" s="349"/>
      <c r="CNU63" s="349"/>
      <c r="CNV63" s="349"/>
      <c r="CNW63" s="349"/>
      <c r="CNX63" s="349"/>
      <c r="CNY63" s="349"/>
      <c r="CNZ63" s="349"/>
      <c r="COA63" s="349"/>
      <c r="COB63" s="349"/>
      <c r="COC63" s="349"/>
      <c r="COD63" s="349"/>
      <c r="COE63" s="349"/>
      <c r="COF63" s="349"/>
      <c r="COG63" s="349"/>
      <c r="COH63" s="349"/>
      <c r="COI63" s="349"/>
      <c r="COJ63" s="349"/>
      <c r="COK63" s="349"/>
      <c r="COL63" s="349"/>
      <c r="COM63" s="349"/>
      <c r="CON63" s="349"/>
      <c r="COO63" s="349"/>
      <c r="COP63" s="349"/>
      <c r="COQ63" s="349"/>
      <c r="COR63" s="349"/>
      <c r="COS63" s="349"/>
      <c r="COT63" s="349"/>
      <c r="COU63" s="349"/>
      <c r="COV63" s="349"/>
      <c r="COW63" s="349"/>
      <c r="COX63" s="349"/>
      <c r="COY63" s="349"/>
      <c r="COZ63" s="349"/>
      <c r="CPA63" s="349"/>
      <c r="CPB63" s="349"/>
      <c r="CPC63" s="349"/>
      <c r="CPD63" s="349"/>
      <c r="CPE63" s="349"/>
      <c r="CPF63" s="349"/>
      <c r="CPG63" s="349"/>
      <c r="CPH63" s="349"/>
      <c r="CPI63" s="349"/>
      <c r="CPJ63" s="349"/>
      <c r="CPK63" s="349"/>
      <c r="CPL63" s="349"/>
      <c r="CPM63" s="349"/>
      <c r="CPN63" s="349"/>
      <c r="CPO63" s="349"/>
      <c r="CPP63" s="349"/>
      <c r="CPQ63" s="349"/>
      <c r="CPR63" s="349"/>
      <c r="CPS63" s="349"/>
      <c r="CPT63" s="349"/>
      <c r="CPU63" s="349"/>
      <c r="CPV63" s="349"/>
      <c r="CPW63" s="349"/>
      <c r="CPX63" s="349"/>
      <c r="CPY63" s="349"/>
      <c r="CPZ63" s="349"/>
      <c r="CQA63" s="349"/>
      <c r="CQB63" s="349"/>
      <c r="CQC63" s="349"/>
      <c r="CQD63" s="349"/>
      <c r="CQE63" s="349"/>
      <c r="CQF63" s="349"/>
      <c r="CQG63" s="349"/>
      <c r="CQH63" s="349"/>
      <c r="CQI63" s="349"/>
      <c r="CQJ63" s="349"/>
      <c r="CQK63" s="349"/>
      <c r="CQL63" s="349"/>
      <c r="CQM63" s="349"/>
      <c r="CQN63" s="349"/>
      <c r="CQO63" s="349"/>
      <c r="CQP63" s="349"/>
      <c r="CQQ63" s="349"/>
      <c r="CQR63" s="349"/>
      <c r="CQS63" s="349"/>
      <c r="CQT63" s="349"/>
      <c r="CQU63" s="349"/>
      <c r="CQV63" s="349"/>
      <c r="CQW63" s="349"/>
      <c r="CQX63" s="349"/>
      <c r="CQY63" s="349"/>
      <c r="CQZ63" s="349"/>
      <c r="CRA63" s="349"/>
      <c r="CRB63" s="349"/>
      <c r="CRC63" s="349"/>
      <c r="CRD63" s="349"/>
      <c r="CRE63" s="349"/>
      <c r="CRF63" s="349"/>
      <c r="CRG63" s="349"/>
      <c r="CRH63" s="349"/>
      <c r="CRI63" s="349"/>
      <c r="CRJ63" s="349"/>
      <c r="CRK63" s="349"/>
      <c r="CRL63" s="349"/>
      <c r="CRM63" s="349"/>
      <c r="CRN63" s="349"/>
      <c r="CRO63" s="349"/>
      <c r="CRP63" s="349"/>
      <c r="CRQ63" s="349"/>
      <c r="CRR63" s="349"/>
      <c r="CRS63" s="349"/>
      <c r="CRT63" s="349"/>
      <c r="CRU63" s="349"/>
      <c r="CRV63" s="349"/>
      <c r="CRW63" s="349"/>
      <c r="CRX63" s="349"/>
      <c r="CRY63" s="349"/>
      <c r="CRZ63" s="349"/>
      <c r="CSA63" s="349"/>
      <c r="CSB63" s="349"/>
      <c r="CSC63" s="349"/>
      <c r="CSD63" s="349"/>
      <c r="CSE63" s="349"/>
      <c r="CSF63" s="349"/>
      <c r="CSG63" s="349"/>
      <c r="CSH63" s="349"/>
      <c r="CSI63" s="349"/>
      <c r="CSJ63" s="349"/>
      <c r="CSK63" s="349"/>
      <c r="CSL63" s="349"/>
      <c r="CSM63" s="349"/>
      <c r="CSN63" s="349"/>
      <c r="CSO63" s="349"/>
      <c r="CSP63" s="349"/>
      <c r="CSQ63" s="349"/>
      <c r="CSR63" s="349"/>
      <c r="CSS63" s="349"/>
      <c r="CST63" s="349"/>
      <c r="CSU63" s="349"/>
      <c r="CSV63" s="349"/>
      <c r="CSW63" s="349"/>
      <c r="CSX63" s="349"/>
      <c r="CSY63" s="349"/>
      <c r="CSZ63" s="349"/>
      <c r="CTA63" s="349"/>
      <c r="CTB63" s="349"/>
      <c r="CTC63" s="349"/>
      <c r="CTD63" s="349"/>
      <c r="CTE63" s="349"/>
      <c r="CTF63" s="349"/>
      <c r="CTG63" s="349"/>
      <c r="CTH63" s="349"/>
      <c r="CTI63" s="349"/>
      <c r="CTJ63" s="349"/>
      <c r="CTK63" s="349"/>
      <c r="CTL63" s="349"/>
      <c r="CTM63" s="349"/>
      <c r="CTN63" s="349"/>
      <c r="CTO63" s="349"/>
      <c r="CTP63" s="349"/>
      <c r="CTQ63" s="349"/>
      <c r="CTR63" s="349"/>
      <c r="CTS63" s="349"/>
      <c r="CTT63" s="349"/>
      <c r="CTU63" s="349"/>
      <c r="CTV63" s="349"/>
      <c r="CTW63" s="349"/>
      <c r="CTX63" s="349"/>
      <c r="CTY63" s="349"/>
      <c r="CTZ63" s="349"/>
      <c r="CUA63" s="349"/>
      <c r="CUB63" s="349"/>
      <c r="CUC63" s="349"/>
      <c r="CUD63" s="349"/>
      <c r="CUE63" s="349"/>
      <c r="CUF63" s="349"/>
      <c r="CUG63" s="349"/>
      <c r="CUH63" s="349"/>
      <c r="CUI63" s="349"/>
      <c r="CUJ63" s="349"/>
      <c r="CUK63" s="349"/>
      <c r="CUL63" s="349"/>
      <c r="CUM63" s="349"/>
      <c r="CUN63" s="349"/>
      <c r="CUO63" s="349"/>
      <c r="CUP63" s="349"/>
      <c r="CUQ63" s="349"/>
      <c r="CUR63" s="349"/>
      <c r="CUS63" s="349"/>
      <c r="CUT63" s="349"/>
      <c r="CUU63" s="349"/>
      <c r="CUV63" s="349"/>
      <c r="CUW63" s="349"/>
      <c r="CUX63" s="349"/>
      <c r="CUY63" s="349"/>
      <c r="CUZ63" s="349"/>
      <c r="CVA63" s="349"/>
      <c r="CVB63" s="349"/>
      <c r="CVC63" s="349"/>
      <c r="CVD63" s="349"/>
      <c r="CVE63" s="349"/>
      <c r="CVF63" s="349"/>
      <c r="CVG63" s="349"/>
      <c r="CVH63" s="349"/>
      <c r="CVI63" s="349"/>
      <c r="CVJ63" s="349"/>
      <c r="CVK63" s="349"/>
      <c r="CVL63" s="349"/>
      <c r="CVM63" s="349"/>
      <c r="CVN63" s="349"/>
      <c r="CVO63" s="349"/>
      <c r="CVP63" s="349"/>
      <c r="CVQ63" s="349"/>
      <c r="CVR63" s="349"/>
      <c r="CVS63" s="349"/>
      <c r="CVT63" s="349"/>
      <c r="CVU63" s="349"/>
      <c r="CVV63" s="349"/>
      <c r="CVW63" s="349"/>
      <c r="CVX63" s="349"/>
      <c r="CVY63" s="349"/>
      <c r="CVZ63" s="349"/>
      <c r="CWA63" s="349"/>
      <c r="CWB63" s="349"/>
      <c r="CWC63" s="349"/>
      <c r="CWD63" s="349"/>
      <c r="CWE63" s="349"/>
      <c r="CWF63" s="349"/>
      <c r="CWG63" s="349"/>
      <c r="CWH63" s="349"/>
      <c r="CWI63" s="349"/>
      <c r="CWJ63" s="349"/>
      <c r="CWK63" s="349"/>
      <c r="CWL63" s="349"/>
      <c r="CWM63" s="349"/>
      <c r="CWN63" s="349"/>
      <c r="CWO63" s="349"/>
      <c r="CWP63" s="349"/>
      <c r="CWQ63" s="349"/>
      <c r="CWR63" s="349"/>
      <c r="CWS63" s="349"/>
      <c r="CWT63" s="349"/>
      <c r="CWU63" s="349"/>
      <c r="CWV63" s="349"/>
      <c r="CWW63" s="349"/>
      <c r="CWX63" s="349"/>
      <c r="CWY63" s="349"/>
      <c r="CWZ63" s="349"/>
      <c r="CXA63" s="349"/>
      <c r="CXB63" s="349"/>
      <c r="CXC63" s="349"/>
      <c r="CXD63" s="349"/>
      <c r="CXE63" s="349"/>
      <c r="CXF63" s="349"/>
      <c r="CXG63" s="349"/>
      <c r="CXH63" s="349"/>
      <c r="CXI63" s="349"/>
      <c r="CXJ63" s="349"/>
      <c r="CXK63" s="349"/>
      <c r="CXL63" s="349"/>
      <c r="CXM63" s="349"/>
      <c r="CXN63" s="349"/>
      <c r="CXO63" s="349"/>
      <c r="CXP63" s="349"/>
      <c r="CXQ63" s="349"/>
      <c r="CXR63" s="349"/>
      <c r="CXS63" s="349"/>
      <c r="CXT63" s="349"/>
      <c r="CXU63" s="349"/>
      <c r="CXV63" s="349"/>
      <c r="CXW63" s="349"/>
      <c r="CXX63" s="349"/>
      <c r="CXY63" s="349"/>
      <c r="CXZ63" s="349"/>
      <c r="CYA63" s="349"/>
      <c r="CYB63" s="349"/>
      <c r="CYC63" s="349"/>
      <c r="CYD63" s="349"/>
      <c r="CYE63" s="349"/>
      <c r="CYF63" s="349"/>
      <c r="CYG63" s="349"/>
      <c r="CYH63" s="349"/>
      <c r="CYI63" s="349"/>
      <c r="CYJ63" s="349"/>
      <c r="CYK63" s="349"/>
      <c r="CYL63" s="349"/>
      <c r="CYM63" s="349"/>
      <c r="CYN63" s="349"/>
      <c r="CYO63" s="349"/>
      <c r="CYP63" s="349"/>
      <c r="CYQ63" s="349"/>
      <c r="CYR63" s="349"/>
      <c r="CYS63" s="349"/>
      <c r="CYT63" s="349"/>
      <c r="CYU63" s="349"/>
      <c r="CYV63" s="349"/>
      <c r="CYW63" s="349"/>
      <c r="CYX63" s="349"/>
      <c r="CYY63" s="349"/>
      <c r="CYZ63" s="349"/>
      <c r="CZA63" s="349"/>
      <c r="CZB63" s="349"/>
      <c r="CZC63" s="349"/>
      <c r="CZD63" s="349"/>
      <c r="CZE63" s="349"/>
      <c r="CZF63" s="349"/>
      <c r="CZG63" s="349"/>
      <c r="CZH63" s="349"/>
      <c r="CZI63" s="349"/>
      <c r="CZJ63" s="349"/>
      <c r="CZK63" s="349"/>
      <c r="CZL63" s="349"/>
      <c r="CZM63" s="349"/>
      <c r="CZN63" s="349"/>
      <c r="CZO63" s="349"/>
      <c r="CZP63" s="349"/>
      <c r="CZQ63" s="349"/>
      <c r="CZR63" s="349"/>
      <c r="CZS63" s="349"/>
      <c r="CZT63" s="349"/>
      <c r="CZU63" s="349"/>
      <c r="CZV63" s="349"/>
      <c r="CZW63" s="349"/>
      <c r="CZX63" s="349"/>
      <c r="CZY63" s="349"/>
      <c r="CZZ63" s="349"/>
      <c r="DAA63" s="349"/>
      <c r="DAB63" s="349"/>
      <c r="DAC63" s="349"/>
      <c r="DAD63" s="349"/>
      <c r="DAE63" s="349"/>
      <c r="DAF63" s="349"/>
      <c r="DAG63" s="349"/>
      <c r="DAH63" s="349"/>
      <c r="DAI63" s="349"/>
      <c r="DAJ63" s="349"/>
      <c r="DAK63" s="349"/>
      <c r="DAL63" s="349"/>
      <c r="DAM63" s="349"/>
      <c r="DAN63" s="349"/>
      <c r="DAO63" s="349"/>
      <c r="DAP63" s="349"/>
      <c r="DAQ63" s="349"/>
      <c r="DAR63" s="349"/>
      <c r="DAS63" s="349"/>
      <c r="DAT63" s="349"/>
      <c r="DAU63" s="349"/>
      <c r="DAV63" s="349"/>
      <c r="DAW63" s="349"/>
      <c r="DAX63" s="349"/>
      <c r="DAY63" s="349"/>
      <c r="DAZ63" s="349"/>
      <c r="DBA63" s="349"/>
      <c r="DBB63" s="349"/>
      <c r="DBC63" s="349"/>
      <c r="DBD63" s="349"/>
      <c r="DBE63" s="349"/>
      <c r="DBF63" s="349"/>
      <c r="DBG63" s="349"/>
      <c r="DBH63" s="349"/>
      <c r="DBI63" s="349"/>
      <c r="DBJ63" s="349"/>
      <c r="DBK63" s="349"/>
      <c r="DBL63" s="349"/>
      <c r="DBM63" s="349"/>
      <c r="DBN63" s="349"/>
      <c r="DBO63" s="349"/>
      <c r="DBP63" s="349"/>
      <c r="DBQ63" s="349"/>
      <c r="DBR63" s="349"/>
      <c r="DBS63" s="349"/>
      <c r="DBT63" s="349"/>
      <c r="DBU63" s="349"/>
      <c r="DBV63" s="349"/>
      <c r="DBW63" s="349"/>
      <c r="DBX63" s="349"/>
      <c r="DBY63" s="349"/>
      <c r="DBZ63" s="349"/>
      <c r="DCA63" s="349"/>
      <c r="DCB63" s="349"/>
      <c r="DCC63" s="349"/>
      <c r="DCD63" s="349"/>
      <c r="DCE63" s="349"/>
      <c r="DCF63" s="349"/>
      <c r="DCG63" s="349"/>
      <c r="DCH63" s="349"/>
      <c r="DCI63" s="349"/>
      <c r="DCJ63" s="349"/>
      <c r="DCK63" s="349"/>
      <c r="DCL63" s="349"/>
      <c r="DCM63" s="349"/>
      <c r="DCN63" s="349"/>
      <c r="DCO63" s="349"/>
      <c r="DCP63" s="349"/>
      <c r="DCQ63" s="349"/>
      <c r="DCR63" s="349"/>
      <c r="DCS63" s="349"/>
      <c r="DCT63" s="349"/>
      <c r="DCU63" s="349"/>
      <c r="DCV63" s="349"/>
      <c r="DCW63" s="349"/>
      <c r="DCX63" s="349"/>
      <c r="DCY63" s="349"/>
      <c r="DCZ63" s="349"/>
      <c r="DDA63" s="349"/>
      <c r="DDB63" s="349"/>
      <c r="DDC63" s="349"/>
      <c r="DDD63" s="349"/>
      <c r="DDE63" s="349"/>
      <c r="DDF63" s="349"/>
      <c r="DDG63" s="349"/>
      <c r="DDH63" s="349"/>
      <c r="DDI63" s="349"/>
      <c r="DDJ63" s="349"/>
      <c r="DDK63" s="349"/>
      <c r="DDL63" s="349"/>
      <c r="DDM63" s="349"/>
      <c r="DDN63" s="349"/>
      <c r="DDO63" s="349"/>
      <c r="DDP63" s="349"/>
      <c r="DDQ63" s="349"/>
      <c r="DDR63" s="349"/>
      <c r="DDS63" s="349"/>
      <c r="DDT63" s="349"/>
      <c r="DDU63" s="349"/>
      <c r="DDV63" s="349"/>
      <c r="DDW63" s="349"/>
      <c r="DDX63" s="349"/>
      <c r="DDY63" s="349"/>
      <c r="DDZ63" s="349"/>
      <c r="DEA63" s="349"/>
      <c r="DEB63" s="349"/>
      <c r="DEC63" s="349"/>
      <c r="DED63" s="349"/>
      <c r="DEE63" s="349"/>
      <c r="DEF63" s="349"/>
      <c r="DEG63" s="349"/>
      <c r="DEH63" s="349"/>
      <c r="DEI63" s="349"/>
      <c r="DEJ63" s="349"/>
      <c r="DEK63" s="349"/>
      <c r="DEL63" s="349"/>
      <c r="DEM63" s="349"/>
      <c r="DEN63" s="349"/>
      <c r="DEO63" s="349"/>
      <c r="DEP63" s="349"/>
      <c r="DEQ63" s="349"/>
      <c r="DER63" s="349"/>
      <c r="DES63" s="349"/>
      <c r="DET63" s="349"/>
      <c r="DEU63" s="349"/>
      <c r="DEV63" s="349"/>
      <c r="DEW63" s="349"/>
      <c r="DEX63" s="349"/>
      <c r="DEY63" s="349"/>
      <c r="DEZ63" s="349"/>
      <c r="DFA63" s="349"/>
      <c r="DFB63" s="349"/>
      <c r="DFC63" s="349"/>
      <c r="DFD63" s="349"/>
      <c r="DFE63" s="349"/>
      <c r="DFF63" s="349"/>
      <c r="DFG63" s="349"/>
      <c r="DFH63" s="349"/>
      <c r="DFI63" s="349"/>
      <c r="DFJ63" s="349"/>
      <c r="DFK63" s="349"/>
      <c r="DFL63" s="349"/>
      <c r="DFM63" s="349"/>
      <c r="DFN63" s="349"/>
      <c r="DFO63" s="349"/>
      <c r="DFP63" s="349"/>
      <c r="DFQ63" s="349"/>
      <c r="DFR63" s="349"/>
      <c r="DFS63" s="349"/>
      <c r="DFT63" s="349"/>
      <c r="DFU63" s="349"/>
      <c r="DFV63" s="349"/>
      <c r="DFW63" s="349"/>
      <c r="DFX63" s="349"/>
      <c r="DFY63" s="349"/>
      <c r="DFZ63" s="349"/>
      <c r="DGA63" s="349"/>
      <c r="DGB63" s="349"/>
      <c r="DGC63" s="349"/>
      <c r="DGD63" s="349"/>
      <c r="DGE63" s="349"/>
      <c r="DGF63" s="349"/>
      <c r="DGG63" s="349"/>
      <c r="DGH63" s="349"/>
      <c r="DGI63" s="349"/>
      <c r="DGJ63" s="349"/>
      <c r="DGK63" s="349"/>
      <c r="DGL63" s="349"/>
      <c r="DGM63" s="349"/>
      <c r="DGN63" s="349"/>
      <c r="DGO63" s="349"/>
      <c r="DGP63" s="349"/>
      <c r="DGQ63" s="349"/>
      <c r="DGR63" s="349"/>
      <c r="DGS63" s="349"/>
      <c r="DGT63" s="349"/>
      <c r="DGU63" s="349"/>
      <c r="DGV63" s="349"/>
      <c r="DGW63" s="349"/>
      <c r="DGX63" s="349"/>
      <c r="DGY63" s="349"/>
      <c r="DGZ63" s="349"/>
      <c r="DHA63" s="349"/>
      <c r="DHB63" s="349"/>
      <c r="DHC63" s="349"/>
      <c r="DHD63" s="349"/>
      <c r="DHE63" s="349"/>
      <c r="DHF63" s="349"/>
      <c r="DHG63" s="349"/>
      <c r="DHH63" s="349"/>
      <c r="DHI63" s="349"/>
      <c r="DHJ63" s="349"/>
      <c r="DHK63" s="349"/>
      <c r="DHL63" s="349"/>
      <c r="DHM63" s="349"/>
      <c r="DHN63" s="349"/>
      <c r="DHO63" s="349"/>
      <c r="DHP63" s="349"/>
      <c r="DHQ63" s="349"/>
      <c r="DHR63" s="349"/>
      <c r="DHS63" s="349"/>
      <c r="DHT63" s="349"/>
      <c r="DHU63" s="349"/>
      <c r="DHV63" s="349"/>
      <c r="DHW63" s="349"/>
      <c r="DHX63" s="349"/>
      <c r="DHY63" s="349"/>
      <c r="DHZ63" s="349"/>
      <c r="DIA63" s="349"/>
      <c r="DIB63" s="349"/>
      <c r="DIC63" s="349"/>
      <c r="DID63" s="349"/>
      <c r="DIE63" s="349"/>
      <c r="DIF63" s="349"/>
      <c r="DIG63" s="349"/>
      <c r="DIH63" s="349"/>
      <c r="DII63" s="349"/>
      <c r="DIJ63" s="349"/>
      <c r="DIK63" s="349"/>
      <c r="DIL63" s="349"/>
      <c r="DIM63" s="349"/>
      <c r="DIN63" s="349"/>
      <c r="DIO63" s="349"/>
      <c r="DIP63" s="349"/>
      <c r="DIQ63" s="349"/>
      <c r="DIR63" s="349"/>
      <c r="DIS63" s="349"/>
      <c r="DIT63" s="349"/>
      <c r="DIU63" s="349"/>
      <c r="DIV63" s="349"/>
      <c r="DIW63" s="349"/>
      <c r="DIX63" s="349"/>
      <c r="DIY63" s="349"/>
      <c r="DIZ63" s="349"/>
      <c r="DJA63" s="349"/>
      <c r="DJB63" s="349"/>
      <c r="DJC63" s="349"/>
      <c r="DJD63" s="349"/>
      <c r="DJE63" s="349"/>
      <c r="DJF63" s="349"/>
      <c r="DJG63" s="349"/>
      <c r="DJH63" s="349"/>
      <c r="DJI63" s="349"/>
      <c r="DJJ63" s="349"/>
      <c r="DJK63" s="349"/>
      <c r="DJL63" s="349"/>
      <c r="DJM63" s="349"/>
      <c r="DJN63" s="349"/>
      <c r="DJO63" s="349"/>
      <c r="DJP63" s="349"/>
      <c r="DJQ63" s="349"/>
      <c r="DJR63" s="349"/>
      <c r="DJS63" s="349"/>
      <c r="DJT63" s="349"/>
      <c r="DJU63" s="349"/>
      <c r="DJV63" s="349"/>
      <c r="DJW63" s="349"/>
      <c r="DJX63" s="349"/>
      <c r="DJY63" s="349"/>
      <c r="DJZ63" s="349"/>
      <c r="DKA63" s="349"/>
      <c r="DKB63" s="349"/>
      <c r="DKC63" s="349"/>
      <c r="DKD63" s="349"/>
      <c r="DKE63" s="349"/>
      <c r="DKF63" s="349"/>
      <c r="DKG63" s="349"/>
      <c r="DKH63" s="349"/>
      <c r="DKI63" s="349"/>
      <c r="DKJ63" s="349"/>
      <c r="DKK63" s="349"/>
      <c r="DKL63" s="349"/>
      <c r="DKM63" s="349"/>
      <c r="DKN63" s="349"/>
      <c r="DKO63" s="349"/>
      <c r="DKP63" s="349"/>
      <c r="DKQ63" s="349"/>
      <c r="DKR63" s="349"/>
      <c r="DKS63" s="349"/>
      <c r="DKT63" s="349"/>
      <c r="DKU63" s="349"/>
      <c r="DKV63" s="349"/>
      <c r="DKW63" s="349"/>
      <c r="DKX63" s="349"/>
      <c r="DKY63" s="349"/>
      <c r="DKZ63" s="349"/>
      <c r="DLA63" s="349"/>
      <c r="DLB63" s="349"/>
      <c r="DLC63" s="349"/>
      <c r="DLD63" s="349"/>
      <c r="DLE63" s="349"/>
      <c r="DLF63" s="349"/>
      <c r="DLG63" s="349"/>
      <c r="DLH63" s="349"/>
      <c r="DLI63" s="349"/>
      <c r="DLJ63" s="349"/>
      <c r="DLK63" s="349"/>
      <c r="DLL63" s="349"/>
      <c r="DLM63" s="349"/>
      <c r="DLN63" s="349"/>
      <c r="DLO63" s="349"/>
      <c r="DLP63" s="349"/>
      <c r="DLQ63" s="349"/>
      <c r="DLR63" s="349"/>
      <c r="DLS63" s="349"/>
      <c r="DLT63" s="349"/>
      <c r="DLU63" s="349"/>
      <c r="DLV63" s="349"/>
      <c r="DLW63" s="349"/>
      <c r="DLX63" s="349"/>
      <c r="DLY63" s="349"/>
      <c r="DLZ63" s="349"/>
      <c r="DMA63" s="349"/>
      <c r="DMB63" s="349"/>
      <c r="DMC63" s="349"/>
      <c r="DMD63" s="349"/>
      <c r="DME63" s="349"/>
      <c r="DMF63" s="349"/>
      <c r="DMG63" s="349"/>
      <c r="DMH63" s="349"/>
      <c r="DMI63" s="349"/>
      <c r="DMJ63" s="349"/>
      <c r="DMK63" s="349"/>
      <c r="DML63" s="349"/>
      <c r="DMM63" s="349"/>
      <c r="DMN63" s="349"/>
      <c r="DMO63" s="349"/>
      <c r="DMP63" s="349"/>
      <c r="DMQ63" s="349"/>
      <c r="DMR63" s="349"/>
      <c r="DMS63" s="349"/>
      <c r="DMT63" s="349"/>
      <c r="DMU63" s="349"/>
      <c r="DMV63" s="349"/>
      <c r="DMW63" s="349"/>
      <c r="DMX63" s="349"/>
      <c r="DMY63" s="349"/>
      <c r="DMZ63" s="349"/>
      <c r="DNA63" s="349"/>
      <c r="DNB63" s="349"/>
      <c r="DNC63" s="349"/>
      <c r="DND63" s="349"/>
      <c r="DNE63" s="349"/>
      <c r="DNF63" s="349"/>
      <c r="DNG63" s="349"/>
      <c r="DNH63" s="349"/>
      <c r="DNI63" s="349"/>
      <c r="DNJ63" s="349"/>
      <c r="DNK63" s="349"/>
      <c r="DNL63" s="349"/>
      <c r="DNM63" s="349"/>
      <c r="DNN63" s="349"/>
      <c r="DNO63" s="349"/>
      <c r="DNP63" s="349"/>
      <c r="DNQ63" s="349"/>
      <c r="DNR63" s="349"/>
      <c r="DNS63" s="349"/>
      <c r="DNT63" s="349"/>
      <c r="DNU63" s="349"/>
      <c r="DNV63" s="349"/>
      <c r="DNW63" s="349"/>
      <c r="DNX63" s="349"/>
      <c r="DNY63" s="349"/>
      <c r="DNZ63" s="349"/>
      <c r="DOA63" s="349"/>
      <c r="DOB63" s="349"/>
      <c r="DOC63" s="349"/>
      <c r="DOD63" s="349"/>
      <c r="DOE63" s="349"/>
      <c r="DOF63" s="349"/>
      <c r="DOG63" s="349"/>
      <c r="DOH63" s="349"/>
      <c r="DOI63" s="349"/>
      <c r="DOJ63" s="349"/>
      <c r="DOK63" s="349"/>
      <c r="DOL63" s="349"/>
      <c r="DOM63" s="349"/>
      <c r="DON63" s="349"/>
      <c r="DOO63" s="349"/>
      <c r="DOP63" s="349"/>
      <c r="DOQ63" s="349"/>
      <c r="DOR63" s="349"/>
      <c r="DOS63" s="349"/>
      <c r="DOT63" s="349"/>
      <c r="DOU63" s="349"/>
      <c r="DOV63" s="349"/>
      <c r="DOW63" s="349"/>
      <c r="DOX63" s="349"/>
      <c r="DOY63" s="349"/>
      <c r="DOZ63" s="349"/>
      <c r="DPA63" s="349"/>
      <c r="DPB63" s="349"/>
      <c r="DPC63" s="349"/>
      <c r="DPD63" s="349"/>
      <c r="DPE63" s="349"/>
      <c r="DPF63" s="349"/>
      <c r="DPG63" s="349"/>
      <c r="DPH63" s="349"/>
      <c r="DPI63" s="349"/>
      <c r="DPJ63" s="349"/>
      <c r="DPK63" s="349"/>
      <c r="DPL63" s="349"/>
      <c r="DPM63" s="349"/>
      <c r="DPN63" s="349"/>
      <c r="DPO63" s="349"/>
      <c r="DPP63" s="349"/>
      <c r="DPQ63" s="349"/>
      <c r="DPR63" s="349"/>
      <c r="DPS63" s="349"/>
      <c r="DPT63" s="349"/>
      <c r="DPU63" s="349"/>
      <c r="DPV63" s="349"/>
      <c r="DPW63" s="349"/>
      <c r="DPX63" s="349"/>
      <c r="DPY63" s="349"/>
      <c r="DPZ63" s="349"/>
      <c r="DQA63" s="349"/>
      <c r="DQB63" s="349"/>
      <c r="DQC63" s="349"/>
      <c r="DQD63" s="349"/>
      <c r="DQE63" s="349"/>
      <c r="DQF63" s="349"/>
      <c r="DQG63" s="349"/>
      <c r="DQH63" s="349"/>
      <c r="DQI63" s="349"/>
      <c r="DQJ63" s="349"/>
      <c r="DQK63" s="349"/>
      <c r="DQL63" s="349"/>
      <c r="DQM63" s="349"/>
      <c r="DQN63" s="349"/>
      <c r="DQO63" s="349"/>
      <c r="DQP63" s="349"/>
      <c r="DQQ63" s="349"/>
      <c r="DQR63" s="349"/>
      <c r="DQS63" s="349"/>
      <c r="DQT63" s="349"/>
      <c r="DQU63" s="349"/>
      <c r="DQV63" s="349"/>
      <c r="DQW63" s="349"/>
      <c r="DQX63" s="349"/>
      <c r="DQY63" s="349"/>
      <c r="DQZ63" s="349"/>
      <c r="DRA63" s="349"/>
      <c r="DRB63" s="349"/>
      <c r="DRC63" s="349"/>
      <c r="DRD63" s="349"/>
      <c r="DRE63" s="349"/>
      <c r="DRF63" s="349"/>
      <c r="DRG63" s="349"/>
      <c r="DRH63" s="349"/>
      <c r="DRI63" s="349"/>
      <c r="DRJ63" s="349"/>
      <c r="DRK63" s="349"/>
      <c r="DRL63" s="349"/>
      <c r="DRM63" s="349"/>
      <c r="DRN63" s="349"/>
      <c r="DRO63" s="349"/>
      <c r="DRP63" s="349"/>
      <c r="DRQ63" s="349"/>
      <c r="DRR63" s="349"/>
      <c r="DRS63" s="349"/>
      <c r="DRT63" s="349"/>
      <c r="DRU63" s="349"/>
      <c r="DRV63" s="349"/>
      <c r="DRW63" s="349"/>
      <c r="DRX63" s="349"/>
      <c r="DRY63" s="349"/>
      <c r="DRZ63" s="349"/>
      <c r="DSA63" s="349"/>
      <c r="DSB63" s="349"/>
      <c r="DSC63" s="349"/>
      <c r="DSD63" s="349"/>
      <c r="DSE63" s="349"/>
      <c r="DSF63" s="349"/>
      <c r="DSG63" s="349"/>
      <c r="DSH63" s="349"/>
      <c r="DSI63" s="349"/>
      <c r="DSJ63" s="349"/>
      <c r="DSK63" s="349"/>
      <c r="DSL63" s="349"/>
      <c r="DSM63" s="349"/>
      <c r="DSN63" s="349"/>
      <c r="DSO63" s="349"/>
      <c r="DSP63" s="349"/>
      <c r="DSQ63" s="349"/>
      <c r="DSR63" s="349"/>
      <c r="DSS63" s="349"/>
      <c r="DST63" s="349"/>
      <c r="DSU63" s="349"/>
      <c r="DSV63" s="349"/>
      <c r="DSW63" s="349"/>
      <c r="DSX63" s="349"/>
      <c r="DSY63" s="349"/>
      <c r="DSZ63" s="349"/>
      <c r="DTA63" s="349"/>
      <c r="DTB63" s="349"/>
      <c r="DTC63" s="349"/>
      <c r="DTD63" s="349"/>
      <c r="DTE63" s="349"/>
      <c r="DTF63" s="349"/>
      <c r="DTG63" s="349"/>
      <c r="DTH63" s="349"/>
      <c r="DTI63" s="349"/>
      <c r="DTJ63" s="349"/>
      <c r="DTK63" s="349"/>
      <c r="DTL63" s="349"/>
      <c r="DTM63" s="349"/>
      <c r="DTN63" s="349"/>
      <c r="DTO63" s="349"/>
      <c r="DTP63" s="349"/>
      <c r="DTQ63" s="349"/>
      <c r="DTR63" s="349"/>
      <c r="DTS63" s="349"/>
      <c r="DTT63" s="349"/>
      <c r="DTU63" s="349"/>
      <c r="DTV63" s="349"/>
      <c r="DTW63" s="349"/>
      <c r="DTX63" s="349"/>
      <c r="DTY63" s="349"/>
      <c r="DTZ63" s="349"/>
      <c r="DUA63" s="349"/>
      <c r="DUB63" s="349"/>
      <c r="DUC63" s="349"/>
      <c r="DUD63" s="349"/>
      <c r="DUE63" s="349"/>
      <c r="DUF63" s="349"/>
      <c r="DUG63" s="349"/>
      <c r="DUH63" s="349"/>
      <c r="DUI63" s="349"/>
      <c r="DUJ63" s="349"/>
      <c r="DUK63" s="349"/>
      <c r="DUL63" s="349"/>
      <c r="DUM63" s="349"/>
      <c r="DUN63" s="349"/>
      <c r="DUO63" s="349"/>
      <c r="DUP63" s="349"/>
      <c r="DUQ63" s="349"/>
      <c r="DUR63" s="349"/>
      <c r="DUS63" s="349"/>
      <c r="DUT63" s="349"/>
      <c r="DUU63" s="349"/>
      <c r="DUV63" s="349"/>
      <c r="DUW63" s="349"/>
      <c r="DUX63" s="349"/>
      <c r="DUY63" s="349"/>
      <c r="DUZ63" s="349"/>
      <c r="DVA63" s="349"/>
      <c r="DVB63" s="349"/>
      <c r="DVC63" s="349"/>
      <c r="DVD63" s="349"/>
      <c r="DVE63" s="349"/>
      <c r="DVF63" s="349"/>
      <c r="DVG63" s="349"/>
      <c r="DVH63" s="349"/>
      <c r="DVI63" s="349"/>
      <c r="DVJ63" s="349"/>
      <c r="DVK63" s="349"/>
      <c r="DVL63" s="349"/>
      <c r="DVM63" s="349"/>
      <c r="DVN63" s="349"/>
      <c r="DVO63" s="349"/>
      <c r="DVP63" s="349"/>
      <c r="DVQ63" s="349"/>
      <c r="DVR63" s="349"/>
      <c r="DVS63" s="349"/>
      <c r="DVT63" s="349"/>
      <c r="DVU63" s="349"/>
      <c r="DVV63" s="349"/>
      <c r="DVW63" s="349"/>
      <c r="DVX63" s="349"/>
      <c r="DVY63" s="349"/>
      <c r="DVZ63" s="349"/>
      <c r="DWA63" s="349"/>
      <c r="DWB63" s="349"/>
      <c r="DWC63" s="349"/>
      <c r="DWD63" s="349"/>
      <c r="DWE63" s="349"/>
      <c r="DWF63" s="349"/>
      <c r="DWG63" s="349"/>
      <c r="DWH63" s="349"/>
      <c r="DWI63" s="349"/>
      <c r="DWJ63" s="349"/>
      <c r="DWK63" s="349"/>
      <c r="DWL63" s="349"/>
      <c r="DWM63" s="349"/>
      <c r="DWN63" s="349"/>
      <c r="DWO63" s="349"/>
      <c r="DWP63" s="349"/>
      <c r="DWQ63" s="349"/>
      <c r="DWR63" s="349"/>
      <c r="DWS63" s="349"/>
      <c r="DWT63" s="349"/>
      <c r="DWU63" s="349"/>
      <c r="DWV63" s="349"/>
      <c r="DWW63" s="349"/>
      <c r="DWX63" s="349"/>
      <c r="DWY63" s="349"/>
      <c r="DWZ63" s="349"/>
      <c r="DXA63" s="349"/>
      <c r="DXB63" s="349"/>
      <c r="DXC63" s="349"/>
      <c r="DXD63" s="349"/>
      <c r="DXE63" s="349"/>
      <c r="DXF63" s="349"/>
      <c r="DXG63" s="349"/>
      <c r="DXH63" s="349"/>
      <c r="DXI63" s="349"/>
      <c r="DXJ63" s="349"/>
      <c r="DXK63" s="349"/>
      <c r="DXL63" s="349"/>
      <c r="DXM63" s="349"/>
      <c r="DXN63" s="349"/>
      <c r="DXO63" s="349"/>
      <c r="DXP63" s="349"/>
      <c r="DXQ63" s="349"/>
      <c r="DXR63" s="349"/>
      <c r="DXS63" s="349"/>
      <c r="DXT63" s="349"/>
      <c r="DXU63" s="349"/>
      <c r="DXV63" s="349"/>
      <c r="DXW63" s="349"/>
      <c r="DXX63" s="349"/>
      <c r="DXY63" s="349"/>
      <c r="DXZ63" s="349"/>
      <c r="DYA63" s="349"/>
      <c r="DYB63" s="349"/>
      <c r="DYC63" s="349"/>
      <c r="DYD63" s="349"/>
      <c r="DYE63" s="349"/>
      <c r="DYF63" s="349"/>
      <c r="DYG63" s="349"/>
      <c r="DYH63" s="349"/>
      <c r="DYI63" s="349"/>
      <c r="DYJ63" s="349"/>
      <c r="DYK63" s="349"/>
      <c r="DYL63" s="349"/>
      <c r="DYM63" s="349"/>
      <c r="DYN63" s="349"/>
      <c r="DYO63" s="349"/>
      <c r="DYP63" s="349"/>
      <c r="DYQ63" s="349"/>
      <c r="DYR63" s="349"/>
      <c r="DYS63" s="349"/>
      <c r="DYT63" s="349"/>
      <c r="DYU63" s="349"/>
      <c r="DYV63" s="349"/>
      <c r="DYW63" s="349"/>
      <c r="DYX63" s="349"/>
      <c r="DYY63" s="349"/>
      <c r="DYZ63" s="349"/>
      <c r="DZA63" s="349"/>
      <c r="DZB63" s="349"/>
      <c r="DZC63" s="349"/>
      <c r="DZD63" s="349"/>
      <c r="DZE63" s="349"/>
      <c r="DZF63" s="349"/>
      <c r="DZG63" s="349"/>
      <c r="DZH63" s="349"/>
      <c r="DZI63" s="349"/>
      <c r="DZJ63" s="349"/>
      <c r="DZK63" s="349"/>
      <c r="DZL63" s="349"/>
      <c r="DZM63" s="349"/>
      <c r="DZN63" s="349"/>
      <c r="DZO63" s="349"/>
      <c r="DZP63" s="349"/>
      <c r="DZQ63" s="349"/>
      <c r="DZR63" s="349"/>
      <c r="DZS63" s="349"/>
      <c r="DZT63" s="349"/>
      <c r="DZU63" s="349"/>
      <c r="DZV63" s="349"/>
      <c r="DZW63" s="349"/>
      <c r="DZX63" s="349"/>
      <c r="DZY63" s="349"/>
      <c r="DZZ63" s="349"/>
      <c r="EAA63" s="349"/>
      <c r="EAB63" s="349"/>
      <c r="EAC63" s="349"/>
      <c r="EAD63" s="349"/>
      <c r="EAE63" s="349"/>
      <c r="EAF63" s="349"/>
      <c r="EAG63" s="349"/>
      <c r="EAH63" s="349"/>
      <c r="EAI63" s="349"/>
      <c r="EAJ63" s="349"/>
      <c r="EAK63" s="349"/>
      <c r="EAL63" s="349"/>
      <c r="EAM63" s="349"/>
      <c r="EAN63" s="349"/>
      <c r="EAO63" s="349"/>
      <c r="EAP63" s="349"/>
      <c r="EAQ63" s="349"/>
      <c r="EAR63" s="349"/>
      <c r="EAS63" s="349"/>
      <c r="EAT63" s="349"/>
      <c r="EAU63" s="349"/>
      <c r="EAV63" s="349"/>
      <c r="EAW63" s="349"/>
      <c r="EAX63" s="349"/>
      <c r="EAY63" s="349"/>
      <c r="EAZ63" s="349"/>
      <c r="EBA63" s="349"/>
      <c r="EBB63" s="349"/>
      <c r="EBC63" s="349"/>
      <c r="EBD63" s="349"/>
      <c r="EBE63" s="349"/>
      <c r="EBF63" s="349"/>
      <c r="EBG63" s="349"/>
      <c r="EBH63" s="349"/>
      <c r="EBI63" s="349"/>
      <c r="EBJ63" s="349"/>
      <c r="EBK63" s="349"/>
      <c r="EBL63" s="349"/>
      <c r="EBM63" s="349"/>
      <c r="EBN63" s="349"/>
      <c r="EBO63" s="349"/>
      <c r="EBP63" s="349"/>
      <c r="EBQ63" s="349"/>
      <c r="EBR63" s="349"/>
      <c r="EBS63" s="349"/>
      <c r="EBT63" s="349"/>
      <c r="EBU63" s="349"/>
      <c r="EBV63" s="349"/>
      <c r="EBW63" s="349"/>
      <c r="EBX63" s="349"/>
      <c r="EBY63" s="349"/>
      <c r="EBZ63" s="349"/>
      <c r="ECA63" s="349"/>
      <c r="ECB63" s="349"/>
      <c r="ECC63" s="349"/>
      <c r="ECD63" s="349"/>
      <c r="ECE63" s="349"/>
      <c r="ECF63" s="349"/>
      <c r="ECG63" s="349"/>
      <c r="ECH63" s="349"/>
      <c r="ECI63" s="349"/>
      <c r="ECJ63" s="349"/>
      <c r="ECK63" s="349"/>
      <c r="ECL63" s="349"/>
      <c r="ECM63" s="349"/>
      <c r="ECN63" s="349"/>
      <c r="ECO63" s="349"/>
      <c r="ECP63" s="349"/>
      <c r="ECQ63" s="349"/>
      <c r="ECR63" s="349"/>
      <c r="ECS63" s="349"/>
      <c r="ECT63" s="349"/>
      <c r="ECU63" s="349"/>
      <c r="ECV63" s="349"/>
      <c r="ECW63" s="349"/>
      <c r="ECX63" s="349"/>
      <c r="ECY63" s="349"/>
      <c r="ECZ63" s="349"/>
      <c r="EDA63" s="349"/>
      <c r="EDB63" s="349"/>
      <c r="EDC63" s="349"/>
      <c r="EDD63" s="349"/>
      <c r="EDE63" s="349"/>
      <c r="EDF63" s="349"/>
      <c r="EDG63" s="349"/>
      <c r="EDH63" s="349"/>
      <c r="EDI63" s="349"/>
      <c r="EDJ63" s="349"/>
      <c r="EDK63" s="349"/>
      <c r="EDL63" s="349"/>
      <c r="EDM63" s="349"/>
      <c r="EDN63" s="349"/>
      <c r="EDO63" s="349"/>
      <c r="EDP63" s="349"/>
      <c r="EDQ63" s="349"/>
      <c r="EDR63" s="349"/>
      <c r="EDS63" s="349"/>
      <c r="EDT63" s="349"/>
      <c r="EDU63" s="349"/>
      <c r="EDV63" s="349"/>
      <c r="EDW63" s="349"/>
      <c r="EDX63" s="349"/>
      <c r="EDY63" s="349"/>
      <c r="EDZ63" s="349"/>
      <c r="EEA63" s="349"/>
      <c r="EEB63" s="349"/>
      <c r="EEC63" s="349"/>
      <c r="EED63" s="349"/>
      <c r="EEE63" s="349"/>
      <c r="EEF63" s="349"/>
      <c r="EEG63" s="349"/>
      <c r="EEH63" s="349"/>
      <c r="EEI63" s="349"/>
      <c r="EEJ63" s="349"/>
      <c r="EEK63" s="349"/>
      <c r="EEL63" s="349"/>
      <c r="EEM63" s="349"/>
      <c r="EEN63" s="349"/>
      <c r="EEO63" s="349"/>
      <c r="EEP63" s="349"/>
      <c r="EEQ63" s="349"/>
      <c r="EER63" s="349"/>
      <c r="EES63" s="349"/>
      <c r="EET63" s="349"/>
      <c r="EEU63" s="349"/>
      <c r="EEV63" s="349"/>
      <c r="EEW63" s="349"/>
      <c r="EEX63" s="349"/>
      <c r="EEY63" s="349"/>
      <c r="EEZ63" s="349"/>
      <c r="EFA63" s="349"/>
      <c r="EFB63" s="349"/>
      <c r="EFC63" s="349"/>
      <c r="EFD63" s="349"/>
      <c r="EFE63" s="349"/>
      <c r="EFF63" s="349"/>
      <c r="EFG63" s="349"/>
      <c r="EFH63" s="349"/>
      <c r="EFI63" s="349"/>
      <c r="EFJ63" s="349"/>
      <c r="EFK63" s="349"/>
      <c r="EFL63" s="349"/>
      <c r="EFM63" s="349"/>
      <c r="EFN63" s="349"/>
      <c r="EFO63" s="349"/>
      <c r="EFP63" s="349"/>
      <c r="EFQ63" s="349"/>
      <c r="EFR63" s="349"/>
      <c r="EFS63" s="349"/>
      <c r="EFT63" s="349"/>
      <c r="EFU63" s="349"/>
      <c r="EFV63" s="349"/>
      <c r="EFW63" s="349"/>
      <c r="EFX63" s="349"/>
      <c r="EFY63" s="349"/>
      <c r="EFZ63" s="349"/>
      <c r="EGA63" s="349"/>
      <c r="EGB63" s="349"/>
      <c r="EGC63" s="349"/>
      <c r="EGD63" s="349"/>
      <c r="EGE63" s="349"/>
      <c r="EGF63" s="349"/>
      <c r="EGG63" s="349"/>
      <c r="EGH63" s="349"/>
      <c r="EGI63" s="349"/>
      <c r="EGJ63" s="349"/>
      <c r="EGK63" s="349"/>
      <c r="EGL63" s="349"/>
      <c r="EGM63" s="349"/>
      <c r="EGN63" s="349"/>
      <c r="EGO63" s="349"/>
      <c r="EGP63" s="349"/>
      <c r="EGQ63" s="349"/>
      <c r="EGR63" s="349"/>
      <c r="EGS63" s="349"/>
      <c r="EGT63" s="349"/>
      <c r="EGU63" s="349"/>
      <c r="EGV63" s="349"/>
      <c r="EGW63" s="349"/>
      <c r="EGX63" s="349"/>
      <c r="EGY63" s="349"/>
      <c r="EGZ63" s="349"/>
      <c r="EHA63" s="349"/>
      <c r="EHB63" s="349"/>
      <c r="EHC63" s="349"/>
      <c r="EHD63" s="349"/>
      <c r="EHE63" s="349"/>
      <c r="EHF63" s="349"/>
      <c r="EHG63" s="349"/>
      <c r="EHH63" s="349"/>
      <c r="EHI63" s="349"/>
      <c r="EHJ63" s="349"/>
      <c r="EHK63" s="349"/>
      <c r="EHL63" s="349"/>
      <c r="EHM63" s="349"/>
      <c r="EHN63" s="349"/>
      <c r="EHO63" s="349"/>
      <c r="EHP63" s="349"/>
      <c r="EHQ63" s="349"/>
      <c r="EHR63" s="349"/>
      <c r="EHS63" s="349"/>
      <c r="EHT63" s="349"/>
      <c r="EHU63" s="349"/>
      <c r="EHV63" s="349"/>
      <c r="EHW63" s="349"/>
      <c r="EHX63" s="349"/>
      <c r="EHY63" s="349"/>
      <c r="EHZ63" s="349"/>
      <c r="EIA63" s="349"/>
      <c r="EIB63" s="349"/>
      <c r="EIC63" s="349"/>
      <c r="EID63" s="349"/>
      <c r="EIE63" s="349"/>
      <c r="EIF63" s="349"/>
      <c r="EIG63" s="349"/>
      <c r="EIH63" s="349"/>
      <c r="EII63" s="349"/>
      <c r="EIJ63" s="349"/>
      <c r="EIK63" s="349"/>
      <c r="EIL63" s="349"/>
      <c r="EIM63" s="349"/>
      <c r="EIN63" s="349"/>
      <c r="EIO63" s="349"/>
      <c r="EIP63" s="349"/>
      <c r="EIQ63" s="349"/>
      <c r="EIR63" s="349"/>
      <c r="EIS63" s="349"/>
      <c r="EIT63" s="349"/>
      <c r="EIU63" s="349"/>
      <c r="EIV63" s="349"/>
      <c r="EIW63" s="349"/>
      <c r="EIX63" s="349"/>
      <c r="EIY63" s="349"/>
      <c r="EIZ63" s="349"/>
      <c r="EJA63" s="349"/>
      <c r="EJB63" s="349"/>
      <c r="EJC63" s="349"/>
      <c r="EJD63" s="349"/>
      <c r="EJE63" s="349"/>
      <c r="EJF63" s="349"/>
      <c r="EJG63" s="349"/>
      <c r="EJH63" s="349"/>
      <c r="EJI63" s="349"/>
      <c r="EJJ63" s="349"/>
      <c r="EJK63" s="349"/>
      <c r="EJL63" s="349"/>
      <c r="EJM63" s="349"/>
      <c r="EJN63" s="349"/>
      <c r="EJO63" s="349"/>
      <c r="EJP63" s="349"/>
      <c r="EJQ63" s="349"/>
      <c r="EJR63" s="349"/>
      <c r="EJS63" s="349"/>
      <c r="EJT63" s="349"/>
      <c r="EJU63" s="349"/>
      <c r="EJV63" s="349"/>
      <c r="EJW63" s="349"/>
      <c r="EJX63" s="349"/>
      <c r="EJY63" s="349"/>
      <c r="EJZ63" s="349"/>
      <c r="EKA63" s="349"/>
      <c r="EKB63" s="349"/>
      <c r="EKC63" s="349"/>
      <c r="EKD63" s="349"/>
      <c r="EKE63" s="349"/>
      <c r="EKF63" s="349"/>
      <c r="EKG63" s="349"/>
      <c r="EKH63" s="349"/>
      <c r="EKI63" s="349"/>
      <c r="EKJ63" s="349"/>
      <c r="EKK63" s="349"/>
      <c r="EKL63" s="349"/>
      <c r="EKM63" s="349"/>
      <c r="EKN63" s="349"/>
      <c r="EKO63" s="349"/>
      <c r="EKP63" s="349"/>
      <c r="EKQ63" s="349"/>
      <c r="EKR63" s="349"/>
      <c r="EKS63" s="349"/>
      <c r="EKT63" s="349"/>
      <c r="EKU63" s="349"/>
      <c r="EKV63" s="349"/>
      <c r="EKW63" s="349"/>
      <c r="EKX63" s="349"/>
      <c r="EKY63" s="349"/>
      <c r="EKZ63" s="349"/>
      <c r="ELA63" s="349"/>
      <c r="ELB63" s="349"/>
      <c r="ELC63" s="349"/>
      <c r="ELD63" s="349"/>
      <c r="ELE63" s="349"/>
      <c r="ELF63" s="349"/>
      <c r="ELG63" s="349"/>
      <c r="ELH63" s="349"/>
      <c r="ELI63" s="349"/>
      <c r="ELJ63" s="349"/>
      <c r="ELK63" s="349"/>
      <c r="ELL63" s="349"/>
      <c r="ELM63" s="349"/>
      <c r="ELN63" s="349"/>
      <c r="ELO63" s="349"/>
      <c r="ELP63" s="349"/>
      <c r="ELQ63" s="349"/>
      <c r="ELR63" s="349"/>
      <c r="ELS63" s="349"/>
      <c r="ELT63" s="349"/>
      <c r="ELU63" s="349"/>
      <c r="ELV63" s="349"/>
      <c r="ELW63" s="349"/>
      <c r="ELX63" s="349"/>
      <c r="ELY63" s="349"/>
      <c r="ELZ63" s="349"/>
      <c r="EMA63" s="349"/>
      <c r="EMB63" s="349"/>
      <c r="EMC63" s="349"/>
      <c r="EMD63" s="349"/>
      <c r="EME63" s="349"/>
      <c r="EMF63" s="349"/>
      <c r="EMG63" s="349"/>
      <c r="EMH63" s="349"/>
      <c r="EMI63" s="349"/>
      <c r="EMJ63" s="349"/>
      <c r="EMK63" s="349"/>
      <c r="EML63" s="349"/>
      <c r="EMM63" s="349"/>
      <c r="EMN63" s="349"/>
      <c r="EMO63" s="349"/>
      <c r="EMP63" s="349"/>
      <c r="EMQ63" s="349"/>
      <c r="EMR63" s="349"/>
      <c r="EMS63" s="349"/>
      <c r="EMT63" s="349"/>
      <c r="EMU63" s="349"/>
      <c r="EMV63" s="349"/>
      <c r="EMW63" s="349"/>
      <c r="EMX63" s="349"/>
      <c r="EMY63" s="349"/>
      <c r="EMZ63" s="349"/>
      <c r="ENA63" s="349"/>
      <c r="ENB63" s="349"/>
      <c r="ENC63" s="349"/>
      <c r="END63" s="349"/>
      <c r="ENE63" s="349"/>
      <c r="ENF63" s="349"/>
      <c r="ENG63" s="349"/>
      <c r="ENH63" s="349"/>
      <c r="ENI63" s="349"/>
      <c r="ENJ63" s="349"/>
      <c r="ENK63" s="349"/>
      <c r="ENL63" s="349"/>
      <c r="ENM63" s="349"/>
      <c r="ENN63" s="349"/>
      <c r="ENO63" s="349"/>
      <c r="ENP63" s="349"/>
      <c r="ENQ63" s="349"/>
      <c r="ENR63" s="349"/>
      <c r="ENS63" s="349"/>
      <c r="ENT63" s="349"/>
      <c r="ENU63" s="349"/>
      <c r="ENV63" s="349"/>
      <c r="ENW63" s="349"/>
      <c r="ENX63" s="349"/>
      <c r="ENY63" s="349"/>
      <c r="ENZ63" s="349"/>
      <c r="EOA63" s="349"/>
      <c r="EOB63" s="349"/>
      <c r="EOC63" s="349"/>
      <c r="EOD63" s="349"/>
      <c r="EOE63" s="349"/>
      <c r="EOF63" s="349"/>
      <c r="EOG63" s="349"/>
      <c r="EOH63" s="349"/>
      <c r="EOI63" s="349"/>
      <c r="EOJ63" s="349"/>
      <c r="EOK63" s="349"/>
      <c r="EOL63" s="349"/>
      <c r="EOM63" s="349"/>
      <c r="EON63" s="349"/>
      <c r="EOO63" s="349"/>
      <c r="EOP63" s="349"/>
      <c r="EOQ63" s="349"/>
      <c r="EOR63" s="349"/>
      <c r="EOS63" s="349"/>
      <c r="EOT63" s="349"/>
      <c r="EOU63" s="349"/>
      <c r="EOV63" s="349"/>
      <c r="EOW63" s="349"/>
      <c r="EOX63" s="349"/>
      <c r="EOY63" s="349"/>
      <c r="EOZ63" s="349"/>
      <c r="EPA63" s="349"/>
      <c r="EPB63" s="349"/>
      <c r="EPC63" s="349"/>
      <c r="EPD63" s="349"/>
      <c r="EPE63" s="349"/>
      <c r="EPF63" s="349"/>
      <c r="EPG63" s="349"/>
      <c r="EPH63" s="349"/>
      <c r="EPI63" s="349"/>
      <c r="EPJ63" s="349"/>
      <c r="EPK63" s="349"/>
      <c r="EPL63" s="349"/>
      <c r="EPM63" s="349"/>
      <c r="EPN63" s="349"/>
      <c r="EPO63" s="349"/>
      <c r="EPP63" s="349"/>
      <c r="EPQ63" s="349"/>
      <c r="EPR63" s="349"/>
      <c r="EPS63" s="349"/>
      <c r="EPT63" s="349"/>
      <c r="EPU63" s="349"/>
      <c r="EPV63" s="349"/>
      <c r="EPW63" s="349"/>
      <c r="EPX63" s="349"/>
      <c r="EPY63" s="349"/>
      <c r="EPZ63" s="349"/>
      <c r="EQA63" s="349"/>
      <c r="EQB63" s="349"/>
      <c r="EQC63" s="349"/>
      <c r="EQD63" s="349"/>
      <c r="EQE63" s="349"/>
      <c r="EQF63" s="349"/>
      <c r="EQG63" s="349"/>
      <c r="EQH63" s="349"/>
      <c r="EQI63" s="349"/>
      <c r="EQJ63" s="349"/>
      <c r="EQK63" s="349"/>
      <c r="EQL63" s="349"/>
      <c r="EQM63" s="349"/>
      <c r="EQN63" s="349"/>
      <c r="EQO63" s="349"/>
      <c r="EQP63" s="349"/>
      <c r="EQQ63" s="349"/>
      <c r="EQR63" s="349"/>
      <c r="EQS63" s="349"/>
      <c r="EQT63" s="349"/>
      <c r="EQU63" s="349"/>
      <c r="EQV63" s="349"/>
      <c r="EQW63" s="349"/>
      <c r="EQX63" s="349"/>
      <c r="EQY63" s="349"/>
      <c r="EQZ63" s="349"/>
      <c r="ERA63" s="349"/>
      <c r="ERB63" s="349"/>
      <c r="ERC63" s="349"/>
      <c r="ERD63" s="349"/>
      <c r="ERE63" s="349"/>
      <c r="ERF63" s="349"/>
      <c r="ERG63" s="349"/>
      <c r="ERH63" s="349"/>
      <c r="ERI63" s="349"/>
      <c r="ERJ63" s="349"/>
      <c r="ERK63" s="349"/>
      <c r="ERL63" s="349"/>
      <c r="ERM63" s="349"/>
      <c r="ERN63" s="349"/>
      <c r="ERO63" s="349"/>
      <c r="ERP63" s="349"/>
      <c r="ERQ63" s="349"/>
      <c r="ERR63" s="349"/>
      <c r="ERS63" s="349"/>
      <c r="ERT63" s="349"/>
      <c r="ERU63" s="349"/>
      <c r="ERV63" s="349"/>
      <c r="ERW63" s="349"/>
      <c r="ERX63" s="349"/>
      <c r="ERY63" s="349"/>
      <c r="ERZ63" s="349"/>
      <c r="ESA63" s="349"/>
      <c r="ESB63" s="349"/>
      <c r="ESC63" s="349"/>
      <c r="ESD63" s="349"/>
      <c r="ESE63" s="349"/>
      <c r="ESF63" s="349"/>
      <c r="ESG63" s="349"/>
      <c r="ESH63" s="349"/>
      <c r="ESI63" s="349"/>
      <c r="ESJ63" s="349"/>
      <c r="ESK63" s="349"/>
      <c r="ESL63" s="349"/>
      <c r="ESM63" s="349"/>
      <c r="ESN63" s="349"/>
      <c r="ESO63" s="349"/>
      <c r="ESP63" s="349"/>
      <c r="ESQ63" s="349"/>
      <c r="ESR63" s="349"/>
      <c r="ESS63" s="349"/>
      <c r="EST63" s="349"/>
      <c r="ESU63" s="349"/>
      <c r="ESV63" s="349"/>
      <c r="ESW63" s="349"/>
      <c r="ESX63" s="349"/>
      <c r="ESY63" s="349"/>
      <c r="ESZ63" s="349"/>
      <c r="ETA63" s="349"/>
      <c r="ETB63" s="349"/>
      <c r="ETC63" s="349"/>
      <c r="ETD63" s="349"/>
      <c r="ETE63" s="349"/>
      <c r="ETF63" s="349"/>
      <c r="ETG63" s="349"/>
      <c r="ETH63" s="349"/>
      <c r="ETI63" s="349"/>
      <c r="ETJ63" s="349"/>
      <c r="ETK63" s="349"/>
      <c r="ETL63" s="349"/>
      <c r="ETM63" s="349"/>
      <c r="ETN63" s="349"/>
      <c r="ETO63" s="349"/>
      <c r="ETP63" s="349"/>
      <c r="ETQ63" s="349"/>
      <c r="ETR63" s="349"/>
      <c r="ETS63" s="349"/>
      <c r="ETT63" s="349"/>
      <c r="ETU63" s="349"/>
      <c r="ETV63" s="349"/>
      <c r="ETW63" s="349"/>
      <c r="ETX63" s="349"/>
      <c r="ETY63" s="349"/>
      <c r="ETZ63" s="349"/>
      <c r="EUA63" s="349"/>
      <c r="EUB63" s="349"/>
      <c r="EUC63" s="349"/>
      <c r="EUD63" s="349"/>
      <c r="EUE63" s="349"/>
      <c r="EUF63" s="349"/>
      <c r="EUG63" s="349"/>
      <c r="EUH63" s="349"/>
      <c r="EUI63" s="349"/>
      <c r="EUJ63" s="349"/>
      <c r="EUK63" s="349"/>
      <c r="EUL63" s="349"/>
      <c r="EUM63" s="349"/>
      <c r="EUN63" s="349"/>
      <c r="EUO63" s="349"/>
      <c r="EUP63" s="349"/>
      <c r="EUQ63" s="349"/>
      <c r="EUR63" s="349"/>
      <c r="EUS63" s="349"/>
      <c r="EUT63" s="349"/>
      <c r="EUU63" s="349"/>
      <c r="EUV63" s="349"/>
      <c r="EUW63" s="349"/>
      <c r="EUX63" s="349"/>
      <c r="EUY63" s="349"/>
      <c r="EUZ63" s="349"/>
      <c r="EVA63" s="349"/>
      <c r="EVB63" s="349"/>
      <c r="EVC63" s="349"/>
      <c r="EVD63" s="349"/>
      <c r="EVE63" s="349"/>
      <c r="EVF63" s="349"/>
      <c r="EVG63" s="349"/>
      <c r="EVH63" s="349"/>
      <c r="EVI63" s="349"/>
      <c r="EVJ63" s="349"/>
      <c r="EVK63" s="349"/>
      <c r="EVL63" s="349"/>
      <c r="EVM63" s="349"/>
      <c r="EVN63" s="349"/>
      <c r="EVO63" s="349"/>
      <c r="EVP63" s="349"/>
      <c r="EVQ63" s="349"/>
      <c r="EVR63" s="349"/>
      <c r="EVS63" s="349"/>
      <c r="EVT63" s="349"/>
      <c r="EVU63" s="349"/>
      <c r="EVV63" s="349"/>
      <c r="EVW63" s="349"/>
      <c r="EVX63" s="349"/>
      <c r="EVY63" s="349"/>
      <c r="EVZ63" s="349"/>
      <c r="EWA63" s="349"/>
      <c r="EWB63" s="349"/>
      <c r="EWC63" s="349"/>
      <c r="EWD63" s="349"/>
      <c r="EWE63" s="349"/>
      <c r="EWF63" s="349"/>
      <c r="EWG63" s="349"/>
      <c r="EWH63" s="349"/>
      <c r="EWI63" s="349"/>
      <c r="EWJ63" s="349"/>
      <c r="EWK63" s="349"/>
      <c r="EWL63" s="349"/>
      <c r="EWM63" s="349"/>
      <c r="EWN63" s="349"/>
      <c r="EWO63" s="349"/>
      <c r="EWP63" s="349"/>
      <c r="EWQ63" s="349"/>
      <c r="EWR63" s="349"/>
      <c r="EWS63" s="349"/>
      <c r="EWT63" s="349"/>
      <c r="EWU63" s="349"/>
      <c r="EWV63" s="349"/>
      <c r="EWW63" s="349"/>
      <c r="EWX63" s="349"/>
      <c r="EWY63" s="349"/>
      <c r="EWZ63" s="349"/>
      <c r="EXA63" s="349"/>
      <c r="EXB63" s="349"/>
      <c r="EXC63" s="349"/>
      <c r="EXD63" s="349"/>
      <c r="EXE63" s="349"/>
      <c r="EXF63" s="349"/>
      <c r="EXG63" s="349"/>
      <c r="EXH63" s="349"/>
      <c r="EXI63" s="349"/>
      <c r="EXJ63" s="349"/>
      <c r="EXK63" s="349"/>
      <c r="EXL63" s="349"/>
      <c r="EXM63" s="349"/>
      <c r="EXN63" s="349"/>
      <c r="EXO63" s="349"/>
      <c r="EXP63" s="349"/>
      <c r="EXQ63" s="349"/>
      <c r="EXR63" s="349"/>
      <c r="EXS63" s="349"/>
      <c r="EXT63" s="349"/>
      <c r="EXU63" s="349"/>
      <c r="EXV63" s="349"/>
      <c r="EXW63" s="349"/>
      <c r="EXX63" s="349"/>
      <c r="EXY63" s="349"/>
      <c r="EXZ63" s="349"/>
      <c r="EYA63" s="349"/>
      <c r="EYB63" s="349"/>
      <c r="EYC63" s="349"/>
      <c r="EYD63" s="349"/>
      <c r="EYE63" s="349"/>
      <c r="EYF63" s="349"/>
      <c r="EYG63" s="349"/>
      <c r="EYH63" s="349"/>
      <c r="EYI63" s="349"/>
      <c r="EYJ63" s="349"/>
      <c r="EYK63" s="349"/>
      <c r="EYL63" s="349"/>
      <c r="EYM63" s="349"/>
      <c r="EYN63" s="349"/>
      <c r="EYO63" s="349"/>
      <c r="EYP63" s="349"/>
      <c r="EYQ63" s="349"/>
      <c r="EYR63" s="349"/>
      <c r="EYS63" s="349"/>
      <c r="EYT63" s="349"/>
      <c r="EYU63" s="349"/>
      <c r="EYV63" s="349"/>
      <c r="EYW63" s="349"/>
      <c r="EYX63" s="349"/>
      <c r="EYY63" s="349"/>
      <c r="EYZ63" s="349"/>
      <c r="EZA63" s="349"/>
      <c r="EZB63" s="349"/>
      <c r="EZC63" s="349"/>
      <c r="EZD63" s="349"/>
      <c r="EZE63" s="349"/>
      <c r="EZF63" s="349"/>
      <c r="EZG63" s="349"/>
      <c r="EZH63" s="349"/>
      <c r="EZI63" s="349"/>
      <c r="EZJ63" s="349"/>
      <c r="EZK63" s="349"/>
      <c r="EZL63" s="349"/>
      <c r="EZM63" s="349"/>
      <c r="EZN63" s="349"/>
      <c r="EZO63" s="349"/>
      <c r="EZP63" s="349"/>
      <c r="EZQ63" s="349"/>
      <c r="EZR63" s="349"/>
      <c r="EZS63" s="349"/>
      <c r="EZT63" s="349"/>
      <c r="EZU63" s="349"/>
      <c r="EZV63" s="349"/>
      <c r="EZW63" s="349"/>
      <c r="EZX63" s="349"/>
      <c r="EZY63" s="349"/>
      <c r="EZZ63" s="349"/>
      <c r="FAA63" s="349"/>
      <c r="FAB63" s="349"/>
      <c r="FAC63" s="349"/>
      <c r="FAD63" s="349"/>
      <c r="FAE63" s="349"/>
      <c r="FAF63" s="349"/>
      <c r="FAG63" s="349"/>
      <c r="FAH63" s="349"/>
      <c r="FAI63" s="349"/>
      <c r="FAJ63" s="349"/>
      <c r="FAK63" s="349"/>
      <c r="FAL63" s="349"/>
      <c r="FAM63" s="349"/>
      <c r="FAN63" s="349"/>
      <c r="FAO63" s="349"/>
      <c r="FAP63" s="349"/>
      <c r="FAQ63" s="349"/>
      <c r="FAR63" s="349"/>
      <c r="FAS63" s="349"/>
      <c r="FAT63" s="349"/>
      <c r="FAU63" s="349"/>
      <c r="FAV63" s="349"/>
      <c r="FAW63" s="349"/>
      <c r="FAX63" s="349"/>
      <c r="FAY63" s="349"/>
      <c r="FAZ63" s="349"/>
      <c r="FBA63" s="349"/>
      <c r="FBB63" s="349"/>
      <c r="FBC63" s="349"/>
      <c r="FBD63" s="349"/>
      <c r="FBE63" s="349"/>
      <c r="FBF63" s="349"/>
      <c r="FBG63" s="349"/>
      <c r="FBH63" s="349"/>
      <c r="FBI63" s="349"/>
      <c r="FBJ63" s="349"/>
      <c r="FBK63" s="349"/>
      <c r="FBL63" s="349"/>
      <c r="FBM63" s="349"/>
      <c r="FBN63" s="349"/>
      <c r="FBO63" s="349"/>
      <c r="FBP63" s="349"/>
      <c r="FBQ63" s="349"/>
      <c r="FBR63" s="349"/>
      <c r="FBS63" s="349"/>
      <c r="FBT63" s="349"/>
      <c r="FBU63" s="349"/>
      <c r="FBV63" s="349"/>
      <c r="FBW63" s="349"/>
      <c r="FBX63" s="349"/>
      <c r="FBY63" s="349"/>
      <c r="FBZ63" s="349"/>
      <c r="FCA63" s="349"/>
      <c r="FCB63" s="349"/>
      <c r="FCC63" s="349"/>
      <c r="FCD63" s="349"/>
      <c r="FCE63" s="349"/>
      <c r="FCF63" s="349"/>
      <c r="FCG63" s="349"/>
      <c r="FCH63" s="349"/>
      <c r="FCI63" s="349"/>
      <c r="FCJ63" s="349"/>
      <c r="FCK63" s="349"/>
      <c r="FCL63" s="349"/>
      <c r="FCM63" s="349"/>
      <c r="FCN63" s="349"/>
      <c r="FCO63" s="349"/>
      <c r="FCP63" s="349"/>
      <c r="FCQ63" s="349"/>
      <c r="FCR63" s="349"/>
      <c r="FCS63" s="349"/>
      <c r="FCT63" s="349"/>
      <c r="FCU63" s="349"/>
      <c r="FCV63" s="349"/>
      <c r="FCW63" s="349"/>
      <c r="FCX63" s="349"/>
      <c r="FCY63" s="349"/>
      <c r="FCZ63" s="349"/>
      <c r="FDA63" s="349"/>
      <c r="FDB63" s="349"/>
      <c r="FDC63" s="349"/>
      <c r="FDD63" s="349"/>
      <c r="FDE63" s="349"/>
      <c r="FDF63" s="349"/>
      <c r="FDG63" s="349"/>
      <c r="FDH63" s="349"/>
      <c r="FDI63" s="349"/>
      <c r="FDJ63" s="349"/>
      <c r="FDK63" s="349"/>
      <c r="FDL63" s="349"/>
      <c r="FDM63" s="349"/>
      <c r="FDN63" s="349"/>
      <c r="FDO63" s="349"/>
      <c r="FDP63" s="349"/>
      <c r="FDQ63" s="349"/>
      <c r="FDR63" s="349"/>
      <c r="FDS63" s="349"/>
      <c r="FDT63" s="349"/>
      <c r="FDU63" s="349"/>
      <c r="FDV63" s="349"/>
      <c r="FDW63" s="349"/>
      <c r="FDX63" s="349"/>
      <c r="FDY63" s="349"/>
      <c r="FDZ63" s="349"/>
      <c r="FEA63" s="349"/>
      <c r="FEB63" s="349"/>
      <c r="FEC63" s="349"/>
      <c r="FED63" s="349"/>
      <c r="FEE63" s="349"/>
      <c r="FEF63" s="349"/>
      <c r="FEG63" s="349"/>
      <c r="FEH63" s="349"/>
      <c r="FEI63" s="349"/>
      <c r="FEJ63" s="349"/>
      <c r="FEK63" s="349"/>
      <c r="FEL63" s="349"/>
      <c r="FEM63" s="349"/>
      <c r="FEN63" s="349"/>
      <c r="FEO63" s="349"/>
      <c r="FEP63" s="349"/>
      <c r="FEQ63" s="349"/>
      <c r="FER63" s="349"/>
      <c r="FES63" s="349"/>
      <c r="FET63" s="349"/>
      <c r="FEU63" s="349"/>
      <c r="FEV63" s="349"/>
      <c r="FEW63" s="349"/>
      <c r="FEX63" s="349"/>
      <c r="FEY63" s="349"/>
      <c r="FEZ63" s="349"/>
      <c r="FFA63" s="349"/>
      <c r="FFB63" s="349"/>
      <c r="FFC63" s="349"/>
      <c r="FFD63" s="349"/>
      <c r="FFE63" s="349"/>
      <c r="FFF63" s="349"/>
      <c r="FFG63" s="349"/>
      <c r="FFH63" s="349"/>
      <c r="FFI63" s="349"/>
      <c r="FFJ63" s="349"/>
      <c r="FFK63" s="349"/>
      <c r="FFL63" s="349"/>
      <c r="FFM63" s="349"/>
      <c r="FFN63" s="349"/>
      <c r="FFO63" s="349"/>
      <c r="FFP63" s="349"/>
      <c r="FFQ63" s="349"/>
      <c r="FFR63" s="349"/>
      <c r="FFS63" s="349"/>
      <c r="FFT63" s="349"/>
      <c r="FFU63" s="349"/>
      <c r="FFV63" s="349"/>
      <c r="FFW63" s="349"/>
      <c r="FFX63" s="349"/>
      <c r="FFY63" s="349"/>
      <c r="FFZ63" s="349"/>
      <c r="FGA63" s="349"/>
      <c r="FGB63" s="349"/>
      <c r="FGC63" s="349"/>
      <c r="FGD63" s="349"/>
      <c r="FGE63" s="349"/>
      <c r="FGF63" s="349"/>
      <c r="FGG63" s="349"/>
      <c r="FGH63" s="349"/>
      <c r="FGI63" s="349"/>
      <c r="FGJ63" s="349"/>
      <c r="FGK63" s="349"/>
      <c r="FGL63" s="349"/>
      <c r="FGM63" s="349"/>
      <c r="FGN63" s="349"/>
      <c r="FGO63" s="349"/>
      <c r="FGP63" s="349"/>
      <c r="FGQ63" s="349"/>
      <c r="FGR63" s="349"/>
      <c r="FGS63" s="349"/>
      <c r="FGT63" s="349"/>
      <c r="FGU63" s="349"/>
      <c r="FGV63" s="349"/>
      <c r="FGW63" s="349"/>
      <c r="FGX63" s="349"/>
      <c r="FGY63" s="349"/>
      <c r="FGZ63" s="349"/>
      <c r="FHA63" s="349"/>
      <c r="FHB63" s="349"/>
      <c r="FHC63" s="349"/>
      <c r="FHD63" s="349"/>
      <c r="FHE63" s="349"/>
      <c r="FHF63" s="349"/>
      <c r="FHG63" s="349"/>
      <c r="FHH63" s="349"/>
      <c r="FHI63" s="349"/>
      <c r="FHJ63" s="349"/>
      <c r="FHK63" s="349"/>
      <c r="FHL63" s="349"/>
      <c r="FHM63" s="349"/>
      <c r="FHN63" s="349"/>
      <c r="FHO63" s="349"/>
      <c r="FHP63" s="349"/>
      <c r="FHQ63" s="349"/>
      <c r="FHR63" s="349"/>
      <c r="FHS63" s="349"/>
      <c r="FHT63" s="349"/>
      <c r="FHU63" s="349"/>
      <c r="FHV63" s="349"/>
      <c r="FHW63" s="349"/>
      <c r="FHX63" s="349"/>
      <c r="FHY63" s="349"/>
      <c r="FHZ63" s="349"/>
      <c r="FIA63" s="349"/>
      <c r="FIB63" s="349"/>
      <c r="FIC63" s="349"/>
      <c r="FID63" s="349"/>
      <c r="FIE63" s="349"/>
      <c r="FIF63" s="349"/>
      <c r="FIG63" s="349"/>
      <c r="FIH63" s="349"/>
      <c r="FII63" s="349"/>
      <c r="FIJ63" s="349"/>
      <c r="FIK63" s="349"/>
      <c r="FIL63" s="349"/>
      <c r="FIM63" s="349"/>
      <c r="FIN63" s="349"/>
      <c r="FIO63" s="349"/>
      <c r="FIP63" s="349"/>
      <c r="FIQ63" s="349"/>
      <c r="FIR63" s="349"/>
      <c r="FIS63" s="349"/>
      <c r="FIT63" s="349"/>
      <c r="FIU63" s="349"/>
      <c r="FIV63" s="349"/>
      <c r="FIW63" s="349"/>
      <c r="FIX63" s="349"/>
      <c r="FIY63" s="349"/>
      <c r="FIZ63" s="349"/>
      <c r="FJA63" s="349"/>
      <c r="FJB63" s="349"/>
      <c r="FJC63" s="349"/>
      <c r="FJD63" s="349"/>
      <c r="FJE63" s="349"/>
      <c r="FJF63" s="349"/>
      <c r="FJG63" s="349"/>
      <c r="FJH63" s="349"/>
      <c r="FJI63" s="349"/>
      <c r="FJJ63" s="349"/>
      <c r="FJK63" s="349"/>
      <c r="FJL63" s="349"/>
      <c r="FJM63" s="349"/>
      <c r="FJN63" s="349"/>
      <c r="FJO63" s="349"/>
      <c r="FJP63" s="349"/>
      <c r="FJQ63" s="349"/>
      <c r="FJR63" s="349"/>
      <c r="FJS63" s="349"/>
      <c r="FJT63" s="349"/>
      <c r="FJU63" s="349"/>
      <c r="FJV63" s="349"/>
      <c r="FJW63" s="349"/>
      <c r="FJX63" s="349"/>
      <c r="FJY63" s="349"/>
      <c r="FJZ63" s="349"/>
      <c r="FKA63" s="349"/>
      <c r="FKB63" s="349"/>
      <c r="FKC63" s="349"/>
      <c r="FKD63" s="349"/>
      <c r="FKE63" s="349"/>
      <c r="FKF63" s="349"/>
      <c r="FKG63" s="349"/>
      <c r="FKH63" s="349"/>
      <c r="FKI63" s="349"/>
      <c r="FKJ63" s="349"/>
      <c r="FKK63" s="349"/>
      <c r="FKL63" s="349"/>
      <c r="FKM63" s="349"/>
      <c r="FKN63" s="349"/>
      <c r="FKO63" s="349"/>
      <c r="FKP63" s="349"/>
      <c r="FKQ63" s="349"/>
      <c r="FKR63" s="349"/>
      <c r="FKS63" s="349"/>
      <c r="FKT63" s="349"/>
      <c r="FKU63" s="349"/>
      <c r="FKV63" s="349"/>
      <c r="FKW63" s="349"/>
      <c r="FKX63" s="349"/>
      <c r="FKY63" s="349"/>
      <c r="FKZ63" s="349"/>
      <c r="FLA63" s="349"/>
      <c r="FLB63" s="349"/>
      <c r="FLC63" s="349"/>
      <c r="FLD63" s="349"/>
      <c r="FLE63" s="349"/>
      <c r="FLF63" s="349"/>
      <c r="FLG63" s="349"/>
      <c r="FLH63" s="349"/>
      <c r="FLI63" s="349"/>
      <c r="FLJ63" s="349"/>
      <c r="FLK63" s="349"/>
      <c r="FLL63" s="349"/>
      <c r="FLM63" s="349"/>
      <c r="FLN63" s="349"/>
      <c r="FLO63" s="349"/>
      <c r="FLP63" s="349"/>
      <c r="FLQ63" s="349"/>
      <c r="FLR63" s="349"/>
      <c r="FLS63" s="349"/>
      <c r="FLT63" s="349"/>
      <c r="FLU63" s="349"/>
      <c r="FLV63" s="349"/>
      <c r="FLW63" s="349"/>
      <c r="FLX63" s="349"/>
      <c r="FLY63" s="349"/>
      <c r="FLZ63" s="349"/>
      <c r="FMA63" s="349"/>
      <c r="FMB63" s="349"/>
      <c r="FMC63" s="349"/>
      <c r="FMD63" s="349"/>
      <c r="FME63" s="349"/>
      <c r="FMF63" s="349"/>
      <c r="FMG63" s="349"/>
      <c r="FMH63" s="349"/>
      <c r="FMI63" s="349"/>
      <c r="FMJ63" s="349"/>
      <c r="FMK63" s="349"/>
      <c r="FML63" s="349"/>
      <c r="FMM63" s="349"/>
      <c r="FMN63" s="349"/>
      <c r="FMO63" s="349"/>
      <c r="FMP63" s="349"/>
      <c r="FMQ63" s="349"/>
      <c r="FMR63" s="349"/>
      <c r="FMS63" s="349"/>
      <c r="FMT63" s="349"/>
      <c r="FMU63" s="349"/>
      <c r="FMV63" s="349"/>
      <c r="FMW63" s="349"/>
      <c r="FMX63" s="349"/>
      <c r="FMY63" s="349"/>
      <c r="FMZ63" s="349"/>
      <c r="FNA63" s="349"/>
      <c r="FNB63" s="349"/>
      <c r="FNC63" s="349"/>
      <c r="FND63" s="349"/>
      <c r="FNE63" s="349"/>
      <c r="FNF63" s="349"/>
      <c r="FNG63" s="349"/>
      <c r="FNH63" s="349"/>
      <c r="FNI63" s="349"/>
      <c r="FNJ63" s="349"/>
      <c r="FNK63" s="349"/>
      <c r="FNL63" s="349"/>
      <c r="FNM63" s="349"/>
      <c r="FNN63" s="349"/>
      <c r="FNO63" s="349"/>
      <c r="FNP63" s="349"/>
      <c r="FNQ63" s="349"/>
      <c r="FNR63" s="349"/>
      <c r="FNS63" s="349"/>
      <c r="FNT63" s="349"/>
      <c r="FNU63" s="349"/>
      <c r="FNV63" s="349"/>
      <c r="FNW63" s="349"/>
      <c r="FNX63" s="349"/>
      <c r="FNY63" s="349"/>
      <c r="FNZ63" s="349"/>
      <c r="FOA63" s="349"/>
      <c r="FOB63" s="349"/>
      <c r="FOC63" s="349"/>
      <c r="FOD63" s="349"/>
      <c r="FOE63" s="349"/>
      <c r="FOF63" s="349"/>
      <c r="FOG63" s="349"/>
      <c r="FOH63" s="349"/>
      <c r="FOI63" s="349"/>
      <c r="FOJ63" s="349"/>
      <c r="FOK63" s="349"/>
      <c r="FOL63" s="349"/>
      <c r="FOM63" s="349"/>
      <c r="FON63" s="349"/>
      <c r="FOO63" s="349"/>
      <c r="FOP63" s="349"/>
      <c r="FOQ63" s="349"/>
      <c r="FOR63" s="349"/>
      <c r="FOS63" s="349"/>
      <c r="FOT63" s="349"/>
      <c r="FOU63" s="349"/>
      <c r="FOV63" s="349"/>
      <c r="FOW63" s="349"/>
      <c r="FOX63" s="349"/>
      <c r="FOY63" s="349"/>
      <c r="FOZ63" s="349"/>
      <c r="FPA63" s="349"/>
      <c r="FPB63" s="349"/>
      <c r="FPC63" s="349"/>
      <c r="FPD63" s="349"/>
      <c r="FPE63" s="349"/>
      <c r="FPF63" s="349"/>
      <c r="FPG63" s="349"/>
      <c r="FPH63" s="349"/>
      <c r="FPI63" s="349"/>
      <c r="FPJ63" s="349"/>
      <c r="FPK63" s="349"/>
      <c r="FPL63" s="349"/>
      <c r="FPM63" s="349"/>
      <c r="FPN63" s="349"/>
      <c r="FPO63" s="349"/>
      <c r="FPP63" s="349"/>
      <c r="FPQ63" s="349"/>
      <c r="FPR63" s="349"/>
      <c r="FPS63" s="349"/>
      <c r="FPT63" s="349"/>
      <c r="FPU63" s="349"/>
      <c r="FPV63" s="349"/>
      <c r="FPW63" s="349"/>
      <c r="FPX63" s="349"/>
      <c r="FPY63" s="349"/>
      <c r="FPZ63" s="349"/>
      <c r="FQA63" s="349"/>
      <c r="FQB63" s="349"/>
      <c r="FQC63" s="349"/>
      <c r="FQD63" s="349"/>
      <c r="FQE63" s="349"/>
      <c r="FQF63" s="349"/>
      <c r="FQG63" s="349"/>
      <c r="FQH63" s="349"/>
      <c r="FQI63" s="349"/>
      <c r="FQJ63" s="349"/>
      <c r="FQK63" s="349"/>
      <c r="FQL63" s="349"/>
      <c r="FQM63" s="349"/>
      <c r="FQN63" s="349"/>
      <c r="FQO63" s="349"/>
      <c r="FQP63" s="349"/>
      <c r="FQQ63" s="349"/>
      <c r="FQR63" s="349"/>
      <c r="FQS63" s="349"/>
      <c r="FQT63" s="349"/>
      <c r="FQU63" s="349"/>
      <c r="FQV63" s="349"/>
      <c r="FQW63" s="349"/>
      <c r="FQX63" s="349"/>
      <c r="FQY63" s="349"/>
      <c r="FQZ63" s="349"/>
      <c r="FRA63" s="349"/>
      <c r="FRB63" s="349"/>
      <c r="FRC63" s="349"/>
      <c r="FRD63" s="349"/>
      <c r="FRE63" s="349"/>
      <c r="FRF63" s="349"/>
      <c r="FRG63" s="349"/>
      <c r="FRH63" s="349"/>
      <c r="FRI63" s="349"/>
      <c r="FRJ63" s="349"/>
      <c r="FRK63" s="349"/>
      <c r="FRL63" s="349"/>
      <c r="FRM63" s="349"/>
      <c r="FRN63" s="349"/>
      <c r="FRO63" s="349"/>
      <c r="FRP63" s="349"/>
      <c r="FRQ63" s="349"/>
      <c r="FRR63" s="349"/>
      <c r="FRS63" s="349"/>
      <c r="FRT63" s="349"/>
      <c r="FRU63" s="349"/>
      <c r="FRV63" s="349"/>
      <c r="FRW63" s="349"/>
      <c r="FRX63" s="349"/>
      <c r="FRY63" s="349"/>
      <c r="FRZ63" s="349"/>
      <c r="FSA63" s="349"/>
      <c r="FSB63" s="349"/>
      <c r="FSC63" s="349"/>
      <c r="FSD63" s="349"/>
      <c r="FSE63" s="349"/>
      <c r="FSF63" s="349"/>
      <c r="FSG63" s="349"/>
      <c r="FSH63" s="349"/>
      <c r="FSI63" s="349"/>
      <c r="FSJ63" s="349"/>
      <c r="FSK63" s="349"/>
      <c r="FSL63" s="349"/>
      <c r="FSM63" s="349"/>
      <c r="FSN63" s="349"/>
      <c r="FSO63" s="349"/>
      <c r="FSP63" s="349"/>
      <c r="FSQ63" s="349"/>
      <c r="FSR63" s="349"/>
      <c r="FSS63" s="349"/>
      <c r="FST63" s="349"/>
      <c r="FSU63" s="349"/>
      <c r="FSV63" s="349"/>
      <c r="FSW63" s="349"/>
      <c r="FSX63" s="349"/>
      <c r="FSY63" s="349"/>
      <c r="FSZ63" s="349"/>
      <c r="FTA63" s="349"/>
      <c r="FTB63" s="349"/>
      <c r="FTC63" s="349"/>
      <c r="FTD63" s="349"/>
      <c r="FTE63" s="349"/>
      <c r="FTF63" s="349"/>
      <c r="FTG63" s="349"/>
      <c r="FTH63" s="349"/>
      <c r="FTI63" s="349"/>
      <c r="FTJ63" s="349"/>
      <c r="FTK63" s="349"/>
      <c r="FTL63" s="349"/>
      <c r="FTM63" s="349"/>
      <c r="FTN63" s="349"/>
      <c r="FTO63" s="349"/>
      <c r="FTP63" s="349"/>
      <c r="FTQ63" s="349"/>
      <c r="FTR63" s="349"/>
      <c r="FTS63" s="349"/>
      <c r="FTT63" s="349"/>
      <c r="FTU63" s="349"/>
      <c r="FTV63" s="349"/>
      <c r="FTW63" s="349"/>
      <c r="FTX63" s="349"/>
      <c r="FTY63" s="349"/>
      <c r="FTZ63" s="349"/>
      <c r="FUA63" s="349"/>
      <c r="FUB63" s="349"/>
      <c r="FUC63" s="349"/>
      <c r="FUD63" s="349"/>
      <c r="FUE63" s="349"/>
      <c r="FUF63" s="349"/>
      <c r="FUG63" s="349"/>
      <c r="FUH63" s="349"/>
      <c r="FUI63" s="349"/>
      <c r="FUJ63" s="349"/>
      <c r="FUK63" s="349"/>
      <c r="FUL63" s="349"/>
      <c r="FUM63" s="349"/>
      <c r="FUN63" s="349"/>
      <c r="FUO63" s="349"/>
      <c r="FUP63" s="349"/>
      <c r="FUQ63" s="349"/>
      <c r="FUR63" s="349"/>
      <c r="FUS63" s="349"/>
      <c r="FUT63" s="349"/>
      <c r="FUU63" s="349"/>
      <c r="FUV63" s="349"/>
      <c r="FUW63" s="349"/>
      <c r="FUX63" s="349"/>
      <c r="FUY63" s="349"/>
      <c r="FUZ63" s="349"/>
      <c r="FVA63" s="349"/>
      <c r="FVB63" s="349"/>
      <c r="FVC63" s="349"/>
      <c r="FVD63" s="349"/>
      <c r="FVE63" s="349"/>
      <c r="FVF63" s="349"/>
      <c r="FVG63" s="349"/>
      <c r="FVH63" s="349"/>
      <c r="FVI63" s="349"/>
      <c r="FVJ63" s="349"/>
      <c r="FVK63" s="349"/>
      <c r="FVL63" s="349"/>
      <c r="FVM63" s="349"/>
      <c r="FVN63" s="349"/>
      <c r="FVO63" s="349"/>
      <c r="FVP63" s="349"/>
      <c r="FVQ63" s="349"/>
      <c r="FVR63" s="349"/>
      <c r="FVS63" s="349"/>
      <c r="FVT63" s="349"/>
      <c r="FVU63" s="349"/>
      <c r="FVV63" s="349"/>
      <c r="FVW63" s="349"/>
      <c r="FVX63" s="349"/>
      <c r="FVY63" s="349"/>
      <c r="FVZ63" s="349"/>
      <c r="FWA63" s="349"/>
      <c r="FWB63" s="349"/>
      <c r="FWC63" s="349"/>
      <c r="FWD63" s="349"/>
      <c r="FWE63" s="349"/>
      <c r="FWF63" s="349"/>
      <c r="FWG63" s="349"/>
      <c r="FWH63" s="349"/>
      <c r="FWI63" s="349"/>
      <c r="FWJ63" s="349"/>
      <c r="FWK63" s="349"/>
      <c r="FWL63" s="349"/>
      <c r="FWM63" s="349"/>
      <c r="FWN63" s="349"/>
      <c r="FWO63" s="349"/>
      <c r="FWP63" s="349"/>
      <c r="FWQ63" s="349"/>
      <c r="FWR63" s="349"/>
      <c r="FWS63" s="349"/>
      <c r="FWT63" s="349"/>
      <c r="FWU63" s="349"/>
      <c r="FWV63" s="349"/>
      <c r="FWW63" s="349"/>
      <c r="FWX63" s="349"/>
      <c r="FWY63" s="349"/>
      <c r="FWZ63" s="349"/>
      <c r="FXA63" s="349"/>
      <c r="FXB63" s="349"/>
      <c r="FXC63" s="349"/>
      <c r="FXD63" s="349"/>
      <c r="FXE63" s="349"/>
      <c r="FXF63" s="349"/>
      <c r="FXG63" s="349"/>
      <c r="FXH63" s="349"/>
      <c r="FXI63" s="349"/>
      <c r="FXJ63" s="349"/>
      <c r="FXK63" s="349"/>
      <c r="FXL63" s="349"/>
      <c r="FXM63" s="349"/>
      <c r="FXN63" s="349"/>
      <c r="FXO63" s="349"/>
      <c r="FXP63" s="349"/>
      <c r="FXQ63" s="349"/>
      <c r="FXR63" s="349"/>
      <c r="FXS63" s="349"/>
      <c r="FXT63" s="349"/>
      <c r="FXU63" s="349"/>
      <c r="FXV63" s="349"/>
      <c r="FXW63" s="349"/>
      <c r="FXX63" s="349"/>
      <c r="FXY63" s="349"/>
      <c r="FXZ63" s="349"/>
      <c r="FYA63" s="349"/>
      <c r="FYB63" s="349"/>
      <c r="FYC63" s="349"/>
      <c r="FYD63" s="349"/>
      <c r="FYE63" s="349"/>
      <c r="FYF63" s="349"/>
      <c r="FYG63" s="349"/>
      <c r="FYH63" s="349"/>
      <c r="FYI63" s="349"/>
      <c r="FYJ63" s="349"/>
      <c r="FYK63" s="349"/>
      <c r="FYL63" s="349"/>
      <c r="FYM63" s="349"/>
      <c r="FYN63" s="349"/>
      <c r="FYO63" s="349"/>
      <c r="FYP63" s="349"/>
      <c r="FYQ63" s="349"/>
      <c r="FYR63" s="349"/>
      <c r="FYS63" s="349"/>
      <c r="FYT63" s="349"/>
      <c r="FYU63" s="349"/>
      <c r="FYV63" s="349"/>
      <c r="FYW63" s="349"/>
      <c r="FYX63" s="349"/>
      <c r="FYY63" s="349"/>
      <c r="FYZ63" s="349"/>
      <c r="FZA63" s="349"/>
      <c r="FZB63" s="349"/>
      <c r="FZC63" s="349"/>
      <c r="FZD63" s="349"/>
      <c r="FZE63" s="349"/>
      <c r="FZF63" s="349"/>
      <c r="FZG63" s="349"/>
      <c r="FZH63" s="349"/>
      <c r="FZI63" s="349"/>
      <c r="FZJ63" s="349"/>
      <c r="FZK63" s="349"/>
      <c r="FZL63" s="349"/>
      <c r="FZM63" s="349"/>
      <c r="FZN63" s="349"/>
      <c r="FZO63" s="349"/>
      <c r="FZP63" s="349"/>
      <c r="FZQ63" s="349"/>
      <c r="FZR63" s="349"/>
      <c r="FZS63" s="349"/>
      <c r="FZT63" s="349"/>
      <c r="FZU63" s="349"/>
      <c r="FZV63" s="349"/>
      <c r="FZW63" s="349"/>
      <c r="FZX63" s="349"/>
      <c r="FZY63" s="349"/>
      <c r="FZZ63" s="349"/>
      <c r="GAA63" s="349"/>
      <c r="GAB63" s="349"/>
      <c r="GAC63" s="349"/>
      <c r="GAD63" s="349"/>
      <c r="GAE63" s="349"/>
      <c r="GAF63" s="349"/>
      <c r="GAG63" s="349"/>
      <c r="GAH63" s="349"/>
      <c r="GAI63" s="349"/>
      <c r="GAJ63" s="349"/>
      <c r="GAK63" s="349"/>
      <c r="GAL63" s="349"/>
      <c r="GAM63" s="349"/>
      <c r="GAN63" s="349"/>
      <c r="GAO63" s="349"/>
      <c r="GAP63" s="349"/>
      <c r="GAQ63" s="349"/>
      <c r="GAR63" s="349"/>
      <c r="GAS63" s="349"/>
      <c r="GAT63" s="349"/>
      <c r="GAU63" s="349"/>
      <c r="GAV63" s="349"/>
      <c r="GAW63" s="349"/>
      <c r="GAX63" s="349"/>
      <c r="GAY63" s="349"/>
      <c r="GAZ63" s="349"/>
      <c r="GBA63" s="349"/>
      <c r="GBB63" s="349"/>
      <c r="GBC63" s="349"/>
      <c r="GBD63" s="349"/>
      <c r="GBE63" s="349"/>
      <c r="GBF63" s="349"/>
      <c r="GBG63" s="349"/>
      <c r="GBH63" s="349"/>
      <c r="GBI63" s="349"/>
      <c r="GBJ63" s="349"/>
      <c r="GBK63" s="349"/>
      <c r="GBL63" s="349"/>
      <c r="GBM63" s="349"/>
      <c r="GBN63" s="349"/>
      <c r="GBO63" s="349"/>
      <c r="GBP63" s="349"/>
      <c r="GBQ63" s="349"/>
      <c r="GBR63" s="349"/>
      <c r="GBS63" s="349"/>
      <c r="GBT63" s="349"/>
      <c r="GBU63" s="349"/>
      <c r="GBV63" s="349"/>
      <c r="GBW63" s="349"/>
      <c r="GBX63" s="349"/>
      <c r="GBY63" s="349"/>
      <c r="GBZ63" s="349"/>
      <c r="GCA63" s="349"/>
      <c r="GCB63" s="349"/>
      <c r="GCC63" s="349"/>
      <c r="GCD63" s="349"/>
      <c r="GCE63" s="349"/>
      <c r="GCF63" s="349"/>
      <c r="GCG63" s="349"/>
      <c r="GCH63" s="349"/>
      <c r="GCI63" s="349"/>
      <c r="GCJ63" s="349"/>
      <c r="GCK63" s="349"/>
      <c r="GCL63" s="349"/>
      <c r="GCM63" s="349"/>
      <c r="GCN63" s="349"/>
      <c r="GCO63" s="349"/>
      <c r="GCP63" s="349"/>
      <c r="GCQ63" s="349"/>
      <c r="GCR63" s="349"/>
      <c r="GCS63" s="349"/>
      <c r="GCT63" s="349"/>
      <c r="GCU63" s="349"/>
      <c r="GCV63" s="349"/>
      <c r="GCW63" s="349"/>
      <c r="GCX63" s="349"/>
      <c r="GCY63" s="349"/>
      <c r="GCZ63" s="349"/>
      <c r="GDA63" s="349"/>
      <c r="GDB63" s="349"/>
      <c r="GDC63" s="349"/>
      <c r="GDD63" s="349"/>
      <c r="GDE63" s="349"/>
      <c r="GDF63" s="349"/>
      <c r="GDG63" s="349"/>
      <c r="GDH63" s="349"/>
      <c r="GDI63" s="349"/>
      <c r="GDJ63" s="349"/>
      <c r="GDK63" s="349"/>
      <c r="GDL63" s="349"/>
      <c r="GDM63" s="349"/>
      <c r="GDN63" s="349"/>
      <c r="GDO63" s="349"/>
      <c r="GDP63" s="349"/>
      <c r="GDQ63" s="349"/>
      <c r="GDR63" s="349"/>
      <c r="GDS63" s="349"/>
      <c r="GDT63" s="349"/>
      <c r="GDU63" s="349"/>
      <c r="GDV63" s="349"/>
      <c r="GDW63" s="349"/>
      <c r="GDX63" s="349"/>
      <c r="GDY63" s="349"/>
      <c r="GDZ63" s="349"/>
      <c r="GEA63" s="349"/>
      <c r="GEB63" s="349"/>
      <c r="GEC63" s="349"/>
      <c r="GED63" s="349"/>
      <c r="GEE63" s="349"/>
      <c r="GEF63" s="349"/>
      <c r="GEG63" s="349"/>
      <c r="GEH63" s="349"/>
      <c r="GEI63" s="349"/>
      <c r="GEJ63" s="349"/>
      <c r="GEK63" s="349"/>
      <c r="GEL63" s="349"/>
      <c r="GEM63" s="349"/>
      <c r="GEN63" s="349"/>
      <c r="GEO63" s="349"/>
      <c r="GEP63" s="349"/>
      <c r="GEQ63" s="349"/>
      <c r="GER63" s="349"/>
      <c r="GES63" s="349"/>
      <c r="GET63" s="349"/>
      <c r="GEU63" s="349"/>
      <c r="GEV63" s="349"/>
      <c r="GEW63" s="349"/>
      <c r="GEX63" s="349"/>
      <c r="GEY63" s="349"/>
      <c r="GEZ63" s="349"/>
      <c r="GFA63" s="349"/>
      <c r="GFB63" s="349"/>
      <c r="GFC63" s="349"/>
      <c r="GFD63" s="349"/>
      <c r="GFE63" s="349"/>
      <c r="GFF63" s="349"/>
      <c r="GFG63" s="349"/>
      <c r="GFH63" s="349"/>
      <c r="GFI63" s="349"/>
      <c r="GFJ63" s="349"/>
      <c r="GFK63" s="349"/>
      <c r="GFL63" s="349"/>
      <c r="GFM63" s="349"/>
      <c r="GFN63" s="349"/>
      <c r="GFO63" s="349"/>
      <c r="GFP63" s="349"/>
      <c r="GFQ63" s="349"/>
      <c r="GFR63" s="349"/>
      <c r="GFS63" s="349"/>
      <c r="GFT63" s="349"/>
      <c r="GFU63" s="349"/>
      <c r="GFV63" s="349"/>
      <c r="GFW63" s="349"/>
      <c r="GFX63" s="349"/>
      <c r="GFY63" s="349"/>
      <c r="GFZ63" s="349"/>
      <c r="GGA63" s="349"/>
      <c r="GGB63" s="349"/>
      <c r="GGC63" s="349"/>
      <c r="GGD63" s="349"/>
      <c r="GGE63" s="349"/>
      <c r="GGF63" s="349"/>
      <c r="GGG63" s="349"/>
      <c r="GGH63" s="349"/>
      <c r="GGI63" s="349"/>
      <c r="GGJ63" s="349"/>
      <c r="GGK63" s="349"/>
      <c r="GGL63" s="349"/>
      <c r="GGM63" s="349"/>
      <c r="GGN63" s="349"/>
      <c r="GGO63" s="349"/>
      <c r="GGP63" s="349"/>
      <c r="GGQ63" s="349"/>
      <c r="GGR63" s="349"/>
      <c r="GGS63" s="349"/>
      <c r="GGT63" s="349"/>
      <c r="GGU63" s="349"/>
      <c r="GGV63" s="349"/>
      <c r="GGW63" s="349"/>
      <c r="GGX63" s="349"/>
      <c r="GGY63" s="349"/>
      <c r="GGZ63" s="349"/>
      <c r="GHA63" s="349"/>
      <c r="GHB63" s="349"/>
      <c r="GHC63" s="349"/>
      <c r="GHD63" s="349"/>
      <c r="GHE63" s="349"/>
      <c r="GHF63" s="349"/>
      <c r="GHG63" s="349"/>
      <c r="GHH63" s="349"/>
      <c r="GHI63" s="349"/>
      <c r="GHJ63" s="349"/>
      <c r="GHK63" s="349"/>
      <c r="GHL63" s="349"/>
      <c r="GHM63" s="349"/>
      <c r="GHN63" s="349"/>
      <c r="GHO63" s="349"/>
      <c r="GHP63" s="349"/>
      <c r="GHQ63" s="349"/>
      <c r="GHR63" s="349"/>
      <c r="GHS63" s="349"/>
      <c r="GHT63" s="349"/>
      <c r="GHU63" s="349"/>
      <c r="GHV63" s="349"/>
      <c r="GHW63" s="349"/>
      <c r="GHX63" s="349"/>
      <c r="GHY63" s="349"/>
      <c r="GHZ63" s="349"/>
      <c r="GIA63" s="349"/>
      <c r="GIB63" s="349"/>
      <c r="GIC63" s="349"/>
      <c r="GID63" s="349"/>
      <c r="GIE63" s="349"/>
      <c r="GIF63" s="349"/>
      <c r="GIG63" s="349"/>
      <c r="GIH63" s="349"/>
      <c r="GII63" s="349"/>
      <c r="GIJ63" s="349"/>
      <c r="GIK63" s="349"/>
      <c r="GIL63" s="349"/>
      <c r="GIM63" s="349"/>
      <c r="GIN63" s="349"/>
      <c r="GIO63" s="349"/>
      <c r="GIP63" s="349"/>
      <c r="GIQ63" s="349"/>
      <c r="GIR63" s="349"/>
      <c r="GIS63" s="349"/>
      <c r="GIT63" s="349"/>
      <c r="GIU63" s="349"/>
      <c r="GIV63" s="349"/>
      <c r="GIW63" s="349"/>
      <c r="GIX63" s="349"/>
      <c r="GIY63" s="349"/>
      <c r="GIZ63" s="349"/>
      <c r="GJA63" s="349"/>
      <c r="GJB63" s="349"/>
      <c r="GJC63" s="349"/>
      <c r="GJD63" s="349"/>
      <c r="GJE63" s="349"/>
      <c r="GJF63" s="349"/>
      <c r="GJG63" s="349"/>
      <c r="GJH63" s="349"/>
      <c r="GJI63" s="349"/>
      <c r="GJJ63" s="349"/>
      <c r="GJK63" s="349"/>
      <c r="GJL63" s="349"/>
      <c r="GJM63" s="349"/>
      <c r="GJN63" s="349"/>
      <c r="GJO63" s="349"/>
      <c r="GJP63" s="349"/>
      <c r="GJQ63" s="349"/>
      <c r="GJR63" s="349"/>
      <c r="GJS63" s="349"/>
      <c r="GJT63" s="349"/>
      <c r="GJU63" s="349"/>
      <c r="GJV63" s="349"/>
      <c r="GJW63" s="349"/>
      <c r="GJX63" s="349"/>
      <c r="GJY63" s="349"/>
      <c r="GJZ63" s="349"/>
      <c r="GKA63" s="349"/>
      <c r="GKB63" s="349"/>
      <c r="GKC63" s="349"/>
      <c r="GKD63" s="349"/>
      <c r="GKE63" s="349"/>
      <c r="GKF63" s="349"/>
      <c r="GKG63" s="349"/>
      <c r="GKH63" s="349"/>
      <c r="GKI63" s="349"/>
      <c r="GKJ63" s="349"/>
      <c r="GKK63" s="349"/>
      <c r="GKL63" s="349"/>
      <c r="GKM63" s="349"/>
      <c r="GKN63" s="349"/>
      <c r="GKO63" s="349"/>
      <c r="GKP63" s="349"/>
      <c r="GKQ63" s="349"/>
      <c r="GKR63" s="349"/>
      <c r="GKS63" s="349"/>
      <c r="GKT63" s="349"/>
      <c r="GKU63" s="349"/>
      <c r="GKV63" s="349"/>
      <c r="GKW63" s="349"/>
      <c r="GKX63" s="349"/>
      <c r="GKY63" s="349"/>
      <c r="GKZ63" s="349"/>
      <c r="GLA63" s="349"/>
      <c r="GLB63" s="349"/>
      <c r="GLC63" s="349"/>
      <c r="GLD63" s="349"/>
      <c r="GLE63" s="349"/>
      <c r="GLF63" s="349"/>
      <c r="GLG63" s="349"/>
      <c r="GLH63" s="349"/>
      <c r="GLI63" s="349"/>
      <c r="GLJ63" s="349"/>
      <c r="GLK63" s="349"/>
      <c r="GLL63" s="349"/>
      <c r="GLM63" s="349"/>
      <c r="GLN63" s="349"/>
      <c r="GLO63" s="349"/>
      <c r="GLP63" s="349"/>
      <c r="GLQ63" s="349"/>
      <c r="GLR63" s="349"/>
      <c r="GLS63" s="349"/>
      <c r="GLT63" s="349"/>
      <c r="GLU63" s="349"/>
      <c r="GLV63" s="349"/>
      <c r="GLW63" s="349"/>
      <c r="GLX63" s="349"/>
      <c r="GLY63" s="349"/>
      <c r="GLZ63" s="349"/>
      <c r="GMA63" s="349"/>
      <c r="GMB63" s="349"/>
      <c r="GMC63" s="349"/>
      <c r="GMD63" s="349"/>
      <c r="GME63" s="349"/>
      <c r="GMF63" s="349"/>
      <c r="GMG63" s="349"/>
      <c r="GMH63" s="349"/>
      <c r="GMI63" s="349"/>
      <c r="GMJ63" s="349"/>
      <c r="GMK63" s="349"/>
      <c r="GML63" s="349"/>
      <c r="GMM63" s="349"/>
      <c r="GMN63" s="349"/>
      <c r="GMO63" s="349"/>
      <c r="GMP63" s="349"/>
      <c r="GMQ63" s="349"/>
      <c r="GMR63" s="349"/>
      <c r="GMS63" s="349"/>
      <c r="GMT63" s="349"/>
      <c r="GMU63" s="349"/>
      <c r="GMV63" s="349"/>
      <c r="GMW63" s="349"/>
      <c r="GMX63" s="349"/>
      <c r="GMY63" s="349"/>
      <c r="GMZ63" s="349"/>
      <c r="GNA63" s="349"/>
      <c r="GNB63" s="349"/>
      <c r="GNC63" s="349"/>
      <c r="GND63" s="349"/>
      <c r="GNE63" s="349"/>
      <c r="GNF63" s="349"/>
      <c r="GNG63" s="349"/>
      <c r="GNH63" s="349"/>
      <c r="GNI63" s="349"/>
      <c r="GNJ63" s="349"/>
      <c r="GNK63" s="349"/>
      <c r="GNL63" s="349"/>
      <c r="GNM63" s="349"/>
      <c r="GNN63" s="349"/>
      <c r="GNO63" s="349"/>
      <c r="GNP63" s="349"/>
      <c r="GNQ63" s="349"/>
      <c r="GNR63" s="349"/>
      <c r="GNS63" s="349"/>
      <c r="GNT63" s="349"/>
      <c r="GNU63" s="349"/>
      <c r="GNV63" s="349"/>
      <c r="GNW63" s="349"/>
      <c r="GNX63" s="349"/>
      <c r="GNY63" s="349"/>
      <c r="GNZ63" s="349"/>
      <c r="GOA63" s="349"/>
      <c r="GOB63" s="349"/>
      <c r="GOC63" s="349"/>
      <c r="GOD63" s="349"/>
      <c r="GOE63" s="349"/>
      <c r="GOF63" s="349"/>
      <c r="GOG63" s="349"/>
      <c r="GOH63" s="349"/>
      <c r="GOI63" s="349"/>
      <c r="GOJ63" s="349"/>
      <c r="GOK63" s="349"/>
      <c r="GOL63" s="349"/>
      <c r="GOM63" s="349"/>
      <c r="GON63" s="349"/>
      <c r="GOO63" s="349"/>
      <c r="GOP63" s="349"/>
      <c r="GOQ63" s="349"/>
      <c r="GOR63" s="349"/>
      <c r="GOS63" s="349"/>
      <c r="GOT63" s="349"/>
      <c r="GOU63" s="349"/>
      <c r="GOV63" s="349"/>
      <c r="GOW63" s="349"/>
      <c r="GOX63" s="349"/>
      <c r="GOY63" s="349"/>
      <c r="GOZ63" s="349"/>
      <c r="GPA63" s="349"/>
      <c r="GPB63" s="349"/>
      <c r="GPC63" s="349"/>
      <c r="GPD63" s="349"/>
      <c r="GPE63" s="349"/>
      <c r="GPF63" s="349"/>
      <c r="GPG63" s="349"/>
      <c r="GPH63" s="349"/>
      <c r="GPI63" s="349"/>
      <c r="GPJ63" s="349"/>
      <c r="GPK63" s="349"/>
      <c r="GPL63" s="349"/>
      <c r="GPM63" s="349"/>
      <c r="GPN63" s="349"/>
      <c r="GPO63" s="349"/>
      <c r="GPP63" s="349"/>
      <c r="GPQ63" s="349"/>
      <c r="GPR63" s="349"/>
      <c r="GPS63" s="349"/>
      <c r="GPT63" s="349"/>
      <c r="GPU63" s="349"/>
      <c r="GPV63" s="349"/>
      <c r="GPW63" s="349"/>
      <c r="GPX63" s="349"/>
      <c r="GPY63" s="349"/>
      <c r="GPZ63" s="349"/>
      <c r="GQA63" s="349"/>
      <c r="GQB63" s="349"/>
      <c r="GQC63" s="349"/>
      <c r="GQD63" s="349"/>
      <c r="GQE63" s="349"/>
      <c r="GQF63" s="349"/>
      <c r="GQG63" s="349"/>
      <c r="GQH63" s="349"/>
      <c r="GQI63" s="349"/>
      <c r="GQJ63" s="349"/>
      <c r="GQK63" s="349"/>
      <c r="GQL63" s="349"/>
      <c r="GQM63" s="349"/>
      <c r="GQN63" s="349"/>
      <c r="GQO63" s="349"/>
      <c r="GQP63" s="349"/>
      <c r="GQQ63" s="349"/>
      <c r="GQR63" s="349"/>
      <c r="GQS63" s="349"/>
      <c r="GQT63" s="349"/>
      <c r="GQU63" s="349"/>
      <c r="GQV63" s="349"/>
      <c r="GQW63" s="349"/>
      <c r="GQX63" s="349"/>
      <c r="GQY63" s="349"/>
      <c r="GQZ63" s="349"/>
      <c r="GRA63" s="349"/>
      <c r="GRB63" s="349"/>
      <c r="GRC63" s="349"/>
      <c r="GRD63" s="349"/>
      <c r="GRE63" s="349"/>
      <c r="GRF63" s="349"/>
      <c r="GRG63" s="349"/>
      <c r="GRH63" s="349"/>
      <c r="GRI63" s="349"/>
      <c r="GRJ63" s="349"/>
      <c r="GRK63" s="349"/>
      <c r="GRL63" s="349"/>
      <c r="GRM63" s="349"/>
      <c r="GRN63" s="349"/>
      <c r="GRO63" s="349"/>
      <c r="GRP63" s="349"/>
      <c r="GRQ63" s="349"/>
      <c r="GRR63" s="349"/>
      <c r="GRS63" s="349"/>
      <c r="GRT63" s="349"/>
      <c r="GRU63" s="349"/>
      <c r="GRV63" s="349"/>
      <c r="GRW63" s="349"/>
      <c r="GRX63" s="349"/>
      <c r="GRY63" s="349"/>
      <c r="GRZ63" s="349"/>
      <c r="GSA63" s="349"/>
      <c r="GSB63" s="349"/>
      <c r="GSC63" s="349"/>
      <c r="GSD63" s="349"/>
      <c r="GSE63" s="349"/>
      <c r="GSF63" s="349"/>
      <c r="GSG63" s="349"/>
      <c r="GSH63" s="349"/>
      <c r="GSI63" s="349"/>
      <c r="GSJ63" s="349"/>
      <c r="GSK63" s="349"/>
      <c r="GSL63" s="349"/>
      <c r="GSM63" s="349"/>
      <c r="GSN63" s="349"/>
      <c r="GSO63" s="349"/>
      <c r="GSP63" s="349"/>
      <c r="GSQ63" s="349"/>
      <c r="GSR63" s="349"/>
      <c r="GSS63" s="349"/>
      <c r="GST63" s="349"/>
      <c r="GSU63" s="349"/>
      <c r="GSV63" s="349"/>
      <c r="GSW63" s="349"/>
      <c r="GSX63" s="349"/>
      <c r="GSY63" s="349"/>
      <c r="GSZ63" s="349"/>
      <c r="GTA63" s="349"/>
      <c r="GTB63" s="349"/>
      <c r="GTC63" s="349"/>
      <c r="GTD63" s="349"/>
      <c r="GTE63" s="349"/>
      <c r="GTF63" s="349"/>
      <c r="GTG63" s="349"/>
      <c r="GTH63" s="349"/>
      <c r="GTI63" s="349"/>
      <c r="GTJ63" s="349"/>
      <c r="GTK63" s="349"/>
      <c r="GTL63" s="349"/>
      <c r="GTM63" s="349"/>
      <c r="GTN63" s="349"/>
      <c r="GTO63" s="349"/>
      <c r="GTP63" s="349"/>
      <c r="GTQ63" s="349"/>
      <c r="GTR63" s="349"/>
      <c r="GTS63" s="349"/>
      <c r="GTT63" s="349"/>
      <c r="GTU63" s="349"/>
      <c r="GTV63" s="349"/>
      <c r="GTW63" s="349"/>
      <c r="GTX63" s="349"/>
      <c r="GTY63" s="349"/>
      <c r="GTZ63" s="349"/>
      <c r="GUA63" s="349"/>
      <c r="GUB63" s="349"/>
      <c r="GUC63" s="349"/>
      <c r="GUD63" s="349"/>
      <c r="GUE63" s="349"/>
      <c r="GUF63" s="349"/>
      <c r="GUG63" s="349"/>
      <c r="GUH63" s="349"/>
      <c r="GUI63" s="349"/>
      <c r="GUJ63" s="349"/>
      <c r="GUK63" s="349"/>
      <c r="GUL63" s="349"/>
      <c r="GUM63" s="349"/>
      <c r="GUN63" s="349"/>
      <c r="GUO63" s="349"/>
      <c r="GUP63" s="349"/>
      <c r="GUQ63" s="349"/>
      <c r="GUR63" s="349"/>
      <c r="GUS63" s="349"/>
      <c r="GUT63" s="349"/>
      <c r="GUU63" s="349"/>
      <c r="GUV63" s="349"/>
      <c r="GUW63" s="349"/>
      <c r="GUX63" s="349"/>
      <c r="GUY63" s="349"/>
      <c r="GUZ63" s="349"/>
      <c r="GVA63" s="349"/>
      <c r="GVB63" s="349"/>
      <c r="GVC63" s="349"/>
      <c r="GVD63" s="349"/>
      <c r="GVE63" s="349"/>
      <c r="GVF63" s="349"/>
      <c r="GVG63" s="349"/>
      <c r="GVH63" s="349"/>
      <c r="GVI63" s="349"/>
      <c r="GVJ63" s="349"/>
      <c r="GVK63" s="349"/>
      <c r="GVL63" s="349"/>
      <c r="GVM63" s="349"/>
      <c r="GVN63" s="349"/>
      <c r="GVO63" s="349"/>
      <c r="GVP63" s="349"/>
      <c r="GVQ63" s="349"/>
      <c r="GVR63" s="349"/>
      <c r="GVS63" s="349"/>
      <c r="GVT63" s="349"/>
      <c r="GVU63" s="349"/>
      <c r="GVV63" s="349"/>
      <c r="GVW63" s="349"/>
      <c r="GVX63" s="349"/>
      <c r="GVY63" s="349"/>
      <c r="GVZ63" s="349"/>
      <c r="GWA63" s="349"/>
      <c r="GWB63" s="349"/>
      <c r="GWC63" s="349"/>
      <c r="GWD63" s="349"/>
      <c r="GWE63" s="349"/>
      <c r="GWF63" s="349"/>
      <c r="GWG63" s="349"/>
      <c r="GWH63" s="349"/>
      <c r="GWI63" s="349"/>
      <c r="GWJ63" s="349"/>
      <c r="GWK63" s="349"/>
      <c r="GWL63" s="349"/>
      <c r="GWM63" s="349"/>
      <c r="GWN63" s="349"/>
      <c r="GWO63" s="349"/>
      <c r="GWP63" s="349"/>
      <c r="GWQ63" s="349"/>
      <c r="GWR63" s="349"/>
      <c r="GWS63" s="349"/>
      <c r="GWT63" s="349"/>
      <c r="GWU63" s="349"/>
      <c r="GWV63" s="349"/>
      <c r="GWW63" s="349"/>
      <c r="GWX63" s="349"/>
      <c r="GWY63" s="349"/>
      <c r="GWZ63" s="349"/>
      <c r="GXA63" s="349"/>
      <c r="GXB63" s="349"/>
      <c r="GXC63" s="349"/>
      <c r="GXD63" s="349"/>
      <c r="GXE63" s="349"/>
      <c r="GXF63" s="349"/>
      <c r="GXG63" s="349"/>
      <c r="GXH63" s="349"/>
      <c r="GXI63" s="349"/>
      <c r="GXJ63" s="349"/>
      <c r="GXK63" s="349"/>
      <c r="GXL63" s="349"/>
      <c r="GXM63" s="349"/>
      <c r="GXN63" s="349"/>
      <c r="GXO63" s="349"/>
      <c r="GXP63" s="349"/>
      <c r="GXQ63" s="349"/>
      <c r="GXR63" s="349"/>
      <c r="GXS63" s="349"/>
      <c r="GXT63" s="349"/>
      <c r="GXU63" s="349"/>
      <c r="GXV63" s="349"/>
      <c r="GXW63" s="349"/>
      <c r="GXX63" s="349"/>
      <c r="GXY63" s="349"/>
      <c r="GXZ63" s="349"/>
      <c r="GYA63" s="349"/>
      <c r="GYB63" s="349"/>
      <c r="GYC63" s="349"/>
      <c r="GYD63" s="349"/>
      <c r="GYE63" s="349"/>
      <c r="GYF63" s="349"/>
      <c r="GYG63" s="349"/>
      <c r="GYH63" s="349"/>
      <c r="GYI63" s="349"/>
      <c r="GYJ63" s="349"/>
      <c r="GYK63" s="349"/>
      <c r="GYL63" s="349"/>
      <c r="GYM63" s="349"/>
      <c r="GYN63" s="349"/>
      <c r="GYO63" s="349"/>
      <c r="GYP63" s="349"/>
      <c r="GYQ63" s="349"/>
      <c r="GYR63" s="349"/>
      <c r="GYS63" s="349"/>
      <c r="GYT63" s="349"/>
      <c r="GYU63" s="349"/>
      <c r="GYV63" s="349"/>
      <c r="GYW63" s="349"/>
      <c r="GYX63" s="349"/>
      <c r="GYY63" s="349"/>
      <c r="GYZ63" s="349"/>
      <c r="GZA63" s="349"/>
      <c r="GZB63" s="349"/>
      <c r="GZC63" s="349"/>
      <c r="GZD63" s="349"/>
      <c r="GZE63" s="349"/>
      <c r="GZF63" s="349"/>
      <c r="GZG63" s="349"/>
      <c r="GZH63" s="349"/>
      <c r="GZI63" s="349"/>
      <c r="GZJ63" s="349"/>
      <c r="GZK63" s="349"/>
      <c r="GZL63" s="349"/>
      <c r="GZM63" s="349"/>
      <c r="GZN63" s="349"/>
      <c r="GZO63" s="349"/>
      <c r="GZP63" s="349"/>
      <c r="GZQ63" s="349"/>
      <c r="GZR63" s="349"/>
      <c r="GZS63" s="349"/>
      <c r="GZT63" s="349"/>
      <c r="GZU63" s="349"/>
      <c r="GZV63" s="349"/>
      <c r="GZW63" s="349"/>
      <c r="GZX63" s="349"/>
      <c r="GZY63" s="349"/>
      <c r="GZZ63" s="349"/>
      <c r="HAA63" s="349"/>
      <c r="HAB63" s="349"/>
      <c r="HAC63" s="349"/>
      <c r="HAD63" s="349"/>
      <c r="HAE63" s="349"/>
      <c r="HAF63" s="349"/>
      <c r="HAG63" s="349"/>
      <c r="HAH63" s="349"/>
      <c r="HAI63" s="349"/>
      <c r="HAJ63" s="349"/>
      <c r="HAK63" s="349"/>
      <c r="HAL63" s="349"/>
      <c r="HAM63" s="349"/>
      <c r="HAN63" s="349"/>
      <c r="HAO63" s="349"/>
      <c r="HAP63" s="349"/>
      <c r="HAQ63" s="349"/>
      <c r="HAR63" s="349"/>
      <c r="HAS63" s="349"/>
      <c r="HAT63" s="349"/>
      <c r="HAU63" s="349"/>
      <c r="HAV63" s="349"/>
      <c r="HAW63" s="349"/>
      <c r="HAX63" s="349"/>
      <c r="HAY63" s="349"/>
      <c r="HAZ63" s="349"/>
      <c r="HBA63" s="349"/>
      <c r="HBB63" s="349"/>
      <c r="HBC63" s="349"/>
      <c r="HBD63" s="349"/>
      <c r="HBE63" s="349"/>
      <c r="HBF63" s="349"/>
      <c r="HBG63" s="349"/>
      <c r="HBH63" s="349"/>
      <c r="HBI63" s="349"/>
      <c r="HBJ63" s="349"/>
      <c r="HBK63" s="349"/>
      <c r="HBL63" s="349"/>
      <c r="HBM63" s="349"/>
      <c r="HBN63" s="349"/>
      <c r="HBO63" s="349"/>
      <c r="HBP63" s="349"/>
      <c r="HBQ63" s="349"/>
      <c r="HBR63" s="349"/>
      <c r="HBS63" s="349"/>
      <c r="HBT63" s="349"/>
      <c r="HBU63" s="349"/>
      <c r="HBV63" s="349"/>
      <c r="HBW63" s="349"/>
      <c r="HBX63" s="349"/>
      <c r="HBY63" s="349"/>
      <c r="HBZ63" s="349"/>
      <c r="HCA63" s="349"/>
      <c r="HCB63" s="349"/>
      <c r="HCC63" s="349"/>
      <c r="HCD63" s="349"/>
      <c r="HCE63" s="349"/>
      <c r="HCF63" s="349"/>
      <c r="HCG63" s="349"/>
      <c r="HCH63" s="349"/>
      <c r="HCI63" s="349"/>
      <c r="HCJ63" s="349"/>
      <c r="HCK63" s="349"/>
      <c r="HCL63" s="349"/>
      <c r="HCM63" s="349"/>
      <c r="HCN63" s="349"/>
      <c r="HCO63" s="349"/>
      <c r="HCP63" s="349"/>
      <c r="HCQ63" s="349"/>
      <c r="HCR63" s="349"/>
      <c r="HCS63" s="349"/>
      <c r="HCT63" s="349"/>
      <c r="HCU63" s="349"/>
      <c r="HCV63" s="349"/>
      <c r="HCW63" s="349"/>
      <c r="HCX63" s="349"/>
      <c r="HCY63" s="349"/>
      <c r="HCZ63" s="349"/>
      <c r="HDA63" s="349"/>
      <c r="HDB63" s="349"/>
      <c r="HDC63" s="349"/>
      <c r="HDD63" s="349"/>
      <c r="HDE63" s="349"/>
      <c r="HDF63" s="349"/>
      <c r="HDG63" s="349"/>
      <c r="HDH63" s="349"/>
      <c r="HDI63" s="349"/>
      <c r="HDJ63" s="349"/>
      <c r="HDK63" s="349"/>
      <c r="HDL63" s="349"/>
      <c r="HDM63" s="349"/>
      <c r="HDN63" s="349"/>
      <c r="HDO63" s="349"/>
      <c r="HDP63" s="349"/>
      <c r="HDQ63" s="349"/>
      <c r="HDR63" s="349"/>
      <c r="HDS63" s="349"/>
      <c r="HDT63" s="349"/>
      <c r="HDU63" s="349"/>
      <c r="HDV63" s="349"/>
      <c r="HDW63" s="349"/>
      <c r="HDX63" s="349"/>
      <c r="HDY63" s="349"/>
      <c r="HDZ63" s="349"/>
      <c r="HEA63" s="349"/>
      <c r="HEB63" s="349"/>
      <c r="HEC63" s="349"/>
      <c r="HED63" s="349"/>
      <c r="HEE63" s="349"/>
      <c r="HEF63" s="349"/>
      <c r="HEG63" s="349"/>
      <c r="HEH63" s="349"/>
      <c r="HEI63" s="349"/>
      <c r="HEJ63" s="349"/>
      <c r="HEK63" s="349"/>
      <c r="HEL63" s="349"/>
      <c r="HEM63" s="349"/>
      <c r="HEN63" s="349"/>
      <c r="HEO63" s="349"/>
      <c r="HEP63" s="349"/>
      <c r="HEQ63" s="349"/>
      <c r="HER63" s="349"/>
      <c r="HES63" s="349"/>
      <c r="HET63" s="349"/>
      <c r="HEU63" s="349"/>
      <c r="HEV63" s="349"/>
      <c r="HEW63" s="349"/>
      <c r="HEX63" s="349"/>
      <c r="HEY63" s="349"/>
      <c r="HEZ63" s="349"/>
      <c r="HFA63" s="349"/>
      <c r="HFB63" s="349"/>
      <c r="HFC63" s="349"/>
      <c r="HFD63" s="349"/>
      <c r="HFE63" s="349"/>
      <c r="HFF63" s="349"/>
      <c r="HFG63" s="349"/>
      <c r="HFH63" s="349"/>
      <c r="HFI63" s="349"/>
      <c r="HFJ63" s="349"/>
      <c r="HFK63" s="349"/>
      <c r="HFL63" s="349"/>
      <c r="HFM63" s="349"/>
      <c r="HFN63" s="349"/>
      <c r="HFO63" s="349"/>
      <c r="HFP63" s="349"/>
      <c r="HFQ63" s="349"/>
      <c r="HFR63" s="349"/>
      <c r="HFS63" s="349"/>
      <c r="HFT63" s="349"/>
      <c r="HFU63" s="349"/>
      <c r="HFV63" s="349"/>
      <c r="HFW63" s="349"/>
      <c r="HFX63" s="349"/>
      <c r="HFY63" s="349"/>
      <c r="HFZ63" s="349"/>
      <c r="HGA63" s="349"/>
      <c r="HGB63" s="349"/>
      <c r="HGC63" s="349"/>
      <c r="HGD63" s="349"/>
      <c r="HGE63" s="349"/>
      <c r="HGF63" s="349"/>
      <c r="HGG63" s="349"/>
      <c r="HGH63" s="349"/>
      <c r="HGI63" s="349"/>
      <c r="HGJ63" s="349"/>
      <c r="HGK63" s="349"/>
      <c r="HGL63" s="349"/>
      <c r="HGM63" s="349"/>
      <c r="HGN63" s="349"/>
      <c r="HGO63" s="349"/>
      <c r="HGP63" s="349"/>
      <c r="HGQ63" s="349"/>
      <c r="HGR63" s="349"/>
      <c r="HGS63" s="349"/>
      <c r="HGT63" s="349"/>
      <c r="HGU63" s="349"/>
      <c r="HGV63" s="349"/>
      <c r="HGW63" s="349"/>
      <c r="HGX63" s="349"/>
      <c r="HGY63" s="349"/>
      <c r="HGZ63" s="349"/>
      <c r="HHA63" s="349"/>
      <c r="HHB63" s="349"/>
      <c r="HHC63" s="349"/>
      <c r="HHD63" s="349"/>
      <c r="HHE63" s="349"/>
      <c r="HHF63" s="349"/>
      <c r="HHG63" s="349"/>
      <c r="HHH63" s="349"/>
      <c r="HHI63" s="349"/>
      <c r="HHJ63" s="349"/>
      <c r="HHK63" s="349"/>
      <c r="HHL63" s="349"/>
      <c r="HHM63" s="349"/>
      <c r="HHN63" s="349"/>
      <c r="HHO63" s="349"/>
      <c r="HHP63" s="349"/>
      <c r="HHQ63" s="349"/>
      <c r="HHR63" s="349"/>
      <c r="HHS63" s="349"/>
      <c r="HHT63" s="349"/>
      <c r="HHU63" s="349"/>
      <c r="HHV63" s="349"/>
      <c r="HHW63" s="349"/>
      <c r="HHX63" s="349"/>
      <c r="HHY63" s="349"/>
      <c r="HHZ63" s="349"/>
      <c r="HIA63" s="349"/>
      <c r="HIB63" s="349"/>
      <c r="HIC63" s="349"/>
      <c r="HID63" s="349"/>
      <c r="HIE63" s="349"/>
      <c r="HIF63" s="349"/>
      <c r="HIG63" s="349"/>
      <c r="HIH63" s="349"/>
      <c r="HII63" s="349"/>
      <c r="HIJ63" s="349"/>
      <c r="HIK63" s="349"/>
      <c r="HIL63" s="349"/>
      <c r="HIM63" s="349"/>
      <c r="HIN63" s="349"/>
      <c r="HIO63" s="349"/>
      <c r="HIP63" s="349"/>
      <c r="HIQ63" s="349"/>
      <c r="HIR63" s="349"/>
      <c r="HIS63" s="349"/>
      <c r="HIT63" s="349"/>
      <c r="HIU63" s="349"/>
      <c r="HIV63" s="349"/>
      <c r="HIW63" s="349"/>
      <c r="HIX63" s="349"/>
      <c r="HIY63" s="349"/>
      <c r="HIZ63" s="349"/>
      <c r="HJA63" s="349"/>
      <c r="HJB63" s="349"/>
      <c r="HJC63" s="349"/>
      <c r="HJD63" s="349"/>
      <c r="HJE63" s="349"/>
      <c r="HJF63" s="349"/>
      <c r="HJG63" s="349"/>
      <c r="HJH63" s="349"/>
      <c r="HJI63" s="349"/>
      <c r="HJJ63" s="349"/>
      <c r="HJK63" s="349"/>
      <c r="HJL63" s="349"/>
      <c r="HJM63" s="349"/>
      <c r="HJN63" s="349"/>
      <c r="HJO63" s="349"/>
      <c r="HJP63" s="349"/>
      <c r="HJQ63" s="349"/>
      <c r="HJR63" s="349"/>
      <c r="HJS63" s="349"/>
      <c r="HJT63" s="349"/>
      <c r="HJU63" s="349"/>
      <c r="HJV63" s="349"/>
      <c r="HJW63" s="349"/>
      <c r="HJX63" s="349"/>
      <c r="HJY63" s="349"/>
      <c r="HJZ63" s="349"/>
      <c r="HKA63" s="349"/>
      <c r="HKB63" s="349"/>
      <c r="HKC63" s="349"/>
      <c r="HKD63" s="349"/>
      <c r="HKE63" s="349"/>
      <c r="HKF63" s="349"/>
      <c r="HKG63" s="349"/>
      <c r="HKH63" s="349"/>
      <c r="HKI63" s="349"/>
      <c r="HKJ63" s="349"/>
      <c r="HKK63" s="349"/>
      <c r="HKL63" s="349"/>
      <c r="HKM63" s="349"/>
      <c r="HKN63" s="349"/>
      <c r="HKO63" s="349"/>
      <c r="HKP63" s="349"/>
      <c r="HKQ63" s="349"/>
      <c r="HKR63" s="349"/>
      <c r="HKS63" s="349"/>
      <c r="HKT63" s="349"/>
      <c r="HKU63" s="349"/>
      <c r="HKV63" s="349"/>
      <c r="HKW63" s="349"/>
      <c r="HKX63" s="349"/>
      <c r="HKY63" s="349"/>
      <c r="HKZ63" s="349"/>
      <c r="HLA63" s="349"/>
      <c r="HLB63" s="349"/>
      <c r="HLC63" s="349"/>
      <c r="HLD63" s="349"/>
      <c r="HLE63" s="349"/>
      <c r="HLF63" s="349"/>
      <c r="HLG63" s="349"/>
      <c r="HLH63" s="349"/>
      <c r="HLI63" s="349"/>
      <c r="HLJ63" s="349"/>
      <c r="HLK63" s="349"/>
      <c r="HLL63" s="349"/>
      <c r="HLM63" s="349"/>
      <c r="HLN63" s="349"/>
      <c r="HLO63" s="349"/>
      <c r="HLP63" s="349"/>
      <c r="HLQ63" s="349"/>
      <c r="HLR63" s="349"/>
      <c r="HLS63" s="349"/>
      <c r="HLT63" s="349"/>
      <c r="HLU63" s="349"/>
      <c r="HLV63" s="349"/>
      <c r="HLW63" s="349"/>
      <c r="HLX63" s="349"/>
      <c r="HLY63" s="349"/>
      <c r="HLZ63" s="349"/>
      <c r="HMA63" s="349"/>
      <c r="HMB63" s="349"/>
      <c r="HMC63" s="349"/>
      <c r="HMD63" s="349"/>
      <c r="HME63" s="349"/>
      <c r="HMF63" s="349"/>
      <c r="HMG63" s="349"/>
      <c r="HMH63" s="349"/>
      <c r="HMI63" s="349"/>
      <c r="HMJ63" s="349"/>
      <c r="HMK63" s="349"/>
      <c r="HML63" s="349"/>
      <c r="HMM63" s="349"/>
      <c r="HMN63" s="349"/>
      <c r="HMO63" s="349"/>
      <c r="HMP63" s="349"/>
      <c r="HMQ63" s="349"/>
      <c r="HMR63" s="349"/>
      <c r="HMS63" s="349"/>
      <c r="HMT63" s="349"/>
      <c r="HMU63" s="349"/>
      <c r="HMV63" s="349"/>
      <c r="HMW63" s="349"/>
      <c r="HMX63" s="349"/>
      <c r="HMY63" s="349"/>
      <c r="HMZ63" s="349"/>
      <c r="HNA63" s="349"/>
      <c r="HNB63" s="349"/>
      <c r="HNC63" s="349"/>
      <c r="HND63" s="349"/>
      <c r="HNE63" s="349"/>
      <c r="HNF63" s="349"/>
      <c r="HNG63" s="349"/>
      <c r="HNH63" s="349"/>
      <c r="HNI63" s="349"/>
      <c r="HNJ63" s="349"/>
      <c r="HNK63" s="349"/>
      <c r="HNL63" s="349"/>
      <c r="HNM63" s="349"/>
      <c r="HNN63" s="349"/>
      <c r="HNO63" s="349"/>
      <c r="HNP63" s="349"/>
      <c r="HNQ63" s="349"/>
      <c r="HNR63" s="349"/>
      <c r="HNS63" s="349"/>
      <c r="HNT63" s="349"/>
      <c r="HNU63" s="349"/>
      <c r="HNV63" s="349"/>
      <c r="HNW63" s="349"/>
      <c r="HNX63" s="349"/>
      <c r="HNY63" s="349"/>
      <c r="HNZ63" s="349"/>
      <c r="HOA63" s="349"/>
      <c r="HOB63" s="349"/>
      <c r="HOC63" s="349"/>
      <c r="HOD63" s="349"/>
      <c r="HOE63" s="349"/>
      <c r="HOF63" s="349"/>
      <c r="HOG63" s="349"/>
      <c r="HOH63" s="349"/>
      <c r="HOI63" s="349"/>
      <c r="HOJ63" s="349"/>
      <c r="HOK63" s="349"/>
      <c r="HOL63" s="349"/>
      <c r="HOM63" s="349"/>
      <c r="HON63" s="349"/>
      <c r="HOO63" s="349"/>
      <c r="HOP63" s="349"/>
      <c r="HOQ63" s="349"/>
      <c r="HOR63" s="349"/>
      <c r="HOS63" s="349"/>
      <c r="HOT63" s="349"/>
      <c r="HOU63" s="349"/>
      <c r="HOV63" s="349"/>
      <c r="HOW63" s="349"/>
      <c r="HOX63" s="349"/>
      <c r="HOY63" s="349"/>
      <c r="HOZ63" s="349"/>
      <c r="HPA63" s="349"/>
      <c r="HPB63" s="349"/>
      <c r="HPC63" s="349"/>
      <c r="HPD63" s="349"/>
      <c r="HPE63" s="349"/>
      <c r="HPF63" s="349"/>
      <c r="HPG63" s="349"/>
      <c r="HPH63" s="349"/>
      <c r="HPI63" s="349"/>
      <c r="HPJ63" s="349"/>
      <c r="HPK63" s="349"/>
      <c r="HPL63" s="349"/>
      <c r="HPM63" s="349"/>
      <c r="HPN63" s="349"/>
      <c r="HPO63" s="349"/>
      <c r="HPP63" s="349"/>
      <c r="HPQ63" s="349"/>
      <c r="HPR63" s="349"/>
      <c r="HPS63" s="349"/>
      <c r="HPT63" s="349"/>
      <c r="HPU63" s="349"/>
      <c r="HPV63" s="349"/>
      <c r="HPW63" s="349"/>
      <c r="HPX63" s="349"/>
      <c r="HPY63" s="349"/>
      <c r="HPZ63" s="349"/>
      <c r="HQA63" s="349"/>
      <c r="HQB63" s="349"/>
      <c r="HQC63" s="349"/>
      <c r="HQD63" s="349"/>
      <c r="HQE63" s="349"/>
      <c r="HQF63" s="349"/>
      <c r="HQG63" s="349"/>
      <c r="HQH63" s="349"/>
      <c r="HQI63" s="349"/>
      <c r="HQJ63" s="349"/>
      <c r="HQK63" s="349"/>
      <c r="HQL63" s="349"/>
      <c r="HQM63" s="349"/>
      <c r="HQN63" s="349"/>
      <c r="HQO63" s="349"/>
      <c r="HQP63" s="349"/>
      <c r="HQQ63" s="349"/>
      <c r="HQR63" s="349"/>
      <c r="HQS63" s="349"/>
      <c r="HQT63" s="349"/>
      <c r="HQU63" s="349"/>
      <c r="HQV63" s="349"/>
      <c r="HQW63" s="349"/>
      <c r="HQX63" s="349"/>
      <c r="HQY63" s="349"/>
      <c r="HQZ63" s="349"/>
      <c r="HRA63" s="349"/>
      <c r="HRB63" s="349"/>
      <c r="HRC63" s="349"/>
      <c r="HRD63" s="349"/>
      <c r="HRE63" s="349"/>
      <c r="HRF63" s="349"/>
      <c r="HRG63" s="349"/>
      <c r="HRH63" s="349"/>
      <c r="HRI63" s="349"/>
      <c r="HRJ63" s="349"/>
      <c r="HRK63" s="349"/>
      <c r="HRL63" s="349"/>
      <c r="HRM63" s="349"/>
      <c r="HRN63" s="349"/>
      <c r="HRO63" s="349"/>
      <c r="HRP63" s="349"/>
      <c r="HRQ63" s="349"/>
      <c r="HRR63" s="349"/>
      <c r="HRS63" s="349"/>
      <c r="HRT63" s="349"/>
      <c r="HRU63" s="349"/>
      <c r="HRV63" s="349"/>
      <c r="HRW63" s="349"/>
      <c r="HRX63" s="349"/>
      <c r="HRY63" s="349"/>
      <c r="HRZ63" s="349"/>
      <c r="HSA63" s="349"/>
      <c r="HSB63" s="349"/>
      <c r="HSC63" s="349"/>
      <c r="HSD63" s="349"/>
      <c r="HSE63" s="349"/>
      <c r="HSF63" s="349"/>
      <c r="HSG63" s="349"/>
      <c r="HSH63" s="349"/>
      <c r="HSI63" s="349"/>
      <c r="HSJ63" s="349"/>
      <c r="HSK63" s="349"/>
      <c r="HSL63" s="349"/>
      <c r="HSM63" s="349"/>
      <c r="HSN63" s="349"/>
      <c r="HSO63" s="349"/>
      <c r="HSP63" s="349"/>
      <c r="HSQ63" s="349"/>
      <c r="HSR63" s="349"/>
      <c r="HSS63" s="349"/>
      <c r="HST63" s="349"/>
      <c r="HSU63" s="349"/>
      <c r="HSV63" s="349"/>
      <c r="HSW63" s="349"/>
      <c r="HSX63" s="349"/>
      <c r="HSY63" s="349"/>
      <c r="HSZ63" s="349"/>
      <c r="HTA63" s="349"/>
      <c r="HTB63" s="349"/>
      <c r="HTC63" s="349"/>
      <c r="HTD63" s="349"/>
      <c r="HTE63" s="349"/>
      <c r="HTF63" s="349"/>
      <c r="HTG63" s="349"/>
      <c r="HTH63" s="349"/>
      <c r="HTI63" s="349"/>
      <c r="HTJ63" s="349"/>
      <c r="HTK63" s="349"/>
      <c r="HTL63" s="349"/>
      <c r="HTM63" s="349"/>
      <c r="HTN63" s="349"/>
      <c r="HTO63" s="349"/>
      <c r="HTP63" s="349"/>
      <c r="HTQ63" s="349"/>
      <c r="HTR63" s="349"/>
      <c r="HTS63" s="349"/>
      <c r="HTT63" s="349"/>
      <c r="HTU63" s="349"/>
      <c r="HTV63" s="349"/>
      <c r="HTW63" s="349"/>
      <c r="HTX63" s="349"/>
      <c r="HTY63" s="349"/>
      <c r="HTZ63" s="349"/>
      <c r="HUA63" s="349"/>
      <c r="HUB63" s="349"/>
      <c r="HUC63" s="349"/>
      <c r="HUD63" s="349"/>
      <c r="HUE63" s="349"/>
      <c r="HUF63" s="349"/>
      <c r="HUG63" s="349"/>
      <c r="HUH63" s="349"/>
      <c r="HUI63" s="349"/>
      <c r="HUJ63" s="349"/>
      <c r="HUK63" s="349"/>
      <c r="HUL63" s="349"/>
      <c r="HUM63" s="349"/>
      <c r="HUN63" s="349"/>
      <c r="HUO63" s="349"/>
      <c r="HUP63" s="349"/>
      <c r="HUQ63" s="349"/>
      <c r="HUR63" s="349"/>
      <c r="HUS63" s="349"/>
      <c r="HUT63" s="349"/>
      <c r="HUU63" s="349"/>
      <c r="HUV63" s="349"/>
      <c r="HUW63" s="349"/>
      <c r="HUX63" s="349"/>
      <c r="HUY63" s="349"/>
      <c r="HUZ63" s="349"/>
      <c r="HVA63" s="349"/>
      <c r="HVB63" s="349"/>
      <c r="HVC63" s="349"/>
      <c r="HVD63" s="349"/>
      <c r="HVE63" s="349"/>
      <c r="HVF63" s="349"/>
      <c r="HVG63" s="349"/>
      <c r="HVH63" s="349"/>
      <c r="HVI63" s="349"/>
      <c r="HVJ63" s="349"/>
      <c r="HVK63" s="349"/>
      <c r="HVL63" s="349"/>
      <c r="HVM63" s="349"/>
      <c r="HVN63" s="349"/>
      <c r="HVO63" s="349"/>
      <c r="HVP63" s="349"/>
      <c r="HVQ63" s="349"/>
      <c r="HVR63" s="349"/>
      <c r="HVS63" s="349"/>
      <c r="HVT63" s="349"/>
      <c r="HVU63" s="349"/>
      <c r="HVV63" s="349"/>
      <c r="HVW63" s="349"/>
      <c r="HVX63" s="349"/>
      <c r="HVY63" s="349"/>
      <c r="HVZ63" s="349"/>
      <c r="HWA63" s="349"/>
      <c r="HWB63" s="349"/>
      <c r="HWC63" s="349"/>
      <c r="HWD63" s="349"/>
      <c r="HWE63" s="349"/>
      <c r="HWF63" s="349"/>
      <c r="HWG63" s="349"/>
      <c r="HWH63" s="349"/>
      <c r="HWI63" s="349"/>
      <c r="HWJ63" s="349"/>
      <c r="HWK63" s="349"/>
      <c r="HWL63" s="349"/>
      <c r="HWM63" s="349"/>
      <c r="HWN63" s="349"/>
      <c r="HWO63" s="349"/>
      <c r="HWP63" s="349"/>
      <c r="HWQ63" s="349"/>
      <c r="HWR63" s="349"/>
      <c r="HWS63" s="349"/>
      <c r="HWT63" s="349"/>
      <c r="HWU63" s="349"/>
      <c r="HWV63" s="349"/>
      <c r="HWW63" s="349"/>
      <c r="HWX63" s="349"/>
      <c r="HWY63" s="349"/>
      <c r="HWZ63" s="349"/>
      <c r="HXA63" s="349"/>
      <c r="HXB63" s="349"/>
      <c r="HXC63" s="349"/>
      <c r="HXD63" s="349"/>
      <c r="HXE63" s="349"/>
      <c r="HXF63" s="349"/>
      <c r="HXG63" s="349"/>
      <c r="HXH63" s="349"/>
      <c r="HXI63" s="349"/>
      <c r="HXJ63" s="349"/>
      <c r="HXK63" s="349"/>
      <c r="HXL63" s="349"/>
      <c r="HXM63" s="349"/>
      <c r="HXN63" s="349"/>
      <c r="HXO63" s="349"/>
      <c r="HXP63" s="349"/>
      <c r="HXQ63" s="349"/>
      <c r="HXR63" s="349"/>
      <c r="HXS63" s="349"/>
      <c r="HXT63" s="349"/>
      <c r="HXU63" s="349"/>
      <c r="HXV63" s="349"/>
      <c r="HXW63" s="349"/>
      <c r="HXX63" s="349"/>
      <c r="HXY63" s="349"/>
      <c r="HXZ63" s="349"/>
      <c r="HYA63" s="349"/>
      <c r="HYB63" s="349"/>
      <c r="HYC63" s="349"/>
      <c r="HYD63" s="349"/>
      <c r="HYE63" s="349"/>
      <c r="HYF63" s="349"/>
      <c r="HYG63" s="349"/>
      <c r="HYH63" s="349"/>
      <c r="HYI63" s="349"/>
      <c r="HYJ63" s="349"/>
      <c r="HYK63" s="349"/>
      <c r="HYL63" s="349"/>
      <c r="HYM63" s="349"/>
      <c r="HYN63" s="349"/>
      <c r="HYO63" s="349"/>
      <c r="HYP63" s="349"/>
      <c r="HYQ63" s="349"/>
      <c r="HYR63" s="349"/>
      <c r="HYS63" s="349"/>
      <c r="HYT63" s="349"/>
      <c r="HYU63" s="349"/>
      <c r="HYV63" s="349"/>
      <c r="HYW63" s="349"/>
      <c r="HYX63" s="349"/>
      <c r="HYY63" s="349"/>
      <c r="HYZ63" s="349"/>
      <c r="HZA63" s="349"/>
      <c r="HZB63" s="349"/>
      <c r="HZC63" s="349"/>
      <c r="HZD63" s="349"/>
      <c r="HZE63" s="349"/>
      <c r="HZF63" s="349"/>
      <c r="HZG63" s="349"/>
      <c r="HZH63" s="349"/>
      <c r="HZI63" s="349"/>
      <c r="HZJ63" s="349"/>
      <c r="HZK63" s="349"/>
      <c r="HZL63" s="349"/>
      <c r="HZM63" s="349"/>
      <c r="HZN63" s="349"/>
      <c r="HZO63" s="349"/>
      <c r="HZP63" s="349"/>
      <c r="HZQ63" s="349"/>
      <c r="HZR63" s="349"/>
      <c r="HZS63" s="349"/>
      <c r="HZT63" s="349"/>
      <c r="HZU63" s="349"/>
      <c r="HZV63" s="349"/>
      <c r="HZW63" s="349"/>
      <c r="HZX63" s="349"/>
      <c r="HZY63" s="349"/>
      <c r="HZZ63" s="349"/>
      <c r="IAA63" s="349"/>
      <c r="IAB63" s="349"/>
      <c r="IAC63" s="349"/>
      <c r="IAD63" s="349"/>
      <c r="IAE63" s="349"/>
      <c r="IAF63" s="349"/>
      <c r="IAG63" s="349"/>
      <c r="IAH63" s="349"/>
      <c r="IAI63" s="349"/>
      <c r="IAJ63" s="349"/>
      <c r="IAK63" s="349"/>
      <c r="IAL63" s="349"/>
      <c r="IAM63" s="349"/>
      <c r="IAN63" s="349"/>
      <c r="IAO63" s="349"/>
      <c r="IAP63" s="349"/>
      <c r="IAQ63" s="349"/>
      <c r="IAR63" s="349"/>
      <c r="IAS63" s="349"/>
      <c r="IAT63" s="349"/>
      <c r="IAU63" s="349"/>
      <c r="IAV63" s="349"/>
      <c r="IAW63" s="349"/>
      <c r="IAX63" s="349"/>
      <c r="IAY63" s="349"/>
      <c r="IAZ63" s="349"/>
      <c r="IBA63" s="349"/>
      <c r="IBB63" s="349"/>
      <c r="IBC63" s="349"/>
      <c r="IBD63" s="349"/>
      <c r="IBE63" s="349"/>
      <c r="IBF63" s="349"/>
      <c r="IBG63" s="349"/>
      <c r="IBH63" s="349"/>
      <c r="IBI63" s="349"/>
      <c r="IBJ63" s="349"/>
      <c r="IBK63" s="349"/>
      <c r="IBL63" s="349"/>
      <c r="IBM63" s="349"/>
      <c r="IBN63" s="349"/>
      <c r="IBO63" s="349"/>
      <c r="IBP63" s="349"/>
      <c r="IBQ63" s="349"/>
      <c r="IBR63" s="349"/>
      <c r="IBS63" s="349"/>
      <c r="IBT63" s="349"/>
      <c r="IBU63" s="349"/>
      <c r="IBV63" s="349"/>
      <c r="IBW63" s="349"/>
      <c r="IBX63" s="349"/>
      <c r="IBY63" s="349"/>
      <c r="IBZ63" s="349"/>
      <c r="ICA63" s="349"/>
      <c r="ICB63" s="349"/>
      <c r="ICC63" s="349"/>
      <c r="ICD63" s="349"/>
      <c r="ICE63" s="349"/>
      <c r="ICF63" s="349"/>
      <c r="ICG63" s="349"/>
      <c r="ICH63" s="349"/>
      <c r="ICI63" s="349"/>
      <c r="ICJ63" s="349"/>
      <c r="ICK63" s="349"/>
      <c r="ICL63" s="349"/>
      <c r="ICM63" s="349"/>
      <c r="ICN63" s="349"/>
      <c r="ICO63" s="349"/>
      <c r="ICP63" s="349"/>
      <c r="ICQ63" s="349"/>
      <c r="ICR63" s="349"/>
      <c r="ICS63" s="349"/>
      <c r="ICT63" s="349"/>
      <c r="ICU63" s="349"/>
      <c r="ICV63" s="349"/>
      <c r="ICW63" s="349"/>
      <c r="ICX63" s="349"/>
      <c r="ICY63" s="349"/>
      <c r="ICZ63" s="349"/>
      <c r="IDA63" s="349"/>
      <c r="IDB63" s="349"/>
      <c r="IDC63" s="349"/>
      <c r="IDD63" s="349"/>
      <c r="IDE63" s="349"/>
      <c r="IDF63" s="349"/>
      <c r="IDG63" s="349"/>
      <c r="IDH63" s="349"/>
      <c r="IDI63" s="349"/>
      <c r="IDJ63" s="349"/>
      <c r="IDK63" s="349"/>
      <c r="IDL63" s="349"/>
      <c r="IDM63" s="349"/>
      <c r="IDN63" s="349"/>
      <c r="IDO63" s="349"/>
      <c r="IDP63" s="349"/>
      <c r="IDQ63" s="349"/>
      <c r="IDR63" s="349"/>
      <c r="IDS63" s="349"/>
      <c r="IDT63" s="349"/>
      <c r="IDU63" s="349"/>
      <c r="IDV63" s="349"/>
      <c r="IDW63" s="349"/>
      <c r="IDX63" s="349"/>
      <c r="IDY63" s="349"/>
      <c r="IDZ63" s="349"/>
      <c r="IEA63" s="349"/>
      <c r="IEB63" s="349"/>
      <c r="IEC63" s="349"/>
      <c r="IED63" s="349"/>
      <c r="IEE63" s="349"/>
      <c r="IEF63" s="349"/>
      <c r="IEG63" s="349"/>
      <c r="IEH63" s="349"/>
      <c r="IEI63" s="349"/>
      <c r="IEJ63" s="349"/>
      <c r="IEK63" s="349"/>
      <c r="IEL63" s="349"/>
      <c r="IEM63" s="349"/>
      <c r="IEN63" s="349"/>
      <c r="IEO63" s="349"/>
      <c r="IEP63" s="349"/>
      <c r="IEQ63" s="349"/>
      <c r="IER63" s="349"/>
      <c r="IES63" s="349"/>
      <c r="IET63" s="349"/>
      <c r="IEU63" s="349"/>
      <c r="IEV63" s="349"/>
      <c r="IEW63" s="349"/>
      <c r="IEX63" s="349"/>
      <c r="IEY63" s="349"/>
      <c r="IEZ63" s="349"/>
      <c r="IFA63" s="349"/>
      <c r="IFB63" s="349"/>
      <c r="IFC63" s="349"/>
      <c r="IFD63" s="349"/>
      <c r="IFE63" s="349"/>
      <c r="IFF63" s="349"/>
      <c r="IFG63" s="349"/>
      <c r="IFH63" s="349"/>
      <c r="IFI63" s="349"/>
      <c r="IFJ63" s="349"/>
      <c r="IFK63" s="349"/>
      <c r="IFL63" s="349"/>
      <c r="IFM63" s="349"/>
      <c r="IFN63" s="349"/>
      <c r="IFO63" s="349"/>
      <c r="IFP63" s="349"/>
      <c r="IFQ63" s="349"/>
      <c r="IFR63" s="349"/>
      <c r="IFS63" s="349"/>
      <c r="IFT63" s="349"/>
      <c r="IFU63" s="349"/>
      <c r="IFV63" s="349"/>
      <c r="IFW63" s="349"/>
      <c r="IFX63" s="349"/>
      <c r="IFY63" s="349"/>
      <c r="IFZ63" s="349"/>
      <c r="IGA63" s="349"/>
      <c r="IGB63" s="349"/>
      <c r="IGC63" s="349"/>
      <c r="IGD63" s="349"/>
      <c r="IGE63" s="349"/>
      <c r="IGF63" s="349"/>
      <c r="IGG63" s="349"/>
      <c r="IGH63" s="349"/>
      <c r="IGI63" s="349"/>
      <c r="IGJ63" s="349"/>
      <c r="IGK63" s="349"/>
      <c r="IGL63" s="349"/>
      <c r="IGM63" s="349"/>
      <c r="IGN63" s="349"/>
      <c r="IGO63" s="349"/>
      <c r="IGP63" s="349"/>
      <c r="IGQ63" s="349"/>
      <c r="IGR63" s="349"/>
      <c r="IGS63" s="349"/>
      <c r="IGT63" s="349"/>
      <c r="IGU63" s="349"/>
      <c r="IGV63" s="349"/>
      <c r="IGW63" s="349"/>
      <c r="IGX63" s="349"/>
      <c r="IGY63" s="349"/>
      <c r="IGZ63" s="349"/>
      <c r="IHA63" s="349"/>
      <c r="IHB63" s="349"/>
      <c r="IHC63" s="349"/>
      <c r="IHD63" s="349"/>
      <c r="IHE63" s="349"/>
      <c r="IHF63" s="349"/>
      <c r="IHG63" s="349"/>
      <c r="IHH63" s="349"/>
      <c r="IHI63" s="349"/>
      <c r="IHJ63" s="349"/>
      <c r="IHK63" s="349"/>
      <c r="IHL63" s="349"/>
      <c r="IHM63" s="349"/>
      <c r="IHN63" s="349"/>
      <c r="IHO63" s="349"/>
      <c r="IHP63" s="349"/>
      <c r="IHQ63" s="349"/>
      <c r="IHR63" s="349"/>
      <c r="IHS63" s="349"/>
      <c r="IHT63" s="349"/>
      <c r="IHU63" s="349"/>
      <c r="IHV63" s="349"/>
      <c r="IHW63" s="349"/>
      <c r="IHX63" s="349"/>
      <c r="IHY63" s="349"/>
      <c r="IHZ63" s="349"/>
      <c r="IIA63" s="349"/>
      <c r="IIB63" s="349"/>
      <c r="IIC63" s="349"/>
      <c r="IID63" s="349"/>
      <c r="IIE63" s="349"/>
      <c r="IIF63" s="349"/>
      <c r="IIG63" s="349"/>
      <c r="IIH63" s="349"/>
      <c r="III63" s="349"/>
      <c r="IIJ63" s="349"/>
      <c r="IIK63" s="349"/>
      <c r="IIL63" s="349"/>
      <c r="IIM63" s="349"/>
      <c r="IIN63" s="349"/>
      <c r="IIO63" s="349"/>
      <c r="IIP63" s="349"/>
      <c r="IIQ63" s="349"/>
      <c r="IIR63" s="349"/>
      <c r="IIS63" s="349"/>
      <c r="IIT63" s="349"/>
      <c r="IIU63" s="349"/>
      <c r="IIV63" s="349"/>
      <c r="IIW63" s="349"/>
      <c r="IIX63" s="349"/>
      <c r="IIY63" s="349"/>
      <c r="IIZ63" s="349"/>
      <c r="IJA63" s="349"/>
      <c r="IJB63" s="349"/>
      <c r="IJC63" s="349"/>
      <c r="IJD63" s="349"/>
      <c r="IJE63" s="349"/>
      <c r="IJF63" s="349"/>
      <c r="IJG63" s="349"/>
      <c r="IJH63" s="349"/>
      <c r="IJI63" s="349"/>
      <c r="IJJ63" s="349"/>
      <c r="IJK63" s="349"/>
      <c r="IJL63" s="349"/>
      <c r="IJM63" s="349"/>
      <c r="IJN63" s="349"/>
      <c r="IJO63" s="349"/>
      <c r="IJP63" s="349"/>
      <c r="IJQ63" s="349"/>
      <c r="IJR63" s="349"/>
      <c r="IJS63" s="349"/>
      <c r="IJT63" s="349"/>
      <c r="IJU63" s="349"/>
      <c r="IJV63" s="349"/>
      <c r="IJW63" s="349"/>
      <c r="IJX63" s="349"/>
      <c r="IJY63" s="349"/>
      <c r="IJZ63" s="349"/>
      <c r="IKA63" s="349"/>
      <c r="IKB63" s="349"/>
      <c r="IKC63" s="349"/>
      <c r="IKD63" s="349"/>
      <c r="IKE63" s="349"/>
      <c r="IKF63" s="349"/>
      <c r="IKG63" s="349"/>
      <c r="IKH63" s="349"/>
      <c r="IKI63" s="349"/>
      <c r="IKJ63" s="349"/>
      <c r="IKK63" s="349"/>
      <c r="IKL63" s="349"/>
      <c r="IKM63" s="349"/>
      <c r="IKN63" s="349"/>
      <c r="IKO63" s="349"/>
      <c r="IKP63" s="349"/>
      <c r="IKQ63" s="349"/>
      <c r="IKR63" s="349"/>
      <c r="IKS63" s="349"/>
      <c r="IKT63" s="349"/>
      <c r="IKU63" s="349"/>
      <c r="IKV63" s="349"/>
      <c r="IKW63" s="349"/>
      <c r="IKX63" s="349"/>
      <c r="IKY63" s="349"/>
      <c r="IKZ63" s="349"/>
      <c r="ILA63" s="349"/>
      <c r="ILB63" s="349"/>
      <c r="ILC63" s="349"/>
      <c r="ILD63" s="349"/>
      <c r="ILE63" s="349"/>
      <c r="ILF63" s="349"/>
      <c r="ILG63" s="349"/>
      <c r="ILH63" s="349"/>
      <c r="ILI63" s="349"/>
      <c r="ILJ63" s="349"/>
      <c r="ILK63" s="349"/>
      <c r="ILL63" s="349"/>
      <c r="ILM63" s="349"/>
      <c r="ILN63" s="349"/>
      <c r="ILO63" s="349"/>
      <c r="ILP63" s="349"/>
      <c r="ILQ63" s="349"/>
      <c r="ILR63" s="349"/>
      <c r="ILS63" s="349"/>
      <c r="ILT63" s="349"/>
      <c r="ILU63" s="349"/>
      <c r="ILV63" s="349"/>
      <c r="ILW63" s="349"/>
      <c r="ILX63" s="349"/>
      <c r="ILY63" s="349"/>
      <c r="ILZ63" s="349"/>
      <c r="IMA63" s="349"/>
      <c r="IMB63" s="349"/>
      <c r="IMC63" s="349"/>
      <c r="IMD63" s="349"/>
      <c r="IME63" s="349"/>
      <c r="IMF63" s="349"/>
      <c r="IMG63" s="349"/>
      <c r="IMH63" s="349"/>
      <c r="IMI63" s="349"/>
      <c r="IMJ63" s="349"/>
      <c r="IMK63" s="349"/>
      <c r="IML63" s="349"/>
      <c r="IMM63" s="349"/>
      <c r="IMN63" s="349"/>
      <c r="IMO63" s="349"/>
      <c r="IMP63" s="349"/>
      <c r="IMQ63" s="349"/>
      <c r="IMR63" s="349"/>
      <c r="IMS63" s="349"/>
      <c r="IMT63" s="349"/>
      <c r="IMU63" s="349"/>
      <c r="IMV63" s="349"/>
      <c r="IMW63" s="349"/>
      <c r="IMX63" s="349"/>
      <c r="IMY63" s="349"/>
      <c r="IMZ63" s="349"/>
      <c r="INA63" s="349"/>
      <c r="INB63" s="349"/>
      <c r="INC63" s="349"/>
      <c r="IND63" s="349"/>
      <c r="INE63" s="349"/>
      <c r="INF63" s="349"/>
      <c r="ING63" s="349"/>
      <c r="INH63" s="349"/>
      <c r="INI63" s="349"/>
      <c r="INJ63" s="349"/>
      <c r="INK63" s="349"/>
      <c r="INL63" s="349"/>
      <c r="INM63" s="349"/>
      <c r="INN63" s="349"/>
      <c r="INO63" s="349"/>
      <c r="INP63" s="349"/>
      <c r="INQ63" s="349"/>
      <c r="INR63" s="349"/>
      <c r="INS63" s="349"/>
      <c r="INT63" s="349"/>
      <c r="INU63" s="349"/>
      <c r="INV63" s="349"/>
      <c r="INW63" s="349"/>
      <c r="INX63" s="349"/>
      <c r="INY63" s="349"/>
      <c r="INZ63" s="349"/>
      <c r="IOA63" s="349"/>
      <c r="IOB63" s="349"/>
      <c r="IOC63" s="349"/>
      <c r="IOD63" s="349"/>
      <c r="IOE63" s="349"/>
      <c r="IOF63" s="349"/>
      <c r="IOG63" s="349"/>
      <c r="IOH63" s="349"/>
      <c r="IOI63" s="349"/>
      <c r="IOJ63" s="349"/>
      <c r="IOK63" s="349"/>
      <c r="IOL63" s="349"/>
      <c r="IOM63" s="349"/>
      <c r="ION63" s="349"/>
      <c r="IOO63" s="349"/>
      <c r="IOP63" s="349"/>
      <c r="IOQ63" s="349"/>
      <c r="IOR63" s="349"/>
      <c r="IOS63" s="349"/>
      <c r="IOT63" s="349"/>
      <c r="IOU63" s="349"/>
      <c r="IOV63" s="349"/>
      <c r="IOW63" s="349"/>
      <c r="IOX63" s="349"/>
      <c r="IOY63" s="349"/>
      <c r="IOZ63" s="349"/>
      <c r="IPA63" s="349"/>
      <c r="IPB63" s="349"/>
      <c r="IPC63" s="349"/>
      <c r="IPD63" s="349"/>
      <c r="IPE63" s="349"/>
      <c r="IPF63" s="349"/>
      <c r="IPG63" s="349"/>
      <c r="IPH63" s="349"/>
      <c r="IPI63" s="349"/>
      <c r="IPJ63" s="349"/>
      <c r="IPK63" s="349"/>
      <c r="IPL63" s="349"/>
      <c r="IPM63" s="349"/>
      <c r="IPN63" s="349"/>
      <c r="IPO63" s="349"/>
      <c r="IPP63" s="349"/>
      <c r="IPQ63" s="349"/>
      <c r="IPR63" s="349"/>
      <c r="IPS63" s="349"/>
      <c r="IPT63" s="349"/>
      <c r="IPU63" s="349"/>
      <c r="IPV63" s="349"/>
      <c r="IPW63" s="349"/>
      <c r="IPX63" s="349"/>
      <c r="IPY63" s="349"/>
      <c r="IPZ63" s="349"/>
      <c r="IQA63" s="349"/>
      <c r="IQB63" s="349"/>
      <c r="IQC63" s="349"/>
      <c r="IQD63" s="349"/>
      <c r="IQE63" s="349"/>
      <c r="IQF63" s="349"/>
      <c r="IQG63" s="349"/>
      <c r="IQH63" s="349"/>
      <c r="IQI63" s="349"/>
      <c r="IQJ63" s="349"/>
      <c r="IQK63" s="349"/>
      <c r="IQL63" s="349"/>
      <c r="IQM63" s="349"/>
      <c r="IQN63" s="349"/>
      <c r="IQO63" s="349"/>
      <c r="IQP63" s="349"/>
      <c r="IQQ63" s="349"/>
      <c r="IQR63" s="349"/>
      <c r="IQS63" s="349"/>
      <c r="IQT63" s="349"/>
      <c r="IQU63" s="349"/>
      <c r="IQV63" s="349"/>
      <c r="IQW63" s="349"/>
      <c r="IQX63" s="349"/>
      <c r="IQY63" s="349"/>
      <c r="IQZ63" s="349"/>
      <c r="IRA63" s="349"/>
      <c r="IRB63" s="349"/>
      <c r="IRC63" s="349"/>
      <c r="IRD63" s="349"/>
      <c r="IRE63" s="349"/>
      <c r="IRF63" s="349"/>
      <c r="IRG63" s="349"/>
      <c r="IRH63" s="349"/>
      <c r="IRI63" s="349"/>
      <c r="IRJ63" s="349"/>
      <c r="IRK63" s="349"/>
      <c r="IRL63" s="349"/>
      <c r="IRM63" s="349"/>
      <c r="IRN63" s="349"/>
      <c r="IRO63" s="349"/>
      <c r="IRP63" s="349"/>
      <c r="IRQ63" s="349"/>
      <c r="IRR63" s="349"/>
      <c r="IRS63" s="349"/>
      <c r="IRT63" s="349"/>
      <c r="IRU63" s="349"/>
      <c r="IRV63" s="349"/>
      <c r="IRW63" s="349"/>
      <c r="IRX63" s="349"/>
      <c r="IRY63" s="349"/>
      <c r="IRZ63" s="349"/>
      <c r="ISA63" s="349"/>
      <c r="ISB63" s="349"/>
      <c r="ISC63" s="349"/>
      <c r="ISD63" s="349"/>
      <c r="ISE63" s="349"/>
      <c r="ISF63" s="349"/>
      <c r="ISG63" s="349"/>
      <c r="ISH63" s="349"/>
      <c r="ISI63" s="349"/>
      <c r="ISJ63" s="349"/>
      <c r="ISK63" s="349"/>
      <c r="ISL63" s="349"/>
      <c r="ISM63" s="349"/>
      <c r="ISN63" s="349"/>
      <c r="ISO63" s="349"/>
      <c r="ISP63" s="349"/>
      <c r="ISQ63" s="349"/>
      <c r="ISR63" s="349"/>
      <c r="ISS63" s="349"/>
      <c r="IST63" s="349"/>
      <c r="ISU63" s="349"/>
      <c r="ISV63" s="349"/>
      <c r="ISW63" s="349"/>
      <c r="ISX63" s="349"/>
      <c r="ISY63" s="349"/>
      <c r="ISZ63" s="349"/>
      <c r="ITA63" s="349"/>
      <c r="ITB63" s="349"/>
      <c r="ITC63" s="349"/>
      <c r="ITD63" s="349"/>
      <c r="ITE63" s="349"/>
      <c r="ITF63" s="349"/>
      <c r="ITG63" s="349"/>
      <c r="ITH63" s="349"/>
      <c r="ITI63" s="349"/>
      <c r="ITJ63" s="349"/>
      <c r="ITK63" s="349"/>
      <c r="ITL63" s="349"/>
      <c r="ITM63" s="349"/>
      <c r="ITN63" s="349"/>
      <c r="ITO63" s="349"/>
      <c r="ITP63" s="349"/>
      <c r="ITQ63" s="349"/>
      <c r="ITR63" s="349"/>
      <c r="ITS63" s="349"/>
      <c r="ITT63" s="349"/>
      <c r="ITU63" s="349"/>
      <c r="ITV63" s="349"/>
      <c r="ITW63" s="349"/>
      <c r="ITX63" s="349"/>
      <c r="ITY63" s="349"/>
      <c r="ITZ63" s="349"/>
      <c r="IUA63" s="349"/>
      <c r="IUB63" s="349"/>
      <c r="IUC63" s="349"/>
      <c r="IUD63" s="349"/>
      <c r="IUE63" s="349"/>
      <c r="IUF63" s="349"/>
      <c r="IUG63" s="349"/>
      <c r="IUH63" s="349"/>
      <c r="IUI63" s="349"/>
      <c r="IUJ63" s="349"/>
      <c r="IUK63" s="349"/>
      <c r="IUL63" s="349"/>
      <c r="IUM63" s="349"/>
      <c r="IUN63" s="349"/>
      <c r="IUO63" s="349"/>
      <c r="IUP63" s="349"/>
      <c r="IUQ63" s="349"/>
      <c r="IUR63" s="349"/>
      <c r="IUS63" s="349"/>
      <c r="IUT63" s="349"/>
      <c r="IUU63" s="349"/>
      <c r="IUV63" s="349"/>
      <c r="IUW63" s="349"/>
      <c r="IUX63" s="349"/>
      <c r="IUY63" s="349"/>
      <c r="IUZ63" s="349"/>
      <c r="IVA63" s="349"/>
      <c r="IVB63" s="349"/>
      <c r="IVC63" s="349"/>
      <c r="IVD63" s="349"/>
      <c r="IVE63" s="349"/>
      <c r="IVF63" s="349"/>
      <c r="IVG63" s="349"/>
      <c r="IVH63" s="349"/>
      <c r="IVI63" s="349"/>
      <c r="IVJ63" s="349"/>
      <c r="IVK63" s="349"/>
      <c r="IVL63" s="349"/>
      <c r="IVM63" s="349"/>
      <c r="IVN63" s="349"/>
      <c r="IVO63" s="349"/>
      <c r="IVP63" s="349"/>
      <c r="IVQ63" s="349"/>
      <c r="IVR63" s="349"/>
      <c r="IVS63" s="349"/>
      <c r="IVT63" s="349"/>
      <c r="IVU63" s="349"/>
      <c r="IVV63" s="349"/>
      <c r="IVW63" s="349"/>
      <c r="IVX63" s="349"/>
      <c r="IVY63" s="349"/>
      <c r="IVZ63" s="349"/>
      <c r="IWA63" s="349"/>
      <c r="IWB63" s="349"/>
      <c r="IWC63" s="349"/>
      <c r="IWD63" s="349"/>
      <c r="IWE63" s="349"/>
      <c r="IWF63" s="349"/>
      <c r="IWG63" s="349"/>
      <c r="IWH63" s="349"/>
      <c r="IWI63" s="349"/>
      <c r="IWJ63" s="349"/>
      <c r="IWK63" s="349"/>
      <c r="IWL63" s="349"/>
      <c r="IWM63" s="349"/>
      <c r="IWN63" s="349"/>
      <c r="IWO63" s="349"/>
      <c r="IWP63" s="349"/>
      <c r="IWQ63" s="349"/>
      <c r="IWR63" s="349"/>
      <c r="IWS63" s="349"/>
      <c r="IWT63" s="349"/>
      <c r="IWU63" s="349"/>
      <c r="IWV63" s="349"/>
      <c r="IWW63" s="349"/>
      <c r="IWX63" s="349"/>
      <c r="IWY63" s="349"/>
      <c r="IWZ63" s="349"/>
      <c r="IXA63" s="349"/>
      <c r="IXB63" s="349"/>
      <c r="IXC63" s="349"/>
      <c r="IXD63" s="349"/>
      <c r="IXE63" s="349"/>
      <c r="IXF63" s="349"/>
      <c r="IXG63" s="349"/>
      <c r="IXH63" s="349"/>
      <c r="IXI63" s="349"/>
      <c r="IXJ63" s="349"/>
      <c r="IXK63" s="349"/>
      <c r="IXL63" s="349"/>
      <c r="IXM63" s="349"/>
      <c r="IXN63" s="349"/>
      <c r="IXO63" s="349"/>
      <c r="IXP63" s="349"/>
      <c r="IXQ63" s="349"/>
      <c r="IXR63" s="349"/>
      <c r="IXS63" s="349"/>
      <c r="IXT63" s="349"/>
      <c r="IXU63" s="349"/>
      <c r="IXV63" s="349"/>
      <c r="IXW63" s="349"/>
      <c r="IXX63" s="349"/>
      <c r="IXY63" s="349"/>
      <c r="IXZ63" s="349"/>
      <c r="IYA63" s="349"/>
      <c r="IYB63" s="349"/>
      <c r="IYC63" s="349"/>
      <c r="IYD63" s="349"/>
      <c r="IYE63" s="349"/>
      <c r="IYF63" s="349"/>
      <c r="IYG63" s="349"/>
      <c r="IYH63" s="349"/>
      <c r="IYI63" s="349"/>
      <c r="IYJ63" s="349"/>
      <c r="IYK63" s="349"/>
      <c r="IYL63" s="349"/>
      <c r="IYM63" s="349"/>
      <c r="IYN63" s="349"/>
      <c r="IYO63" s="349"/>
      <c r="IYP63" s="349"/>
      <c r="IYQ63" s="349"/>
      <c r="IYR63" s="349"/>
      <c r="IYS63" s="349"/>
      <c r="IYT63" s="349"/>
      <c r="IYU63" s="349"/>
      <c r="IYV63" s="349"/>
      <c r="IYW63" s="349"/>
      <c r="IYX63" s="349"/>
      <c r="IYY63" s="349"/>
      <c r="IYZ63" s="349"/>
      <c r="IZA63" s="349"/>
      <c r="IZB63" s="349"/>
      <c r="IZC63" s="349"/>
      <c r="IZD63" s="349"/>
      <c r="IZE63" s="349"/>
      <c r="IZF63" s="349"/>
      <c r="IZG63" s="349"/>
      <c r="IZH63" s="349"/>
      <c r="IZI63" s="349"/>
      <c r="IZJ63" s="349"/>
      <c r="IZK63" s="349"/>
      <c r="IZL63" s="349"/>
      <c r="IZM63" s="349"/>
      <c r="IZN63" s="349"/>
      <c r="IZO63" s="349"/>
      <c r="IZP63" s="349"/>
      <c r="IZQ63" s="349"/>
      <c r="IZR63" s="349"/>
      <c r="IZS63" s="349"/>
      <c r="IZT63" s="349"/>
      <c r="IZU63" s="349"/>
      <c r="IZV63" s="349"/>
      <c r="IZW63" s="349"/>
      <c r="IZX63" s="349"/>
      <c r="IZY63" s="349"/>
      <c r="IZZ63" s="349"/>
      <c r="JAA63" s="349"/>
      <c r="JAB63" s="349"/>
      <c r="JAC63" s="349"/>
      <c r="JAD63" s="349"/>
      <c r="JAE63" s="349"/>
      <c r="JAF63" s="349"/>
      <c r="JAG63" s="349"/>
      <c r="JAH63" s="349"/>
      <c r="JAI63" s="349"/>
      <c r="JAJ63" s="349"/>
      <c r="JAK63" s="349"/>
      <c r="JAL63" s="349"/>
      <c r="JAM63" s="349"/>
      <c r="JAN63" s="349"/>
      <c r="JAO63" s="349"/>
      <c r="JAP63" s="349"/>
      <c r="JAQ63" s="349"/>
      <c r="JAR63" s="349"/>
      <c r="JAS63" s="349"/>
      <c r="JAT63" s="349"/>
      <c r="JAU63" s="349"/>
      <c r="JAV63" s="349"/>
      <c r="JAW63" s="349"/>
      <c r="JAX63" s="349"/>
      <c r="JAY63" s="349"/>
      <c r="JAZ63" s="349"/>
      <c r="JBA63" s="349"/>
      <c r="JBB63" s="349"/>
      <c r="JBC63" s="349"/>
      <c r="JBD63" s="349"/>
      <c r="JBE63" s="349"/>
      <c r="JBF63" s="349"/>
      <c r="JBG63" s="349"/>
      <c r="JBH63" s="349"/>
      <c r="JBI63" s="349"/>
      <c r="JBJ63" s="349"/>
      <c r="JBK63" s="349"/>
      <c r="JBL63" s="349"/>
      <c r="JBM63" s="349"/>
      <c r="JBN63" s="349"/>
      <c r="JBO63" s="349"/>
      <c r="JBP63" s="349"/>
      <c r="JBQ63" s="349"/>
      <c r="JBR63" s="349"/>
      <c r="JBS63" s="349"/>
      <c r="JBT63" s="349"/>
      <c r="JBU63" s="349"/>
      <c r="JBV63" s="349"/>
      <c r="JBW63" s="349"/>
      <c r="JBX63" s="349"/>
      <c r="JBY63" s="349"/>
      <c r="JBZ63" s="349"/>
      <c r="JCA63" s="349"/>
      <c r="JCB63" s="349"/>
      <c r="JCC63" s="349"/>
      <c r="JCD63" s="349"/>
      <c r="JCE63" s="349"/>
      <c r="JCF63" s="349"/>
      <c r="JCG63" s="349"/>
      <c r="JCH63" s="349"/>
      <c r="JCI63" s="349"/>
      <c r="JCJ63" s="349"/>
      <c r="JCK63" s="349"/>
      <c r="JCL63" s="349"/>
      <c r="JCM63" s="349"/>
      <c r="JCN63" s="349"/>
      <c r="JCO63" s="349"/>
      <c r="JCP63" s="349"/>
      <c r="JCQ63" s="349"/>
      <c r="JCR63" s="349"/>
      <c r="JCS63" s="349"/>
      <c r="JCT63" s="349"/>
      <c r="JCU63" s="349"/>
      <c r="JCV63" s="349"/>
      <c r="JCW63" s="349"/>
      <c r="JCX63" s="349"/>
      <c r="JCY63" s="349"/>
      <c r="JCZ63" s="349"/>
      <c r="JDA63" s="349"/>
      <c r="JDB63" s="349"/>
      <c r="JDC63" s="349"/>
      <c r="JDD63" s="349"/>
      <c r="JDE63" s="349"/>
      <c r="JDF63" s="349"/>
      <c r="JDG63" s="349"/>
      <c r="JDH63" s="349"/>
      <c r="JDI63" s="349"/>
      <c r="JDJ63" s="349"/>
      <c r="JDK63" s="349"/>
      <c r="JDL63" s="349"/>
      <c r="JDM63" s="349"/>
      <c r="JDN63" s="349"/>
      <c r="JDO63" s="349"/>
      <c r="JDP63" s="349"/>
      <c r="JDQ63" s="349"/>
      <c r="JDR63" s="349"/>
      <c r="JDS63" s="349"/>
      <c r="JDT63" s="349"/>
      <c r="JDU63" s="349"/>
      <c r="JDV63" s="349"/>
      <c r="JDW63" s="349"/>
      <c r="JDX63" s="349"/>
      <c r="JDY63" s="349"/>
      <c r="JDZ63" s="349"/>
      <c r="JEA63" s="349"/>
      <c r="JEB63" s="349"/>
      <c r="JEC63" s="349"/>
      <c r="JED63" s="349"/>
      <c r="JEE63" s="349"/>
      <c r="JEF63" s="349"/>
      <c r="JEG63" s="349"/>
      <c r="JEH63" s="349"/>
      <c r="JEI63" s="349"/>
      <c r="JEJ63" s="349"/>
      <c r="JEK63" s="349"/>
      <c r="JEL63" s="349"/>
      <c r="JEM63" s="349"/>
      <c r="JEN63" s="349"/>
      <c r="JEO63" s="349"/>
      <c r="JEP63" s="349"/>
      <c r="JEQ63" s="349"/>
      <c r="JER63" s="349"/>
      <c r="JES63" s="349"/>
      <c r="JET63" s="349"/>
      <c r="JEU63" s="349"/>
      <c r="JEV63" s="349"/>
      <c r="JEW63" s="349"/>
      <c r="JEX63" s="349"/>
      <c r="JEY63" s="349"/>
      <c r="JEZ63" s="349"/>
      <c r="JFA63" s="349"/>
      <c r="JFB63" s="349"/>
      <c r="JFC63" s="349"/>
      <c r="JFD63" s="349"/>
      <c r="JFE63" s="349"/>
      <c r="JFF63" s="349"/>
      <c r="JFG63" s="349"/>
      <c r="JFH63" s="349"/>
      <c r="JFI63" s="349"/>
      <c r="JFJ63" s="349"/>
      <c r="JFK63" s="349"/>
      <c r="JFL63" s="349"/>
      <c r="JFM63" s="349"/>
      <c r="JFN63" s="349"/>
      <c r="JFO63" s="349"/>
      <c r="JFP63" s="349"/>
      <c r="JFQ63" s="349"/>
      <c r="JFR63" s="349"/>
      <c r="JFS63" s="349"/>
      <c r="JFT63" s="349"/>
      <c r="JFU63" s="349"/>
      <c r="JFV63" s="349"/>
      <c r="JFW63" s="349"/>
      <c r="JFX63" s="349"/>
      <c r="JFY63" s="349"/>
      <c r="JFZ63" s="349"/>
      <c r="JGA63" s="349"/>
      <c r="JGB63" s="349"/>
      <c r="JGC63" s="349"/>
      <c r="JGD63" s="349"/>
      <c r="JGE63" s="349"/>
      <c r="JGF63" s="349"/>
      <c r="JGG63" s="349"/>
      <c r="JGH63" s="349"/>
      <c r="JGI63" s="349"/>
      <c r="JGJ63" s="349"/>
      <c r="JGK63" s="349"/>
      <c r="JGL63" s="349"/>
      <c r="JGM63" s="349"/>
      <c r="JGN63" s="349"/>
      <c r="JGO63" s="349"/>
      <c r="JGP63" s="349"/>
      <c r="JGQ63" s="349"/>
      <c r="JGR63" s="349"/>
      <c r="JGS63" s="349"/>
      <c r="JGT63" s="349"/>
      <c r="JGU63" s="349"/>
      <c r="JGV63" s="349"/>
      <c r="JGW63" s="349"/>
      <c r="JGX63" s="349"/>
      <c r="JGY63" s="349"/>
      <c r="JGZ63" s="349"/>
      <c r="JHA63" s="349"/>
      <c r="JHB63" s="349"/>
      <c r="JHC63" s="349"/>
      <c r="JHD63" s="349"/>
      <c r="JHE63" s="349"/>
      <c r="JHF63" s="349"/>
      <c r="JHG63" s="349"/>
      <c r="JHH63" s="349"/>
      <c r="JHI63" s="349"/>
      <c r="JHJ63" s="349"/>
      <c r="JHK63" s="349"/>
      <c r="JHL63" s="349"/>
      <c r="JHM63" s="349"/>
      <c r="JHN63" s="349"/>
      <c r="JHO63" s="349"/>
      <c r="JHP63" s="349"/>
      <c r="JHQ63" s="349"/>
      <c r="JHR63" s="349"/>
      <c r="JHS63" s="349"/>
      <c r="JHT63" s="349"/>
      <c r="JHU63" s="349"/>
      <c r="JHV63" s="349"/>
      <c r="JHW63" s="349"/>
      <c r="JHX63" s="349"/>
      <c r="JHY63" s="349"/>
      <c r="JHZ63" s="349"/>
      <c r="JIA63" s="349"/>
      <c r="JIB63" s="349"/>
      <c r="JIC63" s="349"/>
      <c r="JID63" s="349"/>
      <c r="JIE63" s="349"/>
      <c r="JIF63" s="349"/>
      <c r="JIG63" s="349"/>
      <c r="JIH63" s="349"/>
      <c r="JII63" s="349"/>
      <c r="JIJ63" s="349"/>
      <c r="JIK63" s="349"/>
      <c r="JIL63" s="349"/>
      <c r="JIM63" s="349"/>
      <c r="JIN63" s="349"/>
      <c r="JIO63" s="349"/>
      <c r="JIP63" s="349"/>
      <c r="JIQ63" s="349"/>
      <c r="JIR63" s="349"/>
      <c r="JIS63" s="349"/>
      <c r="JIT63" s="349"/>
      <c r="JIU63" s="349"/>
      <c r="JIV63" s="349"/>
      <c r="JIW63" s="349"/>
      <c r="JIX63" s="349"/>
      <c r="JIY63" s="349"/>
      <c r="JIZ63" s="349"/>
      <c r="JJA63" s="349"/>
      <c r="JJB63" s="349"/>
      <c r="JJC63" s="349"/>
      <c r="JJD63" s="349"/>
      <c r="JJE63" s="349"/>
      <c r="JJF63" s="349"/>
      <c r="JJG63" s="349"/>
      <c r="JJH63" s="349"/>
      <c r="JJI63" s="349"/>
      <c r="JJJ63" s="349"/>
      <c r="JJK63" s="349"/>
      <c r="JJL63" s="349"/>
      <c r="JJM63" s="349"/>
      <c r="JJN63" s="349"/>
      <c r="JJO63" s="349"/>
      <c r="JJP63" s="349"/>
      <c r="JJQ63" s="349"/>
      <c r="JJR63" s="349"/>
      <c r="JJS63" s="349"/>
      <c r="JJT63" s="349"/>
      <c r="JJU63" s="349"/>
      <c r="JJV63" s="349"/>
      <c r="JJW63" s="349"/>
      <c r="JJX63" s="349"/>
      <c r="JJY63" s="349"/>
      <c r="JJZ63" s="349"/>
      <c r="JKA63" s="349"/>
      <c r="JKB63" s="349"/>
      <c r="JKC63" s="349"/>
      <c r="JKD63" s="349"/>
      <c r="JKE63" s="349"/>
      <c r="JKF63" s="349"/>
      <c r="JKG63" s="349"/>
      <c r="JKH63" s="349"/>
      <c r="JKI63" s="349"/>
      <c r="JKJ63" s="349"/>
      <c r="JKK63" s="349"/>
      <c r="JKL63" s="349"/>
      <c r="JKM63" s="349"/>
      <c r="JKN63" s="349"/>
      <c r="JKO63" s="349"/>
      <c r="JKP63" s="349"/>
      <c r="JKQ63" s="349"/>
      <c r="JKR63" s="349"/>
      <c r="JKS63" s="349"/>
      <c r="JKT63" s="349"/>
      <c r="JKU63" s="349"/>
      <c r="JKV63" s="349"/>
      <c r="JKW63" s="349"/>
      <c r="JKX63" s="349"/>
      <c r="JKY63" s="349"/>
      <c r="JKZ63" s="349"/>
      <c r="JLA63" s="349"/>
      <c r="JLB63" s="349"/>
      <c r="JLC63" s="349"/>
      <c r="JLD63" s="349"/>
      <c r="JLE63" s="349"/>
      <c r="JLF63" s="349"/>
      <c r="JLG63" s="349"/>
      <c r="JLH63" s="349"/>
      <c r="JLI63" s="349"/>
      <c r="JLJ63" s="349"/>
      <c r="JLK63" s="349"/>
      <c r="JLL63" s="349"/>
      <c r="JLM63" s="349"/>
      <c r="JLN63" s="349"/>
      <c r="JLO63" s="349"/>
      <c r="JLP63" s="349"/>
      <c r="JLQ63" s="349"/>
      <c r="JLR63" s="349"/>
      <c r="JLS63" s="349"/>
      <c r="JLT63" s="349"/>
      <c r="JLU63" s="349"/>
      <c r="JLV63" s="349"/>
      <c r="JLW63" s="349"/>
      <c r="JLX63" s="349"/>
      <c r="JLY63" s="349"/>
      <c r="JLZ63" s="349"/>
      <c r="JMA63" s="349"/>
      <c r="JMB63" s="349"/>
      <c r="JMC63" s="349"/>
      <c r="JMD63" s="349"/>
      <c r="JME63" s="349"/>
      <c r="JMF63" s="349"/>
      <c r="JMG63" s="349"/>
      <c r="JMH63" s="349"/>
      <c r="JMI63" s="349"/>
      <c r="JMJ63" s="349"/>
      <c r="JMK63" s="349"/>
      <c r="JML63" s="349"/>
      <c r="JMM63" s="349"/>
      <c r="JMN63" s="349"/>
      <c r="JMO63" s="349"/>
      <c r="JMP63" s="349"/>
      <c r="JMQ63" s="349"/>
      <c r="JMR63" s="349"/>
      <c r="JMS63" s="349"/>
      <c r="JMT63" s="349"/>
      <c r="JMU63" s="349"/>
      <c r="JMV63" s="349"/>
      <c r="JMW63" s="349"/>
      <c r="JMX63" s="349"/>
      <c r="JMY63" s="349"/>
      <c r="JMZ63" s="349"/>
      <c r="JNA63" s="349"/>
      <c r="JNB63" s="349"/>
      <c r="JNC63" s="349"/>
      <c r="JND63" s="349"/>
      <c r="JNE63" s="349"/>
      <c r="JNF63" s="349"/>
      <c r="JNG63" s="349"/>
      <c r="JNH63" s="349"/>
      <c r="JNI63" s="349"/>
      <c r="JNJ63" s="349"/>
      <c r="JNK63" s="349"/>
      <c r="JNL63" s="349"/>
      <c r="JNM63" s="349"/>
      <c r="JNN63" s="349"/>
      <c r="JNO63" s="349"/>
      <c r="JNP63" s="349"/>
      <c r="JNQ63" s="349"/>
      <c r="JNR63" s="349"/>
      <c r="JNS63" s="349"/>
      <c r="JNT63" s="349"/>
      <c r="JNU63" s="349"/>
      <c r="JNV63" s="349"/>
      <c r="JNW63" s="349"/>
      <c r="JNX63" s="349"/>
      <c r="JNY63" s="349"/>
      <c r="JNZ63" s="349"/>
      <c r="JOA63" s="349"/>
      <c r="JOB63" s="349"/>
      <c r="JOC63" s="349"/>
      <c r="JOD63" s="349"/>
      <c r="JOE63" s="349"/>
      <c r="JOF63" s="349"/>
      <c r="JOG63" s="349"/>
      <c r="JOH63" s="349"/>
      <c r="JOI63" s="349"/>
      <c r="JOJ63" s="349"/>
      <c r="JOK63" s="349"/>
      <c r="JOL63" s="349"/>
      <c r="JOM63" s="349"/>
      <c r="JON63" s="349"/>
      <c r="JOO63" s="349"/>
      <c r="JOP63" s="349"/>
      <c r="JOQ63" s="349"/>
      <c r="JOR63" s="349"/>
      <c r="JOS63" s="349"/>
      <c r="JOT63" s="349"/>
      <c r="JOU63" s="349"/>
      <c r="JOV63" s="349"/>
      <c r="JOW63" s="349"/>
      <c r="JOX63" s="349"/>
      <c r="JOY63" s="349"/>
      <c r="JOZ63" s="349"/>
      <c r="JPA63" s="349"/>
      <c r="JPB63" s="349"/>
      <c r="JPC63" s="349"/>
      <c r="JPD63" s="349"/>
      <c r="JPE63" s="349"/>
      <c r="JPF63" s="349"/>
      <c r="JPG63" s="349"/>
      <c r="JPH63" s="349"/>
      <c r="JPI63" s="349"/>
      <c r="JPJ63" s="349"/>
      <c r="JPK63" s="349"/>
      <c r="JPL63" s="349"/>
      <c r="JPM63" s="349"/>
      <c r="JPN63" s="349"/>
      <c r="JPO63" s="349"/>
      <c r="JPP63" s="349"/>
      <c r="JPQ63" s="349"/>
      <c r="JPR63" s="349"/>
      <c r="JPS63" s="349"/>
      <c r="JPT63" s="349"/>
      <c r="JPU63" s="349"/>
      <c r="JPV63" s="349"/>
      <c r="JPW63" s="349"/>
      <c r="JPX63" s="349"/>
      <c r="JPY63" s="349"/>
      <c r="JPZ63" s="349"/>
      <c r="JQA63" s="349"/>
      <c r="JQB63" s="349"/>
      <c r="JQC63" s="349"/>
      <c r="JQD63" s="349"/>
      <c r="JQE63" s="349"/>
      <c r="JQF63" s="349"/>
      <c r="JQG63" s="349"/>
      <c r="JQH63" s="349"/>
      <c r="JQI63" s="349"/>
      <c r="JQJ63" s="349"/>
      <c r="JQK63" s="349"/>
      <c r="JQL63" s="349"/>
      <c r="JQM63" s="349"/>
      <c r="JQN63" s="349"/>
      <c r="JQO63" s="349"/>
      <c r="JQP63" s="349"/>
      <c r="JQQ63" s="349"/>
      <c r="JQR63" s="349"/>
      <c r="JQS63" s="349"/>
      <c r="JQT63" s="349"/>
      <c r="JQU63" s="349"/>
      <c r="JQV63" s="349"/>
      <c r="JQW63" s="349"/>
      <c r="JQX63" s="349"/>
      <c r="JQY63" s="349"/>
      <c r="JQZ63" s="349"/>
      <c r="JRA63" s="349"/>
      <c r="JRB63" s="349"/>
      <c r="JRC63" s="349"/>
      <c r="JRD63" s="349"/>
      <c r="JRE63" s="349"/>
      <c r="JRF63" s="349"/>
      <c r="JRG63" s="349"/>
      <c r="JRH63" s="349"/>
      <c r="JRI63" s="349"/>
      <c r="JRJ63" s="349"/>
      <c r="JRK63" s="349"/>
      <c r="JRL63" s="349"/>
      <c r="JRM63" s="349"/>
      <c r="JRN63" s="349"/>
      <c r="JRO63" s="349"/>
      <c r="JRP63" s="349"/>
      <c r="JRQ63" s="349"/>
      <c r="JRR63" s="349"/>
      <c r="JRS63" s="349"/>
      <c r="JRT63" s="349"/>
      <c r="JRU63" s="349"/>
      <c r="JRV63" s="349"/>
      <c r="JRW63" s="349"/>
      <c r="JRX63" s="349"/>
      <c r="JRY63" s="349"/>
      <c r="JRZ63" s="349"/>
      <c r="JSA63" s="349"/>
      <c r="JSB63" s="349"/>
      <c r="JSC63" s="349"/>
      <c r="JSD63" s="349"/>
      <c r="JSE63" s="349"/>
      <c r="JSF63" s="349"/>
      <c r="JSG63" s="349"/>
      <c r="JSH63" s="349"/>
      <c r="JSI63" s="349"/>
      <c r="JSJ63" s="349"/>
      <c r="JSK63" s="349"/>
      <c r="JSL63" s="349"/>
      <c r="JSM63" s="349"/>
      <c r="JSN63" s="349"/>
      <c r="JSO63" s="349"/>
      <c r="JSP63" s="349"/>
      <c r="JSQ63" s="349"/>
      <c r="JSR63" s="349"/>
      <c r="JSS63" s="349"/>
      <c r="JST63" s="349"/>
      <c r="JSU63" s="349"/>
      <c r="JSV63" s="349"/>
      <c r="JSW63" s="349"/>
      <c r="JSX63" s="349"/>
      <c r="JSY63" s="349"/>
      <c r="JSZ63" s="349"/>
      <c r="JTA63" s="349"/>
      <c r="JTB63" s="349"/>
      <c r="JTC63" s="349"/>
      <c r="JTD63" s="349"/>
      <c r="JTE63" s="349"/>
      <c r="JTF63" s="349"/>
      <c r="JTG63" s="349"/>
      <c r="JTH63" s="349"/>
      <c r="JTI63" s="349"/>
      <c r="JTJ63" s="349"/>
      <c r="JTK63" s="349"/>
      <c r="JTL63" s="349"/>
      <c r="JTM63" s="349"/>
      <c r="JTN63" s="349"/>
      <c r="JTO63" s="349"/>
      <c r="JTP63" s="349"/>
      <c r="JTQ63" s="349"/>
      <c r="JTR63" s="349"/>
      <c r="JTS63" s="349"/>
      <c r="JTT63" s="349"/>
      <c r="JTU63" s="349"/>
      <c r="JTV63" s="349"/>
      <c r="JTW63" s="349"/>
      <c r="JTX63" s="349"/>
      <c r="JTY63" s="349"/>
      <c r="JTZ63" s="349"/>
      <c r="JUA63" s="349"/>
      <c r="JUB63" s="349"/>
      <c r="JUC63" s="349"/>
      <c r="JUD63" s="349"/>
      <c r="JUE63" s="349"/>
      <c r="JUF63" s="349"/>
      <c r="JUG63" s="349"/>
      <c r="JUH63" s="349"/>
      <c r="JUI63" s="349"/>
      <c r="JUJ63" s="349"/>
      <c r="JUK63" s="349"/>
      <c r="JUL63" s="349"/>
      <c r="JUM63" s="349"/>
      <c r="JUN63" s="349"/>
      <c r="JUO63" s="349"/>
      <c r="JUP63" s="349"/>
      <c r="JUQ63" s="349"/>
      <c r="JUR63" s="349"/>
      <c r="JUS63" s="349"/>
      <c r="JUT63" s="349"/>
      <c r="JUU63" s="349"/>
      <c r="JUV63" s="349"/>
      <c r="JUW63" s="349"/>
      <c r="JUX63" s="349"/>
      <c r="JUY63" s="349"/>
      <c r="JUZ63" s="349"/>
      <c r="JVA63" s="349"/>
      <c r="JVB63" s="349"/>
      <c r="JVC63" s="349"/>
      <c r="JVD63" s="349"/>
      <c r="JVE63" s="349"/>
      <c r="JVF63" s="349"/>
      <c r="JVG63" s="349"/>
      <c r="JVH63" s="349"/>
      <c r="JVI63" s="349"/>
      <c r="JVJ63" s="349"/>
      <c r="JVK63" s="349"/>
      <c r="JVL63" s="349"/>
      <c r="JVM63" s="349"/>
      <c r="JVN63" s="349"/>
      <c r="JVO63" s="349"/>
      <c r="JVP63" s="349"/>
      <c r="JVQ63" s="349"/>
      <c r="JVR63" s="349"/>
      <c r="JVS63" s="349"/>
      <c r="JVT63" s="349"/>
      <c r="JVU63" s="349"/>
      <c r="JVV63" s="349"/>
      <c r="JVW63" s="349"/>
      <c r="JVX63" s="349"/>
      <c r="JVY63" s="349"/>
      <c r="JVZ63" s="349"/>
      <c r="JWA63" s="349"/>
      <c r="JWB63" s="349"/>
      <c r="JWC63" s="349"/>
      <c r="JWD63" s="349"/>
      <c r="JWE63" s="349"/>
      <c r="JWF63" s="349"/>
      <c r="JWG63" s="349"/>
      <c r="JWH63" s="349"/>
      <c r="JWI63" s="349"/>
      <c r="JWJ63" s="349"/>
      <c r="JWK63" s="349"/>
      <c r="JWL63" s="349"/>
      <c r="JWM63" s="349"/>
      <c r="JWN63" s="349"/>
      <c r="JWO63" s="349"/>
      <c r="JWP63" s="349"/>
      <c r="JWQ63" s="349"/>
      <c r="JWR63" s="349"/>
      <c r="JWS63" s="349"/>
      <c r="JWT63" s="349"/>
      <c r="JWU63" s="349"/>
      <c r="JWV63" s="349"/>
      <c r="JWW63" s="349"/>
      <c r="JWX63" s="349"/>
      <c r="JWY63" s="349"/>
      <c r="JWZ63" s="349"/>
      <c r="JXA63" s="349"/>
      <c r="JXB63" s="349"/>
      <c r="JXC63" s="349"/>
      <c r="JXD63" s="349"/>
      <c r="JXE63" s="349"/>
      <c r="JXF63" s="349"/>
      <c r="JXG63" s="349"/>
      <c r="JXH63" s="349"/>
      <c r="JXI63" s="349"/>
      <c r="JXJ63" s="349"/>
      <c r="JXK63" s="349"/>
      <c r="JXL63" s="349"/>
      <c r="JXM63" s="349"/>
      <c r="JXN63" s="349"/>
      <c r="JXO63" s="349"/>
      <c r="JXP63" s="349"/>
      <c r="JXQ63" s="349"/>
      <c r="JXR63" s="349"/>
      <c r="JXS63" s="349"/>
      <c r="JXT63" s="349"/>
      <c r="JXU63" s="349"/>
      <c r="JXV63" s="349"/>
      <c r="JXW63" s="349"/>
      <c r="JXX63" s="349"/>
      <c r="JXY63" s="349"/>
      <c r="JXZ63" s="349"/>
      <c r="JYA63" s="349"/>
      <c r="JYB63" s="349"/>
      <c r="JYC63" s="349"/>
      <c r="JYD63" s="349"/>
      <c r="JYE63" s="349"/>
      <c r="JYF63" s="349"/>
      <c r="JYG63" s="349"/>
      <c r="JYH63" s="349"/>
      <c r="JYI63" s="349"/>
      <c r="JYJ63" s="349"/>
      <c r="JYK63" s="349"/>
      <c r="JYL63" s="349"/>
      <c r="JYM63" s="349"/>
      <c r="JYN63" s="349"/>
      <c r="JYO63" s="349"/>
      <c r="JYP63" s="349"/>
      <c r="JYQ63" s="349"/>
      <c r="JYR63" s="349"/>
      <c r="JYS63" s="349"/>
      <c r="JYT63" s="349"/>
      <c r="JYU63" s="349"/>
      <c r="JYV63" s="349"/>
      <c r="JYW63" s="349"/>
      <c r="JYX63" s="349"/>
      <c r="JYY63" s="349"/>
      <c r="JYZ63" s="349"/>
      <c r="JZA63" s="349"/>
      <c r="JZB63" s="349"/>
      <c r="JZC63" s="349"/>
      <c r="JZD63" s="349"/>
      <c r="JZE63" s="349"/>
      <c r="JZF63" s="349"/>
      <c r="JZG63" s="349"/>
      <c r="JZH63" s="349"/>
      <c r="JZI63" s="349"/>
      <c r="JZJ63" s="349"/>
      <c r="JZK63" s="349"/>
      <c r="JZL63" s="349"/>
      <c r="JZM63" s="349"/>
      <c r="JZN63" s="349"/>
      <c r="JZO63" s="349"/>
      <c r="JZP63" s="349"/>
      <c r="JZQ63" s="349"/>
      <c r="JZR63" s="349"/>
      <c r="JZS63" s="349"/>
      <c r="JZT63" s="349"/>
      <c r="JZU63" s="349"/>
      <c r="JZV63" s="349"/>
      <c r="JZW63" s="349"/>
      <c r="JZX63" s="349"/>
      <c r="JZY63" s="349"/>
      <c r="JZZ63" s="349"/>
      <c r="KAA63" s="349"/>
      <c r="KAB63" s="349"/>
      <c r="KAC63" s="349"/>
      <c r="KAD63" s="349"/>
      <c r="KAE63" s="349"/>
      <c r="KAF63" s="349"/>
      <c r="KAG63" s="349"/>
      <c r="KAH63" s="349"/>
      <c r="KAI63" s="349"/>
      <c r="KAJ63" s="349"/>
      <c r="KAK63" s="349"/>
      <c r="KAL63" s="349"/>
      <c r="KAM63" s="349"/>
      <c r="KAN63" s="349"/>
      <c r="KAO63" s="349"/>
      <c r="KAP63" s="349"/>
      <c r="KAQ63" s="349"/>
      <c r="KAR63" s="349"/>
      <c r="KAS63" s="349"/>
      <c r="KAT63" s="349"/>
      <c r="KAU63" s="349"/>
      <c r="KAV63" s="349"/>
      <c r="KAW63" s="349"/>
      <c r="KAX63" s="349"/>
      <c r="KAY63" s="349"/>
      <c r="KAZ63" s="349"/>
      <c r="KBA63" s="349"/>
      <c r="KBB63" s="349"/>
      <c r="KBC63" s="349"/>
      <c r="KBD63" s="349"/>
      <c r="KBE63" s="349"/>
      <c r="KBF63" s="349"/>
      <c r="KBG63" s="349"/>
      <c r="KBH63" s="349"/>
      <c r="KBI63" s="349"/>
      <c r="KBJ63" s="349"/>
      <c r="KBK63" s="349"/>
      <c r="KBL63" s="349"/>
      <c r="KBM63" s="349"/>
      <c r="KBN63" s="349"/>
      <c r="KBO63" s="349"/>
      <c r="KBP63" s="349"/>
      <c r="KBQ63" s="349"/>
      <c r="KBR63" s="349"/>
      <c r="KBS63" s="349"/>
      <c r="KBT63" s="349"/>
      <c r="KBU63" s="349"/>
      <c r="KBV63" s="349"/>
      <c r="KBW63" s="349"/>
      <c r="KBX63" s="349"/>
      <c r="KBY63" s="349"/>
      <c r="KBZ63" s="349"/>
      <c r="KCA63" s="349"/>
      <c r="KCB63" s="349"/>
      <c r="KCC63" s="349"/>
      <c r="KCD63" s="349"/>
      <c r="KCE63" s="349"/>
      <c r="KCF63" s="349"/>
      <c r="KCG63" s="349"/>
      <c r="KCH63" s="349"/>
      <c r="KCI63" s="349"/>
      <c r="KCJ63" s="349"/>
      <c r="KCK63" s="349"/>
      <c r="KCL63" s="349"/>
      <c r="KCM63" s="349"/>
      <c r="KCN63" s="349"/>
      <c r="KCO63" s="349"/>
      <c r="KCP63" s="349"/>
      <c r="KCQ63" s="349"/>
      <c r="KCR63" s="349"/>
      <c r="KCS63" s="349"/>
      <c r="KCT63" s="349"/>
      <c r="KCU63" s="349"/>
      <c r="KCV63" s="349"/>
      <c r="KCW63" s="349"/>
      <c r="KCX63" s="349"/>
      <c r="KCY63" s="349"/>
      <c r="KCZ63" s="349"/>
      <c r="KDA63" s="349"/>
      <c r="KDB63" s="349"/>
      <c r="KDC63" s="349"/>
      <c r="KDD63" s="349"/>
      <c r="KDE63" s="349"/>
      <c r="KDF63" s="349"/>
      <c r="KDG63" s="349"/>
      <c r="KDH63" s="349"/>
      <c r="KDI63" s="349"/>
      <c r="KDJ63" s="349"/>
      <c r="KDK63" s="349"/>
      <c r="KDL63" s="349"/>
      <c r="KDM63" s="349"/>
      <c r="KDN63" s="349"/>
      <c r="KDO63" s="349"/>
      <c r="KDP63" s="349"/>
      <c r="KDQ63" s="349"/>
      <c r="KDR63" s="349"/>
      <c r="KDS63" s="349"/>
      <c r="KDT63" s="349"/>
      <c r="KDU63" s="349"/>
      <c r="KDV63" s="349"/>
      <c r="KDW63" s="349"/>
      <c r="KDX63" s="349"/>
      <c r="KDY63" s="349"/>
      <c r="KDZ63" s="349"/>
      <c r="KEA63" s="349"/>
      <c r="KEB63" s="349"/>
      <c r="KEC63" s="349"/>
      <c r="KED63" s="349"/>
      <c r="KEE63" s="349"/>
      <c r="KEF63" s="349"/>
      <c r="KEG63" s="349"/>
      <c r="KEH63" s="349"/>
      <c r="KEI63" s="349"/>
      <c r="KEJ63" s="349"/>
      <c r="KEK63" s="349"/>
      <c r="KEL63" s="349"/>
      <c r="KEM63" s="349"/>
      <c r="KEN63" s="349"/>
      <c r="KEO63" s="349"/>
      <c r="KEP63" s="349"/>
      <c r="KEQ63" s="349"/>
      <c r="KER63" s="349"/>
      <c r="KES63" s="349"/>
      <c r="KET63" s="349"/>
      <c r="KEU63" s="349"/>
      <c r="KEV63" s="349"/>
      <c r="KEW63" s="349"/>
      <c r="KEX63" s="349"/>
      <c r="KEY63" s="349"/>
      <c r="KEZ63" s="349"/>
      <c r="KFA63" s="349"/>
      <c r="KFB63" s="349"/>
      <c r="KFC63" s="349"/>
      <c r="KFD63" s="349"/>
      <c r="KFE63" s="349"/>
      <c r="KFF63" s="349"/>
      <c r="KFG63" s="349"/>
      <c r="KFH63" s="349"/>
      <c r="KFI63" s="349"/>
      <c r="KFJ63" s="349"/>
      <c r="KFK63" s="349"/>
      <c r="KFL63" s="349"/>
      <c r="KFM63" s="349"/>
      <c r="KFN63" s="349"/>
      <c r="KFO63" s="349"/>
      <c r="KFP63" s="349"/>
      <c r="KFQ63" s="349"/>
      <c r="KFR63" s="349"/>
      <c r="KFS63" s="349"/>
      <c r="KFT63" s="349"/>
      <c r="KFU63" s="349"/>
      <c r="KFV63" s="349"/>
      <c r="KFW63" s="349"/>
      <c r="KFX63" s="349"/>
      <c r="KFY63" s="349"/>
      <c r="KFZ63" s="349"/>
      <c r="KGA63" s="349"/>
      <c r="KGB63" s="349"/>
      <c r="KGC63" s="349"/>
      <c r="KGD63" s="349"/>
      <c r="KGE63" s="349"/>
      <c r="KGF63" s="349"/>
      <c r="KGG63" s="349"/>
      <c r="KGH63" s="349"/>
      <c r="KGI63" s="349"/>
      <c r="KGJ63" s="349"/>
      <c r="KGK63" s="349"/>
      <c r="KGL63" s="349"/>
      <c r="KGM63" s="349"/>
      <c r="KGN63" s="349"/>
      <c r="KGO63" s="349"/>
      <c r="KGP63" s="349"/>
      <c r="KGQ63" s="349"/>
      <c r="KGR63" s="349"/>
      <c r="KGS63" s="349"/>
      <c r="KGT63" s="349"/>
      <c r="KGU63" s="349"/>
      <c r="KGV63" s="349"/>
      <c r="KGW63" s="349"/>
      <c r="KGX63" s="349"/>
      <c r="KGY63" s="349"/>
      <c r="KGZ63" s="349"/>
      <c r="KHA63" s="349"/>
      <c r="KHB63" s="349"/>
      <c r="KHC63" s="349"/>
      <c r="KHD63" s="349"/>
      <c r="KHE63" s="349"/>
      <c r="KHF63" s="349"/>
      <c r="KHG63" s="349"/>
      <c r="KHH63" s="349"/>
      <c r="KHI63" s="349"/>
      <c r="KHJ63" s="349"/>
      <c r="KHK63" s="349"/>
      <c r="KHL63" s="349"/>
      <c r="KHM63" s="349"/>
      <c r="KHN63" s="349"/>
      <c r="KHO63" s="349"/>
      <c r="KHP63" s="349"/>
      <c r="KHQ63" s="349"/>
      <c r="KHR63" s="349"/>
      <c r="KHS63" s="349"/>
      <c r="KHT63" s="349"/>
      <c r="KHU63" s="349"/>
      <c r="KHV63" s="349"/>
      <c r="KHW63" s="349"/>
      <c r="KHX63" s="349"/>
      <c r="KHY63" s="349"/>
      <c r="KHZ63" s="349"/>
      <c r="KIA63" s="349"/>
      <c r="KIB63" s="349"/>
      <c r="KIC63" s="349"/>
      <c r="KID63" s="349"/>
      <c r="KIE63" s="349"/>
      <c r="KIF63" s="349"/>
      <c r="KIG63" s="349"/>
      <c r="KIH63" s="349"/>
      <c r="KII63" s="349"/>
      <c r="KIJ63" s="349"/>
      <c r="KIK63" s="349"/>
      <c r="KIL63" s="349"/>
      <c r="KIM63" s="349"/>
      <c r="KIN63" s="349"/>
      <c r="KIO63" s="349"/>
      <c r="KIP63" s="349"/>
      <c r="KIQ63" s="349"/>
      <c r="KIR63" s="349"/>
      <c r="KIS63" s="349"/>
      <c r="KIT63" s="349"/>
      <c r="KIU63" s="349"/>
      <c r="KIV63" s="349"/>
      <c r="KIW63" s="349"/>
      <c r="KIX63" s="349"/>
      <c r="KIY63" s="349"/>
      <c r="KIZ63" s="349"/>
      <c r="KJA63" s="349"/>
      <c r="KJB63" s="349"/>
      <c r="KJC63" s="349"/>
      <c r="KJD63" s="349"/>
      <c r="KJE63" s="349"/>
      <c r="KJF63" s="349"/>
      <c r="KJG63" s="349"/>
      <c r="KJH63" s="349"/>
      <c r="KJI63" s="349"/>
      <c r="KJJ63" s="349"/>
      <c r="KJK63" s="349"/>
      <c r="KJL63" s="349"/>
      <c r="KJM63" s="349"/>
      <c r="KJN63" s="349"/>
      <c r="KJO63" s="349"/>
      <c r="KJP63" s="349"/>
      <c r="KJQ63" s="349"/>
      <c r="KJR63" s="349"/>
      <c r="KJS63" s="349"/>
      <c r="KJT63" s="349"/>
      <c r="KJU63" s="349"/>
      <c r="KJV63" s="349"/>
      <c r="KJW63" s="349"/>
      <c r="KJX63" s="349"/>
      <c r="KJY63" s="349"/>
      <c r="KJZ63" s="349"/>
      <c r="KKA63" s="349"/>
      <c r="KKB63" s="349"/>
      <c r="KKC63" s="349"/>
      <c r="KKD63" s="349"/>
      <c r="KKE63" s="349"/>
      <c r="KKF63" s="349"/>
      <c r="KKG63" s="349"/>
      <c r="KKH63" s="349"/>
      <c r="KKI63" s="349"/>
      <c r="KKJ63" s="349"/>
      <c r="KKK63" s="349"/>
      <c r="KKL63" s="349"/>
      <c r="KKM63" s="349"/>
      <c r="KKN63" s="349"/>
      <c r="KKO63" s="349"/>
      <c r="KKP63" s="349"/>
      <c r="KKQ63" s="349"/>
      <c r="KKR63" s="349"/>
      <c r="KKS63" s="349"/>
      <c r="KKT63" s="349"/>
      <c r="KKU63" s="349"/>
      <c r="KKV63" s="349"/>
      <c r="KKW63" s="349"/>
      <c r="KKX63" s="349"/>
      <c r="KKY63" s="349"/>
      <c r="KKZ63" s="349"/>
      <c r="KLA63" s="349"/>
      <c r="KLB63" s="349"/>
      <c r="KLC63" s="349"/>
      <c r="KLD63" s="349"/>
      <c r="KLE63" s="349"/>
      <c r="KLF63" s="349"/>
      <c r="KLG63" s="349"/>
      <c r="KLH63" s="349"/>
      <c r="KLI63" s="349"/>
      <c r="KLJ63" s="349"/>
      <c r="KLK63" s="349"/>
      <c r="KLL63" s="349"/>
      <c r="KLM63" s="349"/>
      <c r="KLN63" s="349"/>
      <c r="KLO63" s="349"/>
      <c r="KLP63" s="349"/>
      <c r="KLQ63" s="349"/>
      <c r="KLR63" s="349"/>
      <c r="KLS63" s="349"/>
      <c r="KLT63" s="349"/>
      <c r="KLU63" s="349"/>
      <c r="KLV63" s="349"/>
      <c r="KLW63" s="349"/>
      <c r="KLX63" s="349"/>
      <c r="KLY63" s="349"/>
      <c r="KLZ63" s="349"/>
      <c r="KMA63" s="349"/>
      <c r="KMB63" s="349"/>
      <c r="KMC63" s="349"/>
      <c r="KMD63" s="349"/>
      <c r="KME63" s="349"/>
      <c r="KMF63" s="349"/>
      <c r="KMG63" s="349"/>
      <c r="KMH63" s="349"/>
      <c r="KMI63" s="349"/>
      <c r="KMJ63" s="349"/>
      <c r="KMK63" s="349"/>
      <c r="KML63" s="349"/>
      <c r="KMM63" s="349"/>
      <c r="KMN63" s="349"/>
      <c r="KMO63" s="349"/>
      <c r="KMP63" s="349"/>
      <c r="KMQ63" s="349"/>
      <c r="KMR63" s="349"/>
      <c r="KMS63" s="349"/>
      <c r="KMT63" s="349"/>
      <c r="KMU63" s="349"/>
      <c r="KMV63" s="349"/>
      <c r="KMW63" s="349"/>
      <c r="KMX63" s="349"/>
      <c r="KMY63" s="349"/>
      <c r="KMZ63" s="349"/>
      <c r="KNA63" s="349"/>
      <c r="KNB63" s="349"/>
      <c r="KNC63" s="349"/>
      <c r="KND63" s="349"/>
      <c r="KNE63" s="349"/>
      <c r="KNF63" s="349"/>
      <c r="KNG63" s="349"/>
      <c r="KNH63" s="349"/>
      <c r="KNI63" s="349"/>
      <c r="KNJ63" s="349"/>
      <c r="KNK63" s="349"/>
      <c r="KNL63" s="349"/>
      <c r="KNM63" s="349"/>
      <c r="KNN63" s="349"/>
      <c r="KNO63" s="349"/>
      <c r="KNP63" s="349"/>
      <c r="KNQ63" s="349"/>
      <c r="KNR63" s="349"/>
      <c r="KNS63" s="349"/>
      <c r="KNT63" s="349"/>
      <c r="KNU63" s="349"/>
      <c r="KNV63" s="349"/>
      <c r="KNW63" s="349"/>
      <c r="KNX63" s="349"/>
      <c r="KNY63" s="349"/>
      <c r="KNZ63" s="349"/>
      <c r="KOA63" s="349"/>
      <c r="KOB63" s="349"/>
      <c r="KOC63" s="349"/>
      <c r="KOD63" s="349"/>
      <c r="KOE63" s="349"/>
      <c r="KOF63" s="349"/>
      <c r="KOG63" s="349"/>
      <c r="KOH63" s="349"/>
      <c r="KOI63" s="349"/>
      <c r="KOJ63" s="349"/>
      <c r="KOK63" s="349"/>
      <c r="KOL63" s="349"/>
      <c r="KOM63" s="349"/>
      <c r="KON63" s="349"/>
      <c r="KOO63" s="349"/>
      <c r="KOP63" s="349"/>
      <c r="KOQ63" s="349"/>
      <c r="KOR63" s="349"/>
      <c r="KOS63" s="349"/>
      <c r="KOT63" s="349"/>
      <c r="KOU63" s="349"/>
      <c r="KOV63" s="349"/>
      <c r="KOW63" s="349"/>
      <c r="KOX63" s="349"/>
      <c r="KOY63" s="349"/>
      <c r="KOZ63" s="349"/>
      <c r="KPA63" s="349"/>
      <c r="KPB63" s="349"/>
      <c r="KPC63" s="349"/>
      <c r="KPD63" s="349"/>
      <c r="KPE63" s="349"/>
      <c r="KPF63" s="349"/>
      <c r="KPG63" s="349"/>
      <c r="KPH63" s="349"/>
      <c r="KPI63" s="349"/>
      <c r="KPJ63" s="349"/>
      <c r="KPK63" s="349"/>
      <c r="KPL63" s="349"/>
      <c r="KPM63" s="349"/>
      <c r="KPN63" s="349"/>
      <c r="KPO63" s="349"/>
      <c r="KPP63" s="349"/>
      <c r="KPQ63" s="349"/>
      <c r="KPR63" s="349"/>
      <c r="KPS63" s="349"/>
      <c r="KPT63" s="349"/>
      <c r="KPU63" s="349"/>
      <c r="KPV63" s="349"/>
      <c r="KPW63" s="349"/>
      <c r="KPX63" s="349"/>
      <c r="KPY63" s="349"/>
      <c r="KPZ63" s="349"/>
      <c r="KQA63" s="349"/>
      <c r="KQB63" s="349"/>
      <c r="KQC63" s="349"/>
      <c r="KQD63" s="349"/>
      <c r="KQE63" s="349"/>
      <c r="KQF63" s="349"/>
      <c r="KQG63" s="349"/>
      <c r="KQH63" s="349"/>
      <c r="KQI63" s="349"/>
      <c r="KQJ63" s="349"/>
      <c r="KQK63" s="349"/>
      <c r="KQL63" s="349"/>
      <c r="KQM63" s="349"/>
      <c r="KQN63" s="349"/>
      <c r="KQO63" s="349"/>
      <c r="KQP63" s="349"/>
      <c r="KQQ63" s="349"/>
      <c r="KQR63" s="349"/>
      <c r="KQS63" s="349"/>
      <c r="KQT63" s="349"/>
      <c r="KQU63" s="349"/>
      <c r="KQV63" s="349"/>
      <c r="KQW63" s="349"/>
      <c r="KQX63" s="349"/>
      <c r="KQY63" s="349"/>
      <c r="KQZ63" s="349"/>
      <c r="KRA63" s="349"/>
      <c r="KRB63" s="349"/>
      <c r="KRC63" s="349"/>
      <c r="KRD63" s="349"/>
      <c r="KRE63" s="349"/>
      <c r="KRF63" s="349"/>
      <c r="KRG63" s="349"/>
      <c r="KRH63" s="349"/>
      <c r="KRI63" s="349"/>
      <c r="KRJ63" s="349"/>
      <c r="KRK63" s="349"/>
      <c r="KRL63" s="349"/>
      <c r="KRM63" s="349"/>
      <c r="KRN63" s="349"/>
      <c r="KRO63" s="349"/>
      <c r="KRP63" s="349"/>
      <c r="KRQ63" s="349"/>
      <c r="KRR63" s="349"/>
      <c r="KRS63" s="349"/>
      <c r="KRT63" s="349"/>
      <c r="KRU63" s="349"/>
      <c r="KRV63" s="349"/>
      <c r="KRW63" s="349"/>
      <c r="KRX63" s="349"/>
      <c r="KRY63" s="349"/>
      <c r="KRZ63" s="349"/>
      <c r="KSA63" s="349"/>
      <c r="KSB63" s="349"/>
      <c r="KSC63" s="349"/>
      <c r="KSD63" s="349"/>
      <c r="KSE63" s="349"/>
      <c r="KSF63" s="349"/>
      <c r="KSG63" s="349"/>
      <c r="KSH63" s="349"/>
      <c r="KSI63" s="349"/>
      <c r="KSJ63" s="349"/>
      <c r="KSK63" s="349"/>
      <c r="KSL63" s="349"/>
      <c r="KSM63" s="349"/>
      <c r="KSN63" s="349"/>
      <c r="KSO63" s="349"/>
      <c r="KSP63" s="349"/>
      <c r="KSQ63" s="349"/>
      <c r="KSR63" s="349"/>
      <c r="KSS63" s="349"/>
      <c r="KST63" s="349"/>
      <c r="KSU63" s="349"/>
      <c r="KSV63" s="349"/>
      <c r="KSW63" s="349"/>
      <c r="KSX63" s="349"/>
      <c r="KSY63" s="349"/>
      <c r="KSZ63" s="349"/>
      <c r="KTA63" s="349"/>
      <c r="KTB63" s="349"/>
      <c r="KTC63" s="349"/>
      <c r="KTD63" s="349"/>
      <c r="KTE63" s="349"/>
      <c r="KTF63" s="349"/>
      <c r="KTG63" s="349"/>
      <c r="KTH63" s="349"/>
      <c r="KTI63" s="349"/>
      <c r="KTJ63" s="349"/>
      <c r="KTK63" s="349"/>
      <c r="KTL63" s="349"/>
      <c r="KTM63" s="349"/>
      <c r="KTN63" s="349"/>
      <c r="KTO63" s="349"/>
      <c r="KTP63" s="349"/>
      <c r="KTQ63" s="349"/>
      <c r="KTR63" s="349"/>
      <c r="KTS63" s="349"/>
      <c r="KTT63" s="349"/>
      <c r="KTU63" s="349"/>
      <c r="KTV63" s="349"/>
      <c r="KTW63" s="349"/>
      <c r="KTX63" s="349"/>
      <c r="KTY63" s="349"/>
      <c r="KTZ63" s="349"/>
      <c r="KUA63" s="349"/>
      <c r="KUB63" s="349"/>
      <c r="KUC63" s="349"/>
      <c r="KUD63" s="349"/>
      <c r="KUE63" s="349"/>
      <c r="KUF63" s="349"/>
      <c r="KUG63" s="349"/>
      <c r="KUH63" s="349"/>
      <c r="KUI63" s="349"/>
      <c r="KUJ63" s="349"/>
      <c r="KUK63" s="349"/>
      <c r="KUL63" s="349"/>
      <c r="KUM63" s="349"/>
      <c r="KUN63" s="349"/>
      <c r="KUO63" s="349"/>
      <c r="KUP63" s="349"/>
      <c r="KUQ63" s="349"/>
      <c r="KUR63" s="349"/>
      <c r="KUS63" s="349"/>
      <c r="KUT63" s="349"/>
      <c r="KUU63" s="349"/>
      <c r="KUV63" s="349"/>
      <c r="KUW63" s="349"/>
      <c r="KUX63" s="349"/>
      <c r="KUY63" s="349"/>
      <c r="KUZ63" s="349"/>
      <c r="KVA63" s="349"/>
      <c r="KVB63" s="349"/>
      <c r="KVC63" s="349"/>
      <c r="KVD63" s="349"/>
      <c r="KVE63" s="349"/>
      <c r="KVF63" s="349"/>
      <c r="KVG63" s="349"/>
      <c r="KVH63" s="349"/>
      <c r="KVI63" s="349"/>
      <c r="KVJ63" s="349"/>
      <c r="KVK63" s="349"/>
      <c r="KVL63" s="349"/>
      <c r="KVM63" s="349"/>
      <c r="KVN63" s="349"/>
      <c r="KVO63" s="349"/>
      <c r="KVP63" s="349"/>
      <c r="KVQ63" s="349"/>
      <c r="KVR63" s="349"/>
      <c r="KVS63" s="349"/>
      <c r="KVT63" s="349"/>
      <c r="KVU63" s="349"/>
      <c r="KVV63" s="349"/>
      <c r="KVW63" s="349"/>
      <c r="KVX63" s="349"/>
      <c r="KVY63" s="349"/>
      <c r="KVZ63" s="349"/>
      <c r="KWA63" s="349"/>
      <c r="KWB63" s="349"/>
      <c r="KWC63" s="349"/>
      <c r="KWD63" s="349"/>
      <c r="KWE63" s="349"/>
      <c r="KWF63" s="349"/>
      <c r="KWG63" s="349"/>
      <c r="KWH63" s="349"/>
      <c r="KWI63" s="349"/>
      <c r="KWJ63" s="349"/>
      <c r="KWK63" s="349"/>
      <c r="KWL63" s="349"/>
      <c r="KWM63" s="349"/>
      <c r="KWN63" s="349"/>
      <c r="KWO63" s="349"/>
      <c r="KWP63" s="349"/>
      <c r="KWQ63" s="349"/>
      <c r="KWR63" s="349"/>
      <c r="KWS63" s="349"/>
      <c r="KWT63" s="349"/>
      <c r="KWU63" s="349"/>
      <c r="KWV63" s="349"/>
      <c r="KWW63" s="349"/>
      <c r="KWX63" s="349"/>
      <c r="KWY63" s="349"/>
      <c r="KWZ63" s="349"/>
      <c r="KXA63" s="349"/>
      <c r="KXB63" s="349"/>
      <c r="KXC63" s="349"/>
      <c r="KXD63" s="349"/>
      <c r="KXE63" s="349"/>
      <c r="KXF63" s="349"/>
      <c r="KXG63" s="349"/>
      <c r="KXH63" s="349"/>
      <c r="KXI63" s="349"/>
      <c r="KXJ63" s="349"/>
      <c r="KXK63" s="349"/>
      <c r="KXL63" s="349"/>
      <c r="KXM63" s="349"/>
      <c r="KXN63" s="349"/>
      <c r="KXO63" s="349"/>
      <c r="KXP63" s="349"/>
      <c r="KXQ63" s="349"/>
      <c r="KXR63" s="349"/>
      <c r="KXS63" s="349"/>
      <c r="KXT63" s="349"/>
      <c r="KXU63" s="349"/>
      <c r="KXV63" s="349"/>
      <c r="KXW63" s="349"/>
      <c r="KXX63" s="349"/>
      <c r="KXY63" s="349"/>
      <c r="KXZ63" s="349"/>
      <c r="KYA63" s="349"/>
      <c r="KYB63" s="349"/>
      <c r="KYC63" s="349"/>
      <c r="KYD63" s="349"/>
      <c r="KYE63" s="349"/>
      <c r="KYF63" s="349"/>
      <c r="KYG63" s="349"/>
      <c r="KYH63" s="349"/>
      <c r="KYI63" s="349"/>
      <c r="KYJ63" s="349"/>
      <c r="KYK63" s="349"/>
      <c r="KYL63" s="349"/>
      <c r="KYM63" s="349"/>
      <c r="KYN63" s="349"/>
      <c r="KYO63" s="349"/>
      <c r="KYP63" s="349"/>
      <c r="KYQ63" s="349"/>
      <c r="KYR63" s="349"/>
      <c r="KYS63" s="349"/>
      <c r="KYT63" s="349"/>
      <c r="KYU63" s="349"/>
      <c r="KYV63" s="349"/>
      <c r="KYW63" s="349"/>
      <c r="KYX63" s="349"/>
      <c r="KYY63" s="349"/>
      <c r="KYZ63" s="349"/>
      <c r="KZA63" s="349"/>
      <c r="KZB63" s="349"/>
      <c r="KZC63" s="349"/>
      <c r="KZD63" s="349"/>
      <c r="KZE63" s="349"/>
      <c r="KZF63" s="349"/>
      <c r="KZG63" s="349"/>
      <c r="KZH63" s="349"/>
      <c r="KZI63" s="349"/>
      <c r="KZJ63" s="349"/>
      <c r="KZK63" s="349"/>
      <c r="KZL63" s="349"/>
      <c r="KZM63" s="349"/>
      <c r="KZN63" s="349"/>
      <c r="KZO63" s="349"/>
      <c r="KZP63" s="349"/>
      <c r="KZQ63" s="349"/>
      <c r="KZR63" s="349"/>
      <c r="KZS63" s="349"/>
      <c r="KZT63" s="349"/>
      <c r="KZU63" s="349"/>
      <c r="KZV63" s="349"/>
      <c r="KZW63" s="349"/>
      <c r="KZX63" s="349"/>
      <c r="KZY63" s="349"/>
      <c r="KZZ63" s="349"/>
      <c r="LAA63" s="349"/>
      <c r="LAB63" s="349"/>
      <c r="LAC63" s="349"/>
      <c r="LAD63" s="349"/>
      <c r="LAE63" s="349"/>
      <c r="LAF63" s="349"/>
      <c r="LAG63" s="349"/>
      <c r="LAH63" s="349"/>
      <c r="LAI63" s="349"/>
      <c r="LAJ63" s="349"/>
      <c r="LAK63" s="349"/>
      <c r="LAL63" s="349"/>
      <c r="LAM63" s="349"/>
      <c r="LAN63" s="349"/>
      <c r="LAO63" s="349"/>
      <c r="LAP63" s="349"/>
      <c r="LAQ63" s="349"/>
      <c r="LAR63" s="349"/>
      <c r="LAS63" s="349"/>
      <c r="LAT63" s="349"/>
      <c r="LAU63" s="349"/>
      <c r="LAV63" s="349"/>
      <c r="LAW63" s="349"/>
      <c r="LAX63" s="349"/>
      <c r="LAY63" s="349"/>
      <c r="LAZ63" s="349"/>
      <c r="LBA63" s="349"/>
      <c r="LBB63" s="349"/>
      <c r="LBC63" s="349"/>
      <c r="LBD63" s="349"/>
      <c r="LBE63" s="349"/>
      <c r="LBF63" s="349"/>
      <c r="LBG63" s="349"/>
      <c r="LBH63" s="349"/>
      <c r="LBI63" s="349"/>
      <c r="LBJ63" s="349"/>
      <c r="LBK63" s="349"/>
      <c r="LBL63" s="349"/>
      <c r="LBM63" s="349"/>
      <c r="LBN63" s="349"/>
      <c r="LBO63" s="349"/>
      <c r="LBP63" s="349"/>
      <c r="LBQ63" s="349"/>
      <c r="LBR63" s="349"/>
      <c r="LBS63" s="349"/>
      <c r="LBT63" s="349"/>
      <c r="LBU63" s="349"/>
      <c r="LBV63" s="349"/>
      <c r="LBW63" s="349"/>
      <c r="LBX63" s="349"/>
      <c r="LBY63" s="349"/>
      <c r="LBZ63" s="349"/>
      <c r="LCA63" s="349"/>
      <c r="LCB63" s="349"/>
      <c r="LCC63" s="349"/>
      <c r="LCD63" s="349"/>
      <c r="LCE63" s="349"/>
      <c r="LCF63" s="349"/>
      <c r="LCG63" s="349"/>
      <c r="LCH63" s="349"/>
      <c r="LCI63" s="349"/>
      <c r="LCJ63" s="349"/>
      <c r="LCK63" s="349"/>
      <c r="LCL63" s="349"/>
      <c r="LCM63" s="349"/>
      <c r="LCN63" s="349"/>
      <c r="LCO63" s="349"/>
      <c r="LCP63" s="349"/>
      <c r="LCQ63" s="349"/>
      <c r="LCR63" s="349"/>
      <c r="LCS63" s="349"/>
      <c r="LCT63" s="349"/>
      <c r="LCU63" s="349"/>
      <c r="LCV63" s="349"/>
      <c r="LCW63" s="349"/>
      <c r="LCX63" s="349"/>
      <c r="LCY63" s="349"/>
      <c r="LCZ63" s="349"/>
      <c r="LDA63" s="349"/>
      <c r="LDB63" s="349"/>
      <c r="LDC63" s="349"/>
      <c r="LDD63" s="349"/>
      <c r="LDE63" s="349"/>
      <c r="LDF63" s="349"/>
      <c r="LDG63" s="349"/>
      <c r="LDH63" s="349"/>
      <c r="LDI63" s="349"/>
      <c r="LDJ63" s="349"/>
      <c r="LDK63" s="349"/>
      <c r="LDL63" s="349"/>
      <c r="LDM63" s="349"/>
      <c r="LDN63" s="349"/>
      <c r="LDO63" s="349"/>
      <c r="LDP63" s="349"/>
      <c r="LDQ63" s="349"/>
      <c r="LDR63" s="349"/>
      <c r="LDS63" s="349"/>
      <c r="LDT63" s="349"/>
      <c r="LDU63" s="349"/>
      <c r="LDV63" s="349"/>
      <c r="LDW63" s="349"/>
      <c r="LDX63" s="349"/>
      <c r="LDY63" s="349"/>
      <c r="LDZ63" s="349"/>
      <c r="LEA63" s="349"/>
      <c r="LEB63" s="349"/>
      <c r="LEC63" s="349"/>
      <c r="LED63" s="349"/>
      <c r="LEE63" s="349"/>
      <c r="LEF63" s="349"/>
      <c r="LEG63" s="349"/>
      <c r="LEH63" s="349"/>
      <c r="LEI63" s="349"/>
      <c r="LEJ63" s="349"/>
      <c r="LEK63" s="349"/>
      <c r="LEL63" s="349"/>
      <c r="LEM63" s="349"/>
      <c r="LEN63" s="349"/>
      <c r="LEO63" s="349"/>
      <c r="LEP63" s="349"/>
      <c r="LEQ63" s="349"/>
      <c r="LER63" s="349"/>
      <c r="LES63" s="349"/>
      <c r="LET63" s="349"/>
      <c r="LEU63" s="349"/>
      <c r="LEV63" s="349"/>
      <c r="LEW63" s="349"/>
      <c r="LEX63" s="349"/>
      <c r="LEY63" s="349"/>
      <c r="LEZ63" s="349"/>
      <c r="LFA63" s="349"/>
      <c r="LFB63" s="349"/>
      <c r="LFC63" s="349"/>
      <c r="LFD63" s="349"/>
      <c r="LFE63" s="349"/>
      <c r="LFF63" s="349"/>
      <c r="LFG63" s="349"/>
      <c r="LFH63" s="349"/>
      <c r="LFI63" s="349"/>
      <c r="LFJ63" s="349"/>
      <c r="LFK63" s="349"/>
      <c r="LFL63" s="349"/>
      <c r="LFM63" s="349"/>
      <c r="LFN63" s="349"/>
      <c r="LFO63" s="349"/>
      <c r="LFP63" s="349"/>
      <c r="LFQ63" s="349"/>
      <c r="LFR63" s="349"/>
      <c r="LFS63" s="349"/>
      <c r="LFT63" s="349"/>
      <c r="LFU63" s="349"/>
      <c r="LFV63" s="349"/>
      <c r="LFW63" s="349"/>
      <c r="LFX63" s="349"/>
      <c r="LFY63" s="349"/>
      <c r="LFZ63" s="349"/>
      <c r="LGA63" s="349"/>
      <c r="LGB63" s="349"/>
      <c r="LGC63" s="349"/>
      <c r="LGD63" s="349"/>
      <c r="LGE63" s="349"/>
      <c r="LGF63" s="349"/>
      <c r="LGG63" s="349"/>
      <c r="LGH63" s="349"/>
      <c r="LGI63" s="349"/>
      <c r="LGJ63" s="349"/>
      <c r="LGK63" s="349"/>
      <c r="LGL63" s="349"/>
      <c r="LGM63" s="349"/>
      <c r="LGN63" s="349"/>
      <c r="LGO63" s="349"/>
      <c r="LGP63" s="349"/>
      <c r="LGQ63" s="349"/>
      <c r="LGR63" s="349"/>
      <c r="LGS63" s="349"/>
      <c r="LGT63" s="349"/>
      <c r="LGU63" s="349"/>
      <c r="LGV63" s="349"/>
      <c r="LGW63" s="349"/>
      <c r="LGX63" s="349"/>
      <c r="LGY63" s="349"/>
      <c r="LGZ63" s="349"/>
      <c r="LHA63" s="349"/>
      <c r="LHB63" s="349"/>
      <c r="LHC63" s="349"/>
      <c r="LHD63" s="349"/>
      <c r="LHE63" s="349"/>
      <c r="LHF63" s="349"/>
      <c r="LHG63" s="349"/>
      <c r="LHH63" s="349"/>
      <c r="LHI63" s="349"/>
      <c r="LHJ63" s="349"/>
      <c r="LHK63" s="349"/>
      <c r="LHL63" s="349"/>
      <c r="LHM63" s="349"/>
      <c r="LHN63" s="349"/>
      <c r="LHO63" s="349"/>
      <c r="LHP63" s="349"/>
      <c r="LHQ63" s="349"/>
      <c r="LHR63" s="349"/>
      <c r="LHS63" s="349"/>
      <c r="LHT63" s="349"/>
      <c r="LHU63" s="349"/>
      <c r="LHV63" s="349"/>
      <c r="LHW63" s="349"/>
      <c r="LHX63" s="349"/>
      <c r="LHY63" s="349"/>
      <c r="LHZ63" s="349"/>
      <c r="LIA63" s="349"/>
      <c r="LIB63" s="349"/>
      <c r="LIC63" s="349"/>
      <c r="LID63" s="349"/>
      <c r="LIE63" s="349"/>
      <c r="LIF63" s="349"/>
      <c r="LIG63" s="349"/>
      <c r="LIH63" s="349"/>
      <c r="LII63" s="349"/>
      <c r="LIJ63" s="349"/>
      <c r="LIK63" s="349"/>
      <c r="LIL63" s="349"/>
      <c r="LIM63" s="349"/>
      <c r="LIN63" s="349"/>
      <c r="LIO63" s="349"/>
      <c r="LIP63" s="349"/>
      <c r="LIQ63" s="349"/>
      <c r="LIR63" s="349"/>
      <c r="LIS63" s="349"/>
      <c r="LIT63" s="349"/>
      <c r="LIU63" s="349"/>
      <c r="LIV63" s="349"/>
      <c r="LIW63" s="349"/>
      <c r="LIX63" s="349"/>
      <c r="LIY63" s="349"/>
      <c r="LIZ63" s="349"/>
      <c r="LJA63" s="349"/>
      <c r="LJB63" s="349"/>
      <c r="LJC63" s="349"/>
      <c r="LJD63" s="349"/>
      <c r="LJE63" s="349"/>
      <c r="LJF63" s="349"/>
      <c r="LJG63" s="349"/>
      <c r="LJH63" s="349"/>
      <c r="LJI63" s="349"/>
      <c r="LJJ63" s="349"/>
      <c r="LJK63" s="349"/>
      <c r="LJL63" s="349"/>
      <c r="LJM63" s="349"/>
      <c r="LJN63" s="349"/>
      <c r="LJO63" s="349"/>
      <c r="LJP63" s="349"/>
      <c r="LJQ63" s="349"/>
      <c r="LJR63" s="349"/>
      <c r="LJS63" s="349"/>
      <c r="LJT63" s="349"/>
      <c r="LJU63" s="349"/>
      <c r="LJV63" s="349"/>
      <c r="LJW63" s="349"/>
      <c r="LJX63" s="349"/>
      <c r="LJY63" s="349"/>
      <c r="LJZ63" s="349"/>
      <c r="LKA63" s="349"/>
      <c r="LKB63" s="349"/>
      <c r="LKC63" s="349"/>
      <c r="LKD63" s="349"/>
      <c r="LKE63" s="349"/>
      <c r="LKF63" s="349"/>
      <c r="LKG63" s="349"/>
      <c r="LKH63" s="349"/>
      <c r="LKI63" s="349"/>
      <c r="LKJ63" s="349"/>
      <c r="LKK63" s="349"/>
      <c r="LKL63" s="349"/>
      <c r="LKM63" s="349"/>
      <c r="LKN63" s="349"/>
      <c r="LKO63" s="349"/>
      <c r="LKP63" s="349"/>
      <c r="LKQ63" s="349"/>
      <c r="LKR63" s="349"/>
      <c r="LKS63" s="349"/>
      <c r="LKT63" s="349"/>
      <c r="LKU63" s="349"/>
      <c r="LKV63" s="349"/>
      <c r="LKW63" s="349"/>
      <c r="LKX63" s="349"/>
      <c r="LKY63" s="349"/>
      <c r="LKZ63" s="349"/>
      <c r="LLA63" s="349"/>
      <c r="LLB63" s="349"/>
      <c r="LLC63" s="349"/>
      <c r="LLD63" s="349"/>
      <c r="LLE63" s="349"/>
      <c r="LLF63" s="349"/>
      <c r="LLG63" s="349"/>
      <c r="LLH63" s="349"/>
      <c r="LLI63" s="349"/>
      <c r="LLJ63" s="349"/>
      <c r="LLK63" s="349"/>
      <c r="LLL63" s="349"/>
      <c r="LLM63" s="349"/>
      <c r="LLN63" s="349"/>
      <c r="LLO63" s="349"/>
      <c r="LLP63" s="349"/>
      <c r="LLQ63" s="349"/>
      <c r="LLR63" s="349"/>
      <c r="LLS63" s="349"/>
      <c r="LLT63" s="349"/>
      <c r="LLU63" s="349"/>
      <c r="LLV63" s="349"/>
      <c r="LLW63" s="349"/>
      <c r="LLX63" s="349"/>
      <c r="LLY63" s="349"/>
      <c r="LLZ63" s="349"/>
      <c r="LMA63" s="349"/>
      <c r="LMB63" s="349"/>
      <c r="LMC63" s="349"/>
      <c r="LMD63" s="349"/>
      <c r="LME63" s="349"/>
      <c r="LMF63" s="349"/>
      <c r="LMG63" s="349"/>
      <c r="LMH63" s="349"/>
      <c r="LMI63" s="349"/>
      <c r="LMJ63" s="349"/>
      <c r="LMK63" s="349"/>
      <c r="LML63" s="349"/>
      <c r="LMM63" s="349"/>
      <c r="LMN63" s="349"/>
      <c r="LMO63" s="349"/>
      <c r="LMP63" s="349"/>
      <c r="LMQ63" s="349"/>
      <c r="LMR63" s="349"/>
      <c r="LMS63" s="349"/>
      <c r="LMT63" s="349"/>
      <c r="LMU63" s="349"/>
      <c r="LMV63" s="349"/>
      <c r="LMW63" s="349"/>
      <c r="LMX63" s="349"/>
      <c r="LMY63" s="349"/>
      <c r="LMZ63" s="349"/>
      <c r="LNA63" s="349"/>
      <c r="LNB63" s="349"/>
      <c r="LNC63" s="349"/>
      <c r="LND63" s="349"/>
      <c r="LNE63" s="349"/>
      <c r="LNF63" s="349"/>
      <c r="LNG63" s="349"/>
      <c r="LNH63" s="349"/>
      <c r="LNI63" s="349"/>
      <c r="LNJ63" s="349"/>
      <c r="LNK63" s="349"/>
      <c r="LNL63" s="349"/>
      <c r="LNM63" s="349"/>
      <c r="LNN63" s="349"/>
      <c r="LNO63" s="349"/>
      <c r="LNP63" s="349"/>
      <c r="LNQ63" s="349"/>
      <c r="LNR63" s="349"/>
      <c r="LNS63" s="349"/>
      <c r="LNT63" s="349"/>
      <c r="LNU63" s="349"/>
      <c r="LNV63" s="349"/>
      <c r="LNW63" s="349"/>
      <c r="LNX63" s="349"/>
      <c r="LNY63" s="349"/>
      <c r="LNZ63" s="349"/>
      <c r="LOA63" s="349"/>
      <c r="LOB63" s="349"/>
      <c r="LOC63" s="349"/>
      <c r="LOD63" s="349"/>
      <c r="LOE63" s="349"/>
      <c r="LOF63" s="349"/>
      <c r="LOG63" s="349"/>
      <c r="LOH63" s="349"/>
      <c r="LOI63" s="349"/>
      <c r="LOJ63" s="349"/>
      <c r="LOK63" s="349"/>
      <c r="LOL63" s="349"/>
      <c r="LOM63" s="349"/>
      <c r="LON63" s="349"/>
      <c r="LOO63" s="349"/>
      <c r="LOP63" s="349"/>
      <c r="LOQ63" s="349"/>
      <c r="LOR63" s="349"/>
      <c r="LOS63" s="349"/>
      <c r="LOT63" s="349"/>
      <c r="LOU63" s="349"/>
      <c r="LOV63" s="349"/>
      <c r="LOW63" s="349"/>
      <c r="LOX63" s="349"/>
      <c r="LOY63" s="349"/>
      <c r="LOZ63" s="349"/>
      <c r="LPA63" s="349"/>
      <c r="LPB63" s="349"/>
      <c r="LPC63" s="349"/>
      <c r="LPD63" s="349"/>
      <c r="LPE63" s="349"/>
      <c r="LPF63" s="349"/>
      <c r="LPG63" s="349"/>
      <c r="LPH63" s="349"/>
      <c r="LPI63" s="349"/>
      <c r="LPJ63" s="349"/>
      <c r="LPK63" s="349"/>
      <c r="LPL63" s="349"/>
      <c r="LPM63" s="349"/>
      <c r="LPN63" s="349"/>
      <c r="LPO63" s="349"/>
      <c r="LPP63" s="349"/>
      <c r="LPQ63" s="349"/>
      <c r="LPR63" s="349"/>
      <c r="LPS63" s="349"/>
      <c r="LPT63" s="349"/>
      <c r="LPU63" s="349"/>
      <c r="LPV63" s="349"/>
      <c r="LPW63" s="349"/>
      <c r="LPX63" s="349"/>
      <c r="LPY63" s="349"/>
      <c r="LPZ63" s="349"/>
      <c r="LQA63" s="349"/>
      <c r="LQB63" s="349"/>
      <c r="LQC63" s="349"/>
      <c r="LQD63" s="349"/>
      <c r="LQE63" s="349"/>
      <c r="LQF63" s="349"/>
      <c r="LQG63" s="349"/>
      <c r="LQH63" s="349"/>
      <c r="LQI63" s="349"/>
      <c r="LQJ63" s="349"/>
      <c r="LQK63" s="349"/>
      <c r="LQL63" s="349"/>
      <c r="LQM63" s="349"/>
      <c r="LQN63" s="349"/>
      <c r="LQO63" s="349"/>
      <c r="LQP63" s="349"/>
      <c r="LQQ63" s="349"/>
      <c r="LQR63" s="349"/>
      <c r="LQS63" s="349"/>
      <c r="LQT63" s="349"/>
      <c r="LQU63" s="349"/>
      <c r="LQV63" s="349"/>
      <c r="LQW63" s="349"/>
      <c r="LQX63" s="349"/>
      <c r="LQY63" s="349"/>
      <c r="LQZ63" s="349"/>
      <c r="LRA63" s="349"/>
      <c r="LRB63" s="349"/>
      <c r="LRC63" s="349"/>
      <c r="LRD63" s="349"/>
      <c r="LRE63" s="349"/>
      <c r="LRF63" s="349"/>
      <c r="LRG63" s="349"/>
      <c r="LRH63" s="349"/>
      <c r="LRI63" s="349"/>
      <c r="LRJ63" s="349"/>
      <c r="LRK63" s="349"/>
      <c r="LRL63" s="349"/>
      <c r="LRM63" s="349"/>
      <c r="LRN63" s="349"/>
      <c r="LRO63" s="349"/>
      <c r="LRP63" s="349"/>
      <c r="LRQ63" s="349"/>
      <c r="LRR63" s="349"/>
      <c r="LRS63" s="349"/>
      <c r="LRT63" s="349"/>
      <c r="LRU63" s="349"/>
      <c r="LRV63" s="349"/>
      <c r="LRW63" s="349"/>
      <c r="LRX63" s="349"/>
      <c r="LRY63" s="349"/>
      <c r="LRZ63" s="349"/>
      <c r="LSA63" s="349"/>
      <c r="LSB63" s="349"/>
      <c r="LSC63" s="349"/>
      <c r="LSD63" s="349"/>
      <c r="LSE63" s="349"/>
      <c r="LSF63" s="349"/>
      <c r="LSG63" s="349"/>
      <c r="LSH63" s="349"/>
      <c r="LSI63" s="349"/>
      <c r="LSJ63" s="349"/>
      <c r="LSK63" s="349"/>
      <c r="LSL63" s="349"/>
      <c r="LSM63" s="349"/>
      <c r="LSN63" s="349"/>
      <c r="LSO63" s="349"/>
      <c r="LSP63" s="349"/>
      <c r="LSQ63" s="349"/>
      <c r="LSR63" s="349"/>
      <c r="LSS63" s="349"/>
      <c r="LST63" s="349"/>
      <c r="LSU63" s="349"/>
      <c r="LSV63" s="349"/>
      <c r="LSW63" s="349"/>
      <c r="LSX63" s="349"/>
      <c r="LSY63" s="349"/>
      <c r="LSZ63" s="349"/>
      <c r="LTA63" s="349"/>
      <c r="LTB63" s="349"/>
      <c r="LTC63" s="349"/>
      <c r="LTD63" s="349"/>
      <c r="LTE63" s="349"/>
      <c r="LTF63" s="349"/>
      <c r="LTG63" s="349"/>
      <c r="LTH63" s="349"/>
      <c r="LTI63" s="349"/>
      <c r="LTJ63" s="349"/>
      <c r="LTK63" s="349"/>
      <c r="LTL63" s="349"/>
      <c r="LTM63" s="349"/>
      <c r="LTN63" s="349"/>
      <c r="LTO63" s="349"/>
      <c r="LTP63" s="349"/>
      <c r="LTQ63" s="349"/>
      <c r="LTR63" s="349"/>
      <c r="LTS63" s="349"/>
      <c r="LTT63" s="349"/>
      <c r="LTU63" s="349"/>
      <c r="LTV63" s="349"/>
      <c r="LTW63" s="349"/>
      <c r="LTX63" s="349"/>
      <c r="LTY63" s="349"/>
      <c r="LTZ63" s="349"/>
      <c r="LUA63" s="349"/>
      <c r="LUB63" s="349"/>
      <c r="LUC63" s="349"/>
      <c r="LUD63" s="349"/>
      <c r="LUE63" s="349"/>
      <c r="LUF63" s="349"/>
      <c r="LUG63" s="349"/>
      <c r="LUH63" s="349"/>
      <c r="LUI63" s="349"/>
      <c r="LUJ63" s="349"/>
      <c r="LUK63" s="349"/>
      <c r="LUL63" s="349"/>
      <c r="LUM63" s="349"/>
      <c r="LUN63" s="349"/>
      <c r="LUO63" s="349"/>
      <c r="LUP63" s="349"/>
      <c r="LUQ63" s="349"/>
      <c r="LUR63" s="349"/>
      <c r="LUS63" s="349"/>
      <c r="LUT63" s="349"/>
      <c r="LUU63" s="349"/>
      <c r="LUV63" s="349"/>
      <c r="LUW63" s="349"/>
      <c r="LUX63" s="349"/>
      <c r="LUY63" s="349"/>
      <c r="LUZ63" s="349"/>
      <c r="LVA63" s="349"/>
      <c r="LVB63" s="349"/>
      <c r="LVC63" s="349"/>
      <c r="LVD63" s="349"/>
      <c r="LVE63" s="349"/>
      <c r="LVF63" s="349"/>
      <c r="LVG63" s="349"/>
      <c r="LVH63" s="349"/>
      <c r="LVI63" s="349"/>
      <c r="LVJ63" s="349"/>
      <c r="LVK63" s="349"/>
      <c r="LVL63" s="349"/>
      <c r="LVM63" s="349"/>
      <c r="LVN63" s="349"/>
      <c r="LVO63" s="349"/>
      <c r="LVP63" s="349"/>
      <c r="LVQ63" s="349"/>
      <c r="LVR63" s="349"/>
      <c r="LVS63" s="349"/>
      <c r="LVT63" s="349"/>
      <c r="LVU63" s="349"/>
      <c r="LVV63" s="349"/>
      <c r="LVW63" s="349"/>
      <c r="LVX63" s="349"/>
      <c r="LVY63" s="349"/>
      <c r="LVZ63" s="349"/>
      <c r="LWA63" s="349"/>
      <c r="LWB63" s="349"/>
      <c r="LWC63" s="349"/>
      <c r="LWD63" s="349"/>
      <c r="LWE63" s="349"/>
      <c r="LWF63" s="349"/>
      <c r="LWG63" s="349"/>
      <c r="LWH63" s="349"/>
      <c r="LWI63" s="349"/>
      <c r="LWJ63" s="349"/>
      <c r="LWK63" s="349"/>
      <c r="LWL63" s="349"/>
      <c r="LWM63" s="349"/>
      <c r="LWN63" s="349"/>
      <c r="LWO63" s="349"/>
      <c r="LWP63" s="349"/>
      <c r="LWQ63" s="349"/>
      <c r="LWR63" s="349"/>
      <c r="LWS63" s="349"/>
      <c r="LWT63" s="349"/>
      <c r="LWU63" s="349"/>
      <c r="LWV63" s="349"/>
      <c r="LWW63" s="349"/>
      <c r="LWX63" s="349"/>
      <c r="LWY63" s="349"/>
      <c r="LWZ63" s="349"/>
      <c r="LXA63" s="349"/>
      <c r="LXB63" s="349"/>
      <c r="LXC63" s="349"/>
      <c r="LXD63" s="349"/>
      <c r="LXE63" s="349"/>
      <c r="LXF63" s="349"/>
      <c r="LXG63" s="349"/>
      <c r="LXH63" s="349"/>
      <c r="LXI63" s="349"/>
      <c r="LXJ63" s="349"/>
      <c r="LXK63" s="349"/>
      <c r="LXL63" s="349"/>
      <c r="LXM63" s="349"/>
      <c r="LXN63" s="349"/>
      <c r="LXO63" s="349"/>
      <c r="LXP63" s="349"/>
      <c r="LXQ63" s="349"/>
      <c r="LXR63" s="349"/>
      <c r="LXS63" s="349"/>
      <c r="LXT63" s="349"/>
      <c r="LXU63" s="349"/>
      <c r="LXV63" s="349"/>
      <c r="LXW63" s="349"/>
      <c r="LXX63" s="349"/>
      <c r="LXY63" s="349"/>
      <c r="LXZ63" s="349"/>
      <c r="LYA63" s="349"/>
      <c r="LYB63" s="349"/>
      <c r="LYC63" s="349"/>
      <c r="LYD63" s="349"/>
      <c r="LYE63" s="349"/>
      <c r="LYF63" s="349"/>
      <c r="LYG63" s="349"/>
      <c r="LYH63" s="349"/>
      <c r="LYI63" s="349"/>
      <c r="LYJ63" s="349"/>
      <c r="LYK63" s="349"/>
      <c r="LYL63" s="349"/>
      <c r="LYM63" s="349"/>
      <c r="LYN63" s="349"/>
      <c r="LYO63" s="349"/>
      <c r="LYP63" s="349"/>
      <c r="LYQ63" s="349"/>
      <c r="LYR63" s="349"/>
      <c r="LYS63" s="349"/>
      <c r="LYT63" s="349"/>
      <c r="LYU63" s="349"/>
      <c r="LYV63" s="349"/>
      <c r="LYW63" s="349"/>
      <c r="LYX63" s="349"/>
      <c r="LYY63" s="349"/>
      <c r="LYZ63" s="349"/>
      <c r="LZA63" s="349"/>
      <c r="LZB63" s="349"/>
      <c r="LZC63" s="349"/>
      <c r="LZD63" s="349"/>
      <c r="LZE63" s="349"/>
      <c r="LZF63" s="349"/>
      <c r="LZG63" s="349"/>
      <c r="LZH63" s="349"/>
      <c r="LZI63" s="349"/>
      <c r="LZJ63" s="349"/>
      <c r="LZK63" s="349"/>
      <c r="LZL63" s="349"/>
      <c r="LZM63" s="349"/>
      <c r="LZN63" s="349"/>
      <c r="LZO63" s="349"/>
      <c r="LZP63" s="349"/>
      <c r="LZQ63" s="349"/>
      <c r="LZR63" s="349"/>
      <c r="LZS63" s="349"/>
      <c r="LZT63" s="349"/>
      <c r="LZU63" s="349"/>
      <c r="LZV63" s="349"/>
      <c r="LZW63" s="349"/>
      <c r="LZX63" s="349"/>
      <c r="LZY63" s="349"/>
      <c r="LZZ63" s="349"/>
      <c r="MAA63" s="349"/>
      <c r="MAB63" s="349"/>
      <c r="MAC63" s="349"/>
      <c r="MAD63" s="349"/>
      <c r="MAE63" s="349"/>
      <c r="MAF63" s="349"/>
      <c r="MAG63" s="349"/>
      <c r="MAH63" s="349"/>
      <c r="MAI63" s="349"/>
      <c r="MAJ63" s="349"/>
      <c r="MAK63" s="349"/>
      <c r="MAL63" s="349"/>
      <c r="MAM63" s="349"/>
      <c r="MAN63" s="349"/>
      <c r="MAO63" s="349"/>
      <c r="MAP63" s="349"/>
      <c r="MAQ63" s="349"/>
      <c r="MAR63" s="349"/>
      <c r="MAS63" s="349"/>
      <c r="MAT63" s="349"/>
      <c r="MAU63" s="349"/>
      <c r="MAV63" s="349"/>
      <c r="MAW63" s="349"/>
      <c r="MAX63" s="349"/>
      <c r="MAY63" s="349"/>
      <c r="MAZ63" s="349"/>
      <c r="MBA63" s="349"/>
      <c r="MBB63" s="349"/>
      <c r="MBC63" s="349"/>
      <c r="MBD63" s="349"/>
      <c r="MBE63" s="349"/>
      <c r="MBF63" s="349"/>
      <c r="MBG63" s="349"/>
      <c r="MBH63" s="349"/>
      <c r="MBI63" s="349"/>
      <c r="MBJ63" s="349"/>
      <c r="MBK63" s="349"/>
      <c r="MBL63" s="349"/>
      <c r="MBM63" s="349"/>
      <c r="MBN63" s="349"/>
      <c r="MBO63" s="349"/>
      <c r="MBP63" s="349"/>
      <c r="MBQ63" s="349"/>
      <c r="MBR63" s="349"/>
      <c r="MBS63" s="349"/>
      <c r="MBT63" s="349"/>
      <c r="MBU63" s="349"/>
      <c r="MBV63" s="349"/>
      <c r="MBW63" s="349"/>
      <c r="MBX63" s="349"/>
      <c r="MBY63" s="349"/>
      <c r="MBZ63" s="349"/>
      <c r="MCA63" s="349"/>
      <c r="MCB63" s="349"/>
      <c r="MCC63" s="349"/>
      <c r="MCD63" s="349"/>
      <c r="MCE63" s="349"/>
      <c r="MCF63" s="349"/>
      <c r="MCG63" s="349"/>
      <c r="MCH63" s="349"/>
      <c r="MCI63" s="349"/>
      <c r="MCJ63" s="349"/>
      <c r="MCK63" s="349"/>
      <c r="MCL63" s="349"/>
      <c r="MCM63" s="349"/>
      <c r="MCN63" s="349"/>
      <c r="MCO63" s="349"/>
      <c r="MCP63" s="349"/>
      <c r="MCQ63" s="349"/>
      <c r="MCR63" s="349"/>
      <c r="MCS63" s="349"/>
      <c r="MCT63" s="349"/>
      <c r="MCU63" s="349"/>
      <c r="MCV63" s="349"/>
      <c r="MCW63" s="349"/>
      <c r="MCX63" s="349"/>
      <c r="MCY63" s="349"/>
      <c r="MCZ63" s="349"/>
      <c r="MDA63" s="349"/>
      <c r="MDB63" s="349"/>
      <c r="MDC63" s="349"/>
      <c r="MDD63" s="349"/>
      <c r="MDE63" s="349"/>
      <c r="MDF63" s="349"/>
      <c r="MDG63" s="349"/>
      <c r="MDH63" s="349"/>
      <c r="MDI63" s="349"/>
      <c r="MDJ63" s="349"/>
      <c r="MDK63" s="349"/>
      <c r="MDL63" s="349"/>
      <c r="MDM63" s="349"/>
      <c r="MDN63" s="349"/>
      <c r="MDO63" s="349"/>
      <c r="MDP63" s="349"/>
      <c r="MDQ63" s="349"/>
      <c r="MDR63" s="349"/>
      <c r="MDS63" s="349"/>
      <c r="MDT63" s="349"/>
      <c r="MDU63" s="349"/>
      <c r="MDV63" s="349"/>
      <c r="MDW63" s="349"/>
      <c r="MDX63" s="349"/>
      <c r="MDY63" s="349"/>
      <c r="MDZ63" s="349"/>
      <c r="MEA63" s="349"/>
      <c r="MEB63" s="349"/>
      <c r="MEC63" s="349"/>
      <c r="MED63" s="349"/>
      <c r="MEE63" s="349"/>
      <c r="MEF63" s="349"/>
      <c r="MEG63" s="349"/>
      <c r="MEH63" s="349"/>
      <c r="MEI63" s="349"/>
      <c r="MEJ63" s="349"/>
      <c r="MEK63" s="349"/>
      <c r="MEL63" s="349"/>
      <c r="MEM63" s="349"/>
      <c r="MEN63" s="349"/>
      <c r="MEO63" s="349"/>
      <c r="MEP63" s="349"/>
      <c r="MEQ63" s="349"/>
      <c r="MER63" s="349"/>
      <c r="MES63" s="349"/>
      <c r="MET63" s="349"/>
      <c r="MEU63" s="349"/>
      <c r="MEV63" s="349"/>
      <c r="MEW63" s="349"/>
      <c r="MEX63" s="349"/>
      <c r="MEY63" s="349"/>
      <c r="MEZ63" s="349"/>
      <c r="MFA63" s="349"/>
      <c r="MFB63" s="349"/>
      <c r="MFC63" s="349"/>
      <c r="MFD63" s="349"/>
      <c r="MFE63" s="349"/>
      <c r="MFF63" s="349"/>
      <c r="MFG63" s="349"/>
      <c r="MFH63" s="349"/>
      <c r="MFI63" s="349"/>
      <c r="MFJ63" s="349"/>
      <c r="MFK63" s="349"/>
      <c r="MFL63" s="349"/>
      <c r="MFM63" s="349"/>
      <c r="MFN63" s="349"/>
      <c r="MFO63" s="349"/>
      <c r="MFP63" s="349"/>
      <c r="MFQ63" s="349"/>
      <c r="MFR63" s="349"/>
      <c r="MFS63" s="349"/>
      <c r="MFT63" s="349"/>
      <c r="MFU63" s="349"/>
      <c r="MFV63" s="349"/>
      <c r="MFW63" s="349"/>
      <c r="MFX63" s="349"/>
      <c r="MFY63" s="349"/>
      <c r="MFZ63" s="349"/>
      <c r="MGA63" s="349"/>
      <c r="MGB63" s="349"/>
      <c r="MGC63" s="349"/>
      <c r="MGD63" s="349"/>
      <c r="MGE63" s="349"/>
      <c r="MGF63" s="349"/>
      <c r="MGG63" s="349"/>
      <c r="MGH63" s="349"/>
      <c r="MGI63" s="349"/>
      <c r="MGJ63" s="349"/>
      <c r="MGK63" s="349"/>
      <c r="MGL63" s="349"/>
      <c r="MGM63" s="349"/>
      <c r="MGN63" s="349"/>
      <c r="MGO63" s="349"/>
      <c r="MGP63" s="349"/>
      <c r="MGQ63" s="349"/>
      <c r="MGR63" s="349"/>
      <c r="MGS63" s="349"/>
      <c r="MGT63" s="349"/>
      <c r="MGU63" s="349"/>
      <c r="MGV63" s="349"/>
      <c r="MGW63" s="349"/>
      <c r="MGX63" s="349"/>
      <c r="MGY63" s="349"/>
      <c r="MGZ63" s="349"/>
      <c r="MHA63" s="349"/>
      <c r="MHB63" s="349"/>
      <c r="MHC63" s="349"/>
      <c r="MHD63" s="349"/>
      <c r="MHE63" s="349"/>
      <c r="MHF63" s="349"/>
      <c r="MHG63" s="349"/>
      <c r="MHH63" s="349"/>
      <c r="MHI63" s="349"/>
      <c r="MHJ63" s="349"/>
      <c r="MHK63" s="349"/>
      <c r="MHL63" s="349"/>
      <c r="MHM63" s="349"/>
      <c r="MHN63" s="349"/>
      <c r="MHO63" s="349"/>
      <c r="MHP63" s="349"/>
      <c r="MHQ63" s="349"/>
      <c r="MHR63" s="349"/>
      <c r="MHS63" s="349"/>
      <c r="MHT63" s="349"/>
      <c r="MHU63" s="349"/>
      <c r="MHV63" s="349"/>
      <c r="MHW63" s="349"/>
      <c r="MHX63" s="349"/>
      <c r="MHY63" s="349"/>
      <c r="MHZ63" s="349"/>
      <c r="MIA63" s="349"/>
      <c r="MIB63" s="349"/>
      <c r="MIC63" s="349"/>
      <c r="MID63" s="349"/>
      <c r="MIE63" s="349"/>
      <c r="MIF63" s="349"/>
      <c r="MIG63" s="349"/>
      <c r="MIH63" s="349"/>
      <c r="MII63" s="349"/>
      <c r="MIJ63" s="349"/>
      <c r="MIK63" s="349"/>
      <c r="MIL63" s="349"/>
      <c r="MIM63" s="349"/>
      <c r="MIN63" s="349"/>
      <c r="MIO63" s="349"/>
      <c r="MIP63" s="349"/>
      <c r="MIQ63" s="349"/>
      <c r="MIR63" s="349"/>
      <c r="MIS63" s="349"/>
      <c r="MIT63" s="349"/>
      <c r="MIU63" s="349"/>
      <c r="MIV63" s="349"/>
      <c r="MIW63" s="349"/>
      <c r="MIX63" s="349"/>
      <c r="MIY63" s="349"/>
      <c r="MIZ63" s="349"/>
      <c r="MJA63" s="349"/>
      <c r="MJB63" s="349"/>
      <c r="MJC63" s="349"/>
      <c r="MJD63" s="349"/>
      <c r="MJE63" s="349"/>
      <c r="MJF63" s="349"/>
      <c r="MJG63" s="349"/>
      <c r="MJH63" s="349"/>
      <c r="MJI63" s="349"/>
      <c r="MJJ63" s="349"/>
      <c r="MJK63" s="349"/>
      <c r="MJL63" s="349"/>
      <c r="MJM63" s="349"/>
      <c r="MJN63" s="349"/>
      <c r="MJO63" s="349"/>
      <c r="MJP63" s="349"/>
      <c r="MJQ63" s="349"/>
      <c r="MJR63" s="349"/>
      <c r="MJS63" s="349"/>
      <c r="MJT63" s="349"/>
      <c r="MJU63" s="349"/>
      <c r="MJV63" s="349"/>
      <c r="MJW63" s="349"/>
      <c r="MJX63" s="349"/>
      <c r="MJY63" s="349"/>
      <c r="MJZ63" s="349"/>
      <c r="MKA63" s="349"/>
      <c r="MKB63" s="349"/>
      <c r="MKC63" s="349"/>
      <c r="MKD63" s="349"/>
      <c r="MKE63" s="349"/>
      <c r="MKF63" s="349"/>
      <c r="MKG63" s="349"/>
      <c r="MKH63" s="349"/>
      <c r="MKI63" s="349"/>
      <c r="MKJ63" s="349"/>
      <c r="MKK63" s="349"/>
      <c r="MKL63" s="349"/>
      <c r="MKM63" s="349"/>
      <c r="MKN63" s="349"/>
      <c r="MKO63" s="349"/>
      <c r="MKP63" s="349"/>
      <c r="MKQ63" s="349"/>
      <c r="MKR63" s="349"/>
      <c r="MKS63" s="349"/>
      <c r="MKT63" s="349"/>
      <c r="MKU63" s="349"/>
      <c r="MKV63" s="349"/>
      <c r="MKW63" s="349"/>
      <c r="MKX63" s="349"/>
      <c r="MKY63" s="349"/>
      <c r="MKZ63" s="349"/>
      <c r="MLA63" s="349"/>
      <c r="MLB63" s="349"/>
      <c r="MLC63" s="349"/>
      <c r="MLD63" s="349"/>
      <c r="MLE63" s="349"/>
      <c r="MLF63" s="349"/>
      <c r="MLG63" s="349"/>
      <c r="MLH63" s="349"/>
      <c r="MLI63" s="349"/>
      <c r="MLJ63" s="349"/>
      <c r="MLK63" s="349"/>
      <c r="MLL63" s="349"/>
      <c r="MLM63" s="349"/>
      <c r="MLN63" s="349"/>
      <c r="MLO63" s="349"/>
      <c r="MLP63" s="349"/>
      <c r="MLQ63" s="349"/>
      <c r="MLR63" s="349"/>
      <c r="MLS63" s="349"/>
      <c r="MLT63" s="349"/>
      <c r="MLU63" s="349"/>
      <c r="MLV63" s="349"/>
      <c r="MLW63" s="349"/>
      <c r="MLX63" s="349"/>
      <c r="MLY63" s="349"/>
      <c r="MLZ63" s="349"/>
      <c r="MMA63" s="349"/>
      <c r="MMB63" s="349"/>
      <c r="MMC63" s="349"/>
      <c r="MMD63" s="349"/>
      <c r="MME63" s="349"/>
      <c r="MMF63" s="349"/>
      <c r="MMG63" s="349"/>
      <c r="MMH63" s="349"/>
      <c r="MMI63" s="349"/>
      <c r="MMJ63" s="349"/>
      <c r="MMK63" s="349"/>
      <c r="MML63" s="349"/>
      <c r="MMM63" s="349"/>
      <c r="MMN63" s="349"/>
      <c r="MMO63" s="349"/>
      <c r="MMP63" s="349"/>
      <c r="MMQ63" s="349"/>
      <c r="MMR63" s="349"/>
      <c r="MMS63" s="349"/>
      <c r="MMT63" s="349"/>
      <c r="MMU63" s="349"/>
      <c r="MMV63" s="349"/>
      <c r="MMW63" s="349"/>
      <c r="MMX63" s="349"/>
      <c r="MMY63" s="349"/>
      <c r="MMZ63" s="349"/>
      <c r="MNA63" s="349"/>
      <c r="MNB63" s="349"/>
      <c r="MNC63" s="349"/>
      <c r="MND63" s="349"/>
      <c r="MNE63" s="349"/>
      <c r="MNF63" s="349"/>
      <c r="MNG63" s="349"/>
      <c r="MNH63" s="349"/>
      <c r="MNI63" s="349"/>
      <c r="MNJ63" s="349"/>
      <c r="MNK63" s="349"/>
      <c r="MNL63" s="349"/>
      <c r="MNM63" s="349"/>
      <c r="MNN63" s="349"/>
      <c r="MNO63" s="349"/>
      <c r="MNP63" s="349"/>
      <c r="MNQ63" s="349"/>
      <c r="MNR63" s="349"/>
      <c r="MNS63" s="349"/>
      <c r="MNT63" s="349"/>
      <c r="MNU63" s="349"/>
      <c r="MNV63" s="349"/>
      <c r="MNW63" s="349"/>
      <c r="MNX63" s="349"/>
      <c r="MNY63" s="349"/>
      <c r="MNZ63" s="349"/>
      <c r="MOA63" s="349"/>
      <c r="MOB63" s="349"/>
      <c r="MOC63" s="349"/>
      <c r="MOD63" s="349"/>
      <c r="MOE63" s="349"/>
      <c r="MOF63" s="349"/>
      <c r="MOG63" s="349"/>
      <c r="MOH63" s="349"/>
      <c r="MOI63" s="349"/>
      <c r="MOJ63" s="349"/>
      <c r="MOK63" s="349"/>
      <c r="MOL63" s="349"/>
      <c r="MOM63" s="349"/>
      <c r="MON63" s="349"/>
      <c r="MOO63" s="349"/>
      <c r="MOP63" s="349"/>
      <c r="MOQ63" s="349"/>
      <c r="MOR63" s="349"/>
      <c r="MOS63" s="349"/>
      <c r="MOT63" s="349"/>
      <c r="MOU63" s="349"/>
      <c r="MOV63" s="349"/>
      <c r="MOW63" s="349"/>
      <c r="MOX63" s="349"/>
      <c r="MOY63" s="349"/>
      <c r="MOZ63" s="349"/>
      <c r="MPA63" s="349"/>
      <c r="MPB63" s="349"/>
      <c r="MPC63" s="349"/>
      <c r="MPD63" s="349"/>
      <c r="MPE63" s="349"/>
      <c r="MPF63" s="349"/>
      <c r="MPG63" s="349"/>
      <c r="MPH63" s="349"/>
      <c r="MPI63" s="349"/>
      <c r="MPJ63" s="349"/>
      <c r="MPK63" s="349"/>
      <c r="MPL63" s="349"/>
      <c r="MPM63" s="349"/>
      <c r="MPN63" s="349"/>
      <c r="MPO63" s="349"/>
      <c r="MPP63" s="349"/>
      <c r="MPQ63" s="349"/>
      <c r="MPR63" s="349"/>
      <c r="MPS63" s="349"/>
      <c r="MPT63" s="349"/>
      <c r="MPU63" s="349"/>
      <c r="MPV63" s="349"/>
      <c r="MPW63" s="349"/>
      <c r="MPX63" s="349"/>
      <c r="MPY63" s="349"/>
      <c r="MPZ63" s="349"/>
      <c r="MQA63" s="349"/>
      <c r="MQB63" s="349"/>
      <c r="MQC63" s="349"/>
      <c r="MQD63" s="349"/>
      <c r="MQE63" s="349"/>
      <c r="MQF63" s="349"/>
      <c r="MQG63" s="349"/>
      <c r="MQH63" s="349"/>
      <c r="MQI63" s="349"/>
      <c r="MQJ63" s="349"/>
      <c r="MQK63" s="349"/>
      <c r="MQL63" s="349"/>
      <c r="MQM63" s="349"/>
      <c r="MQN63" s="349"/>
      <c r="MQO63" s="349"/>
      <c r="MQP63" s="349"/>
      <c r="MQQ63" s="349"/>
      <c r="MQR63" s="349"/>
      <c r="MQS63" s="349"/>
      <c r="MQT63" s="349"/>
      <c r="MQU63" s="349"/>
      <c r="MQV63" s="349"/>
      <c r="MQW63" s="349"/>
      <c r="MQX63" s="349"/>
      <c r="MQY63" s="349"/>
      <c r="MQZ63" s="349"/>
      <c r="MRA63" s="349"/>
      <c r="MRB63" s="349"/>
      <c r="MRC63" s="349"/>
      <c r="MRD63" s="349"/>
      <c r="MRE63" s="349"/>
      <c r="MRF63" s="349"/>
      <c r="MRG63" s="349"/>
      <c r="MRH63" s="349"/>
      <c r="MRI63" s="349"/>
      <c r="MRJ63" s="349"/>
      <c r="MRK63" s="349"/>
      <c r="MRL63" s="349"/>
      <c r="MRM63" s="349"/>
      <c r="MRN63" s="349"/>
      <c r="MRO63" s="349"/>
      <c r="MRP63" s="349"/>
      <c r="MRQ63" s="349"/>
      <c r="MRR63" s="349"/>
      <c r="MRS63" s="349"/>
      <c r="MRT63" s="349"/>
      <c r="MRU63" s="349"/>
      <c r="MRV63" s="349"/>
      <c r="MRW63" s="349"/>
      <c r="MRX63" s="349"/>
      <c r="MRY63" s="349"/>
      <c r="MRZ63" s="349"/>
      <c r="MSA63" s="349"/>
      <c r="MSB63" s="349"/>
      <c r="MSC63" s="349"/>
      <c r="MSD63" s="349"/>
      <c r="MSE63" s="349"/>
      <c r="MSF63" s="349"/>
      <c r="MSG63" s="349"/>
      <c r="MSH63" s="349"/>
      <c r="MSI63" s="349"/>
      <c r="MSJ63" s="349"/>
      <c r="MSK63" s="349"/>
      <c r="MSL63" s="349"/>
      <c r="MSM63" s="349"/>
      <c r="MSN63" s="349"/>
      <c r="MSO63" s="349"/>
      <c r="MSP63" s="349"/>
      <c r="MSQ63" s="349"/>
      <c r="MSR63" s="349"/>
      <c r="MSS63" s="349"/>
      <c r="MST63" s="349"/>
      <c r="MSU63" s="349"/>
      <c r="MSV63" s="349"/>
      <c r="MSW63" s="349"/>
      <c r="MSX63" s="349"/>
      <c r="MSY63" s="349"/>
      <c r="MSZ63" s="349"/>
      <c r="MTA63" s="349"/>
      <c r="MTB63" s="349"/>
      <c r="MTC63" s="349"/>
      <c r="MTD63" s="349"/>
      <c r="MTE63" s="349"/>
      <c r="MTF63" s="349"/>
      <c r="MTG63" s="349"/>
      <c r="MTH63" s="349"/>
      <c r="MTI63" s="349"/>
      <c r="MTJ63" s="349"/>
      <c r="MTK63" s="349"/>
      <c r="MTL63" s="349"/>
      <c r="MTM63" s="349"/>
      <c r="MTN63" s="349"/>
      <c r="MTO63" s="349"/>
      <c r="MTP63" s="349"/>
      <c r="MTQ63" s="349"/>
      <c r="MTR63" s="349"/>
      <c r="MTS63" s="349"/>
      <c r="MTT63" s="349"/>
      <c r="MTU63" s="349"/>
      <c r="MTV63" s="349"/>
      <c r="MTW63" s="349"/>
      <c r="MTX63" s="349"/>
      <c r="MTY63" s="349"/>
      <c r="MTZ63" s="349"/>
      <c r="MUA63" s="349"/>
      <c r="MUB63" s="349"/>
      <c r="MUC63" s="349"/>
      <c r="MUD63" s="349"/>
      <c r="MUE63" s="349"/>
      <c r="MUF63" s="349"/>
      <c r="MUG63" s="349"/>
      <c r="MUH63" s="349"/>
      <c r="MUI63" s="349"/>
      <c r="MUJ63" s="349"/>
      <c r="MUK63" s="349"/>
      <c r="MUL63" s="349"/>
      <c r="MUM63" s="349"/>
      <c r="MUN63" s="349"/>
      <c r="MUO63" s="349"/>
      <c r="MUP63" s="349"/>
      <c r="MUQ63" s="349"/>
      <c r="MUR63" s="349"/>
      <c r="MUS63" s="349"/>
      <c r="MUT63" s="349"/>
      <c r="MUU63" s="349"/>
      <c r="MUV63" s="349"/>
      <c r="MUW63" s="349"/>
      <c r="MUX63" s="349"/>
      <c r="MUY63" s="349"/>
      <c r="MUZ63" s="349"/>
      <c r="MVA63" s="349"/>
      <c r="MVB63" s="349"/>
      <c r="MVC63" s="349"/>
      <c r="MVD63" s="349"/>
      <c r="MVE63" s="349"/>
      <c r="MVF63" s="349"/>
      <c r="MVG63" s="349"/>
      <c r="MVH63" s="349"/>
      <c r="MVI63" s="349"/>
      <c r="MVJ63" s="349"/>
      <c r="MVK63" s="349"/>
      <c r="MVL63" s="349"/>
      <c r="MVM63" s="349"/>
      <c r="MVN63" s="349"/>
      <c r="MVO63" s="349"/>
      <c r="MVP63" s="349"/>
      <c r="MVQ63" s="349"/>
      <c r="MVR63" s="349"/>
      <c r="MVS63" s="349"/>
      <c r="MVT63" s="349"/>
      <c r="MVU63" s="349"/>
      <c r="MVV63" s="349"/>
      <c r="MVW63" s="349"/>
      <c r="MVX63" s="349"/>
      <c r="MVY63" s="349"/>
      <c r="MVZ63" s="349"/>
      <c r="MWA63" s="349"/>
      <c r="MWB63" s="349"/>
      <c r="MWC63" s="349"/>
      <c r="MWD63" s="349"/>
      <c r="MWE63" s="349"/>
      <c r="MWF63" s="349"/>
      <c r="MWG63" s="349"/>
      <c r="MWH63" s="349"/>
      <c r="MWI63" s="349"/>
      <c r="MWJ63" s="349"/>
      <c r="MWK63" s="349"/>
      <c r="MWL63" s="349"/>
      <c r="MWM63" s="349"/>
      <c r="MWN63" s="349"/>
      <c r="MWO63" s="349"/>
      <c r="MWP63" s="349"/>
      <c r="MWQ63" s="349"/>
      <c r="MWR63" s="349"/>
      <c r="MWS63" s="349"/>
      <c r="MWT63" s="349"/>
      <c r="MWU63" s="349"/>
      <c r="MWV63" s="349"/>
      <c r="MWW63" s="349"/>
      <c r="MWX63" s="349"/>
      <c r="MWY63" s="349"/>
      <c r="MWZ63" s="349"/>
      <c r="MXA63" s="349"/>
      <c r="MXB63" s="349"/>
      <c r="MXC63" s="349"/>
      <c r="MXD63" s="349"/>
      <c r="MXE63" s="349"/>
      <c r="MXF63" s="349"/>
      <c r="MXG63" s="349"/>
      <c r="MXH63" s="349"/>
      <c r="MXI63" s="349"/>
      <c r="MXJ63" s="349"/>
      <c r="MXK63" s="349"/>
      <c r="MXL63" s="349"/>
      <c r="MXM63" s="349"/>
      <c r="MXN63" s="349"/>
      <c r="MXO63" s="349"/>
      <c r="MXP63" s="349"/>
      <c r="MXQ63" s="349"/>
      <c r="MXR63" s="349"/>
      <c r="MXS63" s="349"/>
      <c r="MXT63" s="349"/>
      <c r="MXU63" s="349"/>
      <c r="MXV63" s="349"/>
      <c r="MXW63" s="349"/>
      <c r="MXX63" s="349"/>
      <c r="MXY63" s="349"/>
      <c r="MXZ63" s="349"/>
      <c r="MYA63" s="349"/>
      <c r="MYB63" s="349"/>
      <c r="MYC63" s="349"/>
      <c r="MYD63" s="349"/>
      <c r="MYE63" s="349"/>
      <c r="MYF63" s="349"/>
      <c r="MYG63" s="349"/>
      <c r="MYH63" s="349"/>
      <c r="MYI63" s="349"/>
      <c r="MYJ63" s="349"/>
      <c r="MYK63" s="349"/>
      <c r="MYL63" s="349"/>
      <c r="MYM63" s="349"/>
      <c r="MYN63" s="349"/>
      <c r="MYO63" s="349"/>
      <c r="MYP63" s="349"/>
      <c r="MYQ63" s="349"/>
      <c r="MYR63" s="349"/>
      <c r="MYS63" s="349"/>
      <c r="MYT63" s="349"/>
      <c r="MYU63" s="349"/>
      <c r="MYV63" s="349"/>
      <c r="MYW63" s="349"/>
      <c r="MYX63" s="349"/>
      <c r="MYY63" s="349"/>
      <c r="MYZ63" s="349"/>
      <c r="MZA63" s="349"/>
      <c r="MZB63" s="349"/>
      <c r="MZC63" s="349"/>
      <c r="MZD63" s="349"/>
      <c r="MZE63" s="349"/>
      <c r="MZF63" s="349"/>
      <c r="MZG63" s="349"/>
      <c r="MZH63" s="349"/>
      <c r="MZI63" s="349"/>
      <c r="MZJ63" s="349"/>
      <c r="MZK63" s="349"/>
      <c r="MZL63" s="349"/>
      <c r="MZM63" s="349"/>
      <c r="MZN63" s="349"/>
      <c r="MZO63" s="349"/>
      <c r="MZP63" s="349"/>
      <c r="MZQ63" s="349"/>
      <c r="MZR63" s="349"/>
      <c r="MZS63" s="349"/>
      <c r="MZT63" s="349"/>
      <c r="MZU63" s="349"/>
      <c r="MZV63" s="349"/>
      <c r="MZW63" s="349"/>
      <c r="MZX63" s="349"/>
      <c r="MZY63" s="349"/>
      <c r="MZZ63" s="349"/>
      <c r="NAA63" s="349"/>
      <c r="NAB63" s="349"/>
      <c r="NAC63" s="349"/>
      <c r="NAD63" s="349"/>
      <c r="NAE63" s="349"/>
      <c r="NAF63" s="349"/>
      <c r="NAG63" s="349"/>
      <c r="NAH63" s="349"/>
      <c r="NAI63" s="349"/>
      <c r="NAJ63" s="349"/>
      <c r="NAK63" s="349"/>
      <c r="NAL63" s="349"/>
      <c r="NAM63" s="349"/>
      <c r="NAN63" s="349"/>
      <c r="NAO63" s="349"/>
      <c r="NAP63" s="349"/>
      <c r="NAQ63" s="349"/>
      <c r="NAR63" s="349"/>
      <c r="NAS63" s="349"/>
      <c r="NAT63" s="349"/>
      <c r="NAU63" s="349"/>
      <c r="NAV63" s="349"/>
      <c r="NAW63" s="349"/>
      <c r="NAX63" s="349"/>
      <c r="NAY63" s="349"/>
      <c r="NAZ63" s="349"/>
      <c r="NBA63" s="349"/>
      <c r="NBB63" s="349"/>
      <c r="NBC63" s="349"/>
      <c r="NBD63" s="349"/>
      <c r="NBE63" s="349"/>
      <c r="NBF63" s="349"/>
      <c r="NBG63" s="349"/>
      <c r="NBH63" s="349"/>
      <c r="NBI63" s="349"/>
      <c r="NBJ63" s="349"/>
      <c r="NBK63" s="349"/>
      <c r="NBL63" s="349"/>
      <c r="NBM63" s="349"/>
      <c r="NBN63" s="349"/>
      <c r="NBO63" s="349"/>
      <c r="NBP63" s="349"/>
      <c r="NBQ63" s="349"/>
      <c r="NBR63" s="349"/>
      <c r="NBS63" s="349"/>
      <c r="NBT63" s="349"/>
      <c r="NBU63" s="349"/>
      <c r="NBV63" s="349"/>
      <c r="NBW63" s="349"/>
      <c r="NBX63" s="349"/>
      <c r="NBY63" s="349"/>
      <c r="NBZ63" s="349"/>
      <c r="NCA63" s="349"/>
      <c r="NCB63" s="349"/>
      <c r="NCC63" s="349"/>
      <c r="NCD63" s="349"/>
      <c r="NCE63" s="349"/>
      <c r="NCF63" s="349"/>
      <c r="NCG63" s="349"/>
      <c r="NCH63" s="349"/>
      <c r="NCI63" s="349"/>
      <c r="NCJ63" s="349"/>
      <c r="NCK63" s="349"/>
      <c r="NCL63" s="349"/>
      <c r="NCM63" s="349"/>
      <c r="NCN63" s="349"/>
      <c r="NCO63" s="349"/>
      <c r="NCP63" s="349"/>
      <c r="NCQ63" s="349"/>
      <c r="NCR63" s="349"/>
      <c r="NCS63" s="349"/>
      <c r="NCT63" s="349"/>
      <c r="NCU63" s="349"/>
      <c r="NCV63" s="349"/>
      <c r="NCW63" s="349"/>
      <c r="NCX63" s="349"/>
      <c r="NCY63" s="349"/>
      <c r="NCZ63" s="349"/>
      <c r="NDA63" s="349"/>
      <c r="NDB63" s="349"/>
      <c r="NDC63" s="349"/>
      <c r="NDD63" s="349"/>
      <c r="NDE63" s="349"/>
      <c r="NDF63" s="349"/>
      <c r="NDG63" s="349"/>
      <c r="NDH63" s="349"/>
      <c r="NDI63" s="349"/>
      <c r="NDJ63" s="349"/>
      <c r="NDK63" s="349"/>
      <c r="NDL63" s="349"/>
      <c r="NDM63" s="349"/>
      <c r="NDN63" s="349"/>
      <c r="NDO63" s="349"/>
      <c r="NDP63" s="349"/>
      <c r="NDQ63" s="349"/>
      <c r="NDR63" s="349"/>
      <c r="NDS63" s="349"/>
      <c r="NDT63" s="349"/>
      <c r="NDU63" s="349"/>
      <c r="NDV63" s="349"/>
      <c r="NDW63" s="349"/>
      <c r="NDX63" s="349"/>
      <c r="NDY63" s="349"/>
      <c r="NDZ63" s="349"/>
      <c r="NEA63" s="349"/>
      <c r="NEB63" s="349"/>
      <c r="NEC63" s="349"/>
      <c r="NED63" s="349"/>
      <c r="NEE63" s="349"/>
      <c r="NEF63" s="349"/>
      <c r="NEG63" s="349"/>
      <c r="NEH63" s="349"/>
      <c r="NEI63" s="349"/>
      <c r="NEJ63" s="349"/>
      <c r="NEK63" s="349"/>
      <c r="NEL63" s="349"/>
      <c r="NEM63" s="349"/>
      <c r="NEN63" s="349"/>
      <c r="NEO63" s="349"/>
      <c r="NEP63" s="349"/>
      <c r="NEQ63" s="349"/>
      <c r="NER63" s="349"/>
      <c r="NES63" s="349"/>
      <c r="NET63" s="349"/>
      <c r="NEU63" s="349"/>
      <c r="NEV63" s="349"/>
      <c r="NEW63" s="349"/>
      <c r="NEX63" s="349"/>
      <c r="NEY63" s="349"/>
      <c r="NEZ63" s="349"/>
      <c r="NFA63" s="349"/>
      <c r="NFB63" s="349"/>
      <c r="NFC63" s="349"/>
      <c r="NFD63" s="349"/>
      <c r="NFE63" s="349"/>
      <c r="NFF63" s="349"/>
      <c r="NFG63" s="349"/>
      <c r="NFH63" s="349"/>
      <c r="NFI63" s="349"/>
      <c r="NFJ63" s="349"/>
      <c r="NFK63" s="349"/>
      <c r="NFL63" s="349"/>
      <c r="NFM63" s="349"/>
      <c r="NFN63" s="349"/>
      <c r="NFO63" s="349"/>
      <c r="NFP63" s="349"/>
      <c r="NFQ63" s="349"/>
      <c r="NFR63" s="349"/>
      <c r="NFS63" s="349"/>
      <c r="NFT63" s="349"/>
      <c r="NFU63" s="349"/>
      <c r="NFV63" s="349"/>
      <c r="NFW63" s="349"/>
      <c r="NFX63" s="349"/>
      <c r="NFY63" s="349"/>
      <c r="NFZ63" s="349"/>
      <c r="NGA63" s="349"/>
      <c r="NGB63" s="349"/>
      <c r="NGC63" s="349"/>
      <c r="NGD63" s="349"/>
      <c r="NGE63" s="349"/>
      <c r="NGF63" s="349"/>
      <c r="NGG63" s="349"/>
      <c r="NGH63" s="349"/>
      <c r="NGI63" s="349"/>
      <c r="NGJ63" s="349"/>
      <c r="NGK63" s="349"/>
      <c r="NGL63" s="349"/>
      <c r="NGM63" s="349"/>
      <c r="NGN63" s="349"/>
      <c r="NGO63" s="349"/>
      <c r="NGP63" s="349"/>
      <c r="NGQ63" s="349"/>
      <c r="NGR63" s="349"/>
      <c r="NGS63" s="349"/>
      <c r="NGT63" s="349"/>
      <c r="NGU63" s="349"/>
      <c r="NGV63" s="349"/>
      <c r="NGW63" s="349"/>
      <c r="NGX63" s="349"/>
      <c r="NGY63" s="349"/>
      <c r="NGZ63" s="349"/>
      <c r="NHA63" s="349"/>
      <c r="NHB63" s="349"/>
      <c r="NHC63" s="349"/>
      <c r="NHD63" s="349"/>
      <c r="NHE63" s="349"/>
      <c r="NHF63" s="349"/>
      <c r="NHG63" s="349"/>
      <c r="NHH63" s="349"/>
      <c r="NHI63" s="349"/>
      <c r="NHJ63" s="349"/>
      <c r="NHK63" s="349"/>
      <c r="NHL63" s="349"/>
      <c r="NHM63" s="349"/>
      <c r="NHN63" s="349"/>
      <c r="NHO63" s="349"/>
      <c r="NHP63" s="349"/>
      <c r="NHQ63" s="349"/>
      <c r="NHR63" s="349"/>
      <c r="NHS63" s="349"/>
      <c r="NHT63" s="349"/>
      <c r="NHU63" s="349"/>
      <c r="NHV63" s="349"/>
      <c r="NHW63" s="349"/>
      <c r="NHX63" s="349"/>
      <c r="NHY63" s="349"/>
      <c r="NHZ63" s="349"/>
      <c r="NIA63" s="349"/>
      <c r="NIB63" s="349"/>
      <c r="NIC63" s="349"/>
      <c r="NID63" s="349"/>
      <c r="NIE63" s="349"/>
      <c r="NIF63" s="349"/>
      <c r="NIG63" s="349"/>
      <c r="NIH63" s="349"/>
      <c r="NII63" s="349"/>
      <c r="NIJ63" s="349"/>
      <c r="NIK63" s="349"/>
      <c r="NIL63" s="349"/>
      <c r="NIM63" s="349"/>
      <c r="NIN63" s="349"/>
      <c r="NIO63" s="349"/>
      <c r="NIP63" s="349"/>
      <c r="NIQ63" s="349"/>
      <c r="NIR63" s="349"/>
      <c r="NIS63" s="349"/>
      <c r="NIT63" s="349"/>
      <c r="NIU63" s="349"/>
      <c r="NIV63" s="349"/>
      <c r="NIW63" s="349"/>
      <c r="NIX63" s="349"/>
      <c r="NIY63" s="349"/>
      <c r="NIZ63" s="349"/>
      <c r="NJA63" s="349"/>
      <c r="NJB63" s="349"/>
      <c r="NJC63" s="349"/>
      <c r="NJD63" s="349"/>
      <c r="NJE63" s="349"/>
      <c r="NJF63" s="349"/>
      <c r="NJG63" s="349"/>
      <c r="NJH63" s="349"/>
      <c r="NJI63" s="349"/>
      <c r="NJJ63" s="349"/>
      <c r="NJK63" s="349"/>
      <c r="NJL63" s="349"/>
      <c r="NJM63" s="349"/>
      <c r="NJN63" s="349"/>
      <c r="NJO63" s="349"/>
      <c r="NJP63" s="349"/>
      <c r="NJQ63" s="349"/>
      <c r="NJR63" s="349"/>
      <c r="NJS63" s="349"/>
      <c r="NJT63" s="349"/>
      <c r="NJU63" s="349"/>
      <c r="NJV63" s="349"/>
      <c r="NJW63" s="349"/>
      <c r="NJX63" s="349"/>
      <c r="NJY63" s="349"/>
      <c r="NJZ63" s="349"/>
      <c r="NKA63" s="349"/>
      <c r="NKB63" s="349"/>
      <c r="NKC63" s="349"/>
      <c r="NKD63" s="349"/>
      <c r="NKE63" s="349"/>
      <c r="NKF63" s="349"/>
      <c r="NKG63" s="349"/>
      <c r="NKH63" s="349"/>
      <c r="NKI63" s="349"/>
      <c r="NKJ63" s="349"/>
      <c r="NKK63" s="349"/>
      <c r="NKL63" s="349"/>
      <c r="NKM63" s="349"/>
      <c r="NKN63" s="349"/>
      <c r="NKO63" s="349"/>
      <c r="NKP63" s="349"/>
      <c r="NKQ63" s="349"/>
      <c r="NKR63" s="349"/>
      <c r="NKS63" s="349"/>
      <c r="NKT63" s="349"/>
      <c r="NKU63" s="349"/>
      <c r="NKV63" s="349"/>
      <c r="NKW63" s="349"/>
      <c r="NKX63" s="349"/>
      <c r="NKY63" s="349"/>
      <c r="NKZ63" s="349"/>
      <c r="NLA63" s="349"/>
      <c r="NLB63" s="349"/>
      <c r="NLC63" s="349"/>
      <c r="NLD63" s="349"/>
      <c r="NLE63" s="349"/>
      <c r="NLF63" s="349"/>
      <c r="NLG63" s="349"/>
      <c r="NLH63" s="349"/>
      <c r="NLI63" s="349"/>
      <c r="NLJ63" s="349"/>
      <c r="NLK63" s="349"/>
      <c r="NLL63" s="349"/>
      <c r="NLM63" s="349"/>
      <c r="NLN63" s="349"/>
      <c r="NLO63" s="349"/>
      <c r="NLP63" s="349"/>
      <c r="NLQ63" s="349"/>
      <c r="NLR63" s="349"/>
      <c r="NLS63" s="349"/>
      <c r="NLT63" s="349"/>
      <c r="NLU63" s="349"/>
      <c r="NLV63" s="349"/>
      <c r="NLW63" s="349"/>
      <c r="NLX63" s="349"/>
      <c r="NLY63" s="349"/>
      <c r="NLZ63" s="349"/>
      <c r="NMA63" s="349"/>
      <c r="NMB63" s="349"/>
      <c r="NMC63" s="349"/>
      <c r="NMD63" s="349"/>
      <c r="NME63" s="349"/>
      <c r="NMF63" s="349"/>
      <c r="NMG63" s="349"/>
      <c r="NMH63" s="349"/>
      <c r="NMI63" s="349"/>
      <c r="NMJ63" s="349"/>
      <c r="NMK63" s="349"/>
      <c r="NML63" s="349"/>
      <c r="NMM63" s="349"/>
      <c r="NMN63" s="349"/>
      <c r="NMO63" s="349"/>
      <c r="NMP63" s="349"/>
      <c r="NMQ63" s="349"/>
      <c r="NMR63" s="349"/>
      <c r="NMS63" s="349"/>
      <c r="NMT63" s="349"/>
      <c r="NMU63" s="349"/>
      <c r="NMV63" s="349"/>
      <c r="NMW63" s="349"/>
      <c r="NMX63" s="349"/>
      <c r="NMY63" s="349"/>
      <c r="NMZ63" s="349"/>
      <c r="NNA63" s="349"/>
      <c r="NNB63" s="349"/>
      <c r="NNC63" s="349"/>
      <c r="NND63" s="349"/>
      <c r="NNE63" s="349"/>
      <c r="NNF63" s="349"/>
      <c r="NNG63" s="349"/>
      <c r="NNH63" s="349"/>
      <c r="NNI63" s="349"/>
      <c r="NNJ63" s="349"/>
      <c r="NNK63" s="349"/>
      <c r="NNL63" s="349"/>
      <c r="NNM63" s="349"/>
      <c r="NNN63" s="349"/>
      <c r="NNO63" s="349"/>
      <c r="NNP63" s="349"/>
      <c r="NNQ63" s="349"/>
      <c r="NNR63" s="349"/>
      <c r="NNS63" s="349"/>
      <c r="NNT63" s="349"/>
      <c r="NNU63" s="349"/>
      <c r="NNV63" s="349"/>
      <c r="NNW63" s="349"/>
      <c r="NNX63" s="349"/>
      <c r="NNY63" s="349"/>
      <c r="NNZ63" s="349"/>
      <c r="NOA63" s="349"/>
      <c r="NOB63" s="349"/>
      <c r="NOC63" s="349"/>
      <c r="NOD63" s="349"/>
      <c r="NOE63" s="349"/>
      <c r="NOF63" s="349"/>
      <c r="NOG63" s="349"/>
      <c r="NOH63" s="349"/>
      <c r="NOI63" s="349"/>
      <c r="NOJ63" s="349"/>
      <c r="NOK63" s="349"/>
      <c r="NOL63" s="349"/>
      <c r="NOM63" s="349"/>
      <c r="NON63" s="349"/>
      <c r="NOO63" s="349"/>
      <c r="NOP63" s="349"/>
      <c r="NOQ63" s="349"/>
      <c r="NOR63" s="349"/>
      <c r="NOS63" s="349"/>
      <c r="NOT63" s="349"/>
      <c r="NOU63" s="349"/>
      <c r="NOV63" s="349"/>
      <c r="NOW63" s="349"/>
      <c r="NOX63" s="349"/>
      <c r="NOY63" s="349"/>
      <c r="NOZ63" s="349"/>
      <c r="NPA63" s="349"/>
      <c r="NPB63" s="349"/>
      <c r="NPC63" s="349"/>
      <c r="NPD63" s="349"/>
      <c r="NPE63" s="349"/>
      <c r="NPF63" s="349"/>
      <c r="NPG63" s="349"/>
      <c r="NPH63" s="349"/>
      <c r="NPI63" s="349"/>
      <c r="NPJ63" s="349"/>
      <c r="NPK63" s="349"/>
      <c r="NPL63" s="349"/>
      <c r="NPM63" s="349"/>
      <c r="NPN63" s="349"/>
      <c r="NPO63" s="349"/>
      <c r="NPP63" s="349"/>
      <c r="NPQ63" s="349"/>
      <c r="NPR63" s="349"/>
      <c r="NPS63" s="349"/>
      <c r="NPT63" s="349"/>
      <c r="NPU63" s="349"/>
      <c r="NPV63" s="349"/>
      <c r="NPW63" s="349"/>
      <c r="NPX63" s="349"/>
      <c r="NPY63" s="349"/>
      <c r="NPZ63" s="349"/>
      <c r="NQA63" s="349"/>
      <c r="NQB63" s="349"/>
      <c r="NQC63" s="349"/>
      <c r="NQD63" s="349"/>
      <c r="NQE63" s="349"/>
      <c r="NQF63" s="349"/>
      <c r="NQG63" s="349"/>
      <c r="NQH63" s="349"/>
      <c r="NQI63" s="349"/>
      <c r="NQJ63" s="349"/>
      <c r="NQK63" s="349"/>
      <c r="NQL63" s="349"/>
      <c r="NQM63" s="349"/>
      <c r="NQN63" s="349"/>
      <c r="NQO63" s="349"/>
      <c r="NQP63" s="349"/>
      <c r="NQQ63" s="349"/>
      <c r="NQR63" s="349"/>
      <c r="NQS63" s="349"/>
      <c r="NQT63" s="349"/>
      <c r="NQU63" s="349"/>
      <c r="NQV63" s="349"/>
      <c r="NQW63" s="349"/>
      <c r="NQX63" s="349"/>
      <c r="NQY63" s="349"/>
      <c r="NQZ63" s="349"/>
      <c r="NRA63" s="349"/>
      <c r="NRB63" s="349"/>
      <c r="NRC63" s="349"/>
      <c r="NRD63" s="349"/>
      <c r="NRE63" s="349"/>
      <c r="NRF63" s="349"/>
      <c r="NRG63" s="349"/>
      <c r="NRH63" s="349"/>
      <c r="NRI63" s="349"/>
      <c r="NRJ63" s="349"/>
      <c r="NRK63" s="349"/>
      <c r="NRL63" s="349"/>
      <c r="NRM63" s="349"/>
      <c r="NRN63" s="349"/>
      <c r="NRO63" s="349"/>
      <c r="NRP63" s="349"/>
      <c r="NRQ63" s="349"/>
      <c r="NRR63" s="349"/>
      <c r="NRS63" s="349"/>
      <c r="NRT63" s="349"/>
      <c r="NRU63" s="349"/>
      <c r="NRV63" s="349"/>
      <c r="NRW63" s="349"/>
      <c r="NRX63" s="349"/>
      <c r="NRY63" s="349"/>
      <c r="NRZ63" s="349"/>
      <c r="NSA63" s="349"/>
      <c r="NSB63" s="349"/>
      <c r="NSC63" s="349"/>
      <c r="NSD63" s="349"/>
      <c r="NSE63" s="349"/>
      <c r="NSF63" s="349"/>
      <c r="NSG63" s="349"/>
      <c r="NSH63" s="349"/>
      <c r="NSI63" s="349"/>
      <c r="NSJ63" s="349"/>
      <c r="NSK63" s="349"/>
      <c r="NSL63" s="349"/>
      <c r="NSM63" s="349"/>
      <c r="NSN63" s="349"/>
      <c r="NSO63" s="349"/>
      <c r="NSP63" s="349"/>
      <c r="NSQ63" s="349"/>
      <c r="NSR63" s="349"/>
      <c r="NSS63" s="349"/>
      <c r="NST63" s="349"/>
      <c r="NSU63" s="349"/>
      <c r="NSV63" s="349"/>
      <c r="NSW63" s="349"/>
      <c r="NSX63" s="349"/>
      <c r="NSY63" s="349"/>
      <c r="NSZ63" s="349"/>
      <c r="NTA63" s="349"/>
      <c r="NTB63" s="349"/>
      <c r="NTC63" s="349"/>
      <c r="NTD63" s="349"/>
      <c r="NTE63" s="349"/>
      <c r="NTF63" s="349"/>
      <c r="NTG63" s="349"/>
      <c r="NTH63" s="349"/>
      <c r="NTI63" s="349"/>
      <c r="NTJ63" s="349"/>
      <c r="NTK63" s="349"/>
      <c r="NTL63" s="349"/>
      <c r="NTM63" s="349"/>
      <c r="NTN63" s="349"/>
      <c r="NTO63" s="349"/>
      <c r="NTP63" s="349"/>
      <c r="NTQ63" s="349"/>
      <c r="NTR63" s="349"/>
      <c r="NTS63" s="349"/>
      <c r="NTT63" s="349"/>
      <c r="NTU63" s="349"/>
      <c r="NTV63" s="349"/>
      <c r="NTW63" s="349"/>
      <c r="NTX63" s="349"/>
      <c r="NTY63" s="349"/>
      <c r="NTZ63" s="349"/>
      <c r="NUA63" s="349"/>
      <c r="NUB63" s="349"/>
      <c r="NUC63" s="349"/>
      <c r="NUD63" s="349"/>
      <c r="NUE63" s="349"/>
      <c r="NUF63" s="349"/>
      <c r="NUG63" s="349"/>
      <c r="NUH63" s="349"/>
      <c r="NUI63" s="349"/>
      <c r="NUJ63" s="349"/>
      <c r="NUK63" s="349"/>
      <c r="NUL63" s="349"/>
      <c r="NUM63" s="349"/>
      <c r="NUN63" s="349"/>
      <c r="NUO63" s="349"/>
      <c r="NUP63" s="349"/>
      <c r="NUQ63" s="349"/>
      <c r="NUR63" s="349"/>
      <c r="NUS63" s="349"/>
      <c r="NUT63" s="349"/>
      <c r="NUU63" s="349"/>
      <c r="NUV63" s="349"/>
      <c r="NUW63" s="349"/>
      <c r="NUX63" s="349"/>
      <c r="NUY63" s="349"/>
      <c r="NUZ63" s="349"/>
      <c r="NVA63" s="349"/>
      <c r="NVB63" s="349"/>
      <c r="NVC63" s="349"/>
      <c r="NVD63" s="349"/>
      <c r="NVE63" s="349"/>
      <c r="NVF63" s="349"/>
      <c r="NVG63" s="349"/>
      <c r="NVH63" s="349"/>
      <c r="NVI63" s="349"/>
      <c r="NVJ63" s="349"/>
      <c r="NVK63" s="349"/>
      <c r="NVL63" s="349"/>
      <c r="NVM63" s="349"/>
      <c r="NVN63" s="349"/>
      <c r="NVO63" s="349"/>
      <c r="NVP63" s="349"/>
      <c r="NVQ63" s="349"/>
      <c r="NVR63" s="349"/>
      <c r="NVS63" s="349"/>
      <c r="NVT63" s="349"/>
      <c r="NVU63" s="349"/>
      <c r="NVV63" s="349"/>
      <c r="NVW63" s="349"/>
      <c r="NVX63" s="349"/>
      <c r="NVY63" s="349"/>
      <c r="NVZ63" s="349"/>
      <c r="NWA63" s="349"/>
      <c r="NWB63" s="349"/>
      <c r="NWC63" s="349"/>
      <c r="NWD63" s="349"/>
      <c r="NWE63" s="349"/>
      <c r="NWF63" s="349"/>
      <c r="NWG63" s="349"/>
      <c r="NWH63" s="349"/>
      <c r="NWI63" s="349"/>
      <c r="NWJ63" s="349"/>
      <c r="NWK63" s="349"/>
      <c r="NWL63" s="349"/>
      <c r="NWM63" s="349"/>
      <c r="NWN63" s="349"/>
      <c r="NWO63" s="349"/>
      <c r="NWP63" s="349"/>
      <c r="NWQ63" s="349"/>
      <c r="NWR63" s="349"/>
      <c r="NWS63" s="349"/>
      <c r="NWT63" s="349"/>
      <c r="NWU63" s="349"/>
      <c r="NWV63" s="349"/>
      <c r="NWW63" s="349"/>
      <c r="NWX63" s="349"/>
      <c r="NWY63" s="349"/>
      <c r="NWZ63" s="349"/>
      <c r="NXA63" s="349"/>
      <c r="NXB63" s="349"/>
      <c r="NXC63" s="349"/>
      <c r="NXD63" s="349"/>
      <c r="NXE63" s="349"/>
      <c r="NXF63" s="349"/>
      <c r="NXG63" s="349"/>
      <c r="NXH63" s="349"/>
      <c r="NXI63" s="349"/>
      <c r="NXJ63" s="349"/>
      <c r="NXK63" s="349"/>
      <c r="NXL63" s="349"/>
      <c r="NXM63" s="349"/>
      <c r="NXN63" s="349"/>
      <c r="NXO63" s="349"/>
      <c r="NXP63" s="349"/>
      <c r="NXQ63" s="349"/>
      <c r="NXR63" s="349"/>
      <c r="NXS63" s="349"/>
      <c r="NXT63" s="349"/>
      <c r="NXU63" s="349"/>
      <c r="NXV63" s="349"/>
      <c r="NXW63" s="349"/>
      <c r="NXX63" s="349"/>
      <c r="NXY63" s="349"/>
      <c r="NXZ63" s="349"/>
      <c r="NYA63" s="349"/>
      <c r="NYB63" s="349"/>
      <c r="NYC63" s="349"/>
      <c r="NYD63" s="349"/>
      <c r="NYE63" s="349"/>
      <c r="NYF63" s="349"/>
      <c r="NYG63" s="349"/>
      <c r="NYH63" s="349"/>
      <c r="NYI63" s="349"/>
      <c r="NYJ63" s="349"/>
      <c r="NYK63" s="349"/>
      <c r="NYL63" s="349"/>
      <c r="NYM63" s="349"/>
      <c r="NYN63" s="349"/>
      <c r="NYO63" s="349"/>
      <c r="NYP63" s="349"/>
      <c r="NYQ63" s="349"/>
      <c r="NYR63" s="349"/>
      <c r="NYS63" s="349"/>
      <c r="NYT63" s="349"/>
      <c r="NYU63" s="349"/>
      <c r="NYV63" s="349"/>
      <c r="NYW63" s="349"/>
      <c r="NYX63" s="349"/>
      <c r="NYY63" s="349"/>
      <c r="NYZ63" s="349"/>
      <c r="NZA63" s="349"/>
      <c r="NZB63" s="349"/>
      <c r="NZC63" s="349"/>
      <c r="NZD63" s="349"/>
      <c r="NZE63" s="349"/>
      <c r="NZF63" s="349"/>
      <c r="NZG63" s="349"/>
      <c r="NZH63" s="349"/>
      <c r="NZI63" s="349"/>
      <c r="NZJ63" s="349"/>
      <c r="NZK63" s="349"/>
      <c r="NZL63" s="349"/>
      <c r="NZM63" s="349"/>
      <c r="NZN63" s="349"/>
      <c r="NZO63" s="349"/>
      <c r="NZP63" s="349"/>
      <c r="NZQ63" s="349"/>
      <c r="NZR63" s="349"/>
      <c r="NZS63" s="349"/>
      <c r="NZT63" s="349"/>
      <c r="NZU63" s="349"/>
      <c r="NZV63" s="349"/>
      <c r="NZW63" s="349"/>
      <c r="NZX63" s="349"/>
      <c r="NZY63" s="349"/>
      <c r="NZZ63" s="349"/>
      <c r="OAA63" s="349"/>
      <c r="OAB63" s="349"/>
      <c r="OAC63" s="349"/>
      <c r="OAD63" s="349"/>
      <c r="OAE63" s="349"/>
      <c r="OAF63" s="349"/>
      <c r="OAG63" s="349"/>
      <c r="OAH63" s="349"/>
      <c r="OAI63" s="349"/>
      <c r="OAJ63" s="349"/>
      <c r="OAK63" s="349"/>
      <c r="OAL63" s="349"/>
      <c r="OAM63" s="349"/>
      <c r="OAN63" s="349"/>
      <c r="OAO63" s="349"/>
      <c r="OAP63" s="349"/>
      <c r="OAQ63" s="349"/>
      <c r="OAR63" s="349"/>
      <c r="OAS63" s="349"/>
      <c r="OAT63" s="349"/>
      <c r="OAU63" s="349"/>
      <c r="OAV63" s="349"/>
      <c r="OAW63" s="349"/>
      <c r="OAX63" s="349"/>
      <c r="OAY63" s="349"/>
      <c r="OAZ63" s="349"/>
      <c r="OBA63" s="349"/>
      <c r="OBB63" s="349"/>
      <c r="OBC63" s="349"/>
      <c r="OBD63" s="349"/>
      <c r="OBE63" s="349"/>
      <c r="OBF63" s="349"/>
      <c r="OBG63" s="349"/>
      <c r="OBH63" s="349"/>
      <c r="OBI63" s="349"/>
      <c r="OBJ63" s="349"/>
      <c r="OBK63" s="349"/>
      <c r="OBL63" s="349"/>
      <c r="OBM63" s="349"/>
      <c r="OBN63" s="349"/>
      <c r="OBO63" s="349"/>
      <c r="OBP63" s="349"/>
      <c r="OBQ63" s="349"/>
      <c r="OBR63" s="349"/>
      <c r="OBS63" s="349"/>
      <c r="OBT63" s="349"/>
      <c r="OBU63" s="349"/>
      <c r="OBV63" s="349"/>
      <c r="OBW63" s="349"/>
      <c r="OBX63" s="349"/>
      <c r="OBY63" s="349"/>
      <c r="OBZ63" s="349"/>
      <c r="OCA63" s="349"/>
      <c r="OCB63" s="349"/>
      <c r="OCC63" s="349"/>
      <c r="OCD63" s="349"/>
      <c r="OCE63" s="349"/>
      <c r="OCF63" s="349"/>
      <c r="OCG63" s="349"/>
      <c r="OCH63" s="349"/>
      <c r="OCI63" s="349"/>
      <c r="OCJ63" s="349"/>
      <c r="OCK63" s="349"/>
      <c r="OCL63" s="349"/>
      <c r="OCM63" s="349"/>
      <c r="OCN63" s="349"/>
      <c r="OCO63" s="349"/>
      <c r="OCP63" s="349"/>
      <c r="OCQ63" s="349"/>
      <c r="OCR63" s="349"/>
      <c r="OCS63" s="349"/>
      <c r="OCT63" s="349"/>
      <c r="OCU63" s="349"/>
      <c r="OCV63" s="349"/>
      <c r="OCW63" s="349"/>
      <c r="OCX63" s="349"/>
      <c r="OCY63" s="349"/>
      <c r="OCZ63" s="349"/>
      <c r="ODA63" s="349"/>
      <c r="ODB63" s="349"/>
      <c r="ODC63" s="349"/>
      <c r="ODD63" s="349"/>
      <c r="ODE63" s="349"/>
      <c r="ODF63" s="349"/>
      <c r="ODG63" s="349"/>
      <c r="ODH63" s="349"/>
      <c r="ODI63" s="349"/>
      <c r="ODJ63" s="349"/>
      <c r="ODK63" s="349"/>
      <c r="ODL63" s="349"/>
      <c r="ODM63" s="349"/>
      <c r="ODN63" s="349"/>
      <c r="ODO63" s="349"/>
      <c r="ODP63" s="349"/>
      <c r="ODQ63" s="349"/>
      <c r="ODR63" s="349"/>
      <c r="ODS63" s="349"/>
      <c r="ODT63" s="349"/>
      <c r="ODU63" s="349"/>
      <c r="ODV63" s="349"/>
      <c r="ODW63" s="349"/>
      <c r="ODX63" s="349"/>
      <c r="ODY63" s="349"/>
      <c r="ODZ63" s="349"/>
      <c r="OEA63" s="349"/>
      <c r="OEB63" s="349"/>
      <c r="OEC63" s="349"/>
      <c r="OED63" s="349"/>
      <c r="OEE63" s="349"/>
      <c r="OEF63" s="349"/>
      <c r="OEG63" s="349"/>
      <c r="OEH63" s="349"/>
      <c r="OEI63" s="349"/>
      <c r="OEJ63" s="349"/>
      <c r="OEK63" s="349"/>
      <c r="OEL63" s="349"/>
      <c r="OEM63" s="349"/>
      <c r="OEN63" s="349"/>
      <c r="OEO63" s="349"/>
      <c r="OEP63" s="349"/>
      <c r="OEQ63" s="349"/>
      <c r="OER63" s="349"/>
      <c r="OES63" s="349"/>
      <c r="OET63" s="349"/>
      <c r="OEU63" s="349"/>
      <c r="OEV63" s="349"/>
      <c r="OEW63" s="349"/>
      <c r="OEX63" s="349"/>
      <c r="OEY63" s="349"/>
      <c r="OEZ63" s="349"/>
      <c r="OFA63" s="349"/>
      <c r="OFB63" s="349"/>
      <c r="OFC63" s="349"/>
      <c r="OFD63" s="349"/>
      <c r="OFE63" s="349"/>
      <c r="OFF63" s="349"/>
      <c r="OFG63" s="349"/>
      <c r="OFH63" s="349"/>
      <c r="OFI63" s="349"/>
      <c r="OFJ63" s="349"/>
      <c r="OFK63" s="349"/>
      <c r="OFL63" s="349"/>
      <c r="OFM63" s="349"/>
      <c r="OFN63" s="349"/>
      <c r="OFO63" s="349"/>
      <c r="OFP63" s="349"/>
      <c r="OFQ63" s="349"/>
      <c r="OFR63" s="349"/>
      <c r="OFS63" s="349"/>
      <c r="OFT63" s="349"/>
      <c r="OFU63" s="349"/>
      <c r="OFV63" s="349"/>
      <c r="OFW63" s="349"/>
      <c r="OFX63" s="349"/>
      <c r="OFY63" s="349"/>
      <c r="OFZ63" s="349"/>
      <c r="OGA63" s="349"/>
      <c r="OGB63" s="349"/>
      <c r="OGC63" s="349"/>
      <c r="OGD63" s="349"/>
      <c r="OGE63" s="349"/>
      <c r="OGF63" s="349"/>
      <c r="OGG63" s="349"/>
      <c r="OGH63" s="349"/>
      <c r="OGI63" s="349"/>
      <c r="OGJ63" s="349"/>
      <c r="OGK63" s="349"/>
      <c r="OGL63" s="349"/>
      <c r="OGM63" s="349"/>
      <c r="OGN63" s="349"/>
      <c r="OGO63" s="349"/>
      <c r="OGP63" s="349"/>
      <c r="OGQ63" s="349"/>
      <c r="OGR63" s="349"/>
      <c r="OGS63" s="349"/>
      <c r="OGT63" s="349"/>
      <c r="OGU63" s="349"/>
      <c r="OGV63" s="349"/>
      <c r="OGW63" s="349"/>
      <c r="OGX63" s="349"/>
      <c r="OGY63" s="349"/>
      <c r="OGZ63" s="349"/>
      <c r="OHA63" s="349"/>
      <c r="OHB63" s="349"/>
      <c r="OHC63" s="349"/>
      <c r="OHD63" s="349"/>
      <c r="OHE63" s="349"/>
      <c r="OHF63" s="349"/>
      <c r="OHG63" s="349"/>
      <c r="OHH63" s="349"/>
      <c r="OHI63" s="349"/>
      <c r="OHJ63" s="349"/>
      <c r="OHK63" s="349"/>
      <c r="OHL63" s="349"/>
      <c r="OHM63" s="349"/>
      <c r="OHN63" s="349"/>
      <c r="OHO63" s="349"/>
      <c r="OHP63" s="349"/>
      <c r="OHQ63" s="349"/>
      <c r="OHR63" s="349"/>
      <c r="OHS63" s="349"/>
      <c r="OHT63" s="349"/>
      <c r="OHU63" s="349"/>
      <c r="OHV63" s="349"/>
      <c r="OHW63" s="349"/>
      <c r="OHX63" s="349"/>
      <c r="OHY63" s="349"/>
      <c r="OHZ63" s="349"/>
      <c r="OIA63" s="349"/>
      <c r="OIB63" s="349"/>
      <c r="OIC63" s="349"/>
      <c r="OID63" s="349"/>
      <c r="OIE63" s="349"/>
      <c r="OIF63" s="349"/>
      <c r="OIG63" s="349"/>
      <c r="OIH63" s="349"/>
      <c r="OII63" s="349"/>
      <c r="OIJ63" s="349"/>
      <c r="OIK63" s="349"/>
      <c r="OIL63" s="349"/>
      <c r="OIM63" s="349"/>
      <c r="OIN63" s="349"/>
      <c r="OIO63" s="349"/>
      <c r="OIP63" s="349"/>
      <c r="OIQ63" s="349"/>
      <c r="OIR63" s="349"/>
      <c r="OIS63" s="349"/>
      <c r="OIT63" s="349"/>
      <c r="OIU63" s="349"/>
      <c r="OIV63" s="349"/>
      <c r="OIW63" s="349"/>
      <c r="OIX63" s="349"/>
      <c r="OIY63" s="349"/>
      <c r="OIZ63" s="349"/>
      <c r="OJA63" s="349"/>
      <c r="OJB63" s="349"/>
      <c r="OJC63" s="349"/>
      <c r="OJD63" s="349"/>
      <c r="OJE63" s="349"/>
      <c r="OJF63" s="349"/>
      <c r="OJG63" s="349"/>
      <c r="OJH63" s="349"/>
      <c r="OJI63" s="349"/>
      <c r="OJJ63" s="349"/>
      <c r="OJK63" s="349"/>
      <c r="OJL63" s="349"/>
      <c r="OJM63" s="349"/>
      <c r="OJN63" s="349"/>
      <c r="OJO63" s="349"/>
      <c r="OJP63" s="349"/>
      <c r="OJQ63" s="349"/>
      <c r="OJR63" s="349"/>
      <c r="OJS63" s="349"/>
      <c r="OJT63" s="349"/>
      <c r="OJU63" s="349"/>
      <c r="OJV63" s="349"/>
      <c r="OJW63" s="349"/>
      <c r="OJX63" s="349"/>
      <c r="OJY63" s="349"/>
      <c r="OJZ63" s="349"/>
      <c r="OKA63" s="349"/>
      <c r="OKB63" s="349"/>
      <c r="OKC63" s="349"/>
      <c r="OKD63" s="349"/>
      <c r="OKE63" s="349"/>
      <c r="OKF63" s="349"/>
      <c r="OKG63" s="349"/>
      <c r="OKH63" s="349"/>
      <c r="OKI63" s="349"/>
      <c r="OKJ63" s="349"/>
      <c r="OKK63" s="349"/>
      <c r="OKL63" s="349"/>
      <c r="OKM63" s="349"/>
      <c r="OKN63" s="349"/>
      <c r="OKO63" s="349"/>
      <c r="OKP63" s="349"/>
      <c r="OKQ63" s="349"/>
      <c r="OKR63" s="349"/>
      <c r="OKS63" s="349"/>
      <c r="OKT63" s="349"/>
      <c r="OKU63" s="349"/>
      <c r="OKV63" s="349"/>
      <c r="OKW63" s="349"/>
      <c r="OKX63" s="349"/>
      <c r="OKY63" s="349"/>
      <c r="OKZ63" s="349"/>
      <c r="OLA63" s="349"/>
      <c r="OLB63" s="349"/>
      <c r="OLC63" s="349"/>
      <c r="OLD63" s="349"/>
      <c r="OLE63" s="349"/>
      <c r="OLF63" s="349"/>
      <c r="OLG63" s="349"/>
      <c r="OLH63" s="349"/>
      <c r="OLI63" s="349"/>
      <c r="OLJ63" s="349"/>
      <c r="OLK63" s="349"/>
      <c r="OLL63" s="349"/>
      <c r="OLM63" s="349"/>
      <c r="OLN63" s="349"/>
      <c r="OLO63" s="349"/>
      <c r="OLP63" s="349"/>
      <c r="OLQ63" s="349"/>
      <c r="OLR63" s="349"/>
      <c r="OLS63" s="349"/>
      <c r="OLT63" s="349"/>
      <c r="OLU63" s="349"/>
      <c r="OLV63" s="349"/>
      <c r="OLW63" s="349"/>
      <c r="OLX63" s="349"/>
      <c r="OLY63" s="349"/>
      <c r="OLZ63" s="349"/>
      <c r="OMA63" s="349"/>
      <c r="OMB63" s="349"/>
      <c r="OMC63" s="349"/>
      <c r="OMD63" s="349"/>
      <c r="OME63" s="349"/>
      <c r="OMF63" s="349"/>
      <c r="OMG63" s="349"/>
      <c r="OMH63" s="349"/>
      <c r="OMI63" s="349"/>
      <c r="OMJ63" s="349"/>
      <c r="OMK63" s="349"/>
      <c r="OML63" s="349"/>
      <c r="OMM63" s="349"/>
      <c r="OMN63" s="349"/>
      <c r="OMO63" s="349"/>
      <c r="OMP63" s="349"/>
      <c r="OMQ63" s="349"/>
      <c r="OMR63" s="349"/>
      <c r="OMS63" s="349"/>
      <c r="OMT63" s="349"/>
      <c r="OMU63" s="349"/>
      <c r="OMV63" s="349"/>
      <c r="OMW63" s="349"/>
      <c r="OMX63" s="349"/>
      <c r="OMY63" s="349"/>
      <c r="OMZ63" s="349"/>
      <c r="ONA63" s="349"/>
      <c r="ONB63" s="349"/>
      <c r="ONC63" s="349"/>
      <c r="OND63" s="349"/>
      <c r="ONE63" s="349"/>
      <c r="ONF63" s="349"/>
      <c r="ONG63" s="349"/>
      <c r="ONH63" s="349"/>
      <c r="ONI63" s="349"/>
      <c r="ONJ63" s="349"/>
      <c r="ONK63" s="349"/>
      <c r="ONL63" s="349"/>
      <c r="ONM63" s="349"/>
      <c r="ONN63" s="349"/>
      <c r="ONO63" s="349"/>
      <c r="ONP63" s="349"/>
      <c r="ONQ63" s="349"/>
      <c r="ONR63" s="349"/>
      <c r="ONS63" s="349"/>
      <c r="ONT63" s="349"/>
      <c r="ONU63" s="349"/>
      <c r="ONV63" s="349"/>
      <c r="ONW63" s="349"/>
      <c r="ONX63" s="349"/>
      <c r="ONY63" s="349"/>
      <c r="ONZ63" s="349"/>
      <c r="OOA63" s="349"/>
      <c r="OOB63" s="349"/>
      <c r="OOC63" s="349"/>
      <c r="OOD63" s="349"/>
      <c r="OOE63" s="349"/>
      <c r="OOF63" s="349"/>
      <c r="OOG63" s="349"/>
      <c r="OOH63" s="349"/>
      <c r="OOI63" s="349"/>
      <c r="OOJ63" s="349"/>
      <c r="OOK63" s="349"/>
      <c r="OOL63" s="349"/>
      <c r="OOM63" s="349"/>
      <c r="OON63" s="349"/>
      <c r="OOO63" s="349"/>
      <c r="OOP63" s="349"/>
      <c r="OOQ63" s="349"/>
      <c r="OOR63" s="349"/>
      <c r="OOS63" s="349"/>
      <c r="OOT63" s="349"/>
      <c r="OOU63" s="349"/>
      <c r="OOV63" s="349"/>
      <c r="OOW63" s="349"/>
      <c r="OOX63" s="349"/>
      <c r="OOY63" s="349"/>
      <c r="OOZ63" s="349"/>
      <c r="OPA63" s="349"/>
      <c r="OPB63" s="349"/>
      <c r="OPC63" s="349"/>
      <c r="OPD63" s="349"/>
      <c r="OPE63" s="349"/>
      <c r="OPF63" s="349"/>
      <c r="OPG63" s="349"/>
      <c r="OPH63" s="349"/>
      <c r="OPI63" s="349"/>
      <c r="OPJ63" s="349"/>
      <c r="OPK63" s="349"/>
      <c r="OPL63" s="349"/>
      <c r="OPM63" s="349"/>
      <c r="OPN63" s="349"/>
      <c r="OPO63" s="349"/>
      <c r="OPP63" s="349"/>
      <c r="OPQ63" s="349"/>
      <c r="OPR63" s="349"/>
      <c r="OPS63" s="349"/>
      <c r="OPT63" s="349"/>
      <c r="OPU63" s="349"/>
      <c r="OPV63" s="349"/>
      <c r="OPW63" s="349"/>
      <c r="OPX63" s="349"/>
      <c r="OPY63" s="349"/>
      <c r="OPZ63" s="349"/>
      <c r="OQA63" s="349"/>
      <c r="OQB63" s="349"/>
      <c r="OQC63" s="349"/>
      <c r="OQD63" s="349"/>
      <c r="OQE63" s="349"/>
      <c r="OQF63" s="349"/>
      <c r="OQG63" s="349"/>
      <c r="OQH63" s="349"/>
      <c r="OQI63" s="349"/>
      <c r="OQJ63" s="349"/>
      <c r="OQK63" s="349"/>
      <c r="OQL63" s="349"/>
      <c r="OQM63" s="349"/>
      <c r="OQN63" s="349"/>
      <c r="OQO63" s="349"/>
      <c r="OQP63" s="349"/>
      <c r="OQQ63" s="349"/>
      <c r="OQR63" s="349"/>
      <c r="OQS63" s="349"/>
      <c r="OQT63" s="349"/>
      <c r="OQU63" s="349"/>
      <c r="OQV63" s="349"/>
      <c r="OQW63" s="349"/>
      <c r="OQX63" s="349"/>
      <c r="OQY63" s="349"/>
      <c r="OQZ63" s="349"/>
      <c r="ORA63" s="349"/>
      <c r="ORB63" s="349"/>
      <c r="ORC63" s="349"/>
      <c r="ORD63" s="349"/>
      <c r="ORE63" s="349"/>
      <c r="ORF63" s="349"/>
      <c r="ORG63" s="349"/>
      <c r="ORH63" s="349"/>
      <c r="ORI63" s="349"/>
      <c r="ORJ63" s="349"/>
      <c r="ORK63" s="349"/>
      <c r="ORL63" s="349"/>
      <c r="ORM63" s="349"/>
      <c r="ORN63" s="349"/>
      <c r="ORO63" s="349"/>
      <c r="ORP63" s="349"/>
      <c r="ORQ63" s="349"/>
      <c r="ORR63" s="349"/>
      <c r="ORS63" s="349"/>
      <c r="ORT63" s="349"/>
      <c r="ORU63" s="349"/>
      <c r="ORV63" s="349"/>
      <c r="ORW63" s="349"/>
      <c r="ORX63" s="349"/>
      <c r="ORY63" s="349"/>
      <c r="ORZ63" s="349"/>
      <c r="OSA63" s="349"/>
      <c r="OSB63" s="349"/>
      <c r="OSC63" s="349"/>
      <c r="OSD63" s="349"/>
      <c r="OSE63" s="349"/>
      <c r="OSF63" s="349"/>
      <c r="OSG63" s="349"/>
      <c r="OSH63" s="349"/>
      <c r="OSI63" s="349"/>
      <c r="OSJ63" s="349"/>
      <c r="OSK63" s="349"/>
      <c r="OSL63" s="349"/>
      <c r="OSM63" s="349"/>
      <c r="OSN63" s="349"/>
      <c r="OSO63" s="349"/>
      <c r="OSP63" s="349"/>
      <c r="OSQ63" s="349"/>
      <c r="OSR63" s="349"/>
      <c r="OSS63" s="349"/>
      <c r="OST63" s="349"/>
      <c r="OSU63" s="349"/>
      <c r="OSV63" s="349"/>
      <c r="OSW63" s="349"/>
      <c r="OSX63" s="349"/>
      <c r="OSY63" s="349"/>
      <c r="OSZ63" s="349"/>
      <c r="OTA63" s="349"/>
      <c r="OTB63" s="349"/>
      <c r="OTC63" s="349"/>
      <c r="OTD63" s="349"/>
      <c r="OTE63" s="349"/>
      <c r="OTF63" s="349"/>
      <c r="OTG63" s="349"/>
      <c r="OTH63" s="349"/>
      <c r="OTI63" s="349"/>
      <c r="OTJ63" s="349"/>
      <c r="OTK63" s="349"/>
      <c r="OTL63" s="349"/>
      <c r="OTM63" s="349"/>
      <c r="OTN63" s="349"/>
      <c r="OTO63" s="349"/>
      <c r="OTP63" s="349"/>
      <c r="OTQ63" s="349"/>
      <c r="OTR63" s="349"/>
      <c r="OTS63" s="349"/>
      <c r="OTT63" s="349"/>
      <c r="OTU63" s="349"/>
      <c r="OTV63" s="349"/>
      <c r="OTW63" s="349"/>
      <c r="OTX63" s="349"/>
      <c r="OTY63" s="349"/>
      <c r="OTZ63" s="349"/>
      <c r="OUA63" s="349"/>
      <c r="OUB63" s="349"/>
      <c r="OUC63" s="349"/>
      <c r="OUD63" s="349"/>
      <c r="OUE63" s="349"/>
      <c r="OUF63" s="349"/>
      <c r="OUG63" s="349"/>
      <c r="OUH63" s="349"/>
      <c r="OUI63" s="349"/>
      <c r="OUJ63" s="349"/>
      <c r="OUK63" s="349"/>
      <c r="OUL63" s="349"/>
      <c r="OUM63" s="349"/>
      <c r="OUN63" s="349"/>
      <c r="OUO63" s="349"/>
      <c r="OUP63" s="349"/>
      <c r="OUQ63" s="349"/>
      <c r="OUR63" s="349"/>
      <c r="OUS63" s="349"/>
      <c r="OUT63" s="349"/>
      <c r="OUU63" s="349"/>
      <c r="OUV63" s="349"/>
      <c r="OUW63" s="349"/>
      <c r="OUX63" s="349"/>
      <c r="OUY63" s="349"/>
      <c r="OUZ63" s="349"/>
      <c r="OVA63" s="349"/>
      <c r="OVB63" s="349"/>
      <c r="OVC63" s="349"/>
      <c r="OVD63" s="349"/>
      <c r="OVE63" s="349"/>
      <c r="OVF63" s="349"/>
      <c r="OVG63" s="349"/>
      <c r="OVH63" s="349"/>
      <c r="OVI63" s="349"/>
      <c r="OVJ63" s="349"/>
      <c r="OVK63" s="349"/>
      <c r="OVL63" s="349"/>
      <c r="OVM63" s="349"/>
      <c r="OVN63" s="349"/>
      <c r="OVO63" s="349"/>
      <c r="OVP63" s="349"/>
      <c r="OVQ63" s="349"/>
      <c r="OVR63" s="349"/>
      <c r="OVS63" s="349"/>
      <c r="OVT63" s="349"/>
      <c r="OVU63" s="349"/>
      <c r="OVV63" s="349"/>
      <c r="OVW63" s="349"/>
      <c r="OVX63" s="349"/>
      <c r="OVY63" s="349"/>
      <c r="OVZ63" s="349"/>
      <c r="OWA63" s="349"/>
      <c r="OWB63" s="349"/>
      <c r="OWC63" s="349"/>
      <c r="OWD63" s="349"/>
      <c r="OWE63" s="349"/>
      <c r="OWF63" s="349"/>
      <c r="OWG63" s="349"/>
      <c r="OWH63" s="349"/>
      <c r="OWI63" s="349"/>
      <c r="OWJ63" s="349"/>
      <c r="OWK63" s="349"/>
      <c r="OWL63" s="349"/>
      <c r="OWM63" s="349"/>
      <c r="OWN63" s="349"/>
      <c r="OWO63" s="349"/>
      <c r="OWP63" s="349"/>
      <c r="OWQ63" s="349"/>
      <c r="OWR63" s="349"/>
      <c r="OWS63" s="349"/>
      <c r="OWT63" s="349"/>
      <c r="OWU63" s="349"/>
      <c r="OWV63" s="349"/>
      <c r="OWW63" s="349"/>
      <c r="OWX63" s="349"/>
      <c r="OWY63" s="349"/>
      <c r="OWZ63" s="349"/>
      <c r="OXA63" s="349"/>
      <c r="OXB63" s="349"/>
      <c r="OXC63" s="349"/>
      <c r="OXD63" s="349"/>
      <c r="OXE63" s="349"/>
      <c r="OXF63" s="349"/>
      <c r="OXG63" s="349"/>
      <c r="OXH63" s="349"/>
      <c r="OXI63" s="349"/>
      <c r="OXJ63" s="349"/>
      <c r="OXK63" s="349"/>
      <c r="OXL63" s="349"/>
      <c r="OXM63" s="349"/>
      <c r="OXN63" s="349"/>
      <c r="OXO63" s="349"/>
      <c r="OXP63" s="349"/>
      <c r="OXQ63" s="349"/>
      <c r="OXR63" s="349"/>
      <c r="OXS63" s="349"/>
      <c r="OXT63" s="349"/>
      <c r="OXU63" s="349"/>
      <c r="OXV63" s="349"/>
      <c r="OXW63" s="349"/>
      <c r="OXX63" s="349"/>
      <c r="OXY63" s="349"/>
      <c r="OXZ63" s="349"/>
      <c r="OYA63" s="349"/>
      <c r="OYB63" s="349"/>
      <c r="OYC63" s="349"/>
      <c r="OYD63" s="349"/>
      <c r="OYE63" s="349"/>
      <c r="OYF63" s="349"/>
      <c r="OYG63" s="349"/>
      <c r="OYH63" s="349"/>
      <c r="OYI63" s="349"/>
      <c r="OYJ63" s="349"/>
      <c r="OYK63" s="349"/>
      <c r="OYL63" s="349"/>
      <c r="OYM63" s="349"/>
      <c r="OYN63" s="349"/>
      <c r="OYO63" s="349"/>
      <c r="OYP63" s="349"/>
      <c r="OYQ63" s="349"/>
      <c r="OYR63" s="349"/>
      <c r="OYS63" s="349"/>
      <c r="OYT63" s="349"/>
      <c r="OYU63" s="349"/>
      <c r="OYV63" s="349"/>
      <c r="OYW63" s="349"/>
      <c r="OYX63" s="349"/>
      <c r="OYY63" s="349"/>
      <c r="OYZ63" s="349"/>
      <c r="OZA63" s="349"/>
      <c r="OZB63" s="349"/>
      <c r="OZC63" s="349"/>
      <c r="OZD63" s="349"/>
      <c r="OZE63" s="349"/>
      <c r="OZF63" s="349"/>
      <c r="OZG63" s="349"/>
      <c r="OZH63" s="349"/>
      <c r="OZI63" s="349"/>
      <c r="OZJ63" s="349"/>
      <c r="OZK63" s="349"/>
      <c r="OZL63" s="349"/>
      <c r="OZM63" s="349"/>
      <c r="OZN63" s="349"/>
      <c r="OZO63" s="349"/>
      <c r="OZP63" s="349"/>
      <c r="OZQ63" s="349"/>
      <c r="OZR63" s="349"/>
      <c r="OZS63" s="349"/>
      <c r="OZT63" s="349"/>
      <c r="OZU63" s="349"/>
      <c r="OZV63" s="349"/>
      <c r="OZW63" s="349"/>
      <c r="OZX63" s="349"/>
      <c r="OZY63" s="349"/>
      <c r="OZZ63" s="349"/>
      <c r="PAA63" s="349"/>
      <c r="PAB63" s="349"/>
      <c r="PAC63" s="349"/>
      <c r="PAD63" s="349"/>
      <c r="PAE63" s="349"/>
      <c r="PAF63" s="349"/>
      <c r="PAG63" s="349"/>
      <c r="PAH63" s="349"/>
      <c r="PAI63" s="349"/>
      <c r="PAJ63" s="349"/>
      <c r="PAK63" s="349"/>
      <c r="PAL63" s="349"/>
      <c r="PAM63" s="349"/>
      <c r="PAN63" s="349"/>
      <c r="PAO63" s="349"/>
      <c r="PAP63" s="349"/>
      <c r="PAQ63" s="349"/>
      <c r="PAR63" s="349"/>
      <c r="PAS63" s="349"/>
      <c r="PAT63" s="349"/>
      <c r="PAU63" s="349"/>
      <c r="PAV63" s="349"/>
      <c r="PAW63" s="349"/>
      <c r="PAX63" s="349"/>
      <c r="PAY63" s="349"/>
      <c r="PAZ63" s="349"/>
      <c r="PBA63" s="349"/>
      <c r="PBB63" s="349"/>
      <c r="PBC63" s="349"/>
      <c r="PBD63" s="349"/>
      <c r="PBE63" s="349"/>
      <c r="PBF63" s="349"/>
      <c r="PBG63" s="349"/>
      <c r="PBH63" s="349"/>
      <c r="PBI63" s="349"/>
      <c r="PBJ63" s="349"/>
      <c r="PBK63" s="349"/>
      <c r="PBL63" s="349"/>
      <c r="PBM63" s="349"/>
      <c r="PBN63" s="349"/>
      <c r="PBO63" s="349"/>
      <c r="PBP63" s="349"/>
      <c r="PBQ63" s="349"/>
      <c r="PBR63" s="349"/>
      <c r="PBS63" s="349"/>
      <c r="PBT63" s="349"/>
      <c r="PBU63" s="349"/>
      <c r="PBV63" s="349"/>
      <c r="PBW63" s="349"/>
      <c r="PBX63" s="349"/>
      <c r="PBY63" s="349"/>
      <c r="PBZ63" s="349"/>
      <c r="PCA63" s="349"/>
      <c r="PCB63" s="349"/>
      <c r="PCC63" s="349"/>
      <c r="PCD63" s="349"/>
      <c r="PCE63" s="349"/>
      <c r="PCF63" s="349"/>
      <c r="PCG63" s="349"/>
      <c r="PCH63" s="349"/>
      <c r="PCI63" s="349"/>
      <c r="PCJ63" s="349"/>
      <c r="PCK63" s="349"/>
      <c r="PCL63" s="349"/>
      <c r="PCM63" s="349"/>
      <c r="PCN63" s="349"/>
      <c r="PCO63" s="349"/>
      <c r="PCP63" s="349"/>
      <c r="PCQ63" s="349"/>
      <c r="PCR63" s="349"/>
      <c r="PCS63" s="349"/>
      <c r="PCT63" s="349"/>
      <c r="PCU63" s="349"/>
      <c r="PCV63" s="349"/>
      <c r="PCW63" s="349"/>
      <c r="PCX63" s="349"/>
      <c r="PCY63" s="349"/>
      <c r="PCZ63" s="349"/>
      <c r="PDA63" s="349"/>
      <c r="PDB63" s="349"/>
      <c r="PDC63" s="349"/>
      <c r="PDD63" s="349"/>
      <c r="PDE63" s="349"/>
      <c r="PDF63" s="349"/>
      <c r="PDG63" s="349"/>
      <c r="PDH63" s="349"/>
      <c r="PDI63" s="349"/>
      <c r="PDJ63" s="349"/>
      <c r="PDK63" s="349"/>
      <c r="PDL63" s="349"/>
      <c r="PDM63" s="349"/>
      <c r="PDN63" s="349"/>
      <c r="PDO63" s="349"/>
      <c r="PDP63" s="349"/>
      <c r="PDQ63" s="349"/>
      <c r="PDR63" s="349"/>
      <c r="PDS63" s="349"/>
      <c r="PDT63" s="349"/>
      <c r="PDU63" s="349"/>
      <c r="PDV63" s="349"/>
      <c r="PDW63" s="349"/>
      <c r="PDX63" s="349"/>
      <c r="PDY63" s="349"/>
      <c r="PDZ63" s="349"/>
      <c r="PEA63" s="349"/>
      <c r="PEB63" s="349"/>
      <c r="PEC63" s="349"/>
      <c r="PED63" s="349"/>
      <c r="PEE63" s="349"/>
      <c r="PEF63" s="349"/>
      <c r="PEG63" s="349"/>
      <c r="PEH63" s="349"/>
      <c r="PEI63" s="349"/>
      <c r="PEJ63" s="349"/>
      <c r="PEK63" s="349"/>
      <c r="PEL63" s="349"/>
      <c r="PEM63" s="349"/>
      <c r="PEN63" s="349"/>
      <c r="PEO63" s="349"/>
      <c r="PEP63" s="349"/>
      <c r="PEQ63" s="349"/>
      <c r="PER63" s="349"/>
      <c r="PES63" s="349"/>
      <c r="PET63" s="349"/>
      <c r="PEU63" s="349"/>
      <c r="PEV63" s="349"/>
      <c r="PEW63" s="349"/>
      <c r="PEX63" s="349"/>
      <c r="PEY63" s="349"/>
      <c r="PEZ63" s="349"/>
      <c r="PFA63" s="349"/>
      <c r="PFB63" s="349"/>
      <c r="PFC63" s="349"/>
      <c r="PFD63" s="349"/>
      <c r="PFE63" s="349"/>
      <c r="PFF63" s="349"/>
      <c r="PFG63" s="349"/>
      <c r="PFH63" s="349"/>
      <c r="PFI63" s="349"/>
      <c r="PFJ63" s="349"/>
      <c r="PFK63" s="349"/>
      <c r="PFL63" s="349"/>
      <c r="PFM63" s="349"/>
      <c r="PFN63" s="349"/>
      <c r="PFO63" s="349"/>
      <c r="PFP63" s="349"/>
      <c r="PFQ63" s="349"/>
      <c r="PFR63" s="349"/>
      <c r="PFS63" s="349"/>
      <c r="PFT63" s="349"/>
      <c r="PFU63" s="349"/>
      <c r="PFV63" s="349"/>
      <c r="PFW63" s="349"/>
      <c r="PFX63" s="349"/>
      <c r="PFY63" s="349"/>
      <c r="PFZ63" s="349"/>
      <c r="PGA63" s="349"/>
      <c r="PGB63" s="349"/>
      <c r="PGC63" s="349"/>
      <c r="PGD63" s="349"/>
      <c r="PGE63" s="349"/>
      <c r="PGF63" s="349"/>
      <c r="PGG63" s="349"/>
      <c r="PGH63" s="349"/>
      <c r="PGI63" s="349"/>
      <c r="PGJ63" s="349"/>
      <c r="PGK63" s="349"/>
      <c r="PGL63" s="349"/>
      <c r="PGM63" s="349"/>
      <c r="PGN63" s="349"/>
      <c r="PGO63" s="349"/>
      <c r="PGP63" s="349"/>
      <c r="PGQ63" s="349"/>
      <c r="PGR63" s="349"/>
      <c r="PGS63" s="349"/>
      <c r="PGT63" s="349"/>
      <c r="PGU63" s="349"/>
      <c r="PGV63" s="349"/>
      <c r="PGW63" s="349"/>
      <c r="PGX63" s="349"/>
      <c r="PGY63" s="349"/>
      <c r="PGZ63" s="349"/>
      <c r="PHA63" s="349"/>
      <c r="PHB63" s="349"/>
      <c r="PHC63" s="349"/>
      <c r="PHD63" s="349"/>
      <c r="PHE63" s="349"/>
      <c r="PHF63" s="349"/>
      <c r="PHG63" s="349"/>
      <c r="PHH63" s="349"/>
      <c r="PHI63" s="349"/>
      <c r="PHJ63" s="349"/>
      <c r="PHK63" s="349"/>
      <c r="PHL63" s="349"/>
      <c r="PHM63" s="349"/>
      <c r="PHN63" s="349"/>
      <c r="PHO63" s="349"/>
      <c r="PHP63" s="349"/>
      <c r="PHQ63" s="349"/>
      <c r="PHR63" s="349"/>
      <c r="PHS63" s="349"/>
      <c r="PHT63" s="349"/>
      <c r="PHU63" s="349"/>
      <c r="PHV63" s="349"/>
      <c r="PHW63" s="349"/>
      <c r="PHX63" s="349"/>
      <c r="PHY63" s="349"/>
      <c r="PHZ63" s="349"/>
      <c r="PIA63" s="349"/>
      <c r="PIB63" s="349"/>
      <c r="PIC63" s="349"/>
      <c r="PID63" s="349"/>
      <c r="PIE63" s="349"/>
      <c r="PIF63" s="349"/>
      <c r="PIG63" s="349"/>
      <c r="PIH63" s="349"/>
      <c r="PII63" s="349"/>
      <c r="PIJ63" s="349"/>
      <c r="PIK63" s="349"/>
      <c r="PIL63" s="349"/>
      <c r="PIM63" s="349"/>
      <c r="PIN63" s="349"/>
      <c r="PIO63" s="349"/>
      <c r="PIP63" s="349"/>
      <c r="PIQ63" s="349"/>
      <c r="PIR63" s="349"/>
      <c r="PIS63" s="349"/>
      <c r="PIT63" s="349"/>
      <c r="PIU63" s="349"/>
      <c r="PIV63" s="349"/>
      <c r="PIW63" s="349"/>
      <c r="PIX63" s="349"/>
      <c r="PIY63" s="349"/>
      <c r="PIZ63" s="349"/>
      <c r="PJA63" s="349"/>
      <c r="PJB63" s="349"/>
      <c r="PJC63" s="349"/>
      <c r="PJD63" s="349"/>
      <c r="PJE63" s="349"/>
      <c r="PJF63" s="349"/>
      <c r="PJG63" s="349"/>
      <c r="PJH63" s="349"/>
      <c r="PJI63" s="349"/>
      <c r="PJJ63" s="349"/>
      <c r="PJK63" s="349"/>
      <c r="PJL63" s="349"/>
      <c r="PJM63" s="349"/>
      <c r="PJN63" s="349"/>
      <c r="PJO63" s="349"/>
      <c r="PJP63" s="349"/>
      <c r="PJQ63" s="349"/>
      <c r="PJR63" s="349"/>
      <c r="PJS63" s="349"/>
      <c r="PJT63" s="349"/>
      <c r="PJU63" s="349"/>
      <c r="PJV63" s="349"/>
      <c r="PJW63" s="349"/>
      <c r="PJX63" s="349"/>
      <c r="PJY63" s="349"/>
      <c r="PJZ63" s="349"/>
      <c r="PKA63" s="349"/>
      <c r="PKB63" s="349"/>
      <c r="PKC63" s="349"/>
      <c r="PKD63" s="349"/>
      <c r="PKE63" s="349"/>
      <c r="PKF63" s="349"/>
      <c r="PKG63" s="349"/>
      <c r="PKH63" s="349"/>
      <c r="PKI63" s="349"/>
      <c r="PKJ63" s="349"/>
      <c r="PKK63" s="349"/>
      <c r="PKL63" s="349"/>
      <c r="PKM63" s="349"/>
      <c r="PKN63" s="349"/>
      <c r="PKO63" s="349"/>
      <c r="PKP63" s="349"/>
      <c r="PKQ63" s="349"/>
      <c r="PKR63" s="349"/>
      <c r="PKS63" s="349"/>
      <c r="PKT63" s="349"/>
      <c r="PKU63" s="349"/>
      <c r="PKV63" s="349"/>
      <c r="PKW63" s="349"/>
      <c r="PKX63" s="349"/>
      <c r="PKY63" s="349"/>
      <c r="PKZ63" s="349"/>
      <c r="PLA63" s="349"/>
      <c r="PLB63" s="349"/>
      <c r="PLC63" s="349"/>
      <c r="PLD63" s="349"/>
      <c r="PLE63" s="349"/>
      <c r="PLF63" s="349"/>
      <c r="PLG63" s="349"/>
      <c r="PLH63" s="349"/>
      <c r="PLI63" s="349"/>
      <c r="PLJ63" s="349"/>
      <c r="PLK63" s="349"/>
      <c r="PLL63" s="349"/>
      <c r="PLM63" s="349"/>
      <c r="PLN63" s="349"/>
      <c r="PLO63" s="349"/>
      <c r="PLP63" s="349"/>
      <c r="PLQ63" s="349"/>
      <c r="PLR63" s="349"/>
      <c r="PLS63" s="349"/>
      <c r="PLT63" s="349"/>
      <c r="PLU63" s="349"/>
      <c r="PLV63" s="349"/>
      <c r="PLW63" s="349"/>
      <c r="PLX63" s="349"/>
      <c r="PLY63" s="349"/>
      <c r="PLZ63" s="349"/>
      <c r="PMA63" s="349"/>
      <c r="PMB63" s="349"/>
      <c r="PMC63" s="349"/>
      <c r="PMD63" s="349"/>
      <c r="PME63" s="349"/>
      <c r="PMF63" s="349"/>
      <c r="PMG63" s="349"/>
      <c r="PMH63" s="349"/>
      <c r="PMI63" s="349"/>
      <c r="PMJ63" s="349"/>
      <c r="PMK63" s="349"/>
      <c r="PML63" s="349"/>
      <c r="PMM63" s="349"/>
      <c r="PMN63" s="349"/>
      <c r="PMO63" s="349"/>
      <c r="PMP63" s="349"/>
      <c r="PMQ63" s="349"/>
      <c r="PMR63" s="349"/>
      <c r="PMS63" s="349"/>
      <c r="PMT63" s="349"/>
      <c r="PMU63" s="349"/>
      <c r="PMV63" s="349"/>
      <c r="PMW63" s="349"/>
      <c r="PMX63" s="349"/>
      <c r="PMY63" s="349"/>
      <c r="PMZ63" s="349"/>
      <c r="PNA63" s="349"/>
      <c r="PNB63" s="349"/>
      <c r="PNC63" s="349"/>
      <c r="PND63" s="349"/>
      <c r="PNE63" s="349"/>
      <c r="PNF63" s="349"/>
      <c r="PNG63" s="349"/>
      <c r="PNH63" s="349"/>
      <c r="PNI63" s="349"/>
      <c r="PNJ63" s="349"/>
      <c r="PNK63" s="349"/>
      <c r="PNL63" s="349"/>
      <c r="PNM63" s="349"/>
      <c r="PNN63" s="349"/>
      <c r="PNO63" s="349"/>
      <c r="PNP63" s="349"/>
      <c r="PNQ63" s="349"/>
      <c r="PNR63" s="349"/>
      <c r="PNS63" s="349"/>
      <c r="PNT63" s="349"/>
      <c r="PNU63" s="349"/>
      <c r="PNV63" s="349"/>
      <c r="PNW63" s="349"/>
      <c r="PNX63" s="349"/>
      <c r="PNY63" s="349"/>
      <c r="PNZ63" s="349"/>
      <c r="POA63" s="349"/>
      <c r="POB63" s="349"/>
      <c r="POC63" s="349"/>
      <c r="POD63" s="349"/>
      <c r="POE63" s="349"/>
      <c r="POF63" s="349"/>
      <c r="POG63" s="349"/>
      <c r="POH63" s="349"/>
      <c r="POI63" s="349"/>
      <c r="POJ63" s="349"/>
      <c r="POK63" s="349"/>
      <c r="POL63" s="349"/>
      <c r="POM63" s="349"/>
      <c r="PON63" s="349"/>
      <c r="POO63" s="349"/>
      <c r="POP63" s="349"/>
      <c r="POQ63" s="349"/>
      <c r="POR63" s="349"/>
      <c r="POS63" s="349"/>
      <c r="POT63" s="349"/>
      <c r="POU63" s="349"/>
      <c r="POV63" s="349"/>
      <c r="POW63" s="349"/>
      <c r="POX63" s="349"/>
      <c r="POY63" s="349"/>
      <c r="POZ63" s="349"/>
      <c r="PPA63" s="349"/>
      <c r="PPB63" s="349"/>
      <c r="PPC63" s="349"/>
      <c r="PPD63" s="349"/>
      <c r="PPE63" s="349"/>
      <c r="PPF63" s="349"/>
      <c r="PPG63" s="349"/>
      <c r="PPH63" s="349"/>
      <c r="PPI63" s="349"/>
      <c r="PPJ63" s="349"/>
      <c r="PPK63" s="349"/>
      <c r="PPL63" s="349"/>
      <c r="PPM63" s="349"/>
      <c r="PPN63" s="349"/>
      <c r="PPO63" s="349"/>
      <c r="PPP63" s="349"/>
      <c r="PPQ63" s="349"/>
      <c r="PPR63" s="349"/>
      <c r="PPS63" s="349"/>
      <c r="PPT63" s="349"/>
      <c r="PPU63" s="349"/>
      <c r="PPV63" s="349"/>
      <c r="PPW63" s="349"/>
      <c r="PPX63" s="349"/>
      <c r="PPY63" s="349"/>
      <c r="PPZ63" s="349"/>
      <c r="PQA63" s="349"/>
      <c r="PQB63" s="349"/>
      <c r="PQC63" s="349"/>
      <c r="PQD63" s="349"/>
      <c r="PQE63" s="349"/>
      <c r="PQF63" s="349"/>
      <c r="PQG63" s="349"/>
      <c r="PQH63" s="349"/>
      <c r="PQI63" s="349"/>
      <c r="PQJ63" s="349"/>
      <c r="PQK63" s="349"/>
      <c r="PQL63" s="349"/>
      <c r="PQM63" s="349"/>
      <c r="PQN63" s="349"/>
      <c r="PQO63" s="349"/>
      <c r="PQP63" s="349"/>
      <c r="PQQ63" s="349"/>
      <c r="PQR63" s="349"/>
      <c r="PQS63" s="349"/>
      <c r="PQT63" s="349"/>
      <c r="PQU63" s="349"/>
      <c r="PQV63" s="349"/>
      <c r="PQW63" s="349"/>
      <c r="PQX63" s="349"/>
      <c r="PQY63" s="349"/>
      <c r="PQZ63" s="349"/>
      <c r="PRA63" s="349"/>
      <c r="PRB63" s="349"/>
      <c r="PRC63" s="349"/>
      <c r="PRD63" s="349"/>
      <c r="PRE63" s="349"/>
      <c r="PRF63" s="349"/>
      <c r="PRG63" s="349"/>
      <c r="PRH63" s="349"/>
      <c r="PRI63" s="349"/>
      <c r="PRJ63" s="349"/>
      <c r="PRK63" s="349"/>
      <c r="PRL63" s="349"/>
      <c r="PRM63" s="349"/>
      <c r="PRN63" s="349"/>
      <c r="PRO63" s="349"/>
      <c r="PRP63" s="349"/>
      <c r="PRQ63" s="349"/>
      <c r="PRR63" s="349"/>
      <c r="PRS63" s="349"/>
      <c r="PRT63" s="349"/>
      <c r="PRU63" s="349"/>
      <c r="PRV63" s="349"/>
      <c r="PRW63" s="349"/>
      <c r="PRX63" s="349"/>
      <c r="PRY63" s="349"/>
      <c r="PRZ63" s="349"/>
      <c r="PSA63" s="349"/>
      <c r="PSB63" s="349"/>
      <c r="PSC63" s="349"/>
      <c r="PSD63" s="349"/>
      <c r="PSE63" s="349"/>
      <c r="PSF63" s="349"/>
      <c r="PSG63" s="349"/>
      <c r="PSH63" s="349"/>
      <c r="PSI63" s="349"/>
      <c r="PSJ63" s="349"/>
      <c r="PSK63" s="349"/>
      <c r="PSL63" s="349"/>
      <c r="PSM63" s="349"/>
      <c r="PSN63" s="349"/>
      <c r="PSO63" s="349"/>
      <c r="PSP63" s="349"/>
      <c r="PSQ63" s="349"/>
      <c r="PSR63" s="349"/>
      <c r="PSS63" s="349"/>
      <c r="PST63" s="349"/>
      <c r="PSU63" s="349"/>
      <c r="PSV63" s="349"/>
      <c r="PSW63" s="349"/>
      <c r="PSX63" s="349"/>
      <c r="PSY63" s="349"/>
      <c r="PSZ63" s="349"/>
      <c r="PTA63" s="349"/>
      <c r="PTB63" s="349"/>
      <c r="PTC63" s="349"/>
      <c r="PTD63" s="349"/>
      <c r="PTE63" s="349"/>
      <c r="PTF63" s="349"/>
      <c r="PTG63" s="349"/>
      <c r="PTH63" s="349"/>
      <c r="PTI63" s="349"/>
      <c r="PTJ63" s="349"/>
      <c r="PTK63" s="349"/>
      <c r="PTL63" s="349"/>
      <c r="PTM63" s="349"/>
      <c r="PTN63" s="349"/>
      <c r="PTO63" s="349"/>
      <c r="PTP63" s="349"/>
      <c r="PTQ63" s="349"/>
      <c r="PTR63" s="349"/>
      <c r="PTS63" s="349"/>
      <c r="PTT63" s="349"/>
      <c r="PTU63" s="349"/>
      <c r="PTV63" s="349"/>
      <c r="PTW63" s="349"/>
      <c r="PTX63" s="349"/>
      <c r="PTY63" s="349"/>
      <c r="PTZ63" s="349"/>
      <c r="PUA63" s="349"/>
      <c r="PUB63" s="349"/>
      <c r="PUC63" s="349"/>
      <c r="PUD63" s="349"/>
      <c r="PUE63" s="349"/>
      <c r="PUF63" s="349"/>
      <c r="PUG63" s="349"/>
      <c r="PUH63" s="349"/>
      <c r="PUI63" s="349"/>
      <c r="PUJ63" s="349"/>
      <c r="PUK63" s="349"/>
      <c r="PUL63" s="349"/>
      <c r="PUM63" s="349"/>
      <c r="PUN63" s="349"/>
      <c r="PUO63" s="349"/>
      <c r="PUP63" s="349"/>
      <c r="PUQ63" s="349"/>
      <c r="PUR63" s="349"/>
      <c r="PUS63" s="349"/>
      <c r="PUT63" s="349"/>
      <c r="PUU63" s="349"/>
      <c r="PUV63" s="349"/>
      <c r="PUW63" s="349"/>
      <c r="PUX63" s="349"/>
      <c r="PUY63" s="349"/>
      <c r="PUZ63" s="349"/>
      <c r="PVA63" s="349"/>
      <c r="PVB63" s="349"/>
      <c r="PVC63" s="349"/>
      <c r="PVD63" s="349"/>
      <c r="PVE63" s="349"/>
      <c r="PVF63" s="349"/>
      <c r="PVG63" s="349"/>
      <c r="PVH63" s="349"/>
      <c r="PVI63" s="349"/>
      <c r="PVJ63" s="349"/>
      <c r="PVK63" s="349"/>
      <c r="PVL63" s="349"/>
      <c r="PVM63" s="349"/>
      <c r="PVN63" s="349"/>
      <c r="PVO63" s="349"/>
      <c r="PVP63" s="349"/>
      <c r="PVQ63" s="349"/>
      <c r="PVR63" s="349"/>
      <c r="PVS63" s="349"/>
      <c r="PVT63" s="349"/>
      <c r="PVU63" s="349"/>
      <c r="PVV63" s="349"/>
      <c r="PVW63" s="349"/>
      <c r="PVX63" s="349"/>
      <c r="PVY63" s="349"/>
      <c r="PVZ63" s="349"/>
      <c r="PWA63" s="349"/>
      <c r="PWB63" s="349"/>
      <c r="PWC63" s="349"/>
      <c r="PWD63" s="349"/>
      <c r="PWE63" s="349"/>
      <c r="PWF63" s="349"/>
      <c r="PWG63" s="349"/>
      <c r="PWH63" s="349"/>
      <c r="PWI63" s="349"/>
      <c r="PWJ63" s="349"/>
      <c r="PWK63" s="349"/>
      <c r="PWL63" s="349"/>
      <c r="PWM63" s="349"/>
      <c r="PWN63" s="349"/>
      <c r="PWO63" s="349"/>
      <c r="PWP63" s="349"/>
      <c r="PWQ63" s="349"/>
      <c r="PWR63" s="349"/>
      <c r="PWS63" s="349"/>
      <c r="PWT63" s="349"/>
      <c r="PWU63" s="349"/>
      <c r="PWV63" s="349"/>
      <c r="PWW63" s="349"/>
      <c r="PWX63" s="349"/>
      <c r="PWY63" s="349"/>
      <c r="PWZ63" s="349"/>
      <c r="PXA63" s="349"/>
      <c r="PXB63" s="349"/>
      <c r="PXC63" s="349"/>
      <c r="PXD63" s="349"/>
      <c r="PXE63" s="349"/>
      <c r="PXF63" s="349"/>
      <c r="PXG63" s="349"/>
      <c r="PXH63" s="349"/>
      <c r="PXI63" s="349"/>
      <c r="PXJ63" s="349"/>
      <c r="PXK63" s="349"/>
      <c r="PXL63" s="349"/>
      <c r="PXM63" s="349"/>
      <c r="PXN63" s="349"/>
      <c r="PXO63" s="349"/>
      <c r="PXP63" s="349"/>
      <c r="PXQ63" s="349"/>
      <c r="PXR63" s="349"/>
      <c r="PXS63" s="349"/>
      <c r="PXT63" s="349"/>
      <c r="PXU63" s="349"/>
      <c r="PXV63" s="349"/>
      <c r="PXW63" s="349"/>
      <c r="PXX63" s="349"/>
      <c r="PXY63" s="349"/>
      <c r="PXZ63" s="349"/>
      <c r="PYA63" s="349"/>
      <c r="PYB63" s="349"/>
      <c r="PYC63" s="349"/>
      <c r="PYD63" s="349"/>
      <c r="PYE63" s="349"/>
      <c r="PYF63" s="349"/>
      <c r="PYG63" s="349"/>
      <c r="PYH63" s="349"/>
      <c r="PYI63" s="349"/>
      <c r="PYJ63" s="349"/>
      <c r="PYK63" s="349"/>
      <c r="PYL63" s="349"/>
      <c r="PYM63" s="349"/>
      <c r="PYN63" s="349"/>
      <c r="PYO63" s="349"/>
      <c r="PYP63" s="349"/>
      <c r="PYQ63" s="349"/>
      <c r="PYR63" s="349"/>
      <c r="PYS63" s="349"/>
      <c r="PYT63" s="349"/>
      <c r="PYU63" s="349"/>
      <c r="PYV63" s="349"/>
      <c r="PYW63" s="349"/>
      <c r="PYX63" s="349"/>
      <c r="PYY63" s="349"/>
      <c r="PYZ63" s="349"/>
      <c r="PZA63" s="349"/>
      <c r="PZB63" s="349"/>
      <c r="PZC63" s="349"/>
      <c r="PZD63" s="349"/>
      <c r="PZE63" s="349"/>
      <c r="PZF63" s="349"/>
      <c r="PZG63" s="349"/>
      <c r="PZH63" s="349"/>
      <c r="PZI63" s="349"/>
      <c r="PZJ63" s="349"/>
      <c r="PZK63" s="349"/>
      <c r="PZL63" s="349"/>
      <c r="PZM63" s="349"/>
      <c r="PZN63" s="349"/>
      <c r="PZO63" s="349"/>
      <c r="PZP63" s="349"/>
      <c r="PZQ63" s="349"/>
      <c r="PZR63" s="349"/>
      <c r="PZS63" s="349"/>
      <c r="PZT63" s="349"/>
      <c r="PZU63" s="349"/>
      <c r="PZV63" s="349"/>
      <c r="PZW63" s="349"/>
      <c r="PZX63" s="349"/>
      <c r="PZY63" s="349"/>
      <c r="PZZ63" s="349"/>
      <c r="QAA63" s="349"/>
      <c r="QAB63" s="349"/>
      <c r="QAC63" s="349"/>
      <c r="QAD63" s="349"/>
      <c r="QAE63" s="349"/>
      <c r="QAF63" s="349"/>
      <c r="QAG63" s="349"/>
      <c r="QAH63" s="349"/>
      <c r="QAI63" s="349"/>
      <c r="QAJ63" s="349"/>
      <c r="QAK63" s="349"/>
      <c r="QAL63" s="349"/>
      <c r="QAM63" s="349"/>
      <c r="QAN63" s="349"/>
      <c r="QAO63" s="349"/>
      <c r="QAP63" s="349"/>
      <c r="QAQ63" s="349"/>
      <c r="QAR63" s="349"/>
      <c r="QAS63" s="349"/>
      <c r="QAT63" s="349"/>
      <c r="QAU63" s="349"/>
      <c r="QAV63" s="349"/>
      <c r="QAW63" s="349"/>
      <c r="QAX63" s="349"/>
      <c r="QAY63" s="349"/>
      <c r="QAZ63" s="349"/>
      <c r="QBA63" s="349"/>
      <c r="QBB63" s="349"/>
      <c r="QBC63" s="349"/>
      <c r="QBD63" s="349"/>
      <c r="QBE63" s="349"/>
      <c r="QBF63" s="349"/>
      <c r="QBG63" s="349"/>
      <c r="QBH63" s="349"/>
      <c r="QBI63" s="349"/>
      <c r="QBJ63" s="349"/>
      <c r="QBK63" s="349"/>
      <c r="QBL63" s="349"/>
      <c r="QBM63" s="349"/>
      <c r="QBN63" s="349"/>
      <c r="QBO63" s="349"/>
      <c r="QBP63" s="349"/>
      <c r="QBQ63" s="349"/>
      <c r="QBR63" s="349"/>
      <c r="QBS63" s="349"/>
      <c r="QBT63" s="349"/>
      <c r="QBU63" s="349"/>
      <c r="QBV63" s="349"/>
      <c r="QBW63" s="349"/>
      <c r="QBX63" s="349"/>
      <c r="QBY63" s="349"/>
      <c r="QBZ63" s="349"/>
      <c r="QCA63" s="349"/>
      <c r="QCB63" s="349"/>
      <c r="QCC63" s="349"/>
      <c r="QCD63" s="349"/>
      <c r="QCE63" s="349"/>
      <c r="QCF63" s="349"/>
      <c r="QCG63" s="349"/>
      <c r="QCH63" s="349"/>
      <c r="QCI63" s="349"/>
      <c r="QCJ63" s="349"/>
      <c r="QCK63" s="349"/>
      <c r="QCL63" s="349"/>
      <c r="QCM63" s="349"/>
      <c r="QCN63" s="349"/>
      <c r="QCO63" s="349"/>
      <c r="QCP63" s="349"/>
      <c r="QCQ63" s="349"/>
      <c r="QCR63" s="349"/>
      <c r="QCS63" s="349"/>
      <c r="QCT63" s="349"/>
      <c r="QCU63" s="349"/>
      <c r="QCV63" s="349"/>
      <c r="QCW63" s="349"/>
      <c r="QCX63" s="349"/>
      <c r="QCY63" s="349"/>
      <c r="QCZ63" s="349"/>
      <c r="QDA63" s="349"/>
      <c r="QDB63" s="349"/>
      <c r="QDC63" s="349"/>
      <c r="QDD63" s="349"/>
      <c r="QDE63" s="349"/>
      <c r="QDF63" s="349"/>
      <c r="QDG63" s="349"/>
      <c r="QDH63" s="349"/>
      <c r="QDI63" s="349"/>
      <c r="QDJ63" s="349"/>
      <c r="QDK63" s="349"/>
      <c r="QDL63" s="349"/>
      <c r="QDM63" s="349"/>
      <c r="QDN63" s="349"/>
      <c r="QDO63" s="349"/>
      <c r="QDP63" s="349"/>
      <c r="QDQ63" s="349"/>
      <c r="QDR63" s="349"/>
      <c r="QDS63" s="349"/>
      <c r="QDT63" s="349"/>
      <c r="QDU63" s="349"/>
      <c r="QDV63" s="349"/>
      <c r="QDW63" s="349"/>
      <c r="QDX63" s="349"/>
      <c r="QDY63" s="349"/>
      <c r="QDZ63" s="349"/>
      <c r="QEA63" s="349"/>
      <c r="QEB63" s="349"/>
      <c r="QEC63" s="349"/>
      <c r="QED63" s="349"/>
      <c r="QEE63" s="349"/>
      <c r="QEF63" s="349"/>
      <c r="QEG63" s="349"/>
      <c r="QEH63" s="349"/>
      <c r="QEI63" s="349"/>
      <c r="QEJ63" s="349"/>
      <c r="QEK63" s="349"/>
      <c r="QEL63" s="349"/>
      <c r="QEM63" s="349"/>
      <c r="QEN63" s="349"/>
      <c r="QEO63" s="349"/>
      <c r="QEP63" s="349"/>
      <c r="QEQ63" s="349"/>
      <c r="QER63" s="349"/>
      <c r="QES63" s="349"/>
      <c r="QET63" s="349"/>
      <c r="QEU63" s="349"/>
      <c r="QEV63" s="349"/>
      <c r="QEW63" s="349"/>
      <c r="QEX63" s="349"/>
      <c r="QEY63" s="349"/>
      <c r="QEZ63" s="349"/>
      <c r="QFA63" s="349"/>
      <c r="QFB63" s="349"/>
      <c r="QFC63" s="349"/>
      <c r="QFD63" s="349"/>
      <c r="QFE63" s="349"/>
      <c r="QFF63" s="349"/>
      <c r="QFG63" s="349"/>
      <c r="QFH63" s="349"/>
      <c r="QFI63" s="349"/>
      <c r="QFJ63" s="349"/>
      <c r="QFK63" s="349"/>
      <c r="QFL63" s="349"/>
      <c r="QFM63" s="349"/>
      <c r="QFN63" s="349"/>
      <c r="QFO63" s="349"/>
      <c r="QFP63" s="349"/>
      <c r="QFQ63" s="349"/>
      <c r="QFR63" s="349"/>
      <c r="QFS63" s="349"/>
      <c r="QFT63" s="349"/>
      <c r="QFU63" s="349"/>
      <c r="QFV63" s="349"/>
      <c r="QFW63" s="349"/>
      <c r="QFX63" s="349"/>
      <c r="QFY63" s="349"/>
      <c r="QFZ63" s="349"/>
      <c r="QGA63" s="349"/>
      <c r="QGB63" s="349"/>
      <c r="QGC63" s="349"/>
      <c r="QGD63" s="349"/>
      <c r="QGE63" s="349"/>
      <c r="QGF63" s="349"/>
      <c r="QGG63" s="349"/>
      <c r="QGH63" s="349"/>
      <c r="QGI63" s="349"/>
      <c r="QGJ63" s="349"/>
      <c r="QGK63" s="349"/>
      <c r="QGL63" s="349"/>
      <c r="QGM63" s="349"/>
      <c r="QGN63" s="349"/>
      <c r="QGO63" s="349"/>
      <c r="QGP63" s="349"/>
      <c r="QGQ63" s="349"/>
      <c r="QGR63" s="349"/>
      <c r="QGS63" s="349"/>
      <c r="QGT63" s="349"/>
      <c r="QGU63" s="349"/>
      <c r="QGV63" s="349"/>
      <c r="QGW63" s="349"/>
      <c r="QGX63" s="349"/>
      <c r="QGY63" s="349"/>
      <c r="QGZ63" s="349"/>
      <c r="QHA63" s="349"/>
      <c r="QHB63" s="349"/>
      <c r="QHC63" s="349"/>
      <c r="QHD63" s="349"/>
      <c r="QHE63" s="349"/>
      <c r="QHF63" s="349"/>
      <c r="QHG63" s="349"/>
      <c r="QHH63" s="349"/>
      <c r="QHI63" s="349"/>
      <c r="QHJ63" s="349"/>
      <c r="QHK63" s="349"/>
      <c r="QHL63" s="349"/>
      <c r="QHM63" s="349"/>
      <c r="QHN63" s="349"/>
      <c r="QHO63" s="349"/>
      <c r="QHP63" s="349"/>
      <c r="QHQ63" s="349"/>
      <c r="QHR63" s="349"/>
      <c r="QHS63" s="349"/>
      <c r="QHT63" s="349"/>
      <c r="QHU63" s="349"/>
      <c r="QHV63" s="349"/>
      <c r="QHW63" s="349"/>
      <c r="QHX63" s="349"/>
      <c r="QHY63" s="349"/>
      <c r="QHZ63" s="349"/>
      <c r="QIA63" s="349"/>
      <c r="QIB63" s="349"/>
      <c r="QIC63" s="349"/>
      <c r="QID63" s="349"/>
      <c r="QIE63" s="349"/>
      <c r="QIF63" s="349"/>
      <c r="QIG63" s="349"/>
      <c r="QIH63" s="349"/>
      <c r="QII63" s="349"/>
      <c r="QIJ63" s="349"/>
      <c r="QIK63" s="349"/>
      <c r="QIL63" s="349"/>
      <c r="QIM63" s="349"/>
      <c r="QIN63" s="349"/>
      <c r="QIO63" s="349"/>
      <c r="QIP63" s="349"/>
      <c r="QIQ63" s="349"/>
      <c r="QIR63" s="349"/>
      <c r="QIS63" s="349"/>
      <c r="QIT63" s="349"/>
      <c r="QIU63" s="349"/>
      <c r="QIV63" s="349"/>
      <c r="QIW63" s="349"/>
      <c r="QIX63" s="349"/>
      <c r="QIY63" s="349"/>
      <c r="QIZ63" s="349"/>
      <c r="QJA63" s="349"/>
      <c r="QJB63" s="349"/>
      <c r="QJC63" s="349"/>
      <c r="QJD63" s="349"/>
      <c r="QJE63" s="349"/>
      <c r="QJF63" s="349"/>
      <c r="QJG63" s="349"/>
      <c r="QJH63" s="349"/>
      <c r="QJI63" s="349"/>
      <c r="QJJ63" s="349"/>
      <c r="QJK63" s="349"/>
      <c r="QJL63" s="349"/>
      <c r="QJM63" s="349"/>
      <c r="QJN63" s="349"/>
      <c r="QJO63" s="349"/>
      <c r="QJP63" s="349"/>
      <c r="QJQ63" s="349"/>
      <c r="QJR63" s="349"/>
      <c r="QJS63" s="349"/>
      <c r="QJT63" s="349"/>
      <c r="QJU63" s="349"/>
      <c r="QJV63" s="349"/>
      <c r="QJW63" s="349"/>
      <c r="QJX63" s="349"/>
      <c r="QJY63" s="349"/>
      <c r="QJZ63" s="349"/>
      <c r="QKA63" s="349"/>
      <c r="QKB63" s="349"/>
      <c r="QKC63" s="349"/>
      <c r="QKD63" s="349"/>
      <c r="QKE63" s="349"/>
      <c r="QKF63" s="349"/>
      <c r="QKG63" s="349"/>
      <c r="QKH63" s="349"/>
      <c r="QKI63" s="349"/>
      <c r="QKJ63" s="349"/>
      <c r="QKK63" s="349"/>
      <c r="QKL63" s="349"/>
      <c r="QKM63" s="349"/>
      <c r="QKN63" s="349"/>
      <c r="QKO63" s="349"/>
      <c r="QKP63" s="349"/>
      <c r="QKQ63" s="349"/>
      <c r="QKR63" s="349"/>
      <c r="QKS63" s="349"/>
      <c r="QKT63" s="349"/>
      <c r="QKU63" s="349"/>
      <c r="QKV63" s="349"/>
      <c r="QKW63" s="349"/>
      <c r="QKX63" s="349"/>
      <c r="QKY63" s="349"/>
      <c r="QKZ63" s="349"/>
      <c r="QLA63" s="349"/>
      <c r="QLB63" s="349"/>
      <c r="QLC63" s="349"/>
      <c r="QLD63" s="349"/>
      <c r="QLE63" s="349"/>
      <c r="QLF63" s="349"/>
      <c r="QLG63" s="349"/>
      <c r="QLH63" s="349"/>
      <c r="QLI63" s="349"/>
      <c r="QLJ63" s="349"/>
      <c r="QLK63" s="349"/>
      <c r="QLL63" s="349"/>
      <c r="QLM63" s="349"/>
      <c r="QLN63" s="349"/>
      <c r="QLO63" s="349"/>
      <c r="QLP63" s="349"/>
      <c r="QLQ63" s="349"/>
      <c r="QLR63" s="349"/>
      <c r="QLS63" s="349"/>
      <c r="QLT63" s="349"/>
      <c r="QLU63" s="349"/>
      <c r="QLV63" s="349"/>
      <c r="QLW63" s="349"/>
      <c r="QLX63" s="349"/>
      <c r="QLY63" s="349"/>
      <c r="QLZ63" s="349"/>
      <c r="QMA63" s="349"/>
      <c r="QMB63" s="349"/>
      <c r="QMC63" s="349"/>
      <c r="QMD63" s="349"/>
      <c r="QME63" s="349"/>
      <c r="QMF63" s="349"/>
      <c r="QMG63" s="349"/>
      <c r="QMH63" s="349"/>
      <c r="QMI63" s="349"/>
      <c r="QMJ63" s="349"/>
      <c r="QMK63" s="349"/>
      <c r="QML63" s="349"/>
      <c r="QMM63" s="349"/>
      <c r="QMN63" s="349"/>
      <c r="QMO63" s="349"/>
      <c r="QMP63" s="349"/>
      <c r="QMQ63" s="349"/>
      <c r="QMR63" s="349"/>
      <c r="QMS63" s="349"/>
      <c r="QMT63" s="349"/>
      <c r="QMU63" s="349"/>
      <c r="QMV63" s="349"/>
      <c r="QMW63" s="349"/>
      <c r="QMX63" s="349"/>
      <c r="QMY63" s="349"/>
      <c r="QMZ63" s="349"/>
      <c r="QNA63" s="349"/>
      <c r="QNB63" s="349"/>
      <c r="QNC63" s="349"/>
      <c r="QND63" s="349"/>
      <c r="QNE63" s="349"/>
      <c r="QNF63" s="349"/>
      <c r="QNG63" s="349"/>
      <c r="QNH63" s="349"/>
      <c r="QNI63" s="349"/>
      <c r="QNJ63" s="349"/>
      <c r="QNK63" s="349"/>
      <c r="QNL63" s="349"/>
      <c r="QNM63" s="349"/>
      <c r="QNN63" s="349"/>
      <c r="QNO63" s="349"/>
      <c r="QNP63" s="349"/>
      <c r="QNQ63" s="349"/>
      <c r="QNR63" s="349"/>
      <c r="QNS63" s="349"/>
      <c r="QNT63" s="349"/>
      <c r="QNU63" s="349"/>
      <c r="QNV63" s="349"/>
      <c r="QNW63" s="349"/>
      <c r="QNX63" s="349"/>
      <c r="QNY63" s="349"/>
      <c r="QNZ63" s="349"/>
      <c r="QOA63" s="349"/>
      <c r="QOB63" s="349"/>
      <c r="QOC63" s="349"/>
      <c r="QOD63" s="349"/>
      <c r="QOE63" s="349"/>
      <c r="QOF63" s="349"/>
      <c r="QOG63" s="349"/>
      <c r="QOH63" s="349"/>
      <c r="QOI63" s="349"/>
      <c r="QOJ63" s="349"/>
      <c r="QOK63" s="349"/>
      <c r="QOL63" s="349"/>
      <c r="QOM63" s="349"/>
      <c r="QON63" s="349"/>
      <c r="QOO63" s="349"/>
      <c r="QOP63" s="349"/>
      <c r="QOQ63" s="349"/>
      <c r="QOR63" s="349"/>
      <c r="QOS63" s="349"/>
      <c r="QOT63" s="349"/>
      <c r="QOU63" s="349"/>
      <c r="QOV63" s="349"/>
      <c r="QOW63" s="349"/>
      <c r="QOX63" s="349"/>
      <c r="QOY63" s="349"/>
      <c r="QOZ63" s="349"/>
      <c r="QPA63" s="349"/>
      <c r="QPB63" s="349"/>
      <c r="QPC63" s="349"/>
      <c r="QPD63" s="349"/>
      <c r="QPE63" s="349"/>
      <c r="QPF63" s="349"/>
      <c r="QPG63" s="349"/>
      <c r="QPH63" s="349"/>
      <c r="QPI63" s="349"/>
      <c r="QPJ63" s="349"/>
      <c r="QPK63" s="349"/>
      <c r="QPL63" s="349"/>
      <c r="QPM63" s="349"/>
      <c r="QPN63" s="349"/>
      <c r="QPO63" s="349"/>
      <c r="QPP63" s="349"/>
      <c r="QPQ63" s="349"/>
      <c r="QPR63" s="349"/>
      <c r="QPS63" s="349"/>
      <c r="QPT63" s="349"/>
      <c r="QPU63" s="349"/>
      <c r="QPV63" s="349"/>
      <c r="QPW63" s="349"/>
      <c r="QPX63" s="349"/>
      <c r="QPY63" s="349"/>
      <c r="QPZ63" s="349"/>
      <c r="QQA63" s="349"/>
      <c r="QQB63" s="349"/>
      <c r="QQC63" s="349"/>
      <c r="QQD63" s="349"/>
      <c r="QQE63" s="349"/>
      <c r="QQF63" s="349"/>
      <c r="QQG63" s="349"/>
      <c r="QQH63" s="349"/>
      <c r="QQI63" s="349"/>
      <c r="QQJ63" s="349"/>
      <c r="QQK63" s="349"/>
      <c r="QQL63" s="349"/>
      <c r="QQM63" s="349"/>
      <c r="QQN63" s="349"/>
      <c r="QQO63" s="349"/>
      <c r="QQP63" s="349"/>
      <c r="QQQ63" s="349"/>
      <c r="QQR63" s="349"/>
      <c r="QQS63" s="349"/>
      <c r="QQT63" s="349"/>
      <c r="QQU63" s="349"/>
      <c r="QQV63" s="349"/>
      <c r="QQW63" s="349"/>
      <c r="QQX63" s="349"/>
      <c r="QQY63" s="349"/>
      <c r="QQZ63" s="349"/>
      <c r="QRA63" s="349"/>
      <c r="QRB63" s="349"/>
      <c r="QRC63" s="349"/>
      <c r="QRD63" s="349"/>
      <c r="QRE63" s="349"/>
      <c r="QRF63" s="349"/>
      <c r="QRG63" s="349"/>
      <c r="QRH63" s="349"/>
      <c r="QRI63" s="349"/>
      <c r="QRJ63" s="349"/>
      <c r="QRK63" s="349"/>
      <c r="QRL63" s="349"/>
      <c r="QRM63" s="349"/>
      <c r="QRN63" s="349"/>
      <c r="QRO63" s="349"/>
      <c r="QRP63" s="349"/>
      <c r="QRQ63" s="349"/>
      <c r="QRR63" s="349"/>
      <c r="QRS63" s="349"/>
      <c r="QRT63" s="349"/>
      <c r="QRU63" s="349"/>
      <c r="QRV63" s="349"/>
      <c r="QRW63" s="349"/>
      <c r="QRX63" s="349"/>
      <c r="QRY63" s="349"/>
      <c r="QRZ63" s="349"/>
      <c r="QSA63" s="349"/>
      <c r="QSB63" s="349"/>
      <c r="QSC63" s="349"/>
      <c r="QSD63" s="349"/>
      <c r="QSE63" s="349"/>
      <c r="QSF63" s="349"/>
      <c r="QSG63" s="349"/>
      <c r="QSH63" s="349"/>
      <c r="QSI63" s="349"/>
      <c r="QSJ63" s="349"/>
      <c r="QSK63" s="349"/>
      <c r="QSL63" s="349"/>
      <c r="QSM63" s="349"/>
      <c r="QSN63" s="349"/>
      <c r="QSO63" s="349"/>
      <c r="QSP63" s="349"/>
      <c r="QSQ63" s="349"/>
      <c r="QSR63" s="349"/>
      <c r="QSS63" s="349"/>
      <c r="QST63" s="349"/>
      <c r="QSU63" s="349"/>
      <c r="QSV63" s="349"/>
      <c r="QSW63" s="349"/>
      <c r="QSX63" s="349"/>
      <c r="QSY63" s="349"/>
      <c r="QSZ63" s="349"/>
      <c r="QTA63" s="349"/>
      <c r="QTB63" s="349"/>
      <c r="QTC63" s="349"/>
      <c r="QTD63" s="349"/>
      <c r="QTE63" s="349"/>
      <c r="QTF63" s="349"/>
      <c r="QTG63" s="349"/>
      <c r="QTH63" s="349"/>
      <c r="QTI63" s="349"/>
      <c r="QTJ63" s="349"/>
      <c r="QTK63" s="349"/>
      <c r="QTL63" s="349"/>
      <c r="QTM63" s="349"/>
      <c r="QTN63" s="349"/>
      <c r="QTO63" s="349"/>
      <c r="QTP63" s="349"/>
      <c r="QTQ63" s="349"/>
      <c r="QTR63" s="349"/>
      <c r="QTS63" s="349"/>
      <c r="QTT63" s="349"/>
      <c r="QTU63" s="349"/>
      <c r="QTV63" s="349"/>
      <c r="QTW63" s="349"/>
      <c r="QTX63" s="349"/>
      <c r="QTY63" s="349"/>
      <c r="QTZ63" s="349"/>
      <c r="QUA63" s="349"/>
      <c r="QUB63" s="349"/>
      <c r="QUC63" s="349"/>
      <c r="QUD63" s="349"/>
      <c r="QUE63" s="349"/>
      <c r="QUF63" s="349"/>
      <c r="QUG63" s="349"/>
      <c r="QUH63" s="349"/>
      <c r="QUI63" s="349"/>
      <c r="QUJ63" s="349"/>
      <c r="QUK63" s="349"/>
      <c r="QUL63" s="349"/>
      <c r="QUM63" s="349"/>
      <c r="QUN63" s="349"/>
      <c r="QUO63" s="349"/>
      <c r="QUP63" s="349"/>
      <c r="QUQ63" s="349"/>
      <c r="QUR63" s="349"/>
      <c r="QUS63" s="349"/>
      <c r="QUT63" s="349"/>
      <c r="QUU63" s="349"/>
      <c r="QUV63" s="349"/>
      <c r="QUW63" s="349"/>
      <c r="QUX63" s="349"/>
      <c r="QUY63" s="349"/>
      <c r="QUZ63" s="349"/>
      <c r="QVA63" s="349"/>
      <c r="QVB63" s="349"/>
      <c r="QVC63" s="349"/>
      <c r="QVD63" s="349"/>
      <c r="QVE63" s="349"/>
      <c r="QVF63" s="349"/>
      <c r="QVG63" s="349"/>
      <c r="QVH63" s="349"/>
      <c r="QVI63" s="349"/>
      <c r="QVJ63" s="349"/>
      <c r="QVK63" s="349"/>
      <c r="QVL63" s="349"/>
      <c r="QVM63" s="349"/>
      <c r="QVN63" s="349"/>
      <c r="QVO63" s="349"/>
      <c r="QVP63" s="349"/>
      <c r="QVQ63" s="349"/>
      <c r="QVR63" s="349"/>
      <c r="QVS63" s="349"/>
      <c r="QVT63" s="349"/>
      <c r="QVU63" s="349"/>
      <c r="QVV63" s="349"/>
      <c r="QVW63" s="349"/>
      <c r="QVX63" s="349"/>
      <c r="QVY63" s="349"/>
      <c r="QVZ63" s="349"/>
      <c r="QWA63" s="349"/>
      <c r="QWB63" s="349"/>
      <c r="QWC63" s="349"/>
      <c r="QWD63" s="349"/>
      <c r="QWE63" s="349"/>
      <c r="QWF63" s="349"/>
      <c r="QWG63" s="349"/>
      <c r="QWH63" s="349"/>
      <c r="QWI63" s="349"/>
      <c r="QWJ63" s="349"/>
      <c r="QWK63" s="349"/>
      <c r="QWL63" s="349"/>
      <c r="QWM63" s="349"/>
      <c r="QWN63" s="349"/>
      <c r="QWO63" s="349"/>
      <c r="QWP63" s="349"/>
      <c r="QWQ63" s="349"/>
      <c r="QWR63" s="349"/>
      <c r="QWS63" s="349"/>
      <c r="QWT63" s="349"/>
      <c r="QWU63" s="349"/>
      <c r="QWV63" s="349"/>
      <c r="QWW63" s="349"/>
      <c r="QWX63" s="349"/>
      <c r="QWY63" s="349"/>
      <c r="QWZ63" s="349"/>
      <c r="QXA63" s="349"/>
      <c r="QXB63" s="349"/>
      <c r="QXC63" s="349"/>
      <c r="QXD63" s="349"/>
      <c r="QXE63" s="349"/>
      <c r="QXF63" s="349"/>
      <c r="QXG63" s="349"/>
      <c r="QXH63" s="349"/>
      <c r="QXI63" s="349"/>
      <c r="QXJ63" s="349"/>
      <c r="QXK63" s="349"/>
      <c r="QXL63" s="349"/>
      <c r="QXM63" s="349"/>
      <c r="QXN63" s="349"/>
      <c r="QXO63" s="349"/>
      <c r="QXP63" s="349"/>
      <c r="QXQ63" s="349"/>
      <c r="QXR63" s="349"/>
      <c r="QXS63" s="349"/>
      <c r="QXT63" s="349"/>
      <c r="QXU63" s="349"/>
      <c r="QXV63" s="349"/>
      <c r="QXW63" s="349"/>
      <c r="QXX63" s="349"/>
      <c r="QXY63" s="349"/>
      <c r="QXZ63" s="349"/>
      <c r="QYA63" s="349"/>
      <c r="QYB63" s="349"/>
      <c r="QYC63" s="349"/>
      <c r="QYD63" s="349"/>
      <c r="QYE63" s="349"/>
      <c r="QYF63" s="349"/>
      <c r="QYG63" s="349"/>
      <c r="QYH63" s="349"/>
      <c r="QYI63" s="349"/>
      <c r="QYJ63" s="349"/>
      <c r="QYK63" s="349"/>
      <c r="QYL63" s="349"/>
      <c r="QYM63" s="349"/>
      <c r="QYN63" s="349"/>
      <c r="QYO63" s="349"/>
      <c r="QYP63" s="349"/>
      <c r="QYQ63" s="349"/>
      <c r="QYR63" s="349"/>
      <c r="QYS63" s="349"/>
      <c r="QYT63" s="349"/>
      <c r="QYU63" s="349"/>
      <c r="QYV63" s="349"/>
      <c r="QYW63" s="349"/>
      <c r="QYX63" s="349"/>
      <c r="QYY63" s="349"/>
      <c r="QYZ63" s="349"/>
      <c r="QZA63" s="349"/>
      <c r="QZB63" s="349"/>
      <c r="QZC63" s="349"/>
      <c r="QZD63" s="349"/>
      <c r="QZE63" s="349"/>
      <c r="QZF63" s="349"/>
      <c r="QZG63" s="349"/>
      <c r="QZH63" s="349"/>
      <c r="QZI63" s="349"/>
      <c r="QZJ63" s="349"/>
      <c r="QZK63" s="349"/>
      <c r="QZL63" s="349"/>
      <c r="QZM63" s="349"/>
      <c r="QZN63" s="349"/>
      <c r="QZO63" s="349"/>
      <c r="QZP63" s="349"/>
      <c r="QZQ63" s="349"/>
      <c r="QZR63" s="349"/>
      <c r="QZS63" s="349"/>
      <c r="QZT63" s="349"/>
      <c r="QZU63" s="349"/>
      <c r="QZV63" s="349"/>
      <c r="QZW63" s="349"/>
      <c r="QZX63" s="349"/>
      <c r="QZY63" s="349"/>
      <c r="QZZ63" s="349"/>
      <c r="RAA63" s="349"/>
      <c r="RAB63" s="349"/>
      <c r="RAC63" s="349"/>
      <c r="RAD63" s="349"/>
      <c r="RAE63" s="349"/>
      <c r="RAF63" s="349"/>
      <c r="RAG63" s="349"/>
      <c r="RAH63" s="349"/>
      <c r="RAI63" s="349"/>
      <c r="RAJ63" s="349"/>
      <c r="RAK63" s="349"/>
      <c r="RAL63" s="349"/>
      <c r="RAM63" s="349"/>
      <c r="RAN63" s="349"/>
      <c r="RAO63" s="349"/>
      <c r="RAP63" s="349"/>
      <c r="RAQ63" s="349"/>
      <c r="RAR63" s="349"/>
      <c r="RAS63" s="349"/>
      <c r="RAT63" s="349"/>
      <c r="RAU63" s="349"/>
      <c r="RAV63" s="349"/>
      <c r="RAW63" s="349"/>
      <c r="RAX63" s="349"/>
      <c r="RAY63" s="349"/>
      <c r="RAZ63" s="349"/>
      <c r="RBA63" s="349"/>
      <c r="RBB63" s="349"/>
      <c r="RBC63" s="349"/>
      <c r="RBD63" s="349"/>
      <c r="RBE63" s="349"/>
      <c r="RBF63" s="349"/>
      <c r="RBG63" s="349"/>
      <c r="RBH63" s="349"/>
      <c r="RBI63" s="349"/>
      <c r="RBJ63" s="349"/>
      <c r="RBK63" s="349"/>
      <c r="RBL63" s="349"/>
      <c r="RBM63" s="349"/>
      <c r="RBN63" s="349"/>
      <c r="RBO63" s="349"/>
      <c r="RBP63" s="349"/>
      <c r="RBQ63" s="349"/>
      <c r="RBR63" s="349"/>
      <c r="RBS63" s="349"/>
      <c r="RBT63" s="349"/>
      <c r="RBU63" s="349"/>
      <c r="RBV63" s="349"/>
      <c r="RBW63" s="349"/>
      <c r="RBX63" s="349"/>
      <c r="RBY63" s="349"/>
      <c r="RBZ63" s="349"/>
      <c r="RCA63" s="349"/>
      <c r="RCB63" s="349"/>
      <c r="RCC63" s="349"/>
      <c r="RCD63" s="349"/>
      <c r="RCE63" s="349"/>
      <c r="RCF63" s="349"/>
      <c r="RCG63" s="349"/>
      <c r="RCH63" s="349"/>
      <c r="RCI63" s="349"/>
      <c r="RCJ63" s="349"/>
      <c r="RCK63" s="349"/>
      <c r="RCL63" s="349"/>
      <c r="RCM63" s="349"/>
      <c r="RCN63" s="349"/>
      <c r="RCO63" s="349"/>
      <c r="RCP63" s="349"/>
      <c r="RCQ63" s="349"/>
      <c r="RCR63" s="349"/>
      <c r="RCS63" s="349"/>
      <c r="RCT63" s="349"/>
      <c r="RCU63" s="349"/>
      <c r="RCV63" s="349"/>
      <c r="RCW63" s="349"/>
      <c r="RCX63" s="349"/>
      <c r="RCY63" s="349"/>
      <c r="RCZ63" s="349"/>
      <c r="RDA63" s="349"/>
      <c r="RDB63" s="349"/>
      <c r="RDC63" s="349"/>
      <c r="RDD63" s="349"/>
      <c r="RDE63" s="349"/>
      <c r="RDF63" s="349"/>
      <c r="RDG63" s="349"/>
      <c r="RDH63" s="349"/>
      <c r="RDI63" s="349"/>
      <c r="RDJ63" s="349"/>
      <c r="RDK63" s="349"/>
      <c r="RDL63" s="349"/>
      <c r="RDM63" s="349"/>
      <c r="RDN63" s="349"/>
      <c r="RDO63" s="349"/>
      <c r="RDP63" s="349"/>
      <c r="RDQ63" s="349"/>
      <c r="RDR63" s="349"/>
      <c r="RDS63" s="349"/>
      <c r="RDT63" s="349"/>
      <c r="RDU63" s="349"/>
      <c r="RDV63" s="349"/>
      <c r="RDW63" s="349"/>
      <c r="RDX63" s="349"/>
      <c r="RDY63" s="349"/>
      <c r="RDZ63" s="349"/>
      <c r="REA63" s="349"/>
      <c r="REB63" s="349"/>
      <c r="REC63" s="349"/>
      <c r="RED63" s="349"/>
      <c r="REE63" s="349"/>
      <c r="REF63" s="349"/>
      <c r="REG63" s="349"/>
      <c r="REH63" s="349"/>
      <c r="REI63" s="349"/>
      <c r="REJ63" s="349"/>
      <c r="REK63" s="349"/>
      <c r="REL63" s="349"/>
      <c r="REM63" s="349"/>
      <c r="REN63" s="349"/>
      <c r="REO63" s="349"/>
      <c r="REP63" s="349"/>
      <c r="REQ63" s="349"/>
      <c r="RER63" s="349"/>
      <c r="RES63" s="349"/>
      <c r="RET63" s="349"/>
      <c r="REU63" s="349"/>
      <c r="REV63" s="349"/>
      <c r="REW63" s="349"/>
      <c r="REX63" s="349"/>
      <c r="REY63" s="349"/>
      <c r="REZ63" s="349"/>
      <c r="RFA63" s="349"/>
      <c r="RFB63" s="349"/>
      <c r="RFC63" s="349"/>
      <c r="RFD63" s="349"/>
      <c r="RFE63" s="349"/>
      <c r="RFF63" s="349"/>
      <c r="RFG63" s="349"/>
      <c r="RFH63" s="349"/>
      <c r="RFI63" s="349"/>
      <c r="RFJ63" s="349"/>
      <c r="RFK63" s="349"/>
      <c r="RFL63" s="349"/>
      <c r="RFM63" s="349"/>
      <c r="RFN63" s="349"/>
      <c r="RFO63" s="349"/>
      <c r="RFP63" s="349"/>
      <c r="RFQ63" s="349"/>
      <c r="RFR63" s="349"/>
      <c r="RFS63" s="349"/>
      <c r="RFT63" s="349"/>
      <c r="RFU63" s="349"/>
      <c r="RFV63" s="349"/>
      <c r="RFW63" s="349"/>
      <c r="RFX63" s="349"/>
      <c r="RFY63" s="349"/>
      <c r="RFZ63" s="349"/>
      <c r="RGA63" s="349"/>
      <c r="RGB63" s="349"/>
      <c r="RGC63" s="349"/>
      <c r="RGD63" s="349"/>
      <c r="RGE63" s="349"/>
      <c r="RGF63" s="349"/>
      <c r="RGG63" s="349"/>
      <c r="RGH63" s="349"/>
      <c r="RGI63" s="349"/>
      <c r="RGJ63" s="349"/>
      <c r="RGK63" s="349"/>
      <c r="RGL63" s="349"/>
      <c r="RGM63" s="349"/>
      <c r="RGN63" s="349"/>
      <c r="RGO63" s="349"/>
      <c r="RGP63" s="349"/>
      <c r="RGQ63" s="349"/>
      <c r="RGR63" s="349"/>
      <c r="RGS63" s="349"/>
      <c r="RGT63" s="349"/>
      <c r="RGU63" s="349"/>
      <c r="RGV63" s="349"/>
      <c r="RGW63" s="349"/>
      <c r="RGX63" s="349"/>
      <c r="RGY63" s="349"/>
      <c r="RGZ63" s="349"/>
      <c r="RHA63" s="349"/>
      <c r="RHB63" s="349"/>
      <c r="RHC63" s="349"/>
      <c r="RHD63" s="349"/>
      <c r="RHE63" s="349"/>
      <c r="RHF63" s="349"/>
      <c r="RHG63" s="349"/>
      <c r="RHH63" s="349"/>
      <c r="RHI63" s="349"/>
      <c r="RHJ63" s="349"/>
      <c r="RHK63" s="349"/>
      <c r="RHL63" s="349"/>
      <c r="RHM63" s="349"/>
      <c r="RHN63" s="349"/>
      <c r="RHO63" s="349"/>
      <c r="RHP63" s="349"/>
      <c r="RHQ63" s="349"/>
      <c r="RHR63" s="349"/>
      <c r="RHS63" s="349"/>
      <c r="RHT63" s="349"/>
      <c r="RHU63" s="349"/>
      <c r="RHV63" s="349"/>
      <c r="RHW63" s="349"/>
      <c r="RHX63" s="349"/>
      <c r="RHY63" s="349"/>
      <c r="RHZ63" s="349"/>
      <c r="RIA63" s="349"/>
      <c r="RIB63" s="349"/>
      <c r="RIC63" s="349"/>
      <c r="RID63" s="349"/>
      <c r="RIE63" s="349"/>
      <c r="RIF63" s="349"/>
      <c r="RIG63" s="349"/>
      <c r="RIH63" s="349"/>
      <c r="RII63" s="349"/>
      <c r="RIJ63" s="349"/>
      <c r="RIK63" s="349"/>
      <c r="RIL63" s="349"/>
      <c r="RIM63" s="349"/>
      <c r="RIN63" s="349"/>
      <c r="RIO63" s="349"/>
      <c r="RIP63" s="349"/>
      <c r="RIQ63" s="349"/>
      <c r="RIR63" s="349"/>
      <c r="RIS63" s="349"/>
      <c r="RIT63" s="349"/>
      <c r="RIU63" s="349"/>
      <c r="RIV63" s="349"/>
      <c r="RIW63" s="349"/>
      <c r="RIX63" s="349"/>
      <c r="RIY63" s="349"/>
      <c r="RIZ63" s="349"/>
      <c r="RJA63" s="349"/>
      <c r="RJB63" s="349"/>
      <c r="RJC63" s="349"/>
      <c r="RJD63" s="349"/>
      <c r="RJE63" s="349"/>
      <c r="RJF63" s="349"/>
      <c r="RJG63" s="349"/>
      <c r="RJH63" s="349"/>
      <c r="RJI63" s="349"/>
      <c r="RJJ63" s="349"/>
      <c r="RJK63" s="349"/>
      <c r="RJL63" s="349"/>
      <c r="RJM63" s="349"/>
      <c r="RJN63" s="349"/>
      <c r="RJO63" s="349"/>
      <c r="RJP63" s="349"/>
      <c r="RJQ63" s="349"/>
      <c r="RJR63" s="349"/>
      <c r="RJS63" s="349"/>
      <c r="RJT63" s="349"/>
      <c r="RJU63" s="349"/>
      <c r="RJV63" s="349"/>
      <c r="RJW63" s="349"/>
      <c r="RJX63" s="349"/>
      <c r="RJY63" s="349"/>
      <c r="RJZ63" s="349"/>
      <c r="RKA63" s="349"/>
      <c r="RKB63" s="349"/>
      <c r="RKC63" s="349"/>
      <c r="RKD63" s="349"/>
      <c r="RKE63" s="349"/>
      <c r="RKF63" s="349"/>
      <c r="RKG63" s="349"/>
      <c r="RKH63" s="349"/>
      <c r="RKI63" s="349"/>
      <c r="RKJ63" s="349"/>
      <c r="RKK63" s="349"/>
      <c r="RKL63" s="349"/>
      <c r="RKM63" s="349"/>
      <c r="RKN63" s="349"/>
      <c r="RKO63" s="349"/>
      <c r="RKP63" s="349"/>
      <c r="RKQ63" s="349"/>
      <c r="RKR63" s="349"/>
      <c r="RKS63" s="349"/>
      <c r="RKT63" s="349"/>
      <c r="RKU63" s="349"/>
      <c r="RKV63" s="349"/>
      <c r="RKW63" s="349"/>
      <c r="RKX63" s="349"/>
      <c r="RKY63" s="349"/>
      <c r="RKZ63" s="349"/>
      <c r="RLA63" s="349"/>
      <c r="RLB63" s="349"/>
      <c r="RLC63" s="349"/>
      <c r="RLD63" s="349"/>
      <c r="RLE63" s="349"/>
      <c r="RLF63" s="349"/>
      <c r="RLG63" s="349"/>
      <c r="RLH63" s="349"/>
      <c r="RLI63" s="349"/>
      <c r="RLJ63" s="349"/>
      <c r="RLK63" s="349"/>
      <c r="RLL63" s="349"/>
      <c r="RLM63" s="349"/>
      <c r="RLN63" s="349"/>
      <c r="RLO63" s="349"/>
      <c r="RLP63" s="349"/>
      <c r="RLQ63" s="349"/>
      <c r="RLR63" s="349"/>
      <c r="RLS63" s="349"/>
      <c r="RLT63" s="349"/>
      <c r="RLU63" s="349"/>
      <c r="RLV63" s="349"/>
      <c r="RLW63" s="349"/>
      <c r="RLX63" s="349"/>
      <c r="RLY63" s="349"/>
      <c r="RLZ63" s="349"/>
      <c r="RMA63" s="349"/>
      <c r="RMB63" s="349"/>
      <c r="RMC63" s="349"/>
      <c r="RMD63" s="349"/>
      <c r="RME63" s="349"/>
      <c r="RMF63" s="349"/>
      <c r="RMG63" s="349"/>
      <c r="RMH63" s="349"/>
      <c r="RMI63" s="349"/>
      <c r="RMJ63" s="349"/>
      <c r="RMK63" s="349"/>
      <c r="RML63" s="349"/>
      <c r="RMM63" s="349"/>
      <c r="RMN63" s="349"/>
      <c r="RMO63" s="349"/>
      <c r="RMP63" s="349"/>
      <c r="RMQ63" s="349"/>
      <c r="RMR63" s="349"/>
      <c r="RMS63" s="349"/>
      <c r="RMT63" s="349"/>
      <c r="RMU63" s="349"/>
      <c r="RMV63" s="349"/>
      <c r="RMW63" s="349"/>
      <c r="RMX63" s="349"/>
      <c r="RMY63" s="349"/>
      <c r="RMZ63" s="349"/>
      <c r="RNA63" s="349"/>
      <c r="RNB63" s="349"/>
      <c r="RNC63" s="349"/>
      <c r="RND63" s="349"/>
      <c r="RNE63" s="349"/>
      <c r="RNF63" s="349"/>
      <c r="RNG63" s="349"/>
      <c r="RNH63" s="349"/>
      <c r="RNI63" s="349"/>
      <c r="RNJ63" s="349"/>
      <c r="RNK63" s="349"/>
      <c r="RNL63" s="349"/>
      <c r="RNM63" s="349"/>
      <c r="RNN63" s="349"/>
      <c r="RNO63" s="349"/>
      <c r="RNP63" s="349"/>
      <c r="RNQ63" s="349"/>
      <c r="RNR63" s="349"/>
      <c r="RNS63" s="349"/>
      <c r="RNT63" s="349"/>
      <c r="RNU63" s="349"/>
      <c r="RNV63" s="349"/>
      <c r="RNW63" s="349"/>
      <c r="RNX63" s="349"/>
      <c r="RNY63" s="349"/>
      <c r="RNZ63" s="349"/>
      <c r="ROA63" s="349"/>
      <c r="ROB63" s="349"/>
      <c r="ROC63" s="349"/>
      <c r="ROD63" s="349"/>
      <c r="ROE63" s="349"/>
      <c r="ROF63" s="349"/>
      <c r="ROG63" s="349"/>
      <c r="ROH63" s="349"/>
      <c r="ROI63" s="349"/>
      <c r="ROJ63" s="349"/>
      <c r="ROK63" s="349"/>
      <c r="ROL63" s="349"/>
      <c r="ROM63" s="349"/>
      <c r="RON63" s="349"/>
      <c r="ROO63" s="349"/>
      <c r="ROP63" s="349"/>
      <c r="ROQ63" s="349"/>
      <c r="ROR63" s="349"/>
      <c r="ROS63" s="349"/>
      <c r="ROT63" s="349"/>
      <c r="ROU63" s="349"/>
      <c r="ROV63" s="349"/>
      <c r="ROW63" s="349"/>
      <c r="ROX63" s="349"/>
      <c r="ROY63" s="349"/>
      <c r="ROZ63" s="349"/>
      <c r="RPA63" s="349"/>
      <c r="RPB63" s="349"/>
      <c r="RPC63" s="349"/>
      <c r="RPD63" s="349"/>
      <c r="RPE63" s="349"/>
      <c r="RPF63" s="349"/>
      <c r="RPG63" s="349"/>
      <c r="RPH63" s="349"/>
      <c r="RPI63" s="349"/>
      <c r="RPJ63" s="349"/>
      <c r="RPK63" s="349"/>
      <c r="RPL63" s="349"/>
      <c r="RPM63" s="349"/>
      <c r="RPN63" s="349"/>
      <c r="RPO63" s="349"/>
      <c r="RPP63" s="349"/>
      <c r="RPQ63" s="349"/>
      <c r="RPR63" s="349"/>
      <c r="RPS63" s="349"/>
      <c r="RPT63" s="349"/>
      <c r="RPU63" s="349"/>
      <c r="RPV63" s="349"/>
      <c r="RPW63" s="349"/>
      <c r="RPX63" s="349"/>
      <c r="RPY63" s="349"/>
      <c r="RPZ63" s="349"/>
      <c r="RQA63" s="349"/>
      <c r="RQB63" s="349"/>
      <c r="RQC63" s="349"/>
      <c r="RQD63" s="349"/>
      <c r="RQE63" s="349"/>
      <c r="RQF63" s="349"/>
      <c r="RQG63" s="349"/>
      <c r="RQH63" s="349"/>
      <c r="RQI63" s="349"/>
      <c r="RQJ63" s="349"/>
      <c r="RQK63" s="349"/>
      <c r="RQL63" s="349"/>
      <c r="RQM63" s="349"/>
      <c r="RQN63" s="349"/>
      <c r="RQO63" s="349"/>
      <c r="RQP63" s="349"/>
      <c r="RQQ63" s="349"/>
      <c r="RQR63" s="349"/>
      <c r="RQS63" s="349"/>
      <c r="RQT63" s="349"/>
      <c r="RQU63" s="349"/>
      <c r="RQV63" s="349"/>
      <c r="RQW63" s="349"/>
      <c r="RQX63" s="349"/>
      <c r="RQY63" s="349"/>
      <c r="RQZ63" s="349"/>
      <c r="RRA63" s="349"/>
      <c r="RRB63" s="349"/>
      <c r="RRC63" s="349"/>
      <c r="RRD63" s="349"/>
      <c r="RRE63" s="349"/>
      <c r="RRF63" s="349"/>
      <c r="RRG63" s="349"/>
      <c r="RRH63" s="349"/>
      <c r="RRI63" s="349"/>
      <c r="RRJ63" s="349"/>
      <c r="RRK63" s="349"/>
      <c r="RRL63" s="349"/>
      <c r="RRM63" s="349"/>
      <c r="RRN63" s="349"/>
      <c r="RRO63" s="349"/>
      <c r="RRP63" s="349"/>
      <c r="RRQ63" s="349"/>
      <c r="RRR63" s="349"/>
      <c r="RRS63" s="349"/>
      <c r="RRT63" s="349"/>
      <c r="RRU63" s="349"/>
      <c r="RRV63" s="349"/>
      <c r="RRW63" s="349"/>
      <c r="RRX63" s="349"/>
      <c r="RRY63" s="349"/>
      <c r="RRZ63" s="349"/>
      <c r="RSA63" s="349"/>
      <c r="RSB63" s="349"/>
      <c r="RSC63" s="349"/>
      <c r="RSD63" s="349"/>
      <c r="RSE63" s="349"/>
      <c r="RSF63" s="349"/>
      <c r="RSG63" s="349"/>
      <c r="RSH63" s="349"/>
      <c r="RSI63" s="349"/>
      <c r="RSJ63" s="349"/>
      <c r="RSK63" s="349"/>
      <c r="RSL63" s="349"/>
      <c r="RSM63" s="349"/>
      <c r="RSN63" s="349"/>
      <c r="RSO63" s="349"/>
      <c r="RSP63" s="349"/>
      <c r="RSQ63" s="349"/>
      <c r="RSR63" s="349"/>
      <c r="RSS63" s="349"/>
      <c r="RST63" s="349"/>
      <c r="RSU63" s="349"/>
      <c r="RSV63" s="349"/>
      <c r="RSW63" s="349"/>
      <c r="RSX63" s="349"/>
      <c r="RSY63" s="349"/>
      <c r="RSZ63" s="349"/>
      <c r="RTA63" s="349"/>
      <c r="RTB63" s="349"/>
      <c r="RTC63" s="349"/>
      <c r="RTD63" s="349"/>
      <c r="RTE63" s="349"/>
      <c r="RTF63" s="349"/>
      <c r="RTG63" s="349"/>
      <c r="RTH63" s="349"/>
      <c r="RTI63" s="349"/>
      <c r="RTJ63" s="349"/>
      <c r="RTK63" s="349"/>
      <c r="RTL63" s="349"/>
      <c r="RTM63" s="349"/>
      <c r="RTN63" s="349"/>
      <c r="RTO63" s="349"/>
      <c r="RTP63" s="349"/>
      <c r="RTQ63" s="349"/>
      <c r="RTR63" s="349"/>
      <c r="RTS63" s="349"/>
      <c r="RTT63" s="349"/>
      <c r="RTU63" s="349"/>
      <c r="RTV63" s="349"/>
      <c r="RTW63" s="349"/>
      <c r="RTX63" s="349"/>
      <c r="RTY63" s="349"/>
      <c r="RTZ63" s="349"/>
      <c r="RUA63" s="349"/>
      <c r="RUB63" s="349"/>
      <c r="RUC63" s="349"/>
      <c r="RUD63" s="349"/>
      <c r="RUE63" s="349"/>
      <c r="RUF63" s="349"/>
      <c r="RUG63" s="349"/>
      <c r="RUH63" s="349"/>
      <c r="RUI63" s="349"/>
      <c r="RUJ63" s="349"/>
      <c r="RUK63" s="349"/>
      <c r="RUL63" s="349"/>
      <c r="RUM63" s="349"/>
      <c r="RUN63" s="349"/>
      <c r="RUO63" s="349"/>
      <c r="RUP63" s="349"/>
      <c r="RUQ63" s="349"/>
      <c r="RUR63" s="349"/>
      <c r="RUS63" s="349"/>
      <c r="RUT63" s="349"/>
      <c r="RUU63" s="349"/>
      <c r="RUV63" s="349"/>
      <c r="RUW63" s="349"/>
      <c r="RUX63" s="349"/>
      <c r="RUY63" s="349"/>
      <c r="RUZ63" s="349"/>
      <c r="RVA63" s="349"/>
      <c r="RVB63" s="349"/>
      <c r="RVC63" s="349"/>
      <c r="RVD63" s="349"/>
      <c r="RVE63" s="349"/>
      <c r="RVF63" s="349"/>
      <c r="RVG63" s="349"/>
      <c r="RVH63" s="349"/>
      <c r="RVI63" s="349"/>
      <c r="RVJ63" s="349"/>
      <c r="RVK63" s="349"/>
      <c r="RVL63" s="349"/>
      <c r="RVM63" s="349"/>
      <c r="RVN63" s="349"/>
      <c r="RVO63" s="349"/>
      <c r="RVP63" s="349"/>
      <c r="RVQ63" s="349"/>
      <c r="RVR63" s="349"/>
      <c r="RVS63" s="349"/>
      <c r="RVT63" s="349"/>
      <c r="RVU63" s="349"/>
      <c r="RVV63" s="349"/>
      <c r="RVW63" s="349"/>
      <c r="RVX63" s="349"/>
      <c r="RVY63" s="349"/>
      <c r="RVZ63" s="349"/>
      <c r="RWA63" s="349"/>
      <c r="RWB63" s="349"/>
      <c r="RWC63" s="349"/>
      <c r="RWD63" s="349"/>
      <c r="RWE63" s="349"/>
      <c r="RWF63" s="349"/>
      <c r="RWG63" s="349"/>
      <c r="RWH63" s="349"/>
      <c r="RWI63" s="349"/>
      <c r="RWJ63" s="349"/>
      <c r="RWK63" s="349"/>
      <c r="RWL63" s="349"/>
      <c r="RWM63" s="349"/>
      <c r="RWN63" s="349"/>
      <c r="RWO63" s="349"/>
      <c r="RWP63" s="349"/>
      <c r="RWQ63" s="349"/>
      <c r="RWR63" s="349"/>
      <c r="RWS63" s="349"/>
      <c r="RWT63" s="349"/>
      <c r="RWU63" s="349"/>
      <c r="RWV63" s="349"/>
      <c r="RWW63" s="349"/>
      <c r="RWX63" s="349"/>
      <c r="RWY63" s="349"/>
      <c r="RWZ63" s="349"/>
      <c r="RXA63" s="349"/>
      <c r="RXB63" s="349"/>
      <c r="RXC63" s="349"/>
      <c r="RXD63" s="349"/>
      <c r="RXE63" s="349"/>
      <c r="RXF63" s="349"/>
      <c r="RXG63" s="349"/>
      <c r="RXH63" s="349"/>
      <c r="RXI63" s="349"/>
      <c r="RXJ63" s="349"/>
      <c r="RXK63" s="349"/>
      <c r="RXL63" s="349"/>
      <c r="RXM63" s="349"/>
      <c r="RXN63" s="349"/>
      <c r="RXO63" s="349"/>
      <c r="RXP63" s="349"/>
      <c r="RXQ63" s="349"/>
      <c r="RXR63" s="349"/>
      <c r="RXS63" s="349"/>
      <c r="RXT63" s="349"/>
      <c r="RXU63" s="349"/>
      <c r="RXV63" s="349"/>
      <c r="RXW63" s="349"/>
      <c r="RXX63" s="349"/>
      <c r="RXY63" s="349"/>
      <c r="RXZ63" s="349"/>
      <c r="RYA63" s="349"/>
      <c r="RYB63" s="349"/>
      <c r="RYC63" s="349"/>
      <c r="RYD63" s="349"/>
      <c r="RYE63" s="349"/>
      <c r="RYF63" s="349"/>
      <c r="RYG63" s="349"/>
      <c r="RYH63" s="349"/>
      <c r="RYI63" s="349"/>
      <c r="RYJ63" s="349"/>
      <c r="RYK63" s="349"/>
      <c r="RYL63" s="349"/>
      <c r="RYM63" s="349"/>
      <c r="RYN63" s="349"/>
      <c r="RYO63" s="349"/>
      <c r="RYP63" s="349"/>
      <c r="RYQ63" s="349"/>
      <c r="RYR63" s="349"/>
      <c r="RYS63" s="349"/>
      <c r="RYT63" s="349"/>
      <c r="RYU63" s="349"/>
      <c r="RYV63" s="349"/>
      <c r="RYW63" s="349"/>
      <c r="RYX63" s="349"/>
      <c r="RYY63" s="349"/>
      <c r="RYZ63" s="349"/>
      <c r="RZA63" s="349"/>
      <c r="RZB63" s="349"/>
      <c r="RZC63" s="349"/>
      <c r="RZD63" s="349"/>
      <c r="RZE63" s="349"/>
      <c r="RZF63" s="349"/>
      <c r="RZG63" s="349"/>
      <c r="RZH63" s="349"/>
      <c r="RZI63" s="349"/>
      <c r="RZJ63" s="349"/>
      <c r="RZK63" s="349"/>
      <c r="RZL63" s="349"/>
      <c r="RZM63" s="349"/>
      <c r="RZN63" s="349"/>
      <c r="RZO63" s="349"/>
      <c r="RZP63" s="349"/>
      <c r="RZQ63" s="349"/>
      <c r="RZR63" s="349"/>
      <c r="RZS63" s="349"/>
      <c r="RZT63" s="349"/>
      <c r="RZU63" s="349"/>
      <c r="RZV63" s="349"/>
      <c r="RZW63" s="349"/>
      <c r="RZX63" s="349"/>
      <c r="RZY63" s="349"/>
      <c r="RZZ63" s="349"/>
      <c r="SAA63" s="349"/>
      <c r="SAB63" s="349"/>
      <c r="SAC63" s="349"/>
      <c r="SAD63" s="349"/>
      <c r="SAE63" s="349"/>
      <c r="SAF63" s="349"/>
      <c r="SAG63" s="349"/>
      <c r="SAH63" s="349"/>
      <c r="SAI63" s="349"/>
      <c r="SAJ63" s="349"/>
      <c r="SAK63" s="349"/>
      <c r="SAL63" s="349"/>
      <c r="SAM63" s="349"/>
      <c r="SAN63" s="349"/>
      <c r="SAO63" s="349"/>
      <c r="SAP63" s="349"/>
      <c r="SAQ63" s="349"/>
      <c r="SAR63" s="349"/>
      <c r="SAS63" s="349"/>
      <c r="SAT63" s="349"/>
      <c r="SAU63" s="349"/>
      <c r="SAV63" s="349"/>
      <c r="SAW63" s="349"/>
      <c r="SAX63" s="349"/>
      <c r="SAY63" s="349"/>
      <c r="SAZ63" s="349"/>
      <c r="SBA63" s="349"/>
      <c r="SBB63" s="349"/>
      <c r="SBC63" s="349"/>
      <c r="SBD63" s="349"/>
      <c r="SBE63" s="349"/>
      <c r="SBF63" s="349"/>
      <c r="SBG63" s="349"/>
      <c r="SBH63" s="349"/>
      <c r="SBI63" s="349"/>
      <c r="SBJ63" s="349"/>
      <c r="SBK63" s="349"/>
      <c r="SBL63" s="349"/>
      <c r="SBM63" s="349"/>
      <c r="SBN63" s="349"/>
      <c r="SBO63" s="349"/>
      <c r="SBP63" s="349"/>
      <c r="SBQ63" s="349"/>
      <c r="SBR63" s="349"/>
      <c r="SBS63" s="349"/>
      <c r="SBT63" s="349"/>
      <c r="SBU63" s="349"/>
      <c r="SBV63" s="349"/>
      <c r="SBW63" s="349"/>
      <c r="SBX63" s="349"/>
      <c r="SBY63" s="349"/>
      <c r="SBZ63" s="349"/>
      <c r="SCA63" s="349"/>
      <c r="SCB63" s="349"/>
      <c r="SCC63" s="349"/>
      <c r="SCD63" s="349"/>
      <c r="SCE63" s="349"/>
      <c r="SCF63" s="349"/>
      <c r="SCG63" s="349"/>
      <c r="SCH63" s="349"/>
      <c r="SCI63" s="349"/>
      <c r="SCJ63" s="349"/>
      <c r="SCK63" s="349"/>
      <c r="SCL63" s="349"/>
      <c r="SCM63" s="349"/>
      <c r="SCN63" s="349"/>
      <c r="SCO63" s="349"/>
      <c r="SCP63" s="349"/>
      <c r="SCQ63" s="349"/>
      <c r="SCR63" s="349"/>
      <c r="SCS63" s="349"/>
      <c r="SCT63" s="349"/>
      <c r="SCU63" s="349"/>
      <c r="SCV63" s="349"/>
      <c r="SCW63" s="349"/>
      <c r="SCX63" s="349"/>
      <c r="SCY63" s="349"/>
      <c r="SCZ63" s="349"/>
      <c r="SDA63" s="349"/>
      <c r="SDB63" s="349"/>
      <c r="SDC63" s="349"/>
      <c r="SDD63" s="349"/>
      <c r="SDE63" s="349"/>
      <c r="SDF63" s="349"/>
      <c r="SDG63" s="349"/>
      <c r="SDH63" s="349"/>
      <c r="SDI63" s="349"/>
      <c r="SDJ63" s="349"/>
      <c r="SDK63" s="349"/>
      <c r="SDL63" s="349"/>
      <c r="SDM63" s="349"/>
      <c r="SDN63" s="349"/>
      <c r="SDO63" s="349"/>
      <c r="SDP63" s="349"/>
      <c r="SDQ63" s="349"/>
      <c r="SDR63" s="349"/>
      <c r="SDS63" s="349"/>
      <c r="SDT63" s="349"/>
      <c r="SDU63" s="349"/>
      <c r="SDV63" s="349"/>
      <c r="SDW63" s="349"/>
      <c r="SDX63" s="349"/>
      <c r="SDY63" s="349"/>
      <c r="SDZ63" s="349"/>
      <c r="SEA63" s="349"/>
      <c r="SEB63" s="349"/>
      <c r="SEC63" s="349"/>
      <c r="SED63" s="349"/>
      <c r="SEE63" s="349"/>
      <c r="SEF63" s="349"/>
      <c r="SEG63" s="349"/>
      <c r="SEH63" s="349"/>
      <c r="SEI63" s="349"/>
      <c r="SEJ63" s="349"/>
      <c r="SEK63" s="349"/>
      <c r="SEL63" s="349"/>
      <c r="SEM63" s="349"/>
      <c r="SEN63" s="349"/>
      <c r="SEO63" s="349"/>
      <c r="SEP63" s="349"/>
      <c r="SEQ63" s="349"/>
      <c r="SER63" s="349"/>
      <c r="SES63" s="349"/>
      <c r="SET63" s="349"/>
      <c r="SEU63" s="349"/>
      <c r="SEV63" s="349"/>
      <c r="SEW63" s="349"/>
      <c r="SEX63" s="349"/>
      <c r="SEY63" s="349"/>
      <c r="SEZ63" s="349"/>
      <c r="SFA63" s="349"/>
      <c r="SFB63" s="349"/>
      <c r="SFC63" s="349"/>
      <c r="SFD63" s="349"/>
      <c r="SFE63" s="349"/>
      <c r="SFF63" s="349"/>
      <c r="SFG63" s="349"/>
      <c r="SFH63" s="349"/>
      <c r="SFI63" s="349"/>
      <c r="SFJ63" s="349"/>
      <c r="SFK63" s="349"/>
      <c r="SFL63" s="349"/>
      <c r="SFM63" s="349"/>
      <c r="SFN63" s="349"/>
      <c r="SFO63" s="349"/>
      <c r="SFP63" s="349"/>
      <c r="SFQ63" s="349"/>
      <c r="SFR63" s="349"/>
      <c r="SFS63" s="349"/>
      <c r="SFT63" s="349"/>
      <c r="SFU63" s="349"/>
      <c r="SFV63" s="349"/>
      <c r="SFW63" s="349"/>
      <c r="SFX63" s="349"/>
      <c r="SFY63" s="349"/>
      <c r="SFZ63" s="349"/>
      <c r="SGA63" s="349"/>
      <c r="SGB63" s="349"/>
      <c r="SGC63" s="349"/>
      <c r="SGD63" s="349"/>
      <c r="SGE63" s="349"/>
      <c r="SGF63" s="349"/>
      <c r="SGG63" s="349"/>
      <c r="SGH63" s="349"/>
      <c r="SGI63" s="349"/>
      <c r="SGJ63" s="349"/>
      <c r="SGK63" s="349"/>
      <c r="SGL63" s="349"/>
      <c r="SGM63" s="349"/>
      <c r="SGN63" s="349"/>
      <c r="SGO63" s="349"/>
      <c r="SGP63" s="349"/>
      <c r="SGQ63" s="349"/>
      <c r="SGR63" s="349"/>
      <c r="SGS63" s="349"/>
      <c r="SGT63" s="349"/>
      <c r="SGU63" s="349"/>
      <c r="SGV63" s="349"/>
      <c r="SGW63" s="349"/>
      <c r="SGX63" s="349"/>
      <c r="SGY63" s="349"/>
      <c r="SGZ63" s="349"/>
      <c r="SHA63" s="349"/>
      <c r="SHB63" s="349"/>
      <c r="SHC63" s="349"/>
      <c r="SHD63" s="349"/>
      <c r="SHE63" s="349"/>
      <c r="SHF63" s="349"/>
      <c r="SHG63" s="349"/>
      <c r="SHH63" s="349"/>
      <c r="SHI63" s="349"/>
      <c r="SHJ63" s="349"/>
      <c r="SHK63" s="349"/>
      <c r="SHL63" s="349"/>
      <c r="SHM63" s="349"/>
      <c r="SHN63" s="349"/>
      <c r="SHO63" s="349"/>
      <c r="SHP63" s="349"/>
      <c r="SHQ63" s="349"/>
      <c r="SHR63" s="349"/>
      <c r="SHS63" s="349"/>
      <c r="SHT63" s="349"/>
      <c r="SHU63" s="349"/>
      <c r="SHV63" s="349"/>
      <c r="SHW63" s="349"/>
      <c r="SHX63" s="349"/>
      <c r="SHY63" s="349"/>
      <c r="SHZ63" s="349"/>
      <c r="SIA63" s="349"/>
      <c r="SIB63" s="349"/>
      <c r="SIC63" s="349"/>
      <c r="SID63" s="349"/>
      <c r="SIE63" s="349"/>
      <c r="SIF63" s="349"/>
      <c r="SIG63" s="349"/>
      <c r="SIH63" s="349"/>
      <c r="SII63" s="349"/>
      <c r="SIJ63" s="349"/>
      <c r="SIK63" s="349"/>
      <c r="SIL63" s="349"/>
      <c r="SIM63" s="349"/>
      <c r="SIN63" s="349"/>
      <c r="SIO63" s="349"/>
      <c r="SIP63" s="349"/>
      <c r="SIQ63" s="349"/>
      <c r="SIR63" s="349"/>
      <c r="SIS63" s="349"/>
      <c r="SIT63" s="349"/>
      <c r="SIU63" s="349"/>
      <c r="SIV63" s="349"/>
      <c r="SIW63" s="349"/>
      <c r="SIX63" s="349"/>
      <c r="SIY63" s="349"/>
      <c r="SIZ63" s="349"/>
      <c r="SJA63" s="349"/>
      <c r="SJB63" s="349"/>
      <c r="SJC63" s="349"/>
      <c r="SJD63" s="349"/>
      <c r="SJE63" s="349"/>
      <c r="SJF63" s="349"/>
      <c r="SJG63" s="349"/>
      <c r="SJH63" s="349"/>
      <c r="SJI63" s="349"/>
      <c r="SJJ63" s="349"/>
      <c r="SJK63" s="349"/>
      <c r="SJL63" s="349"/>
      <c r="SJM63" s="349"/>
      <c r="SJN63" s="349"/>
      <c r="SJO63" s="349"/>
      <c r="SJP63" s="349"/>
      <c r="SJQ63" s="349"/>
      <c r="SJR63" s="349"/>
      <c r="SJS63" s="349"/>
      <c r="SJT63" s="349"/>
      <c r="SJU63" s="349"/>
      <c r="SJV63" s="349"/>
      <c r="SJW63" s="349"/>
      <c r="SJX63" s="349"/>
      <c r="SJY63" s="349"/>
      <c r="SJZ63" s="349"/>
      <c r="SKA63" s="349"/>
      <c r="SKB63" s="349"/>
      <c r="SKC63" s="349"/>
      <c r="SKD63" s="349"/>
      <c r="SKE63" s="349"/>
      <c r="SKF63" s="349"/>
      <c r="SKG63" s="349"/>
      <c r="SKH63" s="349"/>
      <c r="SKI63" s="349"/>
      <c r="SKJ63" s="349"/>
      <c r="SKK63" s="349"/>
      <c r="SKL63" s="349"/>
      <c r="SKM63" s="349"/>
      <c r="SKN63" s="349"/>
      <c r="SKO63" s="349"/>
      <c r="SKP63" s="349"/>
      <c r="SKQ63" s="349"/>
      <c r="SKR63" s="349"/>
      <c r="SKS63" s="349"/>
      <c r="SKT63" s="349"/>
      <c r="SKU63" s="349"/>
      <c r="SKV63" s="349"/>
      <c r="SKW63" s="349"/>
      <c r="SKX63" s="349"/>
      <c r="SKY63" s="349"/>
      <c r="SKZ63" s="349"/>
      <c r="SLA63" s="349"/>
      <c r="SLB63" s="349"/>
      <c r="SLC63" s="349"/>
      <c r="SLD63" s="349"/>
      <c r="SLE63" s="349"/>
      <c r="SLF63" s="349"/>
      <c r="SLG63" s="349"/>
      <c r="SLH63" s="349"/>
      <c r="SLI63" s="349"/>
      <c r="SLJ63" s="349"/>
      <c r="SLK63" s="349"/>
      <c r="SLL63" s="349"/>
      <c r="SLM63" s="349"/>
      <c r="SLN63" s="349"/>
      <c r="SLO63" s="349"/>
      <c r="SLP63" s="349"/>
      <c r="SLQ63" s="349"/>
      <c r="SLR63" s="349"/>
      <c r="SLS63" s="349"/>
      <c r="SLT63" s="349"/>
      <c r="SLU63" s="349"/>
      <c r="SLV63" s="349"/>
      <c r="SLW63" s="349"/>
      <c r="SLX63" s="349"/>
      <c r="SLY63" s="349"/>
      <c r="SLZ63" s="349"/>
      <c r="SMA63" s="349"/>
      <c r="SMB63" s="349"/>
      <c r="SMC63" s="349"/>
      <c r="SMD63" s="349"/>
      <c r="SME63" s="349"/>
      <c r="SMF63" s="349"/>
      <c r="SMG63" s="349"/>
      <c r="SMH63" s="349"/>
      <c r="SMI63" s="349"/>
      <c r="SMJ63" s="349"/>
      <c r="SMK63" s="349"/>
      <c r="SML63" s="349"/>
      <c r="SMM63" s="349"/>
      <c r="SMN63" s="349"/>
      <c r="SMO63" s="349"/>
      <c r="SMP63" s="349"/>
      <c r="SMQ63" s="349"/>
      <c r="SMR63" s="349"/>
      <c r="SMS63" s="349"/>
      <c r="SMT63" s="349"/>
      <c r="SMU63" s="349"/>
      <c r="SMV63" s="349"/>
      <c r="SMW63" s="349"/>
      <c r="SMX63" s="349"/>
      <c r="SMY63" s="349"/>
      <c r="SMZ63" s="349"/>
      <c r="SNA63" s="349"/>
      <c r="SNB63" s="349"/>
      <c r="SNC63" s="349"/>
      <c r="SND63" s="349"/>
      <c r="SNE63" s="349"/>
      <c r="SNF63" s="349"/>
      <c r="SNG63" s="349"/>
      <c r="SNH63" s="349"/>
      <c r="SNI63" s="349"/>
      <c r="SNJ63" s="349"/>
      <c r="SNK63" s="349"/>
      <c r="SNL63" s="349"/>
      <c r="SNM63" s="349"/>
      <c r="SNN63" s="349"/>
      <c r="SNO63" s="349"/>
      <c r="SNP63" s="349"/>
      <c r="SNQ63" s="349"/>
      <c r="SNR63" s="349"/>
      <c r="SNS63" s="349"/>
      <c r="SNT63" s="349"/>
      <c r="SNU63" s="349"/>
      <c r="SNV63" s="349"/>
      <c r="SNW63" s="349"/>
      <c r="SNX63" s="349"/>
      <c r="SNY63" s="349"/>
      <c r="SNZ63" s="349"/>
      <c r="SOA63" s="349"/>
      <c r="SOB63" s="349"/>
      <c r="SOC63" s="349"/>
      <c r="SOD63" s="349"/>
      <c r="SOE63" s="349"/>
      <c r="SOF63" s="349"/>
      <c r="SOG63" s="349"/>
      <c r="SOH63" s="349"/>
      <c r="SOI63" s="349"/>
      <c r="SOJ63" s="349"/>
      <c r="SOK63" s="349"/>
      <c r="SOL63" s="349"/>
      <c r="SOM63" s="349"/>
      <c r="SON63" s="349"/>
      <c r="SOO63" s="349"/>
      <c r="SOP63" s="349"/>
      <c r="SOQ63" s="349"/>
      <c r="SOR63" s="349"/>
      <c r="SOS63" s="349"/>
      <c r="SOT63" s="349"/>
      <c r="SOU63" s="349"/>
      <c r="SOV63" s="349"/>
      <c r="SOW63" s="349"/>
      <c r="SOX63" s="349"/>
      <c r="SOY63" s="349"/>
      <c r="SOZ63" s="349"/>
      <c r="SPA63" s="349"/>
      <c r="SPB63" s="349"/>
      <c r="SPC63" s="349"/>
      <c r="SPD63" s="349"/>
      <c r="SPE63" s="349"/>
      <c r="SPF63" s="349"/>
      <c r="SPG63" s="349"/>
      <c r="SPH63" s="349"/>
      <c r="SPI63" s="349"/>
      <c r="SPJ63" s="349"/>
      <c r="SPK63" s="349"/>
      <c r="SPL63" s="349"/>
      <c r="SPM63" s="349"/>
      <c r="SPN63" s="349"/>
      <c r="SPO63" s="349"/>
      <c r="SPP63" s="349"/>
      <c r="SPQ63" s="349"/>
      <c r="SPR63" s="349"/>
      <c r="SPS63" s="349"/>
      <c r="SPT63" s="349"/>
      <c r="SPU63" s="349"/>
      <c r="SPV63" s="349"/>
      <c r="SPW63" s="349"/>
      <c r="SPX63" s="349"/>
      <c r="SPY63" s="349"/>
      <c r="SPZ63" s="349"/>
      <c r="SQA63" s="349"/>
      <c r="SQB63" s="349"/>
      <c r="SQC63" s="349"/>
      <c r="SQD63" s="349"/>
      <c r="SQE63" s="349"/>
      <c r="SQF63" s="349"/>
      <c r="SQG63" s="349"/>
      <c r="SQH63" s="349"/>
      <c r="SQI63" s="349"/>
      <c r="SQJ63" s="349"/>
      <c r="SQK63" s="349"/>
      <c r="SQL63" s="349"/>
      <c r="SQM63" s="349"/>
      <c r="SQN63" s="349"/>
      <c r="SQO63" s="349"/>
      <c r="SQP63" s="349"/>
      <c r="SQQ63" s="349"/>
      <c r="SQR63" s="349"/>
      <c r="SQS63" s="349"/>
      <c r="SQT63" s="349"/>
      <c r="SQU63" s="349"/>
      <c r="SQV63" s="349"/>
      <c r="SQW63" s="349"/>
      <c r="SQX63" s="349"/>
      <c r="SQY63" s="349"/>
      <c r="SQZ63" s="349"/>
      <c r="SRA63" s="349"/>
      <c r="SRB63" s="349"/>
      <c r="SRC63" s="349"/>
      <c r="SRD63" s="349"/>
      <c r="SRE63" s="349"/>
      <c r="SRF63" s="349"/>
      <c r="SRG63" s="349"/>
      <c r="SRH63" s="349"/>
      <c r="SRI63" s="349"/>
      <c r="SRJ63" s="349"/>
      <c r="SRK63" s="349"/>
      <c r="SRL63" s="349"/>
      <c r="SRM63" s="349"/>
      <c r="SRN63" s="349"/>
      <c r="SRO63" s="349"/>
      <c r="SRP63" s="349"/>
      <c r="SRQ63" s="349"/>
      <c r="SRR63" s="349"/>
      <c r="SRS63" s="349"/>
      <c r="SRT63" s="349"/>
      <c r="SRU63" s="349"/>
      <c r="SRV63" s="349"/>
      <c r="SRW63" s="349"/>
      <c r="SRX63" s="349"/>
      <c r="SRY63" s="349"/>
      <c r="SRZ63" s="349"/>
      <c r="SSA63" s="349"/>
      <c r="SSB63" s="349"/>
      <c r="SSC63" s="349"/>
      <c r="SSD63" s="349"/>
      <c r="SSE63" s="349"/>
      <c r="SSF63" s="349"/>
      <c r="SSG63" s="349"/>
      <c r="SSH63" s="349"/>
      <c r="SSI63" s="349"/>
      <c r="SSJ63" s="349"/>
      <c r="SSK63" s="349"/>
      <c r="SSL63" s="349"/>
      <c r="SSM63" s="349"/>
      <c r="SSN63" s="349"/>
      <c r="SSO63" s="349"/>
      <c r="SSP63" s="349"/>
      <c r="SSQ63" s="349"/>
      <c r="SSR63" s="349"/>
      <c r="SSS63" s="349"/>
      <c r="SST63" s="349"/>
      <c r="SSU63" s="349"/>
      <c r="SSV63" s="349"/>
      <c r="SSW63" s="349"/>
      <c r="SSX63" s="349"/>
      <c r="SSY63" s="349"/>
      <c r="SSZ63" s="349"/>
      <c r="STA63" s="349"/>
      <c r="STB63" s="349"/>
      <c r="STC63" s="349"/>
      <c r="STD63" s="349"/>
      <c r="STE63" s="349"/>
      <c r="STF63" s="349"/>
      <c r="STG63" s="349"/>
      <c r="STH63" s="349"/>
      <c r="STI63" s="349"/>
      <c r="STJ63" s="349"/>
      <c r="STK63" s="349"/>
      <c r="STL63" s="349"/>
      <c r="STM63" s="349"/>
      <c r="STN63" s="349"/>
      <c r="STO63" s="349"/>
      <c r="STP63" s="349"/>
      <c r="STQ63" s="349"/>
      <c r="STR63" s="349"/>
      <c r="STS63" s="349"/>
      <c r="STT63" s="349"/>
      <c r="STU63" s="349"/>
      <c r="STV63" s="349"/>
      <c r="STW63" s="349"/>
      <c r="STX63" s="349"/>
      <c r="STY63" s="349"/>
      <c r="STZ63" s="349"/>
      <c r="SUA63" s="349"/>
      <c r="SUB63" s="349"/>
      <c r="SUC63" s="349"/>
      <c r="SUD63" s="349"/>
      <c r="SUE63" s="349"/>
      <c r="SUF63" s="349"/>
      <c r="SUG63" s="349"/>
      <c r="SUH63" s="349"/>
      <c r="SUI63" s="349"/>
      <c r="SUJ63" s="349"/>
      <c r="SUK63" s="349"/>
      <c r="SUL63" s="349"/>
      <c r="SUM63" s="349"/>
      <c r="SUN63" s="349"/>
      <c r="SUO63" s="349"/>
      <c r="SUP63" s="349"/>
      <c r="SUQ63" s="349"/>
      <c r="SUR63" s="349"/>
      <c r="SUS63" s="349"/>
      <c r="SUT63" s="349"/>
      <c r="SUU63" s="349"/>
      <c r="SUV63" s="349"/>
      <c r="SUW63" s="349"/>
      <c r="SUX63" s="349"/>
      <c r="SUY63" s="349"/>
      <c r="SUZ63" s="349"/>
      <c r="SVA63" s="349"/>
      <c r="SVB63" s="349"/>
      <c r="SVC63" s="349"/>
      <c r="SVD63" s="349"/>
      <c r="SVE63" s="349"/>
      <c r="SVF63" s="349"/>
      <c r="SVG63" s="349"/>
      <c r="SVH63" s="349"/>
      <c r="SVI63" s="349"/>
      <c r="SVJ63" s="349"/>
      <c r="SVK63" s="349"/>
      <c r="SVL63" s="349"/>
      <c r="SVM63" s="349"/>
      <c r="SVN63" s="349"/>
      <c r="SVO63" s="349"/>
      <c r="SVP63" s="349"/>
      <c r="SVQ63" s="349"/>
      <c r="SVR63" s="349"/>
      <c r="SVS63" s="349"/>
      <c r="SVT63" s="349"/>
      <c r="SVU63" s="349"/>
      <c r="SVV63" s="349"/>
      <c r="SVW63" s="349"/>
      <c r="SVX63" s="349"/>
      <c r="SVY63" s="349"/>
      <c r="SVZ63" s="349"/>
      <c r="SWA63" s="349"/>
      <c r="SWB63" s="349"/>
      <c r="SWC63" s="349"/>
      <c r="SWD63" s="349"/>
      <c r="SWE63" s="349"/>
      <c r="SWF63" s="349"/>
      <c r="SWG63" s="349"/>
      <c r="SWH63" s="349"/>
      <c r="SWI63" s="349"/>
      <c r="SWJ63" s="349"/>
      <c r="SWK63" s="349"/>
      <c r="SWL63" s="349"/>
      <c r="SWM63" s="349"/>
      <c r="SWN63" s="349"/>
      <c r="SWO63" s="349"/>
      <c r="SWP63" s="349"/>
      <c r="SWQ63" s="349"/>
      <c r="SWR63" s="349"/>
      <c r="SWS63" s="349"/>
      <c r="SWT63" s="349"/>
      <c r="SWU63" s="349"/>
      <c r="SWV63" s="349"/>
      <c r="SWW63" s="349"/>
      <c r="SWX63" s="349"/>
      <c r="SWY63" s="349"/>
      <c r="SWZ63" s="349"/>
      <c r="SXA63" s="349"/>
      <c r="SXB63" s="349"/>
      <c r="SXC63" s="349"/>
      <c r="SXD63" s="349"/>
      <c r="SXE63" s="349"/>
      <c r="SXF63" s="349"/>
      <c r="SXG63" s="349"/>
      <c r="SXH63" s="349"/>
      <c r="SXI63" s="349"/>
      <c r="SXJ63" s="349"/>
      <c r="SXK63" s="349"/>
      <c r="SXL63" s="349"/>
      <c r="SXM63" s="349"/>
      <c r="SXN63" s="349"/>
      <c r="SXO63" s="349"/>
      <c r="SXP63" s="349"/>
      <c r="SXQ63" s="349"/>
      <c r="SXR63" s="349"/>
      <c r="SXS63" s="349"/>
      <c r="SXT63" s="349"/>
      <c r="SXU63" s="349"/>
      <c r="SXV63" s="349"/>
      <c r="SXW63" s="349"/>
      <c r="SXX63" s="349"/>
      <c r="SXY63" s="349"/>
      <c r="SXZ63" s="349"/>
      <c r="SYA63" s="349"/>
      <c r="SYB63" s="349"/>
      <c r="SYC63" s="349"/>
      <c r="SYD63" s="349"/>
      <c r="SYE63" s="349"/>
      <c r="SYF63" s="349"/>
      <c r="SYG63" s="349"/>
      <c r="SYH63" s="349"/>
      <c r="SYI63" s="349"/>
      <c r="SYJ63" s="349"/>
      <c r="SYK63" s="349"/>
      <c r="SYL63" s="349"/>
      <c r="SYM63" s="349"/>
      <c r="SYN63" s="349"/>
      <c r="SYO63" s="349"/>
      <c r="SYP63" s="349"/>
      <c r="SYQ63" s="349"/>
      <c r="SYR63" s="349"/>
      <c r="SYS63" s="349"/>
      <c r="SYT63" s="349"/>
      <c r="SYU63" s="349"/>
      <c r="SYV63" s="349"/>
      <c r="SYW63" s="349"/>
      <c r="SYX63" s="349"/>
      <c r="SYY63" s="349"/>
      <c r="SYZ63" s="349"/>
      <c r="SZA63" s="349"/>
      <c r="SZB63" s="349"/>
      <c r="SZC63" s="349"/>
      <c r="SZD63" s="349"/>
      <c r="SZE63" s="349"/>
      <c r="SZF63" s="349"/>
      <c r="SZG63" s="349"/>
      <c r="SZH63" s="349"/>
      <c r="SZI63" s="349"/>
      <c r="SZJ63" s="349"/>
      <c r="SZK63" s="349"/>
      <c r="SZL63" s="349"/>
      <c r="SZM63" s="349"/>
      <c r="SZN63" s="349"/>
      <c r="SZO63" s="349"/>
      <c r="SZP63" s="349"/>
      <c r="SZQ63" s="349"/>
      <c r="SZR63" s="349"/>
      <c r="SZS63" s="349"/>
      <c r="SZT63" s="349"/>
      <c r="SZU63" s="349"/>
      <c r="SZV63" s="349"/>
      <c r="SZW63" s="349"/>
      <c r="SZX63" s="349"/>
      <c r="SZY63" s="349"/>
      <c r="SZZ63" s="349"/>
      <c r="TAA63" s="349"/>
      <c r="TAB63" s="349"/>
      <c r="TAC63" s="349"/>
      <c r="TAD63" s="349"/>
      <c r="TAE63" s="349"/>
      <c r="TAF63" s="349"/>
      <c r="TAG63" s="349"/>
      <c r="TAH63" s="349"/>
      <c r="TAI63" s="349"/>
      <c r="TAJ63" s="349"/>
      <c r="TAK63" s="349"/>
      <c r="TAL63" s="349"/>
      <c r="TAM63" s="349"/>
      <c r="TAN63" s="349"/>
      <c r="TAO63" s="349"/>
      <c r="TAP63" s="349"/>
      <c r="TAQ63" s="349"/>
      <c r="TAR63" s="349"/>
      <c r="TAS63" s="349"/>
      <c r="TAT63" s="349"/>
      <c r="TAU63" s="349"/>
      <c r="TAV63" s="349"/>
      <c r="TAW63" s="349"/>
      <c r="TAX63" s="349"/>
      <c r="TAY63" s="349"/>
      <c r="TAZ63" s="349"/>
      <c r="TBA63" s="349"/>
      <c r="TBB63" s="349"/>
      <c r="TBC63" s="349"/>
      <c r="TBD63" s="349"/>
      <c r="TBE63" s="349"/>
      <c r="TBF63" s="349"/>
      <c r="TBG63" s="349"/>
      <c r="TBH63" s="349"/>
      <c r="TBI63" s="349"/>
      <c r="TBJ63" s="349"/>
      <c r="TBK63" s="349"/>
      <c r="TBL63" s="349"/>
      <c r="TBM63" s="349"/>
      <c r="TBN63" s="349"/>
      <c r="TBO63" s="349"/>
      <c r="TBP63" s="349"/>
      <c r="TBQ63" s="349"/>
      <c r="TBR63" s="349"/>
      <c r="TBS63" s="349"/>
      <c r="TBT63" s="349"/>
      <c r="TBU63" s="349"/>
      <c r="TBV63" s="349"/>
      <c r="TBW63" s="349"/>
      <c r="TBX63" s="349"/>
      <c r="TBY63" s="349"/>
      <c r="TBZ63" s="349"/>
      <c r="TCA63" s="349"/>
      <c r="TCB63" s="349"/>
      <c r="TCC63" s="349"/>
      <c r="TCD63" s="349"/>
      <c r="TCE63" s="349"/>
      <c r="TCF63" s="349"/>
      <c r="TCG63" s="349"/>
      <c r="TCH63" s="349"/>
      <c r="TCI63" s="349"/>
      <c r="TCJ63" s="349"/>
      <c r="TCK63" s="349"/>
      <c r="TCL63" s="349"/>
      <c r="TCM63" s="349"/>
      <c r="TCN63" s="349"/>
      <c r="TCO63" s="349"/>
      <c r="TCP63" s="349"/>
      <c r="TCQ63" s="349"/>
      <c r="TCR63" s="349"/>
      <c r="TCS63" s="349"/>
      <c r="TCT63" s="349"/>
      <c r="TCU63" s="349"/>
      <c r="TCV63" s="349"/>
      <c r="TCW63" s="349"/>
      <c r="TCX63" s="349"/>
      <c r="TCY63" s="349"/>
      <c r="TCZ63" s="349"/>
      <c r="TDA63" s="349"/>
      <c r="TDB63" s="349"/>
      <c r="TDC63" s="349"/>
      <c r="TDD63" s="349"/>
      <c r="TDE63" s="349"/>
      <c r="TDF63" s="349"/>
      <c r="TDG63" s="349"/>
      <c r="TDH63" s="349"/>
      <c r="TDI63" s="349"/>
      <c r="TDJ63" s="349"/>
      <c r="TDK63" s="349"/>
      <c r="TDL63" s="349"/>
      <c r="TDM63" s="349"/>
      <c r="TDN63" s="349"/>
      <c r="TDO63" s="349"/>
      <c r="TDP63" s="349"/>
      <c r="TDQ63" s="349"/>
      <c r="TDR63" s="349"/>
      <c r="TDS63" s="349"/>
      <c r="TDT63" s="349"/>
      <c r="TDU63" s="349"/>
      <c r="TDV63" s="349"/>
      <c r="TDW63" s="349"/>
      <c r="TDX63" s="349"/>
      <c r="TDY63" s="349"/>
      <c r="TDZ63" s="349"/>
      <c r="TEA63" s="349"/>
      <c r="TEB63" s="349"/>
      <c r="TEC63" s="349"/>
      <c r="TED63" s="349"/>
      <c r="TEE63" s="349"/>
      <c r="TEF63" s="349"/>
      <c r="TEG63" s="349"/>
      <c r="TEH63" s="349"/>
      <c r="TEI63" s="349"/>
      <c r="TEJ63" s="349"/>
      <c r="TEK63" s="349"/>
      <c r="TEL63" s="349"/>
      <c r="TEM63" s="349"/>
      <c r="TEN63" s="349"/>
      <c r="TEO63" s="349"/>
      <c r="TEP63" s="349"/>
      <c r="TEQ63" s="349"/>
      <c r="TER63" s="349"/>
      <c r="TES63" s="349"/>
      <c r="TET63" s="349"/>
      <c r="TEU63" s="349"/>
      <c r="TEV63" s="349"/>
      <c r="TEW63" s="349"/>
      <c r="TEX63" s="349"/>
      <c r="TEY63" s="349"/>
      <c r="TEZ63" s="349"/>
      <c r="TFA63" s="349"/>
      <c r="TFB63" s="349"/>
      <c r="TFC63" s="349"/>
      <c r="TFD63" s="349"/>
      <c r="TFE63" s="349"/>
      <c r="TFF63" s="349"/>
      <c r="TFG63" s="349"/>
      <c r="TFH63" s="349"/>
      <c r="TFI63" s="349"/>
      <c r="TFJ63" s="349"/>
      <c r="TFK63" s="349"/>
      <c r="TFL63" s="349"/>
      <c r="TFM63" s="349"/>
      <c r="TFN63" s="349"/>
      <c r="TFO63" s="349"/>
      <c r="TFP63" s="349"/>
      <c r="TFQ63" s="349"/>
      <c r="TFR63" s="349"/>
      <c r="TFS63" s="349"/>
      <c r="TFT63" s="349"/>
      <c r="TFU63" s="349"/>
      <c r="TFV63" s="349"/>
      <c r="TFW63" s="349"/>
      <c r="TFX63" s="349"/>
      <c r="TFY63" s="349"/>
      <c r="TFZ63" s="349"/>
      <c r="TGA63" s="349"/>
      <c r="TGB63" s="349"/>
      <c r="TGC63" s="349"/>
      <c r="TGD63" s="349"/>
      <c r="TGE63" s="349"/>
      <c r="TGF63" s="349"/>
      <c r="TGG63" s="349"/>
      <c r="TGH63" s="349"/>
      <c r="TGI63" s="349"/>
      <c r="TGJ63" s="349"/>
      <c r="TGK63" s="349"/>
      <c r="TGL63" s="349"/>
      <c r="TGM63" s="349"/>
      <c r="TGN63" s="349"/>
      <c r="TGO63" s="349"/>
      <c r="TGP63" s="349"/>
      <c r="TGQ63" s="349"/>
      <c r="TGR63" s="349"/>
      <c r="TGS63" s="349"/>
      <c r="TGT63" s="349"/>
      <c r="TGU63" s="349"/>
      <c r="TGV63" s="349"/>
      <c r="TGW63" s="349"/>
      <c r="TGX63" s="349"/>
      <c r="TGY63" s="349"/>
      <c r="TGZ63" s="349"/>
      <c r="THA63" s="349"/>
      <c r="THB63" s="349"/>
      <c r="THC63" s="349"/>
      <c r="THD63" s="349"/>
      <c r="THE63" s="349"/>
      <c r="THF63" s="349"/>
      <c r="THG63" s="349"/>
      <c r="THH63" s="349"/>
      <c r="THI63" s="349"/>
      <c r="THJ63" s="349"/>
      <c r="THK63" s="349"/>
      <c r="THL63" s="349"/>
      <c r="THM63" s="349"/>
      <c r="THN63" s="349"/>
      <c r="THO63" s="349"/>
      <c r="THP63" s="349"/>
      <c r="THQ63" s="349"/>
      <c r="THR63" s="349"/>
      <c r="THS63" s="349"/>
      <c r="THT63" s="349"/>
      <c r="THU63" s="349"/>
      <c r="THV63" s="349"/>
      <c r="THW63" s="349"/>
      <c r="THX63" s="349"/>
      <c r="THY63" s="349"/>
      <c r="THZ63" s="349"/>
      <c r="TIA63" s="349"/>
      <c r="TIB63" s="349"/>
      <c r="TIC63" s="349"/>
      <c r="TID63" s="349"/>
      <c r="TIE63" s="349"/>
      <c r="TIF63" s="349"/>
      <c r="TIG63" s="349"/>
      <c r="TIH63" s="349"/>
      <c r="TII63" s="349"/>
      <c r="TIJ63" s="349"/>
      <c r="TIK63" s="349"/>
      <c r="TIL63" s="349"/>
      <c r="TIM63" s="349"/>
      <c r="TIN63" s="349"/>
      <c r="TIO63" s="349"/>
      <c r="TIP63" s="349"/>
      <c r="TIQ63" s="349"/>
      <c r="TIR63" s="349"/>
      <c r="TIS63" s="349"/>
      <c r="TIT63" s="349"/>
      <c r="TIU63" s="349"/>
      <c r="TIV63" s="349"/>
      <c r="TIW63" s="349"/>
      <c r="TIX63" s="349"/>
      <c r="TIY63" s="349"/>
      <c r="TIZ63" s="349"/>
      <c r="TJA63" s="349"/>
      <c r="TJB63" s="349"/>
      <c r="TJC63" s="349"/>
      <c r="TJD63" s="349"/>
      <c r="TJE63" s="349"/>
      <c r="TJF63" s="349"/>
      <c r="TJG63" s="349"/>
      <c r="TJH63" s="349"/>
      <c r="TJI63" s="349"/>
      <c r="TJJ63" s="349"/>
      <c r="TJK63" s="349"/>
      <c r="TJL63" s="349"/>
      <c r="TJM63" s="349"/>
      <c r="TJN63" s="349"/>
      <c r="TJO63" s="349"/>
      <c r="TJP63" s="349"/>
      <c r="TJQ63" s="349"/>
      <c r="TJR63" s="349"/>
      <c r="TJS63" s="349"/>
      <c r="TJT63" s="349"/>
      <c r="TJU63" s="349"/>
      <c r="TJV63" s="349"/>
      <c r="TJW63" s="349"/>
      <c r="TJX63" s="349"/>
      <c r="TJY63" s="349"/>
      <c r="TJZ63" s="349"/>
      <c r="TKA63" s="349"/>
      <c r="TKB63" s="349"/>
      <c r="TKC63" s="349"/>
      <c r="TKD63" s="349"/>
      <c r="TKE63" s="349"/>
      <c r="TKF63" s="349"/>
      <c r="TKG63" s="349"/>
      <c r="TKH63" s="349"/>
      <c r="TKI63" s="349"/>
      <c r="TKJ63" s="349"/>
      <c r="TKK63" s="349"/>
      <c r="TKL63" s="349"/>
      <c r="TKM63" s="349"/>
      <c r="TKN63" s="349"/>
      <c r="TKO63" s="349"/>
      <c r="TKP63" s="349"/>
      <c r="TKQ63" s="349"/>
      <c r="TKR63" s="349"/>
      <c r="TKS63" s="349"/>
      <c r="TKT63" s="349"/>
      <c r="TKU63" s="349"/>
      <c r="TKV63" s="349"/>
      <c r="TKW63" s="349"/>
      <c r="TKX63" s="349"/>
      <c r="TKY63" s="349"/>
      <c r="TKZ63" s="349"/>
      <c r="TLA63" s="349"/>
      <c r="TLB63" s="349"/>
      <c r="TLC63" s="349"/>
      <c r="TLD63" s="349"/>
      <c r="TLE63" s="349"/>
      <c r="TLF63" s="349"/>
      <c r="TLG63" s="349"/>
      <c r="TLH63" s="349"/>
      <c r="TLI63" s="349"/>
      <c r="TLJ63" s="349"/>
      <c r="TLK63" s="349"/>
      <c r="TLL63" s="349"/>
      <c r="TLM63" s="349"/>
      <c r="TLN63" s="349"/>
      <c r="TLO63" s="349"/>
      <c r="TLP63" s="349"/>
      <c r="TLQ63" s="349"/>
      <c r="TLR63" s="349"/>
      <c r="TLS63" s="349"/>
      <c r="TLT63" s="349"/>
      <c r="TLU63" s="349"/>
      <c r="TLV63" s="349"/>
      <c r="TLW63" s="349"/>
      <c r="TLX63" s="349"/>
      <c r="TLY63" s="349"/>
      <c r="TLZ63" s="349"/>
      <c r="TMA63" s="349"/>
      <c r="TMB63" s="349"/>
      <c r="TMC63" s="349"/>
      <c r="TMD63" s="349"/>
      <c r="TME63" s="349"/>
      <c r="TMF63" s="349"/>
      <c r="TMG63" s="349"/>
      <c r="TMH63" s="349"/>
      <c r="TMI63" s="349"/>
      <c r="TMJ63" s="349"/>
      <c r="TMK63" s="349"/>
      <c r="TML63" s="349"/>
      <c r="TMM63" s="349"/>
      <c r="TMN63" s="349"/>
      <c r="TMO63" s="349"/>
      <c r="TMP63" s="349"/>
      <c r="TMQ63" s="349"/>
      <c r="TMR63" s="349"/>
      <c r="TMS63" s="349"/>
      <c r="TMT63" s="349"/>
      <c r="TMU63" s="349"/>
      <c r="TMV63" s="349"/>
      <c r="TMW63" s="349"/>
      <c r="TMX63" s="349"/>
      <c r="TMY63" s="349"/>
      <c r="TMZ63" s="349"/>
      <c r="TNA63" s="349"/>
      <c r="TNB63" s="349"/>
      <c r="TNC63" s="349"/>
      <c r="TND63" s="349"/>
      <c r="TNE63" s="349"/>
      <c r="TNF63" s="349"/>
      <c r="TNG63" s="349"/>
      <c r="TNH63" s="349"/>
      <c r="TNI63" s="349"/>
      <c r="TNJ63" s="349"/>
      <c r="TNK63" s="349"/>
      <c r="TNL63" s="349"/>
      <c r="TNM63" s="349"/>
      <c r="TNN63" s="349"/>
      <c r="TNO63" s="349"/>
      <c r="TNP63" s="349"/>
      <c r="TNQ63" s="349"/>
      <c r="TNR63" s="349"/>
      <c r="TNS63" s="349"/>
      <c r="TNT63" s="349"/>
      <c r="TNU63" s="349"/>
      <c r="TNV63" s="349"/>
      <c r="TNW63" s="349"/>
      <c r="TNX63" s="349"/>
      <c r="TNY63" s="349"/>
      <c r="TNZ63" s="349"/>
      <c r="TOA63" s="349"/>
      <c r="TOB63" s="349"/>
      <c r="TOC63" s="349"/>
      <c r="TOD63" s="349"/>
      <c r="TOE63" s="349"/>
      <c r="TOF63" s="349"/>
      <c r="TOG63" s="349"/>
      <c r="TOH63" s="349"/>
      <c r="TOI63" s="349"/>
      <c r="TOJ63" s="349"/>
      <c r="TOK63" s="349"/>
      <c r="TOL63" s="349"/>
      <c r="TOM63" s="349"/>
      <c r="TON63" s="349"/>
      <c r="TOO63" s="349"/>
      <c r="TOP63" s="349"/>
      <c r="TOQ63" s="349"/>
      <c r="TOR63" s="349"/>
      <c r="TOS63" s="349"/>
      <c r="TOT63" s="349"/>
      <c r="TOU63" s="349"/>
      <c r="TOV63" s="349"/>
      <c r="TOW63" s="349"/>
      <c r="TOX63" s="349"/>
      <c r="TOY63" s="349"/>
      <c r="TOZ63" s="349"/>
      <c r="TPA63" s="349"/>
      <c r="TPB63" s="349"/>
      <c r="TPC63" s="349"/>
      <c r="TPD63" s="349"/>
      <c r="TPE63" s="349"/>
      <c r="TPF63" s="349"/>
      <c r="TPG63" s="349"/>
      <c r="TPH63" s="349"/>
      <c r="TPI63" s="349"/>
      <c r="TPJ63" s="349"/>
      <c r="TPK63" s="349"/>
      <c r="TPL63" s="349"/>
      <c r="TPM63" s="349"/>
      <c r="TPN63" s="349"/>
      <c r="TPO63" s="349"/>
      <c r="TPP63" s="349"/>
      <c r="TPQ63" s="349"/>
      <c r="TPR63" s="349"/>
      <c r="TPS63" s="349"/>
      <c r="TPT63" s="349"/>
      <c r="TPU63" s="349"/>
      <c r="TPV63" s="349"/>
      <c r="TPW63" s="349"/>
      <c r="TPX63" s="349"/>
      <c r="TPY63" s="349"/>
      <c r="TPZ63" s="349"/>
      <c r="TQA63" s="349"/>
      <c r="TQB63" s="349"/>
      <c r="TQC63" s="349"/>
      <c r="TQD63" s="349"/>
      <c r="TQE63" s="349"/>
      <c r="TQF63" s="349"/>
      <c r="TQG63" s="349"/>
      <c r="TQH63" s="349"/>
      <c r="TQI63" s="349"/>
      <c r="TQJ63" s="349"/>
      <c r="TQK63" s="349"/>
      <c r="TQL63" s="349"/>
      <c r="TQM63" s="349"/>
      <c r="TQN63" s="349"/>
      <c r="TQO63" s="349"/>
      <c r="TQP63" s="349"/>
      <c r="TQQ63" s="349"/>
      <c r="TQR63" s="349"/>
      <c r="TQS63" s="349"/>
      <c r="TQT63" s="349"/>
      <c r="TQU63" s="349"/>
      <c r="TQV63" s="349"/>
      <c r="TQW63" s="349"/>
      <c r="TQX63" s="349"/>
      <c r="TQY63" s="349"/>
      <c r="TQZ63" s="349"/>
      <c r="TRA63" s="349"/>
      <c r="TRB63" s="349"/>
      <c r="TRC63" s="349"/>
      <c r="TRD63" s="349"/>
      <c r="TRE63" s="349"/>
      <c r="TRF63" s="349"/>
      <c r="TRG63" s="349"/>
      <c r="TRH63" s="349"/>
      <c r="TRI63" s="349"/>
      <c r="TRJ63" s="349"/>
      <c r="TRK63" s="349"/>
      <c r="TRL63" s="349"/>
      <c r="TRM63" s="349"/>
      <c r="TRN63" s="349"/>
      <c r="TRO63" s="349"/>
      <c r="TRP63" s="349"/>
      <c r="TRQ63" s="349"/>
      <c r="TRR63" s="349"/>
      <c r="TRS63" s="349"/>
      <c r="TRT63" s="349"/>
      <c r="TRU63" s="349"/>
      <c r="TRV63" s="349"/>
      <c r="TRW63" s="349"/>
      <c r="TRX63" s="349"/>
      <c r="TRY63" s="349"/>
      <c r="TRZ63" s="349"/>
      <c r="TSA63" s="349"/>
      <c r="TSB63" s="349"/>
      <c r="TSC63" s="349"/>
      <c r="TSD63" s="349"/>
      <c r="TSE63" s="349"/>
      <c r="TSF63" s="349"/>
      <c r="TSG63" s="349"/>
      <c r="TSH63" s="349"/>
      <c r="TSI63" s="349"/>
      <c r="TSJ63" s="349"/>
      <c r="TSK63" s="349"/>
      <c r="TSL63" s="349"/>
      <c r="TSM63" s="349"/>
      <c r="TSN63" s="349"/>
      <c r="TSO63" s="349"/>
      <c r="TSP63" s="349"/>
      <c r="TSQ63" s="349"/>
      <c r="TSR63" s="349"/>
      <c r="TSS63" s="349"/>
      <c r="TST63" s="349"/>
      <c r="TSU63" s="349"/>
      <c r="TSV63" s="349"/>
      <c r="TSW63" s="349"/>
      <c r="TSX63" s="349"/>
      <c r="TSY63" s="349"/>
      <c r="TSZ63" s="349"/>
      <c r="TTA63" s="349"/>
      <c r="TTB63" s="349"/>
      <c r="TTC63" s="349"/>
      <c r="TTD63" s="349"/>
      <c r="TTE63" s="349"/>
      <c r="TTF63" s="349"/>
      <c r="TTG63" s="349"/>
      <c r="TTH63" s="349"/>
      <c r="TTI63" s="349"/>
      <c r="TTJ63" s="349"/>
      <c r="TTK63" s="349"/>
      <c r="TTL63" s="349"/>
      <c r="TTM63" s="349"/>
      <c r="TTN63" s="349"/>
      <c r="TTO63" s="349"/>
      <c r="TTP63" s="349"/>
      <c r="TTQ63" s="349"/>
      <c r="TTR63" s="349"/>
      <c r="TTS63" s="349"/>
      <c r="TTT63" s="349"/>
      <c r="TTU63" s="349"/>
      <c r="TTV63" s="349"/>
      <c r="TTW63" s="349"/>
      <c r="TTX63" s="349"/>
      <c r="TTY63" s="349"/>
      <c r="TTZ63" s="349"/>
      <c r="TUA63" s="349"/>
      <c r="TUB63" s="349"/>
      <c r="TUC63" s="349"/>
      <c r="TUD63" s="349"/>
      <c r="TUE63" s="349"/>
      <c r="TUF63" s="349"/>
      <c r="TUG63" s="349"/>
      <c r="TUH63" s="349"/>
      <c r="TUI63" s="349"/>
      <c r="TUJ63" s="349"/>
      <c r="TUK63" s="349"/>
      <c r="TUL63" s="349"/>
      <c r="TUM63" s="349"/>
      <c r="TUN63" s="349"/>
      <c r="TUO63" s="349"/>
      <c r="TUP63" s="349"/>
      <c r="TUQ63" s="349"/>
      <c r="TUR63" s="349"/>
      <c r="TUS63" s="349"/>
      <c r="TUT63" s="349"/>
      <c r="TUU63" s="349"/>
      <c r="TUV63" s="349"/>
      <c r="TUW63" s="349"/>
      <c r="TUX63" s="349"/>
      <c r="TUY63" s="349"/>
      <c r="TUZ63" s="349"/>
      <c r="TVA63" s="349"/>
      <c r="TVB63" s="349"/>
      <c r="TVC63" s="349"/>
      <c r="TVD63" s="349"/>
      <c r="TVE63" s="349"/>
      <c r="TVF63" s="349"/>
      <c r="TVG63" s="349"/>
      <c r="TVH63" s="349"/>
      <c r="TVI63" s="349"/>
      <c r="TVJ63" s="349"/>
      <c r="TVK63" s="349"/>
      <c r="TVL63" s="349"/>
      <c r="TVM63" s="349"/>
      <c r="TVN63" s="349"/>
      <c r="TVO63" s="349"/>
      <c r="TVP63" s="349"/>
      <c r="TVQ63" s="349"/>
      <c r="TVR63" s="349"/>
      <c r="TVS63" s="349"/>
      <c r="TVT63" s="349"/>
      <c r="TVU63" s="349"/>
      <c r="TVV63" s="349"/>
      <c r="TVW63" s="349"/>
      <c r="TVX63" s="349"/>
      <c r="TVY63" s="349"/>
      <c r="TVZ63" s="349"/>
      <c r="TWA63" s="349"/>
      <c r="TWB63" s="349"/>
      <c r="TWC63" s="349"/>
      <c r="TWD63" s="349"/>
      <c r="TWE63" s="349"/>
      <c r="TWF63" s="349"/>
      <c r="TWG63" s="349"/>
      <c r="TWH63" s="349"/>
      <c r="TWI63" s="349"/>
      <c r="TWJ63" s="349"/>
      <c r="TWK63" s="349"/>
      <c r="TWL63" s="349"/>
      <c r="TWM63" s="349"/>
      <c r="TWN63" s="349"/>
      <c r="TWO63" s="349"/>
      <c r="TWP63" s="349"/>
      <c r="TWQ63" s="349"/>
      <c r="TWR63" s="349"/>
      <c r="TWS63" s="349"/>
      <c r="TWT63" s="349"/>
      <c r="TWU63" s="349"/>
      <c r="TWV63" s="349"/>
      <c r="TWW63" s="349"/>
      <c r="TWX63" s="349"/>
      <c r="TWY63" s="349"/>
      <c r="TWZ63" s="349"/>
      <c r="TXA63" s="349"/>
      <c r="TXB63" s="349"/>
      <c r="TXC63" s="349"/>
      <c r="TXD63" s="349"/>
      <c r="TXE63" s="349"/>
      <c r="TXF63" s="349"/>
      <c r="TXG63" s="349"/>
      <c r="TXH63" s="349"/>
      <c r="TXI63" s="349"/>
      <c r="TXJ63" s="349"/>
      <c r="TXK63" s="349"/>
      <c r="TXL63" s="349"/>
      <c r="TXM63" s="349"/>
      <c r="TXN63" s="349"/>
      <c r="TXO63" s="349"/>
      <c r="TXP63" s="349"/>
      <c r="TXQ63" s="349"/>
      <c r="TXR63" s="349"/>
      <c r="TXS63" s="349"/>
      <c r="TXT63" s="349"/>
      <c r="TXU63" s="349"/>
      <c r="TXV63" s="349"/>
      <c r="TXW63" s="349"/>
      <c r="TXX63" s="349"/>
      <c r="TXY63" s="349"/>
      <c r="TXZ63" s="349"/>
      <c r="TYA63" s="349"/>
      <c r="TYB63" s="349"/>
      <c r="TYC63" s="349"/>
      <c r="TYD63" s="349"/>
      <c r="TYE63" s="349"/>
      <c r="TYF63" s="349"/>
      <c r="TYG63" s="349"/>
      <c r="TYH63" s="349"/>
      <c r="TYI63" s="349"/>
      <c r="TYJ63" s="349"/>
      <c r="TYK63" s="349"/>
      <c r="TYL63" s="349"/>
      <c r="TYM63" s="349"/>
      <c r="TYN63" s="349"/>
      <c r="TYO63" s="349"/>
      <c r="TYP63" s="349"/>
      <c r="TYQ63" s="349"/>
      <c r="TYR63" s="349"/>
      <c r="TYS63" s="349"/>
      <c r="TYT63" s="349"/>
      <c r="TYU63" s="349"/>
      <c r="TYV63" s="349"/>
      <c r="TYW63" s="349"/>
      <c r="TYX63" s="349"/>
      <c r="TYY63" s="349"/>
      <c r="TYZ63" s="349"/>
      <c r="TZA63" s="349"/>
      <c r="TZB63" s="349"/>
      <c r="TZC63" s="349"/>
      <c r="TZD63" s="349"/>
      <c r="TZE63" s="349"/>
      <c r="TZF63" s="349"/>
      <c r="TZG63" s="349"/>
      <c r="TZH63" s="349"/>
      <c r="TZI63" s="349"/>
      <c r="TZJ63" s="349"/>
      <c r="TZK63" s="349"/>
      <c r="TZL63" s="349"/>
      <c r="TZM63" s="349"/>
      <c r="TZN63" s="349"/>
      <c r="TZO63" s="349"/>
      <c r="TZP63" s="349"/>
      <c r="TZQ63" s="349"/>
      <c r="TZR63" s="349"/>
      <c r="TZS63" s="349"/>
      <c r="TZT63" s="349"/>
      <c r="TZU63" s="349"/>
      <c r="TZV63" s="349"/>
      <c r="TZW63" s="349"/>
      <c r="TZX63" s="349"/>
      <c r="TZY63" s="349"/>
      <c r="TZZ63" s="349"/>
      <c r="UAA63" s="349"/>
      <c r="UAB63" s="349"/>
      <c r="UAC63" s="349"/>
      <c r="UAD63" s="349"/>
      <c r="UAE63" s="349"/>
      <c r="UAF63" s="349"/>
      <c r="UAG63" s="349"/>
      <c r="UAH63" s="349"/>
      <c r="UAI63" s="349"/>
      <c r="UAJ63" s="349"/>
      <c r="UAK63" s="349"/>
      <c r="UAL63" s="349"/>
      <c r="UAM63" s="349"/>
      <c r="UAN63" s="349"/>
      <c r="UAO63" s="349"/>
      <c r="UAP63" s="349"/>
      <c r="UAQ63" s="349"/>
      <c r="UAR63" s="349"/>
      <c r="UAS63" s="349"/>
      <c r="UAT63" s="349"/>
      <c r="UAU63" s="349"/>
      <c r="UAV63" s="349"/>
      <c r="UAW63" s="349"/>
      <c r="UAX63" s="349"/>
      <c r="UAY63" s="349"/>
      <c r="UAZ63" s="349"/>
      <c r="UBA63" s="349"/>
      <c r="UBB63" s="349"/>
      <c r="UBC63" s="349"/>
      <c r="UBD63" s="349"/>
      <c r="UBE63" s="349"/>
      <c r="UBF63" s="349"/>
      <c r="UBG63" s="349"/>
      <c r="UBH63" s="349"/>
      <c r="UBI63" s="349"/>
      <c r="UBJ63" s="349"/>
      <c r="UBK63" s="349"/>
      <c r="UBL63" s="349"/>
      <c r="UBM63" s="349"/>
      <c r="UBN63" s="349"/>
      <c r="UBO63" s="349"/>
      <c r="UBP63" s="349"/>
      <c r="UBQ63" s="349"/>
      <c r="UBR63" s="349"/>
      <c r="UBS63" s="349"/>
      <c r="UBT63" s="349"/>
      <c r="UBU63" s="349"/>
      <c r="UBV63" s="349"/>
      <c r="UBW63" s="349"/>
      <c r="UBX63" s="349"/>
      <c r="UBY63" s="349"/>
      <c r="UBZ63" s="349"/>
      <c r="UCA63" s="349"/>
      <c r="UCB63" s="349"/>
      <c r="UCC63" s="349"/>
      <c r="UCD63" s="349"/>
      <c r="UCE63" s="349"/>
      <c r="UCF63" s="349"/>
      <c r="UCG63" s="349"/>
      <c r="UCH63" s="349"/>
      <c r="UCI63" s="349"/>
      <c r="UCJ63" s="349"/>
      <c r="UCK63" s="349"/>
      <c r="UCL63" s="349"/>
      <c r="UCM63" s="349"/>
      <c r="UCN63" s="349"/>
      <c r="UCO63" s="349"/>
      <c r="UCP63" s="349"/>
      <c r="UCQ63" s="349"/>
      <c r="UCR63" s="349"/>
      <c r="UCS63" s="349"/>
      <c r="UCT63" s="349"/>
      <c r="UCU63" s="349"/>
      <c r="UCV63" s="349"/>
      <c r="UCW63" s="349"/>
      <c r="UCX63" s="349"/>
      <c r="UCY63" s="349"/>
      <c r="UCZ63" s="349"/>
      <c r="UDA63" s="349"/>
      <c r="UDB63" s="349"/>
      <c r="UDC63" s="349"/>
      <c r="UDD63" s="349"/>
      <c r="UDE63" s="349"/>
      <c r="UDF63" s="349"/>
      <c r="UDG63" s="349"/>
      <c r="UDH63" s="349"/>
      <c r="UDI63" s="349"/>
      <c r="UDJ63" s="349"/>
      <c r="UDK63" s="349"/>
      <c r="UDL63" s="349"/>
      <c r="UDM63" s="349"/>
      <c r="UDN63" s="349"/>
      <c r="UDO63" s="349"/>
      <c r="UDP63" s="349"/>
      <c r="UDQ63" s="349"/>
      <c r="UDR63" s="349"/>
      <c r="UDS63" s="349"/>
      <c r="UDT63" s="349"/>
      <c r="UDU63" s="349"/>
      <c r="UDV63" s="349"/>
      <c r="UDW63" s="349"/>
      <c r="UDX63" s="349"/>
      <c r="UDY63" s="349"/>
      <c r="UDZ63" s="349"/>
      <c r="UEA63" s="349"/>
      <c r="UEB63" s="349"/>
      <c r="UEC63" s="349"/>
      <c r="UED63" s="349"/>
      <c r="UEE63" s="349"/>
      <c r="UEF63" s="349"/>
      <c r="UEG63" s="349"/>
      <c r="UEH63" s="349"/>
      <c r="UEI63" s="349"/>
      <c r="UEJ63" s="349"/>
      <c r="UEK63" s="349"/>
      <c r="UEL63" s="349"/>
      <c r="UEM63" s="349"/>
      <c r="UEN63" s="349"/>
      <c r="UEO63" s="349"/>
      <c r="UEP63" s="349"/>
      <c r="UEQ63" s="349"/>
      <c r="UER63" s="349"/>
      <c r="UES63" s="349"/>
      <c r="UET63" s="349"/>
      <c r="UEU63" s="349"/>
      <c r="UEV63" s="349"/>
      <c r="UEW63" s="349"/>
      <c r="UEX63" s="349"/>
      <c r="UEY63" s="349"/>
      <c r="UEZ63" s="349"/>
      <c r="UFA63" s="349"/>
      <c r="UFB63" s="349"/>
      <c r="UFC63" s="349"/>
      <c r="UFD63" s="349"/>
      <c r="UFE63" s="349"/>
      <c r="UFF63" s="349"/>
      <c r="UFG63" s="349"/>
      <c r="UFH63" s="349"/>
      <c r="UFI63" s="349"/>
      <c r="UFJ63" s="349"/>
      <c r="UFK63" s="349"/>
      <c r="UFL63" s="349"/>
      <c r="UFM63" s="349"/>
      <c r="UFN63" s="349"/>
      <c r="UFO63" s="349"/>
      <c r="UFP63" s="349"/>
      <c r="UFQ63" s="349"/>
      <c r="UFR63" s="349"/>
      <c r="UFS63" s="349"/>
      <c r="UFT63" s="349"/>
      <c r="UFU63" s="349"/>
      <c r="UFV63" s="349"/>
      <c r="UFW63" s="349"/>
      <c r="UFX63" s="349"/>
      <c r="UFY63" s="349"/>
      <c r="UFZ63" s="349"/>
      <c r="UGA63" s="349"/>
      <c r="UGB63" s="349"/>
      <c r="UGC63" s="349"/>
      <c r="UGD63" s="349"/>
      <c r="UGE63" s="349"/>
      <c r="UGF63" s="349"/>
      <c r="UGG63" s="349"/>
      <c r="UGH63" s="349"/>
      <c r="UGI63" s="349"/>
      <c r="UGJ63" s="349"/>
      <c r="UGK63" s="349"/>
      <c r="UGL63" s="349"/>
      <c r="UGM63" s="349"/>
      <c r="UGN63" s="349"/>
      <c r="UGO63" s="349"/>
      <c r="UGP63" s="349"/>
      <c r="UGQ63" s="349"/>
      <c r="UGR63" s="349"/>
      <c r="UGS63" s="349"/>
      <c r="UGT63" s="349"/>
      <c r="UGU63" s="349"/>
      <c r="UGV63" s="349"/>
      <c r="UGW63" s="349"/>
      <c r="UGX63" s="349"/>
      <c r="UGY63" s="349"/>
      <c r="UGZ63" s="349"/>
      <c r="UHA63" s="349"/>
      <c r="UHB63" s="349"/>
      <c r="UHC63" s="349"/>
      <c r="UHD63" s="349"/>
      <c r="UHE63" s="349"/>
      <c r="UHF63" s="349"/>
      <c r="UHG63" s="349"/>
      <c r="UHH63" s="349"/>
      <c r="UHI63" s="349"/>
      <c r="UHJ63" s="349"/>
      <c r="UHK63" s="349"/>
      <c r="UHL63" s="349"/>
      <c r="UHM63" s="349"/>
      <c r="UHN63" s="349"/>
      <c r="UHO63" s="349"/>
      <c r="UHP63" s="349"/>
      <c r="UHQ63" s="349"/>
      <c r="UHR63" s="349"/>
      <c r="UHS63" s="349"/>
      <c r="UHT63" s="349"/>
      <c r="UHU63" s="349"/>
      <c r="UHV63" s="349"/>
      <c r="UHW63" s="349"/>
      <c r="UHX63" s="349"/>
      <c r="UHY63" s="349"/>
      <c r="UHZ63" s="349"/>
      <c r="UIA63" s="349"/>
      <c r="UIB63" s="349"/>
      <c r="UIC63" s="349"/>
      <c r="UID63" s="349"/>
      <c r="UIE63" s="349"/>
      <c r="UIF63" s="349"/>
      <c r="UIG63" s="349"/>
      <c r="UIH63" s="349"/>
      <c r="UII63" s="349"/>
      <c r="UIJ63" s="349"/>
      <c r="UIK63" s="349"/>
      <c r="UIL63" s="349"/>
      <c r="UIM63" s="349"/>
      <c r="UIN63" s="349"/>
      <c r="UIO63" s="349"/>
      <c r="UIP63" s="349"/>
      <c r="UIQ63" s="349"/>
      <c r="UIR63" s="349"/>
      <c r="UIS63" s="349"/>
      <c r="UIT63" s="349"/>
      <c r="UIU63" s="349"/>
      <c r="UIV63" s="349"/>
      <c r="UIW63" s="349"/>
      <c r="UIX63" s="349"/>
      <c r="UIY63" s="349"/>
      <c r="UIZ63" s="349"/>
      <c r="UJA63" s="349"/>
      <c r="UJB63" s="349"/>
      <c r="UJC63" s="349"/>
      <c r="UJD63" s="349"/>
      <c r="UJE63" s="349"/>
      <c r="UJF63" s="349"/>
      <c r="UJG63" s="349"/>
      <c r="UJH63" s="349"/>
      <c r="UJI63" s="349"/>
      <c r="UJJ63" s="349"/>
      <c r="UJK63" s="349"/>
      <c r="UJL63" s="349"/>
      <c r="UJM63" s="349"/>
      <c r="UJN63" s="349"/>
      <c r="UJO63" s="349"/>
      <c r="UJP63" s="349"/>
      <c r="UJQ63" s="349"/>
      <c r="UJR63" s="349"/>
      <c r="UJS63" s="349"/>
      <c r="UJT63" s="349"/>
      <c r="UJU63" s="349"/>
      <c r="UJV63" s="349"/>
      <c r="UJW63" s="349"/>
      <c r="UJX63" s="349"/>
      <c r="UJY63" s="349"/>
      <c r="UJZ63" s="349"/>
      <c r="UKA63" s="349"/>
      <c r="UKB63" s="349"/>
      <c r="UKC63" s="349"/>
      <c r="UKD63" s="349"/>
      <c r="UKE63" s="349"/>
      <c r="UKF63" s="349"/>
      <c r="UKG63" s="349"/>
      <c r="UKH63" s="349"/>
      <c r="UKI63" s="349"/>
      <c r="UKJ63" s="349"/>
      <c r="UKK63" s="349"/>
      <c r="UKL63" s="349"/>
      <c r="UKM63" s="349"/>
      <c r="UKN63" s="349"/>
      <c r="UKO63" s="349"/>
      <c r="UKP63" s="349"/>
      <c r="UKQ63" s="349"/>
      <c r="UKR63" s="349"/>
      <c r="UKS63" s="349"/>
      <c r="UKT63" s="349"/>
      <c r="UKU63" s="349"/>
      <c r="UKV63" s="349"/>
      <c r="UKW63" s="349"/>
      <c r="UKX63" s="349"/>
      <c r="UKY63" s="349"/>
      <c r="UKZ63" s="349"/>
      <c r="ULA63" s="349"/>
      <c r="ULB63" s="349"/>
      <c r="ULC63" s="349"/>
      <c r="ULD63" s="349"/>
      <c r="ULE63" s="349"/>
      <c r="ULF63" s="349"/>
      <c r="ULG63" s="349"/>
      <c r="ULH63" s="349"/>
      <c r="ULI63" s="349"/>
      <c r="ULJ63" s="349"/>
      <c r="ULK63" s="349"/>
      <c r="ULL63" s="349"/>
      <c r="ULM63" s="349"/>
      <c r="ULN63" s="349"/>
      <c r="ULO63" s="349"/>
      <c r="ULP63" s="349"/>
      <c r="ULQ63" s="349"/>
      <c r="ULR63" s="349"/>
      <c r="ULS63" s="349"/>
      <c r="ULT63" s="349"/>
      <c r="ULU63" s="349"/>
      <c r="ULV63" s="349"/>
      <c r="ULW63" s="349"/>
      <c r="ULX63" s="349"/>
      <c r="ULY63" s="349"/>
      <c r="ULZ63" s="349"/>
      <c r="UMA63" s="349"/>
      <c r="UMB63" s="349"/>
      <c r="UMC63" s="349"/>
      <c r="UMD63" s="349"/>
      <c r="UME63" s="349"/>
      <c r="UMF63" s="349"/>
      <c r="UMG63" s="349"/>
      <c r="UMH63" s="349"/>
      <c r="UMI63" s="349"/>
      <c r="UMJ63" s="349"/>
      <c r="UMK63" s="349"/>
      <c r="UML63" s="349"/>
      <c r="UMM63" s="349"/>
      <c r="UMN63" s="349"/>
      <c r="UMO63" s="349"/>
      <c r="UMP63" s="349"/>
      <c r="UMQ63" s="349"/>
      <c r="UMR63" s="349"/>
      <c r="UMS63" s="349"/>
      <c r="UMT63" s="349"/>
      <c r="UMU63" s="349"/>
      <c r="UMV63" s="349"/>
      <c r="UMW63" s="349"/>
      <c r="UMX63" s="349"/>
      <c r="UMY63" s="349"/>
      <c r="UMZ63" s="349"/>
      <c r="UNA63" s="349"/>
      <c r="UNB63" s="349"/>
      <c r="UNC63" s="349"/>
      <c r="UND63" s="349"/>
      <c r="UNE63" s="349"/>
      <c r="UNF63" s="349"/>
      <c r="UNG63" s="349"/>
      <c r="UNH63" s="349"/>
      <c r="UNI63" s="349"/>
      <c r="UNJ63" s="349"/>
      <c r="UNK63" s="349"/>
      <c r="UNL63" s="349"/>
      <c r="UNM63" s="349"/>
      <c r="UNN63" s="349"/>
      <c r="UNO63" s="349"/>
      <c r="UNP63" s="349"/>
      <c r="UNQ63" s="349"/>
      <c r="UNR63" s="349"/>
      <c r="UNS63" s="349"/>
      <c r="UNT63" s="349"/>
      <c r="UNU63" s="349"/>
      <c r="UNV63" s="349"/>
      <c r="UNW63" s="349"/>
      <c r="UNX63" s="349"/>
      <c r="UNY63" s="349"/>
      <c r="UNZ63" s="349"/>
      <c r="UOA63" s="349"/>
      <c r="UOB63" s="349"/>
      <c r="UOC63" s="349"/>
      <c r="UOD63" s="349"/>
      <c r="UOE63" s="349"/>
      <c r="UOF63" s="349"/>
      <c r="UOG63" s="349"/>
      <c r="UOH63" s="349"/>
      <c r="UOI63" s="349"/>
      <c r="UOJ63" s="349"/>
      <c r="UOK63" s="349"/>
      <c r="UOL63" s="349"/>
      <c r="UOM63" s="349"/>
      <c r="UON63" s="349"/>
      <c r="UOO63" s="349"/>
      <c r="UOP63" s="349"/>
      <c r="UOQ63" s="349"/>
      <c r="UOR63" s="349"/>
      <c r="UOS63" s="349"/>
      <c r="UOT63" s="349"/>
      <c r="UOU63" s="349"/>
      <c r="UOV63" s="349"/>
      <c r="UOW63" s="349"/>
      <c r="UOX63" s="349"/>
      <c r="UOY63" s="349"/>
      <c r="UOZ63" s="349"/>
      <c r="UPA63" s="349"/>
      <c r="UPB63" s="349"/>
      <c r="UPC63" s="349"/>
      <c r="UPD63" s="349"/>
      <c r="UPE63" s="349"/>
      <c r="UPF63" s="349"/>
      <c r="UPG63" s="349"/>
      <c r="UPH63" s="349"/>
      <c r="UPI63" s="349"/>
      <c r="UPJ63" s="349"/>
      <c r="UPK63" s="349"/>
      <c r="UPL63" s="349"/>
      <c r="UPM63" s="349"/>
      <c r="UPN63" s="349"/>
      <c r="UPO63" s="349"/>
      <c r="UPP63" s="349"/>
      <c r="UPQ63" s="349"/>
      <c r="UPR63" s="349"/>
      <c r="UPS63" s="349"/>
      <c r="UPT63" s="349"/>
      <c r="UPU63" s="349"/>
      <c r="UPV63" s="349"/>
      <c r="UPW63" s="349"/>
      <c r="UPX63" s="349"/>
      <c r="UPY63" s="349"/>
      <c r="UPZ63" s="349"/>
      <c r="UQA63" s="349"/>
      <c r="UQB63" s="349"/>
      <c r="UQC63" s="349"/>
      <c r="UQD63" s="349"/>
      <c r="UQE63" s="349"/>
      <c r="UQF63" s="349"/>
      <c r="UQG63" s="349"/>
      <c r="UQH63" s="349"/>
      <c r="UQI63" s="349"/>
      <c r="UQJ63" s="349"/>
      <c r="UQK63" s="349"/>
      <c r="UQL63" s="349"/>
      <c r="UQM63" s="349"/>
      <c r="UQN63" s="349"/>
      <c r="UQO63" s="349"/>
      <c r="UQP63" s="349"/>
      <c r="UQQ63" s="349"/>
      <c r="UQR63" s="349"/>
      <c r="UQS63" s="349"/>
      <c r="UQT63" s="349"/>
      <c r="UQU63" s="349"/>
      <c r="UQV63" s="349"/>
      <c r="UQW63" s="349"/>
      <c r="UQX63" s="349"/>
      <c r="UQY63" s="349"/>
      <c r="UQZ63" s="349"/>
      <c r="URA63" s="349"/>
      <c r="URB63" s="349"/>
      <c r="URC63" s="349"/>
      <c r="URD63" s="349"/>
      <c r="URE63" s="349"/>
      <c r="URF63" s="349"/>
      <c r="URG63" s="349"/>
      <c r="URH63" s="349"/>
      <c r="URI63" s="349"/>
      <c r="URJ63" s="349"/>
      <c r="URK63" s="349"/>
      <c r="URL63" s="349"/>
      <c r="URM63" s="349"/>
      <c r="URN63" s="349"/>
      <c r="URO63" s="349"/>
      <c r="URP63" s="349"/>
      <c r="URQ63" s="349"/>
      <c r="URR63" s="349"/>
      <c r="URS63" s="349"/>
      <c r="URT63" s="349"/>
      <c r="URU63" s="349"/>
      <c r="URV63" s="349"/>
      <c r="URW63" s="349"/>
      <c r="URX63" s="349"/>
      <c r="URY63" s="349"/>
      <c r="URZ63" s="349"/>
      <c r="USA63" s="349"/>
      <c r="USB63" s="349"/>
      <c r="USC63" s="349"/>
      <c r="USD63" s="349"/>
      <c r="USE63" s="349"/>
      <c r="USF63" s="349"/>
      <c r="USG63" s="349"/>
      <c r="USH63" s="349"/>
      <c r="USI63" s="349"/>
      <c r="USJ63" s="349"/>
      <c r="USK63" s="349"/>
      <c r="USL63" s="349"/>
      <c r="USM63" s="349"/>
      <c r="USN63" s="349"/>
      <c r="USO63" s="349"/>
      <c r="USP63" s="349"/>
      <c r="USQ63" s="349"/>
      <c r="USR63" s="349"/>
      <c r="USS63" s="349"/>
      <c r="UST63" s="349"/>
      <c r="USU63" s="349"/>
      <c r="USV63" s="349"/>
      <c r="USW63" s="349"/>
      <c r="USX63" s="349"/>
      <c r="USY63" s="349"/>
      <c r="USZ63" s="349"/>
      <c r="UTA63" s="349"/>
      <c r="UTB63" s="349"/>
      <c r="UTC63" s="349"/>
      <c r="UTD63" s="349"/>
      <c r="UTE63" s="349"/>
      <c r="UTF63" s="349"/>
      <c r="UTG63" s="349"/>
      <c r="UTH63" s="349"/>
      <c r="UTI63" s="349"/>
      <c r="UTJ63" s="349"/>
      <c r="UTK63" s="349"/>
      <c r="UTL63" s="349"/>
      <c r="UTM63" s="349"/>
      <c r="UTN63" s="349"/>
      <c r="UTO63" s="349"/>
      <c r="UTP63" s="349"/>
      <c r="UTQ63" s="349"/>
      <c r="UTR63" s="349"/>
      <c r="UTS63" s="349"/>
      <c r="UTT63" s="349"/>
      <c r="UTU63" s="349"/>
      <c r="UTV63" s="349"/>
      <c r="UTW63" s="349"/>
      <c r="UTX63" s="349"/>
      <c r="UTY63" s="349"/>
      <c r="UTZ63" s="349"/>
      <c r="UUA63" s="349"/>
      <c r="UUB63" s="349"/>
      <c r="UUC63" s="349"/>
      <c r="UUD63" s="349"/>
      <c r="UUE63" s="349"/>
      <c r="UUF63" s="349"/>
      <c r="UUG63" s="349"/>
      <c r="UUH63" s="349"/>
      <c r="UUI63" s="349"/>
      <c r="UUJ63" s="349"/>
      <c r="UUK63" s="349"/>
      <c r="UUL63" s="349"/>
      <c r="UUM63" s="349"/>
      <c r="UUN63" s="349"/>
      <c r="UUO63" s="349"/>
      <c r="UUP63" s="349"/>
      <c r="UUQ63" s="349"/>
      <c r="UUR63" s="349"/>
      <c r="UUS63" s="349"/>
      <c r="UUT63" s="349"/>
      <c r="UUU63" s="349"/>
      <c r="UUV63" s="349"/>
      <c r="UUW63" s="349"/>
      <c r="UUX63" s="349"/>
      <c r="UUY63" s="349"/>
      <c r="UUZ63" s="349"/>
      <c r="UVA63" s="349"/>
      <c r="UVB63" s="349"/>
      <c r="UVC63" s="349"/>
      <c r="UVD63" s="349"/>
      <c r="UVE63" s="349"/>
      <c r="UVF63" s="349"/>
      <c r="UVG63" s="349"/>
      <c r="UVH63" s="349"/>
      <c r="UVI63" s="349"/>
      <c r="UVJ63" s="349"/>
      <c r="UVK63" s="349"/>
      <c r="UVL63" s="349"/>
      <c r="UVM63" s="349"/>
      <c r="UVN63" s="349"/>
      <c r="UVO63" s="349"/>
      <c r="UVP63" s="349"/>
      <c r="UVQ63" s="349"/>
      <c r="UVR63" s="349"/>
      <c r="UVS63" s="349"/>
      <c r="UVT63" s="349"/>
      <c r="UVU63" s="349"/>
      <c r="UVV63" s="349"/>
      <c r="UVW63" s="349"/>
      <c r="UVX63" s="349"/>
      <c r="UVY63" s="349"/>
      <c r="UVZ63" s="349"/>
      <c r="UWA63" s="349"/>
      <c r="UWB63" s="349"/>
      <c r="UWC63" s="349"/>
      <c r="UWD63" s="349"/>
      <c r="UWE63" s="349"/>
      <c r="UWF63" s="349"/>
      <c r="UWG63" s="349"/>
      <c r="UWH63" s="349"/>
      <c r="UWI63" s="349"/>
      <c r="UWJ63" s="349"/>
      <c r="UWK63" s="349"/>
      <c r="UWL63" s="349"/>
      <c r="UWM63" s="349"/>
      <c r="UWN63" s="349"/>
      <c r="UWO63" s="349"/>
      <c r="UWP63" s="349"/>
      <c r="UWQ63" s="349"/>
      <c r="UWR63" s="349"/>
      <c r="UWS63" s="349"/>
      <c r="UWT63" s="349"/>
      <c r="UWU63" s="349"/>
      <c r="UWV63" s="349"/>
      <c r="UWW63" s="349"/>
      <c r="UWX63" s="349"/>
      <c r="UWY63" s="349"/>
      <c r="UWZ63" s="349"/>
      <c r="UXA63" s="349"/>
      <c r="UXB63" s="349"/>
      <c r="UXC63" s="349"/>
      <c r="UXD63" s="349"/>
      <c r="UXE63" s="349"/>
      <c r="UXF63" s="349"/>
      <c r="UXG63" s="349"/>
      <c r="UXH63" s="349"/>
      <c r="UXI63" s="349"/>
      <c r="UXJ63" s="349"/>
      <c r="UXK63" s="349"/>
      <c r="UXL63" s="349"/>
      <c r="UXM63" s="349"/>
      <c r="UXN63" s="349"/>
      <c r="UXO63" s="349"/>
      <c r="UXP63" s="349"/>
      <c r="UXQ63" s="349"/>
      <c r="UXR63" s="349"/>
      <c r="UXS63" s="349"/>
      <c r="UXT63" s="349"/>
      <c r="UXU63" s="349"/>
      <c r="UXV63" s="349"/>
      <c r="UXW63" s="349"/>
      <c r="UXX63" s="349"/>
      <c r="UXY63" s="349"/>
      <c r="UXZ63" s="349"/>
      <c r="UYA63" s="349"/>
      <c r="UYB63" s="349"/>
      <c r="UYC63" s="349"/>
      <c r="UYD63" s="349"/>
      <c r="UYE63" s="349"/>
      <c r="UYF63" s="349"/>
      <c r="UYG63" s="349"/>
      <c r="UYH63" s="349"/>
      <c r="UYI63" s="349"/>
      <c r="UYJ63" s="349"/>
      <c r="UYK63" s="349"/>
      <c r="UYL63" s="349"/>
      <c r="UYM63" s="349"/>
      <c r="UYN63" s="349"/>
      <c r="UYO63" s="349"/>
      <c r="UYP63" s="349"/>
      <c r="UYQ63" s="349"/>
      <c r="UYR63" s="349"/>
      <c r="UYS63" s="349"/>
      <c r="UYT63" s="349"/>
      <c r="UYU63" s="349"/>
      <c r="UYV63" s="349"/>
      <c r="UYW63" s="349"/>
      <c r="UYX63" s="349"/>
      <c r="UYY63" s="349"/>
      <c r="UYZ63" s="349"/>
      <c r="UZA63" s="349"/>
      <c r="UZB63" s="349"/>
      <c r="UZC63" s="349"/>
      <c r="UZD63" s="349"/>
      <c r="UZE63" s="349"/>
      <c r="UZF63" s="349"/>
      <c r="UZG63" s="349"/>
      <c r="UZH63" s="349"/>
      <c r="UZI63" s="349"/>
      <c r="UZJ63" s="349"/>
      <c r="UZK63" s="349"/>
      <c r="UZL63" s="349"/>
      <c r="UZM63" s="349"/>
      <c r="UZN63" s="349"/>
      <c r="UZO63" s="349"/>
      <c r="UZP63" s="349"/>
      <c r="UZQ63" s="349"/>
      <c r="UZR63" s="349"/>
      <c r="UZS63" s="349"/>
      <c r="UZT63" s="349"/>
      <c r="UZU63" s="349"/>
      <c r="UZV63" s="349"/>
      <c r="UZW63" s="349"/>
      <c r="UZX63" s="349"/>
      <c r="UZY63" s="349"/>
      <c r="UZZ63" s="349"/>
      <c r="VAA63" s="349"/>
      <c r="VAB63" s="349"/>
      <c r="VAC63" s="349"/>
      <c r="VAD63" s="349"/>
      <c r="VAE63" s="349"/>
      <c r="VAF63" s="349"/>
      <c r="VAG63" s="349"/>
      <c r="VAH63" s="349"/>
      <c r="VAI63" s="349"/>
      <c r="VAJ63" s="349"/>
      <c r="VAK63" s="349"/>
      <c r="VAL63" s="349"/>
      <c r="VAM63" s="349"/>
      <c r="VAN63" s="349"/>
      <c r="VAO63" s="349"/>
      <c r="VAP63" s="349"/>
      <c r="VAQ63" s="349"/>
      <c r="VAR63" s="349"/>
      <c r="VAS63" s="349"/>
      <c r="VAT63" s="349"/>
      <c r="VAU63" s="349"/>
      <c r="VAV63" s="349"/>
      <c r="VAW63" s="349"/>
      <c r="VAX63" s="349"/>
      <c r="VAY63" s="349"/>
      <c r="VAZ63" s="349"/>
      <c r="VBA63" s="349"/>
      <c r="VBB63" s="349"/>
      <c r="VBC63" s="349"/>
      <c r="VBD63" s="349"/>
      <c r="VBE63" s="349"/>
      <c r="VBF63" s="349"/>
      <c r="VBG63" s="349"/>
      <c r="VBH63" s="349"/>
      <c r="VBI63" s="349"/>
      <c r="VBJ63" s="349"/>
      <c r="VBK63" s="349"/>
      <c r="VBL63" s="349"/>
      <c r="VBM63" s="349"/>
      <c r="VBN63" s="349"/>
      <c r="VBO63" s="349"/>
      <c r="VBP63" s="349"/>
      <c r="VBQ63" s="349"/>
      <c r="VBR63" s="349"/>
      <c r="VBS63" s="349"/>
      <c r="VBT63" s="349"/>
      <c r="VBU63" s="349"/>
      <c r="VBV63" s="349"/>
      <c r="VBW63" s="349"/>
      <c r="VBX63" s="349"/>
      <c r="VBY63" s="349"/>
      <c r="VBZ63" s="349"/>
      <c r="VCA63" s="349"/>
      <c r="VCB63" s="349"/>
      <c r="VCC63" s="349"/>
      <c r="VCD63" s="349"/>
      <c r="VCE63" s="349"/>
      <c r="VCF63" s="349"/>
      <c r="VCG63" s="349"/>
      <c r="VCH63" s="349"/>
      <c r="VCI63" s="349"/>
      <c r="VCJ63" s="349"/>
      <c r="VCK63" s="349"/>
      <c r="VCL63" s="349"/>
      <c r="VCM63" s="349"/>
      <c r="VCN63" s="349"/>
      <c r="VCO63" s="349"/>
      <c r="VCP63" s="349"/>
      <c r="VCQ63" s="349"/>
      <c r="VCR63" s="349"/>
      <c r="VCS63" s="349"/>
      <c r="VCT63" s="349"/>
      <c r="VCU63" s="349"/>
      <c r="VCV63" s="349"/>
      <c r="VCW63" s="349"/>
      <c r="VCX63" s="349"/>
      <c r="VCY63" s="349"/>
      <c r="VCZ63" s="349"/>
      <c r="VDA63" s="349"/>
      <c r="VDB63" s="349"/>
      <c r="VDC63" s="349"/>
      <c r="VDD63" s="349"/>
      <c r="VDE63" s="349"/>
      <c r="VDF63" s="349"/>
      <c r="VDG63" s="349"/>
      <c r="VDH63" s="349"/>
      <c r="VDI63" s="349"/>
      <c r="VDJ63" s="349"/>
      <c r="VDK63" s="349"/>
      <c r="VDL63" s="349"/>
      <c r="VDM63" s="349"/>
      <c r="VDN63" s="349"/>
      <c r="VDO63" s="349"/>
      <c r="VDP63" s="349"/>
      <c r="VDQ63" s="349"/>
      <c r="VDR63" s="349"/>
      <c r="VDS63" s="349"/>
      <c r="VDT63" s="349"/>
      <c r="VDU63" s="349"/>
      <c r="VDV63" s="349"/>
      <c r="VDW63" s="349"/>
      <c r="VDX63" s="349"/>
      <c r="VDY63" s="349"/>
      <c r="VDZ63" s="349"/>
      <c r="VEA63" s="349"/>
      <c r="VEB63" s="349"/>
      <c r="VEC63" s="349"/>
      <c r="VED63" s="349"/>
      <c r="VEE63" s="349"/>
      <c r="VEF63" s="349"/>
      <c r="VEG63" s="349"/>
      <c r="VEH63" s="349"/>
      <c r="VEI63" s="349"/>
      <c r="VEJ63" s="349"/>
      <c r="VEK63" s="349"/>
      <c r="VEL63" s="349"/>
      <c r="VEM63" s="349"/>
      <c r="VEN63" s="349"/>
      <c r="VEO63" s="349"/>
      <c r="VEP63" s="349"/>
      <c r="VEQ63" s="349"/>
      <c r="VER63" s="349"/>
      <c r="VES63" s="349"/>
      <c r="VET63" s="349"/>
      <c r="VEU63" s="349"/>
      <c r="VEV63" s="349"/>
      <c r="VEW63" s="349"/>
      <c r="VEX63" s="349"/>
      <c r="VEY63" s="349"/>
      <c r="VEZ63" s="349"/>
      <c r="VFA63" s="349"/>
      <c r="VFB63" s="349"/>
      <c r="VFC63" s="349"/>
      <c r="VFD63" s="349"/>
      <c r="VFE63" s="349"/>
      <c r="VFF63" s="349"/>
      <c r="VFG63" s="349"/>
      <c r="VFH63" s="349"/>
      <c r="VFI63" s="349"/>
      <c r="VFJ63" s="349"/>
      <c r="VFK63" s="349"/>
      <c r="VFL63" s="349"/>
      <c r="VFM63" s="349"/>
      <c r="VFN63" s="349"/>
      <c r="VFO63" s="349"/>
      <c r="VFP63" s="349"/>
      <c r="VFQ63" s="349"/>
      <c r="VFR63" s="349"/>
      <c r="VFS63" s="349"/>
      <c r="VFT63" s="349"/>
      <c r="VFU63" s="349"/>
      <c r="VFV63" s="349"/>
      <c r="VFW63" s="349"/>
      <c r="VFX63" s="349"/>
      <c r="VFY63" s="349"/>
      <c r="VFZ63" s="349"/>
      <c r="VGA63" s="349"/>
      <c r="VGB63" s="349"/>
      <c r="VGC63" s="349"/>
      <c r="VGD63" s="349"/>
      <c r="VGE63" s="349"/>
      <c r="VGF63" s="349"/>
      <c r="VGG63" s="349"/>
      <c r="VGH63" s="349"/>
      <c r="VGI63" s="349"/>
      <c r="VGJ63" s="349"/>
      <c r="VGK63" s="349"/>
      <c r="VGL63" s="349"/>
      <c r="VGM63" s="349"/>
      <c r="VGN63" s="349"/>
      <c r="VGO63" s="349"/>
      <c r="VGP63" s="349"/>
      <c r="VGQ63" s="349"/>
      <c r="VGR63" s="349"/>
      <c r="VGS63" s="349"/>
      <c r="VGT63" s="349"/>
      <c r="VGU63" s="349"/>
      <c r="VGV63" s="349"/>
      <c r="VGW63" s="349"/>
      <c r="VGX63" s="349"/>
      <c r="VGY63" s="349"/>
      <c r="VGZ63" s="349"/>
      <c r="VHA63" s="349"/>
      <c r="VHB63" s="349"/>
      <c r="VHC63" s="349"/>
      <c r="VHD63" s="349"/>
      <c r="VHE63" s="349"/>
      <c r="VHF63" s="349"/>
      <c r="VHG63" s="349"/>
      <c r="VHH63" s="349"/>
      <c r="VHI63" s="349"/>
      <c r="VHJ63" s="349"/>
      <c r="VHK63" s="349"/>
      <c r="VHL63" s="349"/>
      <c r="VHM63" s="349"/>
      <c r="VHN63" s="349"/>
      <c r="VHO63" s="349"/>
      <c r="VHP63" s="349"/>
      <c r="VHQ63" s="349"/>
      <c r="VHR63" s="349"/>
      <c r="VHS63" s="349"/>
      <c r="VHT63" s="349"/>
      <c r="VHU63" s="349"/>
      <c r="VHV63" s="349"/>
      <c r="VHW63" s="349"/>
      <c r="VHX63" s="349"/>
      <c r="VHY63" s="349"/>
      <c r="VHZ63" s="349"/>
      <c r="VIA63" s="349"/>
      <c r="VIB63" s="349"/>
      <c r="VIC63" s="349"/>
      <c r="VID63" s="349"/>
      <c r="VIE63" s="349"/>
      <c r="VIF63" s="349"/>
      <c r="VIG63" s="349"/>
      <c r="VIH63" s="349"/>
      <c r="VII63" s="349"/>
      <c r="VIJ63" s="349"/>
      <c r="VIK63" s="349"/>
      <c r="VIL63" s="349"/>
      <c r="VIM63" s="349"/>
      <c r="VIN63" s="349"/>
      <c r="VIO63" s="349"/>
      <c r="VIP63" s="349"/>
      <c r="VIQ63" s="349"/>
      <c r="VIR63" s="349"/>
      <c r="VIS63" s="349"/>
      <c r="VIT63" s="349"/>
      <c r="VIU63" s="349"/>
      <c r="VIV63" s="349"/>
      <c r="VIW63" s="349"/>
      <c r="VIX63" s="349"/>
      <c r="VIY63" s="349"/>
      <c r="VIZ63" s="349"/>
      <c r="VJA63" s="349"/>
      <c r="VJB63" s="349"/>
      <c r="VJC63" s="349"/>
      <c r="VJD63" s="349"/>
      <c r="VJE63" s="349"/>
      <c r="VJF63" s="349"/>
      <c r="VJG63" s="349"/>
      <c r="VJH63" s="349"/>
      <c r="VJI63" s="349"/>
      <c r="VJJ63" s="349"/>
      <c r="VJK63" s="349"/>
      <c r="VJL63" s="349"/>
      <c r="VJM63" s="349"/>
      <c r="VJN63" s="349"/>
      <c r="VJO63" s="349"/>
      <c r="VJP63" s="349"/>
      <c r="VJQ63" s="349"/>
      <c r="VJR63" s="349"/>
      <c r="VJS63" s="349"/>
      <c r="VJT63" s="349"/>
      <c r="VJU63" s="349"/>
      <c r="VJV63" s="349"/>
      <c r="VJW63" s="349"/>
      <c r="VJX63" s="349"/>
      <c r="VJY63" s="349"/>
      <c r="VJZ63" s="349"/>
      <c r="VKA63" s="349"/>
      <c r="VKB63" s="349"/>
      <c r="VKC63" s="349"/>
      <c r="VKD63" s="349"/>
      <c r="VKE63" s="349"/>
      <c r="VKF63" s="349"/>
      <c r="VKG63" s="349"/>
      <c r="VKH63" s="349"/>
      <c r="VKI63" s="349"/>
      <c r="VKJ63" s="349"/>
      <c r="VKK63" s="349"/>
      <c r="VKL63" s="349"/>
      <c r="VKM63" s="349"/>
      <c r="VKN63" s="349"/>
      <c r="VKO63" s="349"/>
      <c r="VKP63" s="349"/>
      <c r="VKQ63" s="349"/>
      <c r="VKR63" s="349"/>
      <c r="VKS63" s="349"/>
      <c r="VKT63" s="349"/>
      <c r="VKU63" s="349"/>
      <c r="VKV63" s="349"/>
      <c r="VKW63" s="349"/>
      <c r="VKX63" s="349"/>
      <c r="VKY63" s="349"/>
      <c r="VKZ63" s="349"/>
      <c r="VLA63" s="349"/>
      <c r="VLB63" s="349"/>
      <c r="VLC63" s="349"/>
      <c r="VLD63" s="349"/>
      <c r="VLE63" s="349"/>
      <c r="VLF63" s="349"/>
      <c r="VLG63" s="349"/>
      <c r="VLH63" s="349"/>
      <c r="VLI63" s="349"/>
      <c r="VLJ63" s="349"/>
      <c r="VLK63" s="349"/>
      <c r="VLL63" s="349"/>
      <c r="VLM63" s="349"/>
      <c r="VLN63" s="349"/>
      <c r="VLO63" s="349"/>
      <c r="VLP63" s="349"/>
      <c r="VLQ63" s="349"/>
      <c r="VLR63" s="349"/>
      <c r="VLS63" s="349"/>
      <c r="VLT63" s="349"/>
      <c r="VLU63" s="349"/>
      <c r="VLV63" s="349"/>
      <c r="VLW63" s="349"/>
      <c r="VLX63" s="349"/>
      <c r="VLY63" s="349"/>
      <c r="VLZ63" s="349"/>
      <c r="VMA63" s="349"/>
      <c r="VMB63" s="349"/>
      <c r="VMC63" s="349"/>
      <c r="VMD63" s="349"/>
      <c r="VME63" s="349"/>
      <c r="VMF63" s="349"/>
      <c r="VMG63" s="349"/>
      <c r="VMH63" s="349"/>
      <c r="VMI63" s="349"/>
      <c r="VMJ63" s="349"/>
      <c r="VMK63" s="349"/>
      <c r="VML63" s="349"/>
      <c r="VMM63" s="349"/>
      <c r="VMN63" s="349"/>
      <c r="VMO63" s="349"/>
      <c r="VMP63" s="349"/>
      <c r="VMQ63" s="349"/>
      <c r="VMR63" s="349"/>
      <c r="VMS63" s="349"/>
      <c r="VMT63" s="349"/>
      <c r="VMU63" s="349"/>
      <c r="VMV63" s="349"/>
      <c r="VMW63" s="349"/>
      <c r="VMX63" s="349"/>
      <c r="VMY63" s="349"/>
      <c r="VMZ63" s="349"/>
      <c r="VNA63" s="349"/>
      <c r="VNB63" s="349"/>
      <c r="VNC63" s="349"/>
      <c r="VND63" s="349"/>
      <c r="VNE63" s="349"/>
      <c r="VNF63" s="349"/>
      <c r="VNG63" s="349"/>
      <c r="VNH63" s="349"/>
      <c r="VNI63" s="349"/>
      <c r="VNJ63" s="349"/>
      <c r="VNK63" s="349"/>
      <c r="VNL63" s="349"/>
      <c r="VNM63" s="349"/>
      <c r="VNN63" s="349"/>
      <c r="VNO63" s="349"/>
      <c r="VNP63" s="349"/>
      <c r="VNQ63" s="349"/>
      <c r="VNR63" s="349"/>
      <c r="VNS63" s="349"/>
      <c r="VNT63" s="349"/>
      <c r="VNU63" s="349"/>
      <c r="VNV63" s="349"/>
      <c r="VNW63" s="349"/>
      <c r="VNX63" s="349"/>
      <c r="VNY63" s="349"/>
      <c r="VNZ63" s="349"/>
      <c r="VOA63" s="349"/>
      <c r="VOB63" s="349"/>
      <c r="VOC63" s="349"/>
      <c r="VOD63" s="349"/>
      <c r="VOE63" s="349"/>
      <c r="VOF63" s="349"/>
      <c r="VOG63" s="349"/>
      <c r="VOH63" s="349"/>
      <c r="VOI63" s="349"/>
      <c r="VOJ63" s="349"/>
      <c r="VOK63" s="349"/>
      <c r="VOL63" s="349"/>
      <c r="VOM63" s="349"/>
      <c r="VON63" s="349"/>
      <c r="VOO63" s="349"/>
      <c r="VOP63" s="349"/>
      <c r="VOQ63" s="349"/>
      <c r="VOR63" s="349"/>
      <c r="VOS63" s="349"/>
      <c r="VOT63" s="349"/>
      <c r="VOU63" s="349"/>
      <c r="VOV63" s="349"/>
      <c r="VOW63" s="349"/>
      <c r="VOX63" s="349"/>
      <c r="VOY63" s="349"/>
      <c r="VOZ63" s="349"/>
      <c r="VPA63" s="349"/>
      <c r="VPB63" s="349"/>
      <c r="VPC63" s="349"/>
      <c r="VPD63" s="349"/>
      <c r="VPE63" s="349"/>
      <c r="VPF63" s="349"/>
      <c r="VPG63" s="349"/>
      <c r="VPH63" s="349"/>
      <c r="VPI63" s="349"/>
      <c r="VPJ63" s="349"/>
      <c r="VPK63" s="349"/>
      <c r="VPL63" s="349"/>
      <c r="VPM63" s="349"/>
      <c r="VPN63" s="349"/>
      <c r="VPO63" s="349"/>
      <c r="VPP63" s="349"/>
      <c r="VPQ63" s="349"/>
      <c r="VPR63" s="349"/>
      <c r="VPS63" s="349"/>
      <c r="VPT63" s="349"/>
      <c r="VPU63" s="349"/>
      <c r="VPV63" s="349"/>
      <c r="VPW63" s="349"/>
      <c r="VPX63" s="349"/>
      <c r="VPY63" s="349"/>
      <c r="VPZ63" s="349"/>
      <c r="VQA63" s="349"/>
      <c r="VQB63" s="349"/>
      <c r="VQC63" s="349"/>
      <c r="VQD63" s="349"/>
      <c r="VQE63" s="349"/>
      <c r="VQF63" s="349"/>
      <c r="VQG63" s="349"/>
      <c r="VQH63" s="349"/>
      <c r="VQI63" s="349"/>
      <c r="VQJ63" s="349"/>
      <c r="VQK63" s="349"/>
      <c r="VQL63" s="349"/>
      <c r="VQM63" s="349"/>
      <c r="VQN63" s="349"/>
      <c r="VQO63" s="349"/>
      <c r="VQP63" s="349"/>
      <c r="VQQ63" s="349"/>
      <c r="VQR63" s="349"/>
      <c r="VQS63" s="349"/>
      <c r="VQT63" s="349"/>
      <c r="VQU63" s="349"/>
      <c r="VQV63" s="349"/>
      <c r="VQW63" s="349"/>
      <c r="VQX63" s="349"/>
      <c r="VQY63" s="349"/>
      <c r="VQZ63" s="349"/>
      <c r="VRA63" s="349"/>
      <c r="VRB63" s="349"/>
      <c r="VRC63" s="349"/>
      <c r="VRD63" s="349"/>
      <c r="VRE63" s="349"/>
      <c r="VRF63" s="349"/>
      <c r="VRG63" s="349"/>
      <c r="VRH63" s="349"/>
      <c r="VRI63" s="349"/>
      <c r="VRJ63" s="349"/>
      <c r="VRK63" s="349"/>
      <c r="VRL63" s="349"/>
      <c r="VRM63" s="349"/>
      <c r="VRN63" s="349"/>
      <c r="VRO63" s="349"/>
      <c r="VRP63" s="349"/>
      <c r="VRQ63" s="349"/>
      <c r="VRR63" s="349"/>
      <c r="VRS63" s="349"/>
      <c r="VRT63" s="349"/>
      <c r="VRU63" s="349"/>
      <c r="VRV63" s="349"/>
      <c r="VRW63" s="349"/>
      <c r="VRX63" s="349"/>
      <c r="VRY63" s="349"/>
      <c r="VRZ63" s="349"/>
      <c r="VSA63" s="349"/>
      <c r="VSB63" s="349"/>
      <c r="VSC63" s="349"/>
      <c r="VSD63" s="349"/>
      <c r="VSE63" s="349"/>
      <c r="VSF63" s="349"/>
      <c r="VSG63" s="349"/>
      <c r="VSH63" s="349"/>
      <c r="VSI63" s="349"/>
      <c r="VSJ63" s="349"/>
      <c r="VSK63" s="349"/>
      <c r="VSL63" s="349"/>
      <c r="VSM63" s="349"/>
      <c r="VSN63" s="349"/>
      <c r="VSO63" s="349"/>
      <c r="VSP63" s="349"/>
      <c r="VSQ63" s="349"/>
      <c r="VSR63" s="349"/>
      <c r="VSS63" s="349"/>
      <c r="VST63" s="349"/>
      <c r="VSU63" s="349"/>
      <c r="VSV63" s="349"/>
      <c r="VSW63" s="349"/>
      <c r="VSX63" s="349"/>
      <c r="VSY63" s="349"/>
      <c r="VSZ63" s="349"/>
      <c r="VTA63" s="349"/>
      <c r="VTB63" s="349"/>
      <c r="VTC63" s="349"/>
      <c r="VTD63" s="349"/>
      <c r="VTE63" s="349"/>
      <c r="VTF63" s="349"/>
      <c r="VTG63" s="349"/>
      <c r="VTH63" s="349"/>
      <c r="VTI63" s="349"/>
      <c r="VTJ63" s="349"/>
      <c r="VTK63" s="349"/>
      <c r="VTL63" s="349"/>
      <c r="VTM63" s="349"/>
      <c r="VTN63" s="349"/>
      <c r="VTO63" s="349"/>
      <c r="VTP63" s="349"/>
      <c r="VTQ63" s="349"/>
      <c r="VTR63" s="349"/>
      <c r="VTS63" s="349"/>
      <c r="VTT63" s="349"/>
      <c r="VTU63" s="349"/>
      <c r="VTV63" s="349"/>
      <c r="VTW63" s="349"/>
      <c r="VTX63" s="349"/>
      <c r="VTY63" s="349"/>
      <c r="VTZ63" s="349"/>
      <c r="VUA63" s="349"/>
      <c r="VUB63" s="349"/>
      <c r="VUC63" s="349"/>
      <c r="VUD63" s="349"/>
      <c r="VUE63" s="349"/>
      <c r="VUF63" s="349"/>
      <c r="VUG63" s="349"/>
      <c r="VUH63" s="349"/>
      <c r="VUI63" s="349"/>
      <c r="VUJ63" s="349"/>
      <c r="VUK63" s="349"/>
      <c r="VUL63" s="349"/>
      <c r="VUM63" s="349"/>
      <c r="VUN63" s="349"/>
      <c r="VUO63" s="349"/>
      <c r="VUP63" s="349"/>
      <c r="VUQ63" s="349"/>
      <c r="VUR63" s="349"/>
      <c r="VUS63" s="349"/>
      <c r="VUT63" s="349"/>
      <c r="VUU63" s="349"/>
      <c r="VUV63" s="349"/>
      <c r="VUW63" s="349"/>
      <c r="VUX63" s="349"/>
      <c r="VUY63" s="349"/>
      <c r="VUZ63" s="349"/>
      <c r="VVA63" s="349"/>
      <c r="VVB63" s="349"/>
      <c r="VVC63" s="349"/>
      <c r="VVD63" s="349"/>
      <c r="VVE63" s="349"/>
      <c r="VVF63" s="349"/>
      <c r="VVG63" s="349"/>
      <c r="VVH63" s="349"/>
      <c r="VVI63" s="349"/>
      <c r="VVJ63" s="349"/>
      <c r="VVK63" s="349"/>
      <c r="VVL63" s="349"/>
      <c r="VVM63" s="349"/>
      <c r="VVN63" s="349"/>
      <c r="VVO63" s="349"/>
      <c r="VVP63" s="349"/>
      <c r="VVQ63" s="349"/>
      <c r="VVR63" s="349"/>
      <c r="VVS63" s="349"/>
      <c r="VVT63" s="349"/>
      <c r="VVU63" s="349"/>
      <c r="VVV63" s="349"/>
      <c r="VVW63" s="349"/>
      <c r="VVX63" s="349"/>
      <c r="VVY63" s="349"/>
      <c r="VVZ63" s="349"/>
      <c r="VWA63" s="349"/>
      <c r="VWB63" s="349"/>
      <c r="VWC63" s="349"/>
      <c r="VWD63" s="349"/>
      <c r="VWE63" s="349"/>
      <c r="VWF63" s="349"/>
      <c r="VWG63" s="349"/>
      <c r="VWH63" s="349"/>
      <c r="VWI63" s="349"/>
      <c r="VWJ63" s="349"/>
      <c r="VWK63" s="349"/>
      <c r="VWL63" s="349"/>
      <c r="VWM63" s="349"/>
      <c r="VWN63" s="349"/>
      <c r="VWO63" s="349"/>
      <c r="VWP63" s="349"/>
      <c r="VWQ63" s="349"/>
      <c r="VWR63" s="349"/>
      <c r="VWS63" s="349"/>
      <c r="VWT63" s="349"/>
      <c r="VWU63" s="349"/>
      <c r="VWV63" s="349"/>
      <c r="VWW63" s="349"/>
      <c r="VWX63" s="349"/>
      <c r="VWY63" s="349"/>
      <c r="VWZ63" s="349"/>
      <c r="VXA63" s="349"/>
      <c r="VXB63" s="349"/>
      <c r="VXC63" s="349"/>
      <c r="VXD63" s="349"/>
      <c r="VXE63" s="349"/>
      <c r="VXF63" s="349"/>
      <c r="VXG63" s="349"/>
      <c r="VXH63" s="349"/>
      <c r="VXI63" s="349"/>
      <c r="VXJ63" s="349"/>
      <c r="VXK63" s="349"/>
      <c r="VXL63" s="349"/>
      <c r="VXM63" s="349"/>
      <c r="VXN63" s="349"/>
      <c r="VXO63" s="349"/>
      <c r="VXP63" s="349"/>
      <c r="VXQ63" s="349"/>
      <c r="VXR63" s="349"/>
      <c r="VXS63" s="349"/>
      <c r="VXT63" s="349"/>
      <c r="VXU63" s="349"/>
      <c r="VXV63" s="349"/>
      <c r="VXW63" s="349"/>
      <c r="VXX63" s="349"/>
      <c r="VXY63" s="349"/>
      <c r="VXZ63" s="349"/>
      <c r="VYA63" s="349"/>
      <c r="VYB63" s="349"/>
      <c r="VYC63" s="349"/>
      <c r="VYD63" s="349"/>
      <c r="VYE63" s="349"/>
      <c r="VYF63" s="349"/>
      <c r="VYG63" s="349"/>
      <c r="VYH63" s="349"/>
      <c r="VYI63" s="349"/>
      <c r="VYJ63" s="349"/>
      <c r="VYK63" s="349"/>
      <c r="VYL63" s="349"/>
      <c r="VYM63" s="349"/>
      <c r="VYN63" s="349"/>
      <c r="VYO63" s="349"/>
      <c r="VYP63" s="349"/>
      <c r="VYQ63" s="349"/>
      <c r="VYR63" s="349"/>
      <c r="VYS63" s="349"/>
      <c r="VYT63" s="349"/>
      <c r="VYU63" s="349"/>
      <c r="VYV63" s="349"/>
      <c r="VYW63" s="349"/>
      <c r="VYX63" s="349"/>
      <c r="VYY63" s="349"/>
      <c r="VYZ63" s="349"/>
      <c r="VZA63" s="349"/>
      <c r="VZB63" s="349"/>
      <c r="VZC63" s="349"/>
      <c r="VZD63" s="349"/>
      <c r="VZE63" s="349"/>
      <c r="VZF63" s="349"/>
      <c r="VZG63" s="349"/>
      <c r="VZH63" s="349"/>
      <c r="VZI63" s="349"/>
      <c r="VZJ63" s="349"/>
      <c r="VZK63" s="349"/>
      <c r="VZL63" s="349"/>
      <c r="VZM63" s="349"/>
      <c r="VZN63" s="349"/>
      <c r="VZO63" s="349"/>
      <c r="VZP63" s="349"/>
      <c r="VZQ63" s="349"/>
      <c r="VZR63" s="349"/>
      <c r="VZS63" s="349"/>
      <c r="VZT63" s="349"/>
      <c r="VZU63" s="349"/>
      <c r="VZV63" s="349"/>
      <c r="VZW63" s="349"/>
      <c r="VZX63" s="349"/>
      <c r="VZY63" s="349"/>
      <c r="VZZ63" s="349"/>
      <c r="WAA63" s="349"/>
      <c r="WAB63" s="349"/>
      <c r="WAC63" s="349"/>
      <c r="WAD63" s="349"/>
      <c r="WAE63" s="349"/>
      <c r="WAF63" s="349"/>
      <c r="WAG63" s="349"/>
      <c r="WAH63" s="349"/>
      <c r="WAI63" s="349"/>
      <c r="WAJ63" s="349"/>
      <c r="WAK63" s="349"/>
      <c r="WAL63" s="349"/>
      <c r="WAM63" s="349"/>
      <c r="WAN63" s="349"/>
      <c r="WAO63" s="349"/>
      <c r="WAP63" s="349"/>
      <c r="WAQ63" s="349"/>
      <c r="WAR63" s="349"/>
      <c r="WAS63" s="349"/>
      <c r="WAT63" s="349"/>
      <c r="WAU63" s="349"/>
      <c r="WAV63" s="349"/>
      <c r="WAW63" s="349"/>
      <c r="WAX63" s="349"/>
      <c r="WAY63" s="349"/>
      <c r="WAZ63" s="349"/>
      <c r="WBA63" s="349"/>
      <c r="WBB63" s="349"/>
      <c r="WBC63" s="349"/>
      <c r="WBD63" s="349"/>
      <c r="WBE63" s="349"/>
      <c r="WBF63" s="349"/>
      <c r="WBG63" s="349"/>
      <c r="WBH63" s="349"/>
      <c r="WBI63" s="349"/>
      <c r="WBJ63" s="349"/>
      <c r="WBK63" s="349"/>
      <c r="WBL63" s="349"/>
      <c r="WBM63" s="349"/>
      <c r="WBN63" s="349"/>
      <c r="WBO63" s="349"/>
      <c r="WBP63" s="349"/>
      <c r="WBQ63" s="349"/>
      <c r="WBR63" s="349"/>
      <c r="WBS63" s="349"/>
      <c r="WBT63" s="349"/>
      <c r="WBU63" s="349"/>
      <c r="WBV63" s="349"/>
      <c r="WBW63" s="349"/>
      <c r="WBX63" s="349"/>
      <c r="WBY63" s="349"/>
      <c r="WBZ63" s="349"/>
      <c r="WCA63" s="349"/>
      <c r="WCB63" s="349"/>
      <c r="WCC63" s="349"/>
      <c r="WCD63" s="349"/>
      <c r="WCE63" s="349"/>
      <c r="WCF63" s="349"/>
      <c r="WCG63" s="349"/>
      <c r="WCH63" s="349"/>
      <c r="WCI63" s="349"/>
      <c r="WCJ63" s="349"/>
      <c r="WCK63" s="349"/>
      <c r="WCL63" s="349"/>
      <c r="WCM63" s="349"/>
      <c r="WCN63" s="349"/>
      <c r="WCO63" s="349"/>
      <c r="WCP63" s="349"/>
      <c r="WCQ63" s="349"/>
      <c r="WCR63" s="349"/>
      <c r="WCS63" s="349"/>
      <c r="WCT63" s="349"/>
      <c r="WCU63" s="349"/>
      <c r="WCV63" s="349"/>
      <c r="WCW63" s="349"/>
      <c r="WCX63" s="349"/>
      <c r="WCY63" s="349"/>
      <c r="WCZ63" s="349"/>
      <c r="WDA63" s="349"/>
      <c r="WDB63" s="349"/>
      <c r="WDC63" s="349"/>
      <c r="WDD63" s="349"/>
      <c r="WDE63" s="349"/>
      <c r="WDF63" s="349"/>
      <c r="WDG63" s="349"/>
      <c r="WDH63" s="349"/>
      <c r="WDI63" s="349"/>
      <c r="WDJ63" s="349"/>
      <c r="WDK63" s="349"/>
      <c r="WDL63" s="349"/>
      <c r="WDM63" s="349"/>
      <c r="WDN63" s="349"/>
      <c r="WDO63" s="349"/>
      <c r="WDP63" s="349"/>
      <c r="WDQ63" s="349"/>
      <c r="WDR63" s="349"/>
      <c r="WDS63" s="349"/>
      <c r="WDT63" s="349"/>
      <c r="WDU63" s="349"/>
      <c r="WDV63" s="349"/>
      <c r="WDW63" s="349"/>
      <c r="WDX63" s="349"/>
      <c r="WDY63" s="349"/>
      <c r="WDZ63" s="349"/>
      <c r="WEA63" s="349"/>
      <c r="WEB63" s="349"/>
      <c r="WEC63" s="349"/>
      <c r="WED63" s="349"/>
      <c r="WEE63" s="349"/>
      <c r="WEF63" s="349"/>
      <c r="WEG63" s="349"/>
      <c r="WEH63" s="349"/>
      <c r="WEI63" s="349"/>
      <c r="WEJ63" s="349"/>
      <c r="WEK63" s="349"/>
      <c r="WEL63" s="349"/>
      <c r="WEM63" s="349"/>
      <c r="WEN63" s="349"/>
      <c r="WEO63" s="349"/>
      <c r="WEP63" s="349"/>
      <c r="WEQ63" s="349"/>
      <c r="WER63" s="349"/>
      <c r="WES63" s="349"/>
      <c r="WET63" s="349"/>
      <c r="WEU63" s="349"/>
      <c r="WEV63" s="349"/>
      <c r="WEW63" s="349"/>
      <c r="WEX63" s="349"/>
      <c r="WEY63" s="349"/>
      <c r="WEZ63" s="349"/>
      <c r="WFA63" s="349"/>
      <c r="WFB63" s="349"/>
      <c r="WFC63" s="349"/>
      <c r="WFD63" s="349"/>
      <c r="WFE63" s="349"/>
      <c r="WFF63" s="349"/>
      <c r="WFG63" s="349"/>
      <c r="WFH63" s="349"/>
      <c r="WFI63" s="349"/>
      <c r="WFJ63" s="349"/>
      <c r="WFK63" s="349"/>
      <c r="WFL63" s="349"/>
      <c r="WFM63" s="349"/>
      <c r="WFN63" s="349"/>
      <c r="WFO63" s="349"/>
      <c r="WFP63" s="349"/>
      <c r="WFQ63" s="349"/>
      <c r="WFR63" s="349"/>
      <c r="WFS63" s="349"/>
      <c r="WFT63" s="349"/>
      <c r="WFU63" s="349"/>
      <c r="WFV63" s="349"/>
      <c r="WFW63" s="349"/>
      <c r="WFX63" s="349"/>
      <c r="WFY63" s="349"/>
      <c r="WFZ63" s="349"/>
      <c r="WGA63" s="349"/>
      <c r="WGB63" s="349"/>
      <c r="WGC63" s="349"/>
      <c r="WGD63" s="349"/>
      <c r="WGE63" s="349"/>
      <c r="WGF63" s="349"/>
      <c r="WGG63" s="349"/>
      <c r="WGH63" s="349"/>
      <c r="WGI63" s="349"/>
      <c r="WGJ63" s="349"/>
      <c r="WGK63" s="349"/>
      <c r="WGL63" s="349"/>
      <c r="WGM63" s="349"/>
      <c r="WGN63" s="349"/>
      <c r="WGO63" s="349"/>
      <c r="WGP63" s="349"/>
      <c r="WGQ63" s="349"/>
      <c r="WGR63" s="349"/>
      <c r="WGS63" s="349"/>
      <c r="WGT63" s="349"/>
      <c r="WGU63" s="349"/>
      <c r="WGV63" s="349"/>
      <c r="WGW63" s="349"/>
      <c r="WGX63" s="349"/>
      <c r="WGY63" s="349"/>
      <c r="WGZ63" s="349"/>
      <c r="WHA63" s="349"/>
      <c r="WHB63" s="349"/>
      <c r="WHC63" s="349"/>
      <c r="WHD63" s="349"/>
      <c r="WHE63" s="349"/>
      <c r="WHF63" s="349"/>
      <c r="WHG63" s="349"/>
      <c r="WHH63" s="349"/>
      <c r="WHI63" s="349"/>
      <c r="WHJ63" s="349"/>
      <c r="WHK63" s="349"/>
      <c r="WHL63" s="349"/>
      <c r="WHM63" s="349"/>
      <c r="WHN63" s="349"/>
      <c r="WHO63" s="349"/>
      <c r="WHP63" s="349"/>
      <c r="WHQ63" s="349"/>
      <c r="WHR63" s="349"/>
      <c r="WHS63" s="349"/>
      <c r="WHT63" s="349"/>
      <c r="WHU63" s="349"/>
      <c r="WHV63" s="349"/>
      <c r="WHW63" s="349"/>
      <c r="WHX63" s="349"/>
      <c r="WHY63" s="349"/>
      <c r="WHZ63" s="349"/>
      <c r="WIA63" s="349"/>
      <c r="WIB63" s="349"/>
      <c r="WIC63" s="349"/>
      <c r="WID63" s="349"/>
      <c r="WIE63" s="349"/>
      <c r="WIF63" s="349"/>
      <c r="WIG63" s="349"/>
      <c r="WIH63" s="349"/>
      <c r="WII63" s="349"/>
      <c r="WIJ63" s="349"/>
      <c r="WIK63" s="349"/>
      <c r="WIL63" s="349"/>
      <c r="WIM63" s="349"/>
      <c r="WIN63" s="349"/>
      <c r="WIO63" s="349"/>
      <c r="WIP63" s="349"/>
      <c r="WIQ63" s="349"/>
      <c r="WIR63" s="349"/>
      <c r="WIS63" s="349"/>
      <c r="WIT63" s="349"/>
      <c r="WIU63" s="349"/>
      <c r="WIV63" s="349"/>
      <c r="WIW63" s="349"/>
      <c r="WIX63" s="349"/>
      <c r="WIY63" s="349"/>
      <c r="WIZ63" s="349"/>
      <c r="WJA63" s="349"/>
      <c r="WJB63" s="349"/>
      <c r="WJC63" s="349"/>
      <c r="WJD63" s="349"/>
      <c r="WJE63" s="349"/>
      <c r="WJF63" s="349"/>
      <c r="WJG63" s="349"/>
      <c r="WJH63" s="349"/>
      <c r="WJI63" s="349"/>
      <c r="WJJ63" s="349"/>
      <c r="WJK63" s="349"/>
      <c r="WJL63" s="349"/>
      <c r="WJM63" s="349"/>
      <c r="WJN63" s="349"/>
      <c r="WJO63" s="349"/>
      <c r="WJP63" s="349"/>
      <c r="WJQ63" s="349"/>
      <c r="WJR63" s="349"/>
      <c r="WJS63" s="349"/>
      <c r="WJT63" s="349"/>
      <c r="WJU63" s="349"/>
      <c r="WJV63" s="349"/>
      <c r="WJW63" s="349"/>
      <c r="WJX63" s="349"/>
      <c r="WJY63" s="349"/>
      <c r="WJZ63" s="349"/>
      <c r="WKA63" s="349"/>
      <c r="WKB63" s="349"/>
      <c r="WKC63" s="349"/>
      <c r="WKD63" s="349"/>
      <c r="WKE63" s="349"/>
      <c r="WKF63" s="349"/>
      <c r="WKG63" s="349"/>
      <c r="WKH63" s="349"/>
      <c r="WKI63" s="349"/>
      <c r="WKJ63" s="349"/>
      <c r="WKK63" s="349"/>
      <c r="WKL63" s="349"/>
      <c r="WKM63" s="349"/>
      <c r="WKN63" s="349"/>
      <c r="WKO63" s="349"/>
      <c r="WKP63" s="349"/>
      <c r="WKQ63" s="349"/>
      <c r="WKR63" s="349"/>
      <c r="WKS63" s="349"/>
      <c r="WKT63" s="349"/>
      <c r="WKU63" s="349"/>
      <c r="WKV63" s="349"/>
      <c r="WKW63" s="349"/>
      <c r="WKX63" s="349"/>
      <c r="WKY63" s="349"/>
      <c r="WKZ63" s="349"/>
      <c r="WLA63" s="349"/>
      <c r="WLB63" s="349"/>
      <c r="WLC63" s="349"/>
      <c r="WLD63" s="349"/>
      <c r="WLE63" s="349"/>
      <c r="WLF63" s="349"/>
      <c r="WLG63" s="349"/>
      <c r="WLH63" s="349"/>
      <c r="WLI63" s="349"/>
      <c r="WLJ63" s="349"/>
      <c r="WLK63" s="349"/>
      <c r="WLL63" s="349"/>
      <c r="WLM63" s="349"/>
      <c r="WLN63" s="349"/>
      <c r="WLO63" s="349"/>
      <c r="WLP63" s="349"/>
      <c r="WLQ63" s="349"/>
      <c r="WLR63" s="349"/>
      <c r="WLS63" s="349"/>
      <c r="WLT63" s="349"/>
      <c r="WLU63" s="349"/>
      <c r="WLV63" s="349"/>
      <c r="WLW63" s="349"/>
      <c r="WLX63" s="349"/>
      <c r="WLY63" s="349"/>
      <c r="WLZ63" s="349"/>
      <c r="WMA63" s="349"/>
      <c r="WMB63" s="349"/>
      <c r="WMC63" s="349"/>
      <c r="WMD63" s="349"/>
      <c r="WME63" s="349"/>
      <c r="WMF63" s="349"/>
      <c r="WMG63" s="349"/>
      <c r="WMH63" s="349"/>
      <c r="WMI63" s="349"/>
      <c r="WMJ63" s="349"/>
      <c r="WMK63" s="349"/>
      <c r="WML63" s="349"/>
      <c r="WMM63" s="349"/>
      <c r="WMN63" s="349"/>
      <c r="WMO63" s="349"/>
      <c r="WMP63" s="349"/>
      <c r="WMQ63" s="349"/>
      <c r="WMR63" s="349"/>
      <c r="WMS63" s="349"/>
      <c r="WMT63" s="349"/>
      <c r="WMU63" s="349"/>
      <c r="WMV63" s="349"/>
      <c r="WMW63" s="349"/>
      <c r="WMX63" s="349"/>
      <c r="WMY63" s="349"/>
      <c r="WMZ63" s="349"/>
      <c r="WNA63" s="349"/>
      <c r="WNB63" s="349"/>
      <c r="WNC63" s="349"/>
      <c r="WND63" s="349"/>
      <c r="WNE63" s="349"/>
      <c r="WNF63" s="349"/>
      <c r="WNG63" s="349"/>
      <c r="WNH63" s="349"/>
      <c r="WNI63" s="349"/>
      <c r="WNJ63" s="349"/>
      <c r="WNK63" s="349"/>
      <c r="WNL63" s="349"/>
      <c r="WNM63" s="349"/>
      <c r="WNN63" s="349"/>
      <c r="WNO63" s="349"/>
      <c r="WNP63" s="349"/>
      <c r="WNQ63" s="349"/>
      <c r="WNR63" s="349"/>
      <c r="WNS63" s="349"/>
      <c r="WNT63" s="349"/>
      <c r="WNU63" s="349"/>
      <c r="WNV63" s="349"/>
      <c r="WNW63" s="349"/>
      <c r="WNX63" s="349"/>
      <c r="WNY63" s="349"/>
      <c r="WNZ63" s="349"/>
      <c r="WOA63" s="349"/>
      <c r="WOB63" s="349"/>
      <c r="WOC63" s="349"/>
      <c r="WOD63" s="349"/>
      <c r="WOE63" s="349"/>
      <c r="WOF63" s="349"/>
      <c r="WOG63" s="349"/>
      <c r="WOH63" s="349"/>
      <c r="WOI63" s="349"/>
      <c r="WOJ63" s="349"/>
      <c r="WOK63" s="349"/>
      <c r="WOL63" s="349"/>
      <c r="WOM63" s="349"/>
      <c r="WON63" s="349"/>
      <c r="WOO63" s="349"/>
      <c r="WOP63" s="349"/>
      <c r="WOQ63" s="349"/>
      <c r="WOR63" s="349"/>
      <c r="WOS63" s="349"/>
      <c r="WOT63" s="349"/>
      <c r="WOU63" s="349"/>
      <c r="WOV63" s="349"/>
      <c r="WOW63" s="349"/>
      <c r="WOX63" s="349"/>
      <c r="WOY63" s="349"/>
      <c r="WOZ63" s="349"/>
      <c r="WPA63" s="349"/>
      <c r="WPB63" s="349"/>
      <c r="WPC63" s="349"/>
      <c r="WPD63" s="349"/>
      <c r="WPE63" s="349"/>
      <c r="WPF63" s="349"/>
      <c r="WPG63" s="349"/>
      <c r="WPH63" s="349"/>
      <c r="WPI63" s="349"/>
      <c r="WPJ63" s="349"/>
      <c r="WPK63" s="349"/>
      <c r="WPL63" s="349"/>
      <c r="WPM63" s="349"/>
      <c r="WPN63" s="349"/>
      <c r="WPO63" s="349"/>
      <c r="WPP63" s="349"/>
      <c r="WPQ63" s="349"/>
      <c r="WPR63" s="349"/>
      <c r="WPS63" s="349"/>
      <c r="WPT63" s="349"/>
      <c r="WPU63" s="349"/>
      <c r="WPV63" s="349"/>
      <c r="WPW63" s="349"/>
      <c r="WPX63" s="349"/>
      <c r="WPY63" s="349"/>
      <c r="WPZ63" s="349"/>
      <c r="WQA63" s="349"/>
      <c r="WQB63" s="349"/>
      <c r="WQC63" s="349"/>
      <c r="WQD63" s="349"/>
      <c r="WQE63" s="349"/>
      <c r="WQF63" s="349"/>
      <c r="WQG63" s="349"/>
      <c r="WQH63" s="349"/>
      <c r="WQI63" s="349"/>
      <c r="WQJ63" s="349"/>
      <c r="WQK63" s="349"/>
      <c r="WQL63" s="349"/>
      <c r="WQM63" s="349"/>
      <c r="WQN63" s="349"/>
      <c r="WQO63" s="349"/>
      <c r="WQP63" s="349"/>
      <c r="WQQ63" s="349"/>
      <c r="WQR63" s="349"/>
      <c r="WQS63" s="349"/>
      <c r="WQT63" s="349"/>
      <c r="WQU63" s="349"/>
      <c r="WQV63" s="349"/>
      <c r="WQW63" s="349"/>
      <c r="WQX63" s="349"/>
      <c r="WQY63" s="349"/>
      <c r="WQZ63" s="349"/>
      <c r="WRA63" s="349"/>
      <c r="WRB63" s="349"/>
      <c r="WRC63" s="349"/>
      <c r="WRD63" s="349"/>
      <c r="WRE63" s="349"/>
      <c r="WRF63" s="349"/>
      <c r="WRG63" s="349"/>
      <c r="WRH63" s="349"/>
      <c r="WRI63" s="349"/>
      <c r="WRJ63" s="349"/>
      <c r="WRK63" s="349"/>
      <c r="WRL63" s="349"/>
      <c r="WRM63" s="349"/>
      <c r="WRN63" s="349"/>
      <c r="WRO63" s="349"/>
      <c r="WRP63" s="349"/>
      <c r="WRQ63" s="349"/>
      <c r="WRR63" s="349"/>
      <c r="WRS63" s="349"/>
      <c r="WRT63" s="349"/>
      <c r="WRU63" s="349"/>
      <c r="WRV63" s="349"/>
      <c r="WRW63" s="349"/>
      <c r="WRX63" s="349"/>
      <c r="WRY63" s="349"/>
      <c r="WRZ63" s="349"/>
      <c r="WSA63" s="349"/>
      <c r="WSB63" s="349"/>
      <c r="WSC63" s="349"/>
      <c r="WSD63" s="349"/>
      <c r="WSE63" s="349"/>
      <c r="WSF63" s="349"/>
      <c r="WSG63" s="349"/>
      <c r="WSH63" s="349"/>
      <c r="WSI63" s="349"/>
      <c r="WSJ63" s="349"/>
      <c r="WSK63" s="349"/>
      <c r="WSL63" s="349"/>
      <c r="WSM63" s="349"/>
      <c r="WSN63" s="349"/>
      <c r="WSO63" s="349"/>
      <c r="WSP63" s="349"/>
      <c r="WSQ63" s="349"/>
      <c r="WSR63" s="349"/>
      <c r="WSS63" s="349"/>
      <c r="WST63" s="349"/>
      <c r="WSU63" s="349"/>
      <c r="WSV63" s="349"/>
      <c r="WSW63" s="349"/>
      <c r="WSX63" s="349"/>
      <c r="WSY63" s="349"/>
      <c r="WSZ63" s="349"/>
      <c r="WTA63" s="349"/>
      <c r="WTB63" s="349"/>
      <c r="WTC63" s="349"/>
      <c r="WTD63" s="349"/>
      <c r="WTE63" s="349"/>
      <c r="WTF63" s="349"/>
      <c r="WTG63" s="349"/>
      <c r="WTH63" s="349"/>
      <c r="WTI63" s="349"/>
      <c r="WTJ63" s="349"/>
      <c r="WTK63" s="349"/>
      <c r="WTL63" s="349"/>
      <c r="WTM63" s="349"/>
      <c r="WTN63" s="349"/>
      <c r="WTO63" s="349"/>
      <c r="WTP63" s="349"/>
      <c r="WTQ63" s="349"/>
      <c r="WTR63" s="349"/>
      <c r="WTS63" s="349"/>
      <c r="WTT63" s="349"/>
      <c r="WTU63" s="349"/>
      <c r="WTV63" s="349"/>
      <c r="WTW63" s="349"/>
      <c r="WTX63" s="349"/>
      <c r="WTY63" s="349"/>
      <c r="WTZ63" s="349"/>
      <c r="WUA63" s="349"/>
      <c r="WUB63" s="349"/>
      <c r="WUC63" s="349"/>
      <c r="WUD63" s="349"/>
      <c r="WUE63" s="349"/>
      <c r="WUF63" s="349"/>
      <c r="WUG63" s="349"/>
      <c r="WUH63" s="349"/>
      <c r="WUI63" s="349"/>
      <c r="WUJ63" s="349"/>
      <c r="WUK63" s="349"/>
      <c r="WUL63" s="349"/>
      <c r="WUM63" s="349"/>
      <c r="WUN63" s="349"/>
      <c r="WUO63" s="349"/>
      <c r="WUP63" s="349"/>
      <c r="WUQ63" s="349"/>
      <c r="WUR63" s="349"/>
      <c r="WUS63" s="349"/>
      <c r="WUT63" s="349"/>
      <c r="WUU63" s="349"/>
      <c r="WUV63" s="349"/>
      <c r="WUW63" s="349"/>
      <c r="WUX63" s="349"/>
      <c r="WUY63" s="349"/>
      <c r="WUZ63" s="349"/>
      <c r="WVA63" s="349"/>
      <c r="WVB63" s="349"/>
      <c r="WVC63" s="349"/>
      <c r="WVD63" s="349"/>
      <c r="WVE63" s="349"/>
      <c r="WVF63" s="349"/>
      <c r="WVG63" s="349"/>
      <c r="WVH63" s="349"/>
      <c r="WVI63" s="349"/>
      <c r="WVJ63" s="349"/>
      <c r="WVK63" s="349"/>
      <c r="WVL63" s="349"/>
      <c r="WVM63" s="349"/>
      <c r="WVN63" s="349"/>
      <c r="WVO63" s="349"/>
      <c r="WVP63" s="349"/>
      <c r="WVQ63" s="349"/>
      <c r="WVR63" s="349"/>
      <c r="WVS63" s="349"/>
      <c r="WVT63" s="349"/>
      <c r="WVU63" s="349"/>
      <c r="WVV63" s="349"/>
      <c r="WVW63" s="349"/>
      <c r="WVX63" s="349"/>
      <c r="WVY63" s="349"/>
      <c r="WVZ63" s="349"/>
      <c r="WWA63" s="349"/>
      <c r="WWB63" s="349"/>
      <c r="WWC63" s="349"/>
      <c r="WWD63" s="349"/>
      <c r="WWE63" s="349"/>
      <c r="WWF63" s="349"/>
      <c r="WWG63" s="349"/>
      <c r="WWH63" s="349"/>
      <c r="WWI63" s="349"/>
      <c r="WWJ63" s="349"/>
      <c r="WWK63" s="349"/>
      <c r="WWL63" s="349"/>
      <c r="WWM63" s="349"/>
      <c r="WWN63" s="349"/>
      <c r="WWO63" s="349"/>
      <c r="WWP63" s="349"/>
      <c r="WWQ63" s="349"/>
      <c r="WWR63" s="349"/>
      <c r="WWS63" s="349"/>
      <c r="WWT63" s="349"/>
      <c r="WWU63" s="349"/>
      <c r="WWV63" s="349"/>
      <c r="WWW63" s="349"/>
      <c r="WWX63" s="349"/>
      <c r="WWY63" s="349"/>
      <c r="WWZ63" s="349"/>
      <c r="WXA63" s="349"/>
      <c r="WXB63" s="349"/>
      <c r="WXC63" s="349"/>
      <c r="WXD63" s="349"/>
      <c r="WXE63" s="349"/>
      <c r="WXF63" s="349"/>
      <c r="WXG63" s="349"/>
      <c r="WXH63" s="349"/>
      <c r="WXI63" s="349"/>
      <c r="WXJ63" s="349"/>
      <c r="WXK63" s="349"/>
      <c r="WXL63" s="349"/>
      <c r="WXM63" s="349"/>
      <c r="WXN63" s="349"/>
      <c r="WXO63" s="349"/>
      <c r="WXP63" s="349"/>
      <c r="WXQ63" s="349"/>
      <c r="WXR63" s="349"/>
      <c r="WXS63" s="349"/>
      <c r="WXT63" s="349"/>
      <c r="WXU63" s="349"/>
      <c r="WXV63" s="349"/>
      <c r="WXW63" s="349"/>
      <c r="WXX63" s="349"/>
      <c r="WXY63" s="349"/>
      <c r="WXZ63" s="349"/>
      <c r="WYA63" s="349"/>
      <c r="WYB63" s="349"/>
      <c r="WYC63" s="349"/>
      <c r="WYD63" s="349"/>
      <c r="WYE63" s="349"/>
      <c r="WYF63" s="349"/>
      <c r="WYG63" s="349"/>
      <c r="WYH63" s="349"/>
      <c r="WYI63" s="349"/>
      <c r="WYJ63" s="349"/>
      <c r="WYK63" s="349"/>
      <c r="WYL63" s="349"/>
      <c r="WYM63" s="349"/>
      <c r="WYN63" s="349"/>
      <c r="WYO63" s="349"/>
      <c r="WYP63" s="349"/>
      <c r="WYQ63" s="349"/>
      <c r="WYR63" s="349"/>
      <c r="WYS63" s="349"/>
      <c r="WYT63" s="349"/>
      <c r="WYU63" s="349"/>
      <c r="WYV63" s="349"/>
      <c r="WYW63" s="349"/>
      <c r="WYX63" s="349"/>
      <c r="WYY63" s="349"/>
      <c r="WYZ63" s="349"/>
      <c r="WZA63" s="349"/>
      <c r="WZB63" s="349"/>
      <c r="WZC63" s="349"/>
      <c r="WZD63" s="349"/>
      <c r="WZE63" s="349"/>
      <c r="WZF63" s="349"/>
      <c r="WZG63" s="349"/>
      <c r="WZH63" s="349"/>
      <c r="WZI63" s="349"/>
      <c r="WZJ63" s="349"/>
      <c r="WZK63" s="349"/>
      <c r="WZL63" s="349"/>
      <c r="WZM63" s="349"/>
      <c r="WZN63" s="349"/>
      <c r="WZO63" s="349"/>
      <c r="WZP63" s="349"/>
      <c r="WZQ63" s="349"/>
      <c r="WZR63" s="349"/>
      <c r="WZS63" s="349"/>
      <c r="WZT63" s="349"/>
      <c r="WZU63" s="349"/>
      <c r="WZV63" s="349"/>
      <c r="WZW63" s="349"/>
      <c r="WZX63" s="349"/>
      <c r="WZY63" s="349"/>
      <c r="WZZ63" s="349"/>
      <c r="XAA63" s="349"/>
      <c r="XAB63" s="349"/>
      <c r="XAC63" s="349"/>
      <c r="XAD63" s="349"/>
      <c r="XAE63" s="349"/>
      <c r="XAF63" s="349"/>
      <c r="XAG63" s="349"/>
      <c r="XAH63" s="349"/>
      <c r="XAI63" s="349"/>
      <c r="XAJ63" s="349"/>
      <c r="XAK63" s="349"/>
      <c r="XAL63" s="349"/>
      <c r="XAM63" s="349"/>
      <c r="XAN63" s="349"/>
      <c r="XAO63" s="349"/>
      <c r="XAP63" s="349"/>
      <c r="XAQ63" s="349"/>
      <c r="XAR63" s="349"/>
      <c r="XAS63" s="349"/>
      <c r="XAT63" s="349"/>
      <c r="XAU63" s="349"/>
      <c r="XAV63" s="349"/>
      <c r="XAW63" s="349"/>
      <c r="XAX63" s="349"/>
      <c r="XAY63" s="349"/>
      <c r="XAZ63" s="349"/>
      <c r="XBA63" s="349"/>
      <c r="XBB63" s="349"/>
      <c r="XBC63" s="349"/>
      <c r="XBD63" s="349"/>
      <c r="XBE63" s="349"/>
      <c r="XBF63" s="349"/>
      <c r="XBG63" s="349"/>
      <c r="XBH63" s="349"/>
      <c r="XBI63" s="349"/>
      <c r="XBJ63" s="349"/>
      <c r="XBK63" s="349"/>
      <c r="XBL63" s="349"/>
      <c r="XBM63" s="349"/>
      <c r="XBN63" s="349"/>
      <c r="XBO63" s="349"/>
      <c r="XBP63" s="349"/>
      <c r="XBQ63" s="349"/>
      <c r="XBR63" s="349"/>
      <c r="XBS63" s="349"/>
      <c r="XBT63" s="349"/>
      <c r="XBU63" s="349"/>
      <c r="XBV63" s="349"/>
      <c r="XBW63" s="349"/>
      <c r="XBX63" s="349"/>
      <c r="XBY63" s="349"/>
      <c r="XBZ63" s="349"/>
      <c r="XCA63" s="349"/>
      <c r="XCB63" s="349"/>
      <c r="XCC63" s="349"/>
      <c r="XCD63" s="349"/>
      <c r="XCE63" s="349"/>
      <c r="XCF63" s="349"/>
      <c r="XCG63" s="349"/>
      <c r="XCH63" s="349"/>
      <c r="XCI63" s="349"/>
      <c r="XCJ63" s="349"/>
      <c r="XCK63" s="349"/>
      <c r="XCL63" s="349"/>
      <c r="XCM63" s="349"/>
      <c r="XCN63" s="349"/>
      <c r="XCO63" s="349"/>
      <c r="XCP63" s="349"/>
      <c r="XCQ63" s="349"/>
      <c r="XCR63" s="349"/>
      <c r="XCS63" s="349"/>
      <c r="XCT63" s="349"/>
      <c r="XCU63" s="349"/>
      <c r="XCV63" s="349"/>
      <c r="XCW63" s="349"/>
      <c r="XCX63" s="349"/>
      <c r="XCY63" s="349"/>
      <c r="XCZ63" s="349"/>
      <c r="XDA63" s="349"/>
      <c r="XDB63" s="349"/>
      <c r="XDC63" s="349"/>
      <c r="XDD63" s="349"/>
      <c r="XDE63" s="349"/>
      <c r="XDF63" s="349"/>
      <c r="XDG63" s="349"/>
      <c r="XDH63" s="349"/>
      <c r="XDI63" s="349"/>
      <c r="XDJ63" s="349"/>
      <c r="XDK63" s="349"/>
      <c r="XDL63" s="349"/>
      <c r="XDM63" s="349"/>
      <c r="XDN63" s="349"/>
      <c r="XDO63" s="349"/>
      <c r="XDP63" s="349"/>
      <c r="XDQ63" s="349"/>
      <c r="XDR63" s="349"/>
      <c r="XDS63" s="349"/>
      <c r="XDT63" s="349"/>
      <c r="XDU63" s="349"/>
      <c r="XDV63" s="349"/>
      <c r="XDW63" s="349"/>
      <c r="XDX63" s="349"/>
      <c r="XDY63" s="349"/>
      <c r="XDZ63" s="349"/>
      <c r="XEA63" s="349"/>
      <c r="XEB63" s="349"/>
      <c r="XEC63" s="349"/>
      <c r="XED63" s="349"/>
      <c r="XEE63" s="349"/>
      <c r="XEF63" s="349"/>
      <c r="XEG63" s="349"/>
      <c r="XEH63" s="349"/>
      <c r="XEI63" s="349"/>
      <c r="XEJ63" s="349"/>
      <c r="XEK63" s="349"/>
      <c r="XEL63" s="349"/>
      <c r="XEM63" s="349"/>
      <c r="XEN63" s="349"/>
      <c r="XEO63" s="349"/>
      <c r="XEP63" s="349"/>
      <c r="XEQ63" s="349"/>
    </row>
    <row r="64" spans="1:16371" ht="15" customHeight="1" thickBot="1">
      <c r="A64" s="34">
        <f>+A62+1</f>
        <v>32</v>
      </c>
      <c r="B64" s="15" t="s">
        <v>4</v>
      </c>
      <c r="C64" s="15"/>
      <c r="D64" s="15"/>
      <c r="E64" s="88"/>
      <c r="F64" s="508" t="str">
        <f>"(Line "&amp;A50&amp;" - Line "&amp;A62&amp;")"</f>
        <v>(Line 24 - Line 31)</v>
      </c>
      <c r="G64" s="15"/>
      <c r="H64" s="629">
        <f>H50-H62</f>
        <v>4527976847.4199467</v>
      </c>
      <c r="I64"/>
      <c r="J64" s="629">
        <v>4363479367.9886293</v>
      </c>
      <c r="K64" s="1642">
        <f>$H64-J64</f>
        <v>164497479.43131733</v>
      </c>
      <c r="L64" s="1643">
        <f>IF(J64=0,"n/m",K64/ABS(J64))</f>
        <v>3.76986953663868E-2</v>
      </c>
      <c r="M64" s="349"/>
      <c r="N64" s="629">
        <v>4573485298.6002302</v>
      </c>
      <c r="O64" s="1642">
        <f>$H64-N64</f>
        <v>-45508451.180283546</v>
      </c>
      <c r="P64" s="1643">
        <f>IF(N64=0,"n/m",O64/ABS(N64))</f>
        <v>-9.9504968769030377E-3</v>
      </c>
      <c r="Q64" s="2131"/>
      <c r="R64" s="2192"/>
      <c r="S64" s="349"/>
      <c r="T64" s="349"/>
      <c r="U64" s="349"/>
      <c r="V64" s="349"/>
      <c r="W64" s="349"/>
      <c r="X64" s="349"/>
      <c r="Y64" s="349"/>
      <c r="Z64" s="349"/>
      <c r="AA64" s="349"/>
      <c r="AB64" s="349"/>
      <c r="AC64" s="349"/>
      <c r="AD64" s="349"/>
      <c r="AE64" s="349"/>
      <c r="AF64" s="349"/>
      <c r="AG64" s="349"/>
      <c r="AH64" s="349"/>
      <c r="AI64" s="349"/>
      <c r="AJ64" s="349"/>
      <c r="AK64" s="349"/>
      <c r="AL64" s="349"/>
      <c r="AM64" s="349"/>
      <c r="AN64" s="349"/>
      <c r="AO64" s="349"/>
      <c r="AP64" s="349"/>
      <c r="AQ64" s="349"/>
      <c r="AR64" s="349"/>
      <c r="AS64" s="349"/>
      <c r="AT64" s="349"/>
      <c r="AU64" s="349"/>
      <c r="AV64" s="349"/>
      <c r="AW64" s="349"/>
      <c r="AX64" s="349"/>
      <c r="AY64" s="349"/>
      <c r="AZ64" s="349"/>
      <c r="BA64" s="349"/>
      <c r="BB64" s="349"/>
      <c r="BC64" s="349"/>
      <c r="BD64" s="349"/>
      <c r="BE64" s="349"/>
      <c r="BF64" s="349"/>
      <c r="BG64" s="349"/>
      <c r="BH64" s="349"/>
      <c r="BI64" s="349"/>
      <c r="BJ64" s="349"/>
      <c r="BK64" s="349"/>
      <c r="BL64" s="349"/>
      <c r="BM64" s="349"/>
      <c r="BN64" s="349"/>
      <c r="BO64" s="349"/>
      <c r="BP64" s="349"/>
      <c r="BQ64" s="349"/>
      <c r="BR64" s="349"/>
      <c r="BS64" s="349"/>
      <c r="BT64" s="349"/>
      <c r="BU64" s="349"/>
      <c r="BV64" s="349"/>
      <c r="BW64" s="349"/>
      <c r="BX64" s="349"/>
      <c r="BY64" s="349"/>
      <c r="BZ64" s="349"/>
      <c r="CA64" s="349"/>
      <c r="CB64" s="349"/>
      <c r="CC64" s="349"/>
      <c r="CD64" s="349"/>
      <c r="CE64" s="349"/>
      <c r="CF64" s="349"/>
      <c r="CG64" s="349"/>
      <c r="CH64" s="349"/>
      <c r="CI64" s="349"/>
      <c r="CJ64" s="349"/>
      <c r="CK64" s="349"/>
      <c r="CL64" s="349"/>
      <c r="CM64" s="349"/>
      <c r="CN64" s="349"/>
      <c r="CO64" s="349"/>
      <c r="CP64" s="349"/>
      <c r="CQ64" s="349"/>
      <c r="CR64" s="349"/>
      <c r="CS64" s="349"/>
      <c r="CT64" s="349"/>
      <c r="CU64" s="349"/>
      <c r="CV64" s="349"/>
      <c r="CW64" s="349"/>
      <c r="CX64" s="349"/>
      <c r="CY64" s="349"/>
      <c r="CZ64" s="349"/>
      <c r="DA64" s="349"/>
      <c r="DB64" s="349"/>
      <c r="DC64" s="349"/>
      <c r="DD64" s="349"/>
      <c r="DE64" s="349"/>
      <c r="DF64" s="349"/>
      <c r="DG64" s="349"/>
      <c r="DH64" s="349"/>
      <c r="DI64" s="349"/>
      <c r="DJ64" s="349"/>
      <c r="DK64" s="349"/>
      <c r="DL64" s="349"/>
      <c r="DM64" s="349"/>
      <c r="DN64" s="349"/>
      <c r="DO64" s="349"/>
      <c r="DP64" s="349"/>
      <c r="DQ64" s="349"/>
      <c r="DR64" s="349"/>
      <c r="DS64" s="349"/>
      <c r="DT64" s="349"/>
      <c r="DU64" s="349"/>
      <c r="DV64" s="349"/>
      <c r="DW64" s="349"/>
      <c r="DX64" s="349"/>
      <c r="DY64" s="349"/>
      <c r="DZ64" s="349"/>
      <c r="EA64" s="349"/>
      <c r="EB64" s="349"/>
      <c r="EC64" s="349"/>
      <c r="ED64" s="349"/>
      <c r="EE64" s="349"/>
      <c r="EF64" s="349"/>
      <c r="EG64" s="349"/>
      <c r="EH64" s="349"/>
      <c r="EI64" s="349"/>
      <c r="EJ64" s="349"/>
      <c r="EK64" s="349"/>
      <c r="EL64" s="349"/>
      <c r="EM64" s="349"/>
      <c r="EN64" s="349"/>
      <c r="EO64" s="349"/>
      <c r="EP64" s="349"/>
      <c r="EQ64" s="349"/>
      <c r="ER64" s="349"/>
      <c r="ES64" s="349"/>
      <c r="ET64" s="349"/>
      <c r="EU64" s="349"/>
      <c r="EV64" s="349"/>
      <c r="EW64" s="349"/>
      <c r="EX64" s="349"/>
      <c r="EY64" s="349"/>
      <c r="EZ64" s="349"/>
      <c r="FA64" s="349"/>
      <c r="FB64" s="349"/>
      <c r="FC64" s="349"/>
      <c r="FD64" s="349"/>
      <c r="FE64" s="349"/>
      <c r="FF64" s="349"/>
      <c r="FG64" s="349"/>
      <c r="FH64" s="349"/>
      <c r="FI64" s="349"/>
      <c r="FJ64" s="349"/>
      <c r="FK64" s="349"/>
      <c r="FL64" s="349"/>
      <c r="FM64" s="349"/>
      <c r="FN64" s="349"/>
      <c r="FO64" s="349"/>
      <c r="FP64" s="349"/>
      <c r="FQ64" s="349"/>
      <c r="FR64" s="349"/>
      <c r="FS64" s="349"/>
      <c r="FT64" s="349"/>
      <c r="FU64" s="349"/>
      <c r="FV64" s="349"/>
      <c r="FW64" s="349"/>
      <c r="FX64" s="349"/>
      <c r="FY64" s="349"/>
      <c r="FZ64" s="349"/>
      <c r="GA64" s="349"/>
      <c r="GB64" s="349"/>
      <c r="GC64" s="349"/>
      <c r="GD64" s="349"/>
      <c r="GE64" s="349"/>
      <c r="GF64" s="349"/>
      <c r="GG64" s="349"/>
      <c r="GH64" s="349"/>
      <c r="GI64" s="349"/>
      <c r="GJ64" s="349"/>
      <c r="GK64" s="349"/>
      <c r="GL64" s="349"/>
      <c r="GM64" s="349"/>
      <c r="GN64" s="349"/>
      <c r="GO64" s="349"/>
      <c r="GP64" s="349"/>
      <c r="GQ64" s="349"/>
      <c r="GR64" s="349"/>
      <c r="GS64" s="349"/>
      <c r="GT64" s="349"/>
      <c r="GU64" s="349"/>
      <c r="GV64" s="349"/>
      <c r="GW64" s="349"/>
      <c r="GX64" s="349"/>
      <c r="GY64" s="349"/>
      <c r="GZ64" s="349"/>
      <c r="HA64" s="349"/>
      <c r="HB64" s="349"/>
      <c r="HC64" s="349"/>
      <c r="HD64" s="349"/>
      <c r="HE64" s="349"/>
      <c r="HF64" s="349"/>
      <c r="HG64" s="349"/>
      <c r="HH64" s="349"/>
      <c r="HI64" s="349"/>
      <c r="HJ64" s="349"/>
      <c r="HK64" s="349"/>
      <c r="HL64" s="349"/>
      <c r="HM64" s="349"/>
      <c r="HN64" s="349"/>
      <c r="HO64" s="349"/>
      <c r="HP64" s="349"/>
      <c r="HQ64" s="349"/>
      <c r="HR64" s="349"/>
      <c r="HS64" s="349"/>
      <c r="HT64" s="349"/>
      <c r="HU64" s="349"/>
      <c r="HV64" s="349"/>
      <c r="HW64" s="349"/>
      <c r="HX64" s="349"/>
      <c r="HY64" s="349"/>
      <c r="HZ64" s="349"/>
      <c r="IA64" s="349"/>
      <c r="IB64" s="349"/>
      <c r="IC64" s="349"/>
      <c r="ID64" s="349"/>
      <c r="IE64" s="349"/>
      <c r="IF64" s="349"/>
      <c r="IG64" s="349"/>
      <c r="IH64" s="349"/>
      <c r="II64" s="349"/>
      <c r="IJ64" s="349"/>
      <c r="IK64" s="349"/>
      <c r="IL64" s="349"/>
      <c r="IM64" s="349"/>
      <c r="IN64" s="349"/>
      <c r="IO64" s="349"/>
      <c r="IP64" s="349"/>
      <c r="IQ64" s="349"/>
      <c r="IR64" s="349"/>
      <c r="IS64" s="349"/>
      <c r="IT64" s="349"/>
      <c r="IU64" s="349"/>
      <c r="IV64" s="349"/>
      <c r="IW64" s="349"/>
      <c r="IX64" s="349"/>
      <c r="IY64" s="349"/>
      <c r="IZ64" s="349"/>
      <c r="JA64" s="349"/>
      <c r="JB64" s="349"/>
      <c r="JC64" s="349"/>
      <c r="JD64" s="349"/>
      <c r="JE64" s="349"/>
      <c r="JF64" s="349"/>
      <c r="JG64" s="349"/>
      <c r="JH64" s="349"/>
      <c r="JI64" s="349"/>
      <c r="JJ64" s="349"/>
      <c r="JK64" s="349"/>
      <c r="JL64" s="349"/>
      <c r="JM64" s="349"/>
      <c r="JN64" s="349"/>
      <c r="JO64" s="349"/>
      <c r="JP64" s="349"/>
      <c r="JQ64" s="349"/>
      <c r="JR64" s="349"/>
      <c r="JS64" s="349"/>
      <c r="JT64" s="349"/>
      <c r="JU64" s="349"/>
      <c r="JV64" s="349"/>
      <c r="JW64" s="349"/>
      <c r="JX64" s="349"/>
      <c r="JY64" s="349"/>
      <c r="JZ64" s="349"/>
      <c r="KA64" s="349"/>
      <c r="KB64" s="349"/>
      <c r="KC64" s="349"/>
      <c r="KD64" s="349"/>
      <c r="KE64" s="349"/>
      <c r="KF64" s="349"/>
      <c r="KG64" s="349"/>
      <c r="KH64" s="349"/>
      <c r="KI64" s="349"/>
      <c r="KJ64" s="349"/>
      <c r="KK64" s="349"/>
      <c r="KL64" s="349"/>
      <c r="KM64" s="349"/>
      <c r="KN64" s="349"/>
      <c r="KO64" s="349"/>
      <c r="KP64" s="349"/>
      <c r="KQ64" s="349"/>
      <c r="KR64" s="349"/>
      <c r="KS64" s="349"/>
      <c r="KT64" s="349"/>
      <c r="KU64" s="349"/>
      <c r="KV64" s="349"/>
      <c r="KW64" s="349"/>
      <c r="KX64" s="349"/>
      <c r="KY64" s="349"/>
      <c r="KZ64" s="349"/>
      <c r="LA64" s="349"/>
      <c r="LB64" s="349"/>
      <c r="LC64" s="349"/>
      <c r="LD64" s="349"/>
      <c r="LE64" s="349"/>
      <c r="LF64" s="349"/>
      <c r="LG64" s="349"/>
      <c r="LH64" s="349"/>
      <c r="LI64" s="349"/>
      <c r="LJ64" s="349"/>
      <c r="LK64" s="349"/>
      <c r="LL64" s="349"/>
      <c r="LM64" s="349"/>
      <c r="LN64" s="349"/>
      <c r="LO64" s="349"/>
      <c r="LP64" s="349"/>
      <c r="LQ64" s="349"/>
      <c r="LR64" s="349"/>
      <c r="LS64" s="349"/>
      <c r="LT64" s="349"/>
      <c r="LU64" s="349"/>
      <c r="LV64" s="349"/>
      <c r="LW64" s="349"/>
      <c r="LX64" s="349"/>
      <c r="LY64" s="349"/>
      <c r="LZ64" s="349"/>
      <c r="MA64" s="349"/>
      <c r="MB64" s="349"/>
      <c r="MC64" s="349"/>
      <c r="MD64" s="349"/>
      <c r="ME64" s="349"/>
      <c r="MF64" s="349"/>
      <c r="MG64" s="349"/>
      <c r="MH64" s="349"/>
      <c r="MI64" s="349"/>
      <c r="MJ64" s="349"/>
      <c r="MK64" s="349"/>
      <c r="ML64" s="349"/>
      <c r="MM64" s="349"/>
      <c r="MN64" s="349"/>
      <c r="MO64" s="349"/>
      <c r="MP64" s="349"/>
      <c r="MQ64" s="349"/>
      <c r="MR64" s="349"/>
      <c r="MS64" s="349"/>
      <c r="MT64" s="349"/>
      <c r="MU64" s="349"/>
      <c r="MV64" s="349"/>
      <c r="MW64" s="349"/>
      <c r="MX64" s="349"/>
      <c r="MY64" s="349"/>
      <c r="MZ64" s="349"/>
      <c r="NA64" s="349"/>
      <c r="NB64" s="349"/>
      <c r="NC64" s="349"/>
      <c r="ND64" s="349"/>
      <c r="NE64" s="349"/>
      <c r="NF64" s="349"/>
      <c r="NG64" s="349"/>
      <c r="NH64" s="349"/>
      <c r="NI64" s="349"/>
      <c r="NJ64" s="349"/>
      <c r="NK64" s="349"/>
      <c r="NL64" s="349"/>
      <c r="NM64" s="349"/>
      <c r="NN64" s="349"/>
      <c r="NO64" s="349"/>
      <c r="NP64" s="349"/>
      <c r="NQ64" s="349"/>
      <c r="NR64" s="349"/>
      <c r="NS64" s="349"/>
      <c r="NT64" s="349"/>
      <c r="NU64" s="349"/>
      <c r="NV64" s="349"/>
      <c r="NW64" s="349"/>
      <c r="NX64" s="349"/>
      <c r="NY64" s="349"/>
      <c r="NZ64" s="349"/>
      <c r="OA64" s="349"/>
      <c r="OB64" s="349"/>
      <c r="OC64" s="349"/>
      <c r="OD64" s="349"/>
      <c r="OE64" s="349"/>
      <c r="OF64" s="349"/>
      <c r="OG64" s="349"/>
      <c r="OH64" s="349"/>
      <c r="OI64" s="349"/>
      <c r="OJ64" s="349"/>
      <c r="OK64" s="349"/>
      <c r="OL64" s="349"/>
      <c r="OM64" s="349"/>
      <c r="ON64" s="349"/>
      <c r="OO64" s="349"/>
      <c r="OP64" s="349"/>
      <c r="OQ64" s="349"/>
      <c r="OR64" s="349"/>
      <c r="OS64" s="349"/>
      <c r="OT64" s="349"/>
      <c r="OU64" s="349"/>
      <c r="OV64" s="349"/>
      <c r="OW64" s="349"/>
      <c r="OX64" s="349"/>
      <c r="OY64" s="349"/>
      <c r="OZ64" s="349"/>
      <c r="PA64" s="349"/>
      <c r="PB64" s="349"/>
      <c r="PC64" s="349"/>
      <c r="PD64" s="349"/>
      <c r="PE64" s="349"/>
      <c r="PF64" s="349"/>
      <c r="PG64" s="349"/>
      <c r="PH64" s="349"/>
      <c r="PI64" s="349"/>
      <c r="PJ64" s="349"/>
      <c r="PK64" s="349"/>
      <c r="PL64" s="349"/>
      <c r="PM64" s="349"/>
      <c r="PN64" s="349"/>
      <c r="PO64" s="349"/>
      <c r="PP64" s="349"/>
      <c r="PQ64" s="349"/>
      <c r="PR64" s="349"/>
      <c r="PS64" s="349"/>
      <c r="PT64" s="349"/>
      <c r="PU64" s="349"/>
      <c r="PV64" s="349"/>
      <c r="PW64" s="349"/>
      <c r="PX64" s="349"/>
      <c r="PY64" s="349"/>
      <c r="PZ64" s="349"/>
      <c r="QA64" s="349"/>
      <c r="QB64" s="349"/>
      <c r="QC64" s="349"/>
      <c r="QD64" s="349"/>
      <c r="QE64" s="349"/>
      <c r="QF64" s="349"/>
      <c r="QG64" s="349"/>
      <c r="QH64" s="349"/>
      <c r="QI64" s="349"/>
      <c r="QJ64" s="349"/>
      <c r="QK64" s="349"/>
      <c r="QL64" s="349"/>
      <c r="QM64" s="349"/>
      <c r="QN64" s="349"/>
      <c r="QO64" s="349"/>
      <c r="QP64" s="349"/>
      <c r="QQ64" s="349"/>
      <c r="QR64" s="349"/>
      <c r="QS64" s="349"/>
      <c r="QT64" s="349"/>
      <c r="QU64" s="349"/>
      <c r="QV64" s="349"/>
      <c r="QW64" s="349"/>
      <c r="QX64" s="349"/>
      <c r="QY64" s="349"/>
      <c r="QZ64" s="349"/>
      <c r="RA64" s="349"/>
      <c r="RB64" s="349"/>
      <c r="RC64" s="349"/>
      <c r="RD64" s="349"/>
      <c r="RE64" s="349"/>
      <c r="RF64" s="349"/>
      <c r="RG64" s="349"/>
      <c r="RH64" s="349"/>
      <c r="RI64" s="349"/>
      <c r="RJ64" s="349"/>
      <c r="RK64" s="349"/>
      <c r="RL64" s="349"/>
      <c r="RM64" s="349"/>
      <c r="RN64" s="349"/>
      <c r="RO64" s="349"/>
      <c r="RP64" s="349"/>
      <c r="RQ64" s="349"/>
      <c r="RR64" s="349"/>
      <c r="RS64" s="349"/>
      <c r="RT64" s="349"/>
      <c r="RU64" s="349"/>
      <c r="RV64" s="349"/>
      <c r="RW64" s="349"/>
      <c r="RX64" s="349"/>
      <c r="RY64" s="349"/>
      <c r="RZ64" s="349"/>
      <c r="SA64" s="349"/>
      <c r="SB64" s="349"/>
      <c r="SC64" s="349"/>
      <c r="SD64" s="349"/>
      <c r="SE64" s="349"/>
      <c r="SF64" s="349"/>
      <c r="SG64" s="349"/>
      <c r="SH64" s="349"/>
      <c r="SI64" s="349"/>
      <c r="SJ64" s="349"/>
      <c r="SK64" s="349"/>
      <c r="SL64" s="349"/>
      <c r="SM64" s="349"/>
      <c r="SN64" s="349"/>
      <c r="SO64" s="349"/>
      <c r="SP64" s="349"/>
      <c r="SQ64" s="349"/>
      <c r="SR64" s="349"/>
      <c r="SS64" s="349"/>
      <c r="ST64" s="349"/>
      <c r="SU64" s="349"/>
      <c r="SV64" s="349"/>
      <c r="SW64" s="349"/>
      <c r="SX64" s="349"/>
      <c r="SY64" s="349"/>
      <c r="SZ64" s="349"/>
      <c r="TA64" s="349"/>
      <c r="TB64" s="349"/>
      <c r="TC64" s="349"/>
      <c r="TD64" s="349"/>
      <c r="TE64" s="349"/>
      <c r="TF64" s="349"/>
      <c r="TG64" s="349"/>
      <c r="TH64" s="349"/>
      <c r="TI64" s="349"/>
      <c r="TJ64" s="349"/>
      <c r="TK64" s="349"/>
      <c r="TL64" s="349"/>
      <c r="TM64" s="349"/>
      <c r="TN64" s="349"/>
      <c r="TO64" s="349"/>
      <c r="TP64" s="349"/>
      <c r="TQ64" s="349"/>
      <c r="TR64" s="349"/>
      <c r="TS64" s="349"/>
      <c r="TT64" s="349"/>
      <c r="TU64" s="349"/>
      <c r="TV64" s="349"/>
      <c r="TW64" s="349"/>
      <c r="TX64" s="349"/>
      <c r="TY64" s="349"/>
      <c r="TZ64" s="349"/>
      <c r="UA64" s="349"/>
      <c r="UB64" s="349"/>
      <c r="UC64" s="349"/>
      <c r="UD64" s="349"/>
      <c r="UE64" s="349"/>
      <c r="UF64" s="349"/>
      <c r="UG64" s="349"/>
      <c r="UH64" s="349"/>
      <c r="UI64" s="349"/>
      <c r="UJ64" s="349"/>
      <c r="UK64" s="349"/>
      <c r="UL64" s="349"/>
      <c r="UM64" s="349"/>
      <c r="UN64" s="349"/>
      <c r="UO64" s="349"/>
      <c r="UP64" s="349"/>
      <c r="UQ64" s="349"/>
      <c r="UR64" s="349"/>
      <c r="US64" s="349"/>
      <c r="UT64" s="349"/>
      <c r="UU64" s="349"/>
      <c r="UV64" s="349"/>
      <c r="UW64" s="349"/>
      <c r="UX64" s="349"/>
      <c r="UY64" s="349"/>
      <c r="UZ64" s="349"/>
      <c r="VA64" s="349"/>
      <c r="VB64" s="349"/>
      <c r="VC64" s="349"/>
      <c r="VD64" s="349"/>
      <c r="VE64" s="349"/>
      <c r="VF64" s="349"/>
      <c r="VG64" s="349"/>
      <c r="VH64" s="349"/>
      <c r="VI64" s="349"/>
      <c r="VJ64" s="349"/>
      <c r="VK64" s="349"/>
      <c r="VL64" s="349"/>
      <c r="VM64" s="349"/>
      <c r="VN64" s="349"/>
      <c r="VO64" s="349"/>
      <c r="VP64" s="349"/>
      <c r="VQ64" s="349"/>
      <c r="VR64" s="349"/>
      <c r="VS64" s="349"/>
      <c r="VT64" s="349"/>
      <c r="VU64" s="349"/>
      <c r="VV64" s="349"/>
      <c r="VW64" s="349"/>
      <c r="VX64" s="349"/>
      <c r="VY64" s="349"/>
      <c r="VZ64" s="349"/>
      <c r="WA64" s="349"/>
      <c r="WB64" s="349"/>
      <c r="WC64" s="349"/>
      <c r="WD64" s="349"/>
      <c r="WE64" s="349"/>
      <c r="WF64" s="349"/>
      <c r="WG64" s="349"/>
      <c r="WH64" s="349"/>
      <c r="WI64" s="349"/>
      <c r="WJ64" s="349"/>
      <c r="WK64" s="349"/>
      <c r="WL64" s="349"/>
      <c r="WM64" s="349"/>
      <c r="WN64" s="349"/>
      <c r="WO64" s="349"/>
      <c r="WP64" s="349"/>
      <c r="WQ64" s="349"/>
      <c r="WR64" s="349"/>
      <c r="WS64" s="349"/>
      <c r="WT64" s="349"/>
      <c r="WU64" s="349"/>
      <c r="WV64" s="349"/>
      <c r="WW64" s="349"/>
      <c r="WX64" s="349"/>
      <c r="WY64" s="349"/>
      <c r="WZ64" s="349"/>
      <c r="XA64" s="349"/>
      <c r="XB64" s="349"/>
      <c r="XC64" s="349"/>
      <c r="XD64" s="349"/>
      <c r="XE64" s="349"/>
      <c r="XF64" s="349"/>
      <c r="XG64" s="349"/>
      <c r="XH64" s="349"/>
      <c r="XI64" s="349"/>
      <c r="XJ64" s="349"/>
      <c r="XK64" s="349"/>
      <c r="XL64" s="349"/>
      <c r="XM64" s="349"/>
      <c r="XN64" s="349"/>
      <c r="XO64" s="349"/>
      <c r="XP64" s="349"/>
      <c r="XQ64" s="349"/>
      <c r="XR64" s="349"/>
      <c r="XS64" s="349"/>
      <c r="XT64" s="349"/>
      <c r="XU64" s="349"/>
      <c r="XV64" s="349"/>
      <c r="XW64" s="349"/>
      <c r="XX64" s="349"/>
      <c r="XY64" s="349"/>
      <c r="XZ64" s="349"/>
      <c r="YA64" s="349"/>
      <c r="YB64" s="349"/>
      <c r="YC64" s="349"/>
      <c r="YD64" s="349"/>
      <c r="YE64" s="349"/>
      <c r="YF64" s="349"/>
      <c r="YG64" s="349"/>
      <c r="YH64" s="349"/>
      <c r="YI64" s="349"/>
      <c r="YJ64" s="349"/>
      <c r="YK64" s="349"/>
      <c r="YL64" s="349"/>
      <c r="YM64" s="349"/>
      <c r="YN64" s="349"/>
      <c r="YO64" s="349"/>
      <c r="YP64" s="349"/>
      <c r="YQ64" s="349"/>
      <c r="YR64" s="349"/>
      <c r="YS64" s="349"/>
      <c r="YT64" s="349"/>
      <c r="YU64" s="349"/>
      <c r="YV64" s="349"/>
      <c r="YW64" s="349"/>
      <c r="YX64" s="349"/>
      <c r="YY64" s="349"/>
      <c r="YZ64" s="349"/>
      <c r="ZA64" s="349"/>
      <c r="ZB64" s="349"/>
      <c r="ZC64" s="349"/>
      <c r="ZD64" s="349"/>
      <c r="ZE64" s="349"/>
      <c r="ZF64" s="349"/>
      <c r="ZG64" s="349"/>
      <c r="ZH64" s="349"/>
      <c r="ZI64" s="349"/>
      <c r="ZJ64" s="349"/>
      <c r="ZK64" s="349"/>
      <c r="ZL64" s="349"/>
      <c r="ZM64" s="349"/>
      <c r="ZN64" s="349"/>
      <c r="ZO64" s="349"/>
      <c r="ZP64" s="349"/>
      <c r="ZQ64" s="349"/>
      <c r="ZR64" s="349"/>
      <c r="ZS64" s="349"/>
      <c r="ZT64" s="349"/>
      <c r="ZU64" s="349"/>
      <c r="ZV64" s="349"/>
      <c r="ZW64" s="349"/>
      <c r="ZX64" s="349"/>
      <c r="ZY64" s="349"/>
      <c r="ZZ64" s="349"/>
      <c r="AAA64" s="349"/>
      <c r="AAB64" s="349"/>
      <c r="AAC64" s="349"/>
      <c r="AAD64" s="349"/>
      <c r="AAE64" s="349"/>
      <c r="AAF64" s="349"/>
      <c r="AAG64" s="349"/>
      <c r="AAH64" s="349"/>
      <c r="AAI64" s="349"/>
      <c r="AAJ64" s="349"/>
      <c r="AAK64" s="349"/>
      <c r="AAL64" s="349"/>
      <c r="AAM64" s="349"/>
      <c r="AAN64" s="349"/>
      <c r="AAO64" s="349"/>
      <c r="AAP64" s="349"/>
      <c r="AAQ64" s="349"/>
      <c r="AAR64" s="349"/>
      <c r="AAS64" s="349"/>
      <c r="AAT64" s="349"/>
      <c r="AAU64" s="349"/>
      <c r="AAV64" s="349"/>
      <c r="AAW64" s="349"/>
      <c r="AAX64" s="349"/>
      <c r="AAY64" s="349"/>
      <c r="AAZ64" s="349"/>
      <c r="ABA64" s="349"/>
      <c r="ABB64" s="349"/>
      <c r="ABC64" s="349"/>
      <c r="ABD64" s="349"/>
      <c r="ABE64" s="349"/>
      <c r="ABF64" s="349"/>
      <c r="ABG64" s="349"/>
      <c r="ABH64" s="349"/>
      <c r="ABI64" s="349"/>
      <c r="ABJ64" s="349"/>
      <c r="ABK64" s="349"/>
      <c r="ABL64" s="349"/>
      <c r="ABM64" s="349"/>
      <c r="ABN64" s="349"/>
      <c r="ABO64" s="349"/>
      <c r="ABP64" s="349"/>
      <c r="ABQ64" s="349"/>
      <c r="ABR64" s="349"/>
      <c r="ABS64" s="349"/>
      <c r="ABT64" s="349"/>
      <c r="ABU64" s="349"/>
      <c r="ABV64" s="349"/>
      <c r="ABW64" s="349"/>
      <c r="ABX64" s="349"/>
      <c r="ABY64" s="349"/>
      <c r="ABZ64" s="349"/>
      <c r="ACA64" s="349"/>
      <c r="ACB64" s="349"/>
      <c r="ACC64" s="349"/>
      <c r="ACD64" s="349"/>
      <c r="ACE64" s="349"/>
      <c r="ACF64" s="349"/>
      <c r="ACG64" s="349"/>
      <c r="ACH64" s="349"/>
      <c r="ACI64" s="349"/>
      <c r="ACJ64" s="349"/>
      <c r="ACK64" s="349"/>
      <c r="ACL64" s="349"/>
      <c r="ACM64" s="349"/>
      <c r="ACN64" s="349"/>
      <c r="ACO64" s="349"/>
      <c r="ACP64" s="349"/>
      <c r="ACQ64" s="349"/>
      <c r="ACR64" s="349"/>
      <c r="ACS64" s="349"/>
      <c r="ACT64" s="349"/>
      <c r="ACU64" s="349"/>
      <c r="ACV64" s="349"/>
      <c r="ACW64" s="349"/>
      <c r="ACX64" s="349"/>
      <c r="ACY64" s="349"/>
      <c r="ACZ64" s="349"/>
      <c r="ADA64" s="349"/>
      <c r="ADB64" s="349"/>
      <c r="ADC64" s="349"/>
      <c r="ADD64" s="349"/>
      <c r="ADE64" s="349"/>
      <c r="ADF64" s="349"/>
      <c r="ADG64" s="349"/>
      <c r="ADH64" s="349"/>
      <c r="ADI64" s="349"/>
      <c r="ADJ64" s="349"/>
      <c r="ADK64" s="349"/>
      <c r="ADL64" s="349"/>
      <c r="ADM64" s="349"/>
      <c r="ADN64" s="349"/>
      <c r="ADO64" s="349"/>
      <c r="ADP64" s="349"/>
      <c r="ADQ64" s="349"/>
      <c r="ADR64" s="349"/>
      <c r="ADS64" s="349"/>
      <c r="ADT64" s="349"/>
      <c r="ADU64" s="349"/>
      <c r="ADV64" s="349"/>
      <c r="ADW64" s="349"/>
      <c r="ADX64" s="349"/>
      <c r="ADY64" s="349"/>
      <c r="ADZ64" s="349"/>
      <c r="AEA64" s="349"/>
      <c r="AEB64" s="349"/>
      <c r="AEC64" s="349"/>
      <c r="AED64" s="349"/>
      <c r="AEE64" s="349"/>
      <c r="AEF64" s="349"/>
      <c r="AEG64" s="349"/>
      <c r="AEH64" s="349"/>
      <c r="AEI64" s="349"/>
      <c r="AEJ64" s="349"/>
      <c r="AEK64" s="349"/>
      <c r="AEL64" s="349"/>
      <c r="AEM64" s="349"/>
      <c r="AEN64" s="349"/>
      <c r="AEO64" s="349"/>
      <c r="AEP64" s="349"/>
      <c r="AEQ64" s="349"/>
      <c r="AER64" s="349"/>
      <c r="AES64" s="349"/>
      <c r="AET64" s="349"/>
      <c r="AEU64" s="349"/>
      <c r="AEV64" s="349"/>
      <c r="AEW64" s="349"/>
      <c r="AEX64" s="349"/>
      <c r="AEY64" s="349"/>
      <c r="AEZ64" s="349"/>
      <c r="AFA64" s="349"/>
      <c r="AFB64" s="349"/>
      <c r="AFC64" s="349"/>
      <c r="AFD64" s="349"/>
      <c r="AFE64" s="349"/>
      <c r="AFF64" s="349"/>
      <c r="AFG64" s="349"/>
      <c r="AFH64" s="349"/>
      <c r="AFI64" s="349"/>
      <c r="AFJ64" s="349"/>
      <c r="AFK64" s="349"/>
      <c r="AFL64" s="349"/>
      <c r="AFM64" s="349"/>
      <c r="AFN64" s="349"/>
      <c r="AFO64" s="349"/>
      <c r="AFP64" s="349"/>
      <c r="AFQ64" s="349"/>
      <c r="AFR64" s="349"/>
      <c r="AFS64" s="349"/>
      <c r="AFT64" s="349"/>
      <c r="AFU64" s="349"/>
      <c r="AFV64" s="349"/>
      <c r="AFW64" s="349"/>
      <c r="AFX64" s="349"/>
      <c r="AFY64" s="349"/>
      <c r="AFZ64" s="349"/>
      <c r="AGA64" s="349"/>
      <c r="AGB64" s="349"/>
      <c r="AGC64" s="349"/>
      <c r="AGD64" s="349"/>
      <c r="AGE64" s="349"/>
      <c r="AGF64" s="349"/>
      <c r="AGG64" s="349"/>
      <c r="AGH64" s="349"/>
      <c r="AGI64" s="349"/>
      <c r="AGJ64" s="349"/>
      <c r="AGK64" s="349"/>
      <c r="AGL64" s="349"/>
      <c r="AGM64" s="349"/>
      <c r="AGN64" s="349"/>
      <c r="AGO64" s="349"/>
      <c r="AGP64" s="349"/>
      <c r="AGQ64" s="349"/>
      <c r="AGR64" s="349"/>
      <c r="AGS64" s="349"/>
      <c r="AGT64" s="349"/>
      <c r="AGU64" s="349"/>
      <c r="AGV64" s="349"/>
      <c r="AGW64" s="349"/>
      <c r="AGX64" s="349"/>
      <c r="AGY64" s="349"/>
      <c r="AGZ64" s="349"/>
      <c r="AHA64" s="349"/>
      <c r="AHB64" s="349"/>
      <c r="AHC64" s="349"/>
      <c r="AHD64" s="349"/>
      <c r="AHE64" s="349"/>
      <c r="AHF64" s="349"/>
      <c r="AHG64" s="349"/>
      <c r="AHH64" s="349"/>
      <c r="AHI64" s="349"/>
      <c r="AHJ64" s="349"/>
      <c r="AHK64" s="349"/>
      <c r="AHL64" s="349"/>
      <c r="AHM64" s="349"/>
      <c r="AHN64" s="349"/>
      <c r="AHO64" s="349"/>
      <c r="AHP64" s="349"/>
      <c r="AHQ64" s="349"/>
      <c r="AHR64" s="349"/>
      <c r="AHS64" s="349"/>
      <c r="AHT64" s="349"/>
      <c r="AHU64" s="349"/>
      <c r="AHV64" s="349"/>
      <c r="AHW64" s="349"/>
      <c r="AHX64" s="349"/>
      <c r="AHY64" s="349"/>
      <c r="AHZ64" s="349"/>
      <c r="AIA64" s="349"/>
      <c r="AIB64" s="349"/>
      <c r="AIC64" s="349"/>
      <c r="AID64" s="349"/>
      <c r="AIE64" s="349"/>
      <c r="AIF64" s="349"/>
      <c r="AIG64" s="349"/>
      <c r="AIH64" s="349"/>
      <c r="AII64" s="349"/>
      <c r="AIJ64" s="349"/>
      <c r="AIK64" s="349"/>
      <c r="AIL64" s="349"/>
      <c r="AIM64" s="349"/>
      <c r="AIN64" s="349"/>
      <c r="AIO64" s="349"/>
      <c r="AIP64" s="349"/>
      <c r="AIQ64" s="349"/>
      <c r="AIR64" s="349"/>
      <c r="AIS64" s="349"/>
      <c r="AIT64" s="349"/>
      <c r="AIU64" s="349"/>
      <c r="AIV64" s="349"/>
      <c r="AIW64" s="349"/>
      <c r="AIX64" s="349"/>
      <c r="AIY64" s="349"/>
      <c r="AIZ64" s="349"/>
      <c r="AJA64" s="349"/>
      <c r="AJB64" s="349"/>
      <c r="AJC64" s="349"/>
      <c r="AJD64" s="349"/>
      <c r="AJE64" s="349"/>
      <c r="AJF64" s="349"/>
      <c r="AJG64" s="349"/>
      <c r="AJH64" s="349"/>
      <c r="AJI64" s="349"/>
      <c r="AJJ64" s="349"/>
      <c r="AJK64" s="349"/>
      <c r="AJL64" s="349"/>
      <c r="AJM64" s="349"/>
      <c r="AJN64" s="349"/>
      <c r="AJO64" s="349"/>
      <c r="AJP64" s="349"/>
      <c r="AJQ64" s="349"/>
      <c r="AJR64" s="349"/>
      <c r="AJS64" s="349"/>
      <c r="AJT64" s="349"/>
      <c r="AJU64" s="349"/>
      <c r="AJV64" s="349"/>
      <c r="AJW64" s="349"/>
      <c r="AJX64" s="349"/>
      <c r="AJY64" s="349"/>
      <c r="AJZ64" s="349"/>
      <c r="AKA64" s="349"/>
      <c r="AKB64" s="349"/>
      <c r="AKC64" s="349"/>
      <c r="AKD64" s="349"/>
      <c r="AKE64" s="349"/>
      <c r="AKF64" s="349"/>
      <c r="AKG64" s="349"/>
      <c r="AKH64" s="349"/>
      <c r="AKI64" s="349"/>
      <c r="AKJ64" s="349"/>
      <c r="AKK64" s="349"/>
      <c r="AKL64" s="349"/>
      <c r="AKM64" s="349"/>
      <c r="AKN64" s="349"/>
      <c r="AKO64" s="349"/>
      <c r="AKP64" s="349"/>
      <c r="AKQ64" s="349"/>
      <c r="AKR64" s="349"/>
      <c r="AKS64" s="349"/>
      <c r="AKT64" s="349"/>
      <c r="AKU64" s="349"/>
      <c r="AKV64" s="349"/>
      <c r="AKW64" s="349"/>
      <c r="AKX64" s="349"/>
      <c r="AKY64" s="349"/>
      <c r="AKZ64" s="349"/>
      <c r="ALA64" s="349"/>
      <c r="ALB64" s="349"/>
      <c r="ALC64" s="349"/>
      <c r="ALD64" s="349"/>
      <c r="ALE64" s="349"/>
      <c r="ALF64" s="349"/>
      <c r="ALG64" s="349"/>
      <c r="ALH64" s="349"/>
      <c r="ALI64" s="349"/>
      <c r="ALJ64" s="349"/>
      <c r="ALK64" s="349"/>
      <c r="ALL64" s="349"/>
      <c r="ALM64" s="349"/>
      <c r="ALN64" s="349"/>
      <c r="ALO64" s="349"/>
      <c r="ALP64" s="349"/>
      <c r="ALQ64" s="349"/>
      <c r="ALR64" s="349"/>
      <c r="ALS64" s="349"/>
      <c r="ALT64" s="349"/>
      <c r="ALU64" s="349"/>
      <c r="ALV64" s="349"/>
      <c r="ALW64" s="349"/>
      <c r="ALX64" s="349"/>
      <c r="ALY64" s="349"/>
      <c r="ALZ64" s="349"/>
      <c r="AMA64" s="349"/>
      <c r="AMB64" s="349"/>
      <c r="AMC64" s="349"/>
      <c r="AMD64" s="349"/>
      <c r="AME64" s="349"/>
      <c r="AMF64" s="349"/>
      <c r="AMG64" s="349"/>
      <c r="AMH64" s="349"/>
      <c r="AMI64" s="349"/>
      <c r="AMJ64" s="349"/>
      <c r="AMK64" s="349"/>
      <c r="AML64" s="349"/>
      <c r="AMM64" s="349"/>
      <c r="AMN64" s="349"/>
      <c r="AMO64" s="349"/>
      <c r="AMP64" s="349"/>
      <c r="AMQ64" s="349"/>
      <c r="AMR64" s="349"/>
      <c r="AMS64" s="349"/>
      <c r="AMT64" s="349"/>
      <c r="AMU64" s="349"/>
      <c r="AMV64" s="349"/>
      <c r="AMW64" s="349"/>
      <c r="AMX64" s="349"/>
      <c r="AMY64" s="349"/>
      <c r="AMZ64" s="349"/>
      <c r="ANA64" s="349"/>
      <c r="ANB64" s="349"/>
      <c r="ANC64" s="349"/>
      <c r="AND64" s="349"/>
      <c r="ANE64" s="349"/>
      <c r="ANF64" s="349"/>
      <c r="ANG64" s="349"/>
      <c r="ANH64" s="349"/>
      <c r="ANI64" s="349"/>
      <c r="ANJ64" s="349"/>
      <c r="ANK64" s="349"/>
      <c r="ANL64" s="349"/>
      <c r="ANM64" s="349"/>
      <c r="ANN64" s="349"/>
      <c r="ANO64" s="349"/>
      <c r="ANP64" s="349"/>
      <c r="ANQ64" s="349"/>
      <c r="ANR64" s="349"/>
      <c r="ANS64" s="349"/>
      <c r="ANT64" s="349"/>
      <c r="ANU64" s="349"/>
      <c r="ANV64" s="349"/>
      <c r="ANW64" s="349"/>
      <c r="ANX64" s="349"/>
      <c r="ANY64" s="349"/>
      <c r="ANZ64" s="349"/>
      <c r="AOA64" s="349"/>
      <c r="AOB64" s="349"/>
      <c r="AOC64" s="349"/>
      <c r="AOD64" s="349"/>
      <c r="AOE64" s="349"/>
      <c r="AOF64" s="349"/>
      <c r="AOG64" s="349"/>
      <c r="AOH64" s="349"/>
      <c r="AOI64" s="349"/>
      <c r="AOJ64" s="349"/>
      <c r="AOK64" s="349"/>
      <c r="AOL64" s="349"/>
      <c r="AOM64" s="349"/>
      <c r="AON64" s="349"/>
      <c r="AOO64" s="349"/>
      <c r="AOP64" s="349"/>
      <c r="AOQ64" s="349"/>
      <c r="AOR64" s="349"/>
      <c r="AOS64" s="349"/>
      <c r="AOT64" s="349"/>
      <c r="AOU64" s="349"/>
      <c r="AOV64" s="349"/>
      <c r="AOW64" s="349"/>
      <c r="AOX64" s="349"/>
      <c r="AOY64" s="349"/>
      <c r="AOZ64" s="349"/>
      <c r="APA64" s="349"/>
      <c r="APB64" s="349"/>
      <c r="APC64" s="349"/>
      <c r="APD64" s="349"/>
      <c r="APE64" s="349"/>
      <c r="APF64" s="349"/>
      <c r="APG64" s="349"/>
      <c r="APH64" s="349"/>
      <c r="API64" s="349"/>
      <c r="APJ64" s="349"/>
      <c r="APK64" s="349"/>
      <c r="APL64" s="349"/>
      <c r="APM64" s="349"/>
      <c r="APN64" s="349"/>
      <c r="APO64" s="349"/>
      <c r="APP64" s="349"/>
      <c r="APQ64" s="349"/>
      <c r="APR64" s="349"/>
      <c r="APS64" s="349"/>
      <c r="APT64" s="349"/>
      <c r="APU64" s="349"/>
      <c r="APV64" s="349"/>
      <c r="APW64" s="349"/>
      <c r="APX64" s="349"/>
      <c r="APY64" s="349"/>
      <c r="APZ64" s="349"/>
      <c r="AQA64" s="349"/>
      <c r="AQB64" s="349"/>
      <c r="AQC64" s="349"/>
      <c r="AQD64" s="349"/>
      <c r="AQE64" s="349"/>
      <c r="AQF64" s="349"/>
      <c r="AQG64" s="349"/>
      <c r="AQH64" s="349"/>
      <c r="AQI64" s="349"/>
      <c r="AQJ64" s="349"/>
      <c r="AQK64" s="349"/>
      <c r="AQL64" s="349"/>
      <c r="AQM64" s="349"/>
      <c r="AQN64" s="349"/>
      <c r="AQO64" s="349"/>
      <c r="AQP64" s="349"/>
      <c r="AQQ64" s="349"/>
      <c r="AQR64" s="349"/>
      <c r="AQS64" s="349"/>
      <c r="AQT64" s="349"/>
      <c r="AQU64" s="349"/>
      <c r="AQV64" s="349"/>
      <c r="AQW64" s="349"/>
      <c r="AQX64" s="349"/>
      <c r="AQY64" s="349"/>
      <c r="AQZ64" s="349"/>
      <c r="ARA64" s="349"/>
      <c r="ARB64" s="349"/>
      <c r="ARC64" s="349"/>
      <c r="ARD64" s="349"/>
      <c r="ARE64" s="349"/>
      <c r="ARF64" s="349"/>
      <c r="ARG64" s="349"/>
      <c r="ARH64" s="349"/>
      <c r="ARI64" s="349"/>
      <c r="ARJ64" s="349"/>
      <c r="ARK64" s="349"/>
      <c r="ARL64" s="349"/>
      <c r="ARM64" s="349"/>
      <c r="ARN64" s="349"/>
      <c r="ARO64" s="349"/>
      <c r="ARP64" s="349"/>
      <c r="ARQ64" s="349"/>
      <c r="ARR64" s="349"/>
      <c r="ARS64" s="349"/>
      <c r="ART64" s="349"/>
      <c r="ARU64" s="349"/>
      <c r="ARV64" s="349"/>
      <c r="ARW64" s="349"/>
      <c r="ARX64" s="349"/>
      <c r="ARY64" s="349"/>
      <c r="ARZ64" s="349"/>
      <c r="ASA64" s="349"/>
      <c r="ASB64" s="349"/>
      <c r="ASC64" s="349"/>
      <c r="ASD64" s="349"/>
      <c r="ASE64" s="349"/>
      <c r="ASF64" s="349"/>
      <c r="ASG64" s="349"/>
      <c r="ASH64" s="349"/>
      <c r="ASI64" s="349"/>
      <c r="ASJ64" s="349"/>
      <c r="ASK64" s="349"/>
      <c r="ASL64" s="349"/>
      <c r="ASM64" s="349"/>
      <c r="ASN64" s="349"/>
      <c r="ASO64" s="349"/>
      <c r="ASP64" s="349"/>
      <c r="ASQ64" s="349"/>
      <c r="ASR64" s="349"/>
      <c r="ASS64" s="349"/>
      <c r="AST64" s="349"/>
      <c r="ASU64" s="349"/>
      <c r="ASV64" s="349"/>
      <c r="ASW64" s="349"/>
      <c r="ASX64" s="349"/>
      <c r="ASY64" s="349"/>
      <c r="ASZ64" s="349"/>
      <c r="ATA64" s="349"/>
      <c r="ATB64" s="349"/>
      <c r="ATC64" s="349"/>
      <c r="ATD64" s="349"/>
      <c r="ATE64" s="349"/>
      <c r="ATF64" s="349"/>
      <c r="ATG64" s="349"/>
      <c r="ATH64" s="349"/>
      <c r="ATI64" s="349"/>
      <c r="ATJ64" s="349"/>
      <c r="ATK64" s="349"/>
      <c r="ATL64" s="349"/>
      <c r="ATM64" s="349"/>
      <c r="ATN64" s="349"/>
      <c r="ATO64" s="349"/>
      <c r="ATP64" s="349"/>
      <c r="ATQ64" s="349"/>
      <c r="ATR64" s="349"/>
      <c r="ATS64" s="349"/>
      <c r="ATT64" s="349"/>
      <c r="ATU64" s="349"/>
      <c r="ATV64" s="349"/>
      <c r="ATW64" s="349"/>
      <c r="ATX64" s="349"/>
      <c r="ATY64" s="349"/>
      <c r="ATZ64" s="349"/>
      <c r="AUA64" s="349"/>
      <c r="AUB64" s="349"/>
      <c r="AUC64" s="349"/>
      <c r="AUD64" s="349"/>
      <c r="AUE64" s="349"/>
      <c r="AUF64" s="349"/>
      <c r="AUG64" s="349"/>
      <c r="AUH64" s="349"/>
      <c r="AUI64" s="349"/>
      <c r="AUJ64" s="349"/>
      <c r="AUK64" s="349"/>
      <c r="AUL64" s="349"/>
      <c r="AUM64" s="349"/>
      <c r="AUN64" s="349"/>
      <c r="AUO64" s="349"/>
      <c r="AUP64" s="349"/>
      <c r="AUQ64" s="349"/>
      <c r="AUR64" s="349"/>
      <c r="AUS64" s="349"/>
      <c r="AUT64" s="349"/>
      <c r="AUU64" s="349"/>
      <c r="AUV64" s="349"/>
      <c r="AUW64" s="349"/>
      <c r="AUX64" s="349"/>
      <c r="AUY64" s="349"/>
      <c r="AUZ64" s="349"/>
      <c r="AVA64" s="349"/>
      <c r="AVB64" s="349"/>
      <c r="AVC64" s="349"/>
      <c r="AVD64" s="349"/>
      <c r="AVE64" s="349"/>
      <c r="AVF64" s="349"/>
      <c r="AVG64" s="349"/>
      <c r="AVH64" s="349"/>
      <c r="AVI64" s="349"/>
      <c r="AVJ64" s="349"/>
      <c r="AVK64" s="349"/>
      <c r="AVL64" s="349"/>
      <c r="AVM64" s="349"/>
      <c r="AVN64" s="349"/>
      <c r="AVO64" s="349"/>
      <c r="AVP64" s="349"/>
      <c r="AVQ64" s="349"/>
      <c r="AVR64" s="349"/>
      <c r="AVS64" s="349"/>
      <c r="AVT64" s="349"/>
      <c r="AVU64" s="349"/>
      <c r="AVV64" s="349"/>
      <c r="AVW64" s="349"/>
      <c r="AVX64" s="349"/>
      <c r="AVY64" s="349"/>
      <c r="AVZ64" s="349"/>
      <c r="AWA64" s="349"/>
      <c r="AWB64" s="349"/>
      <c r="AWC64" s="349"/>
      <c r="AWD64" s="349"/>
      <c r="AWE64" s="349"/>
      <c r="AWF64" s="349"/>
      <c r="AWG64" s="349"/>
      <c r="AWH64" s="349"/>
      <c r="AWI64" s="349"/>
      <c r="AWJ64" s="349"/>
      <c r="AWK64" s="349"/>
      <c r="AWL64" s="349"/>
      <c r="AWM64" s="349"/>
      <c r="AWN64" s="349"/>
      <c r="AWO64" s="349"/>
      <c r="AWP64" s="349"/>
      <c r="AWQ64" s="349"/>
      <c r="AWR64" s="349"/>
      <c r="AWS64" s="349"/>
      <c r="AWT64" s="349"/>
      <c r="AWU64" s="349"/>
      <c r="AWV64" s="349"/>
      <c r="AWW64" s="349"/>
      <c r="AWX64" s="349"/>
      <c r="AWY64" s="349"/>
      <c r="AWZ64" s="349"/>
      <c r="AXA64" s="349"/>
      <c r="AXB64" s="349"/>
      <c r="AXC64" s="349"/>
      <c r="AXD64" s="349"/>
      <c r="AXE64" s="349"/>
      <c r="AXF64" s="349"/>
      <c r="AXG64" s="349"/>
      <c r="AXH64" s="349"/>
      <c r="AXI64" s="349"/>
      <c r="AXJ64" s="349"/>
      <c r="AXK64" s="349"/>
      <c r="AXL64" s="349"/>
      <c r="AXM64" s="349"/>
      <c r="AXN64" s="349"/>
      <c r="AXO64" s="349"/>
      <c r="AXP64" s="349"/>
      <c r="AXQ64" s="349"/>
      <c r="AXR64" s="349"/>
      <c r="AXS64" s="349"/>
      <c r="AXT64" s="349"/>
      <c r="AXU64" s="349"/>
      <c r="AXV64" s="349"/>
      <c r="AXW64" s="349"/>
      <c r="AXX64" s="349"/>
      <c r="AXY64" s="349"/>
      <c r="AXZ64" s="349"/>
      <c r="AYA64" s="349"/>
      <c r="AYB64" s="349"/>
      <c r="AYC64" s="349"/>
      <c r="AYD64" s="349"/>
      <c r="AYE64" s="349"/>
      <c r="AYF64" s="349"/>
      <c r="AYG64" s="349"/>
      <c r="AYH64" s="349"/>
      <c r="AYI64" s="349"/>
      <c r="AYJ64" s="349"/>
      <c r="AYK64" s="349"/>
      <c r="AYL64" s="349"/>
      <c r="AYM64" s="349"/>
      <c r="AYN64" s="349"/>
      <c r="AYO64" s="349"/>
      <c r="AYP64" s="349"/>
      <c r="AYQ64" s="349"/>
      <c r="AYR64" s="349"/>
      <c r="AYS64" s="349"/>
      <c r="AYT64" s="349"/>
      <c r="AYU64" s="349"/>
      <c r="AYV64" s="349"/>
      <c r="AYW64" s="349"/>
      <c r="AYX64" s="349"/>
      <c r="AYY64" s="349"/>
      <c r="AYZ64" s="349"/>
      <c r="AZA64" s="349"/>
      <c r="AZB64" s="349"/>
      <c r="AZC64" s="349"/>
      <c r="AZD64" s="349"/>
      <c r="AZE64" s="349"/>
      <c r="AZF64" s="349"/>
      <c r="AZG64" s="349"/>
      <c r="AZH64" s="349"/>
      <c r="AZI64" s="349"/>
      <c r="AZJ64" s="349"/>
      <c r="AZK64" s="349"/>
      <c r="AZL64" s="349"/>
      <c r="AZM64" s="349"/>
      <c r="AZN64" s="349"/>
      <c r="AZO64" s="349"/>
      <c r="AZP64" s="349"/>
      <c r="AZQ64" s="349"/>
      <c r="AZR64" s="349"/>
      <c r="AZS64" s="349"/>
      <c r="AZT64" s="349"/>
      <c r="AZU64" s="349"/>
      <c r="AZV64" s="349"/>
      <c r="AZW64" s="349"/>
      <c r="AZX64" s="349"/>
      <c r="AZY64" s="349"/>
      <c r="AZZ64" s="349"/>
      <c r="BAA64" s="349"/>
      <c r="BAB64" s="349"/>
      <c r="BAC64" s="349"/>
      <c r="BAD64" s="349"/>
      <c r="BAE64" s="349"/>
      <c r="BAF64" s="349"/>
      <c r="BAG64" s="349"/>
      <c r="BAH64" s="349"/>
      <c r="BAI64" s="349"/>
      <c r="BAJ64" s="349"/>
      <c r="BAK64" s="349"/>
      <c r="BAL64" s="349"/>
      <c r="BAM64" s="349"/>
      <c r="BAN64" s="349"/>
      <c r="BAO64" s="349"/>
      <c r="BAP64" s="349"/>
      <c r="BAQ64" s="349"/>
      <c r="BAR64" s="349"/>
      <c r="BAS64" s="349"/>
      <c r="BAT64" s="349"/>
      <c r="BAU64" s="349"/>
      <c r="BAV64" s="349"/>
      <c r="BAW64" s="349"/>
      <c r="BAX64" s="349"/>
      <c r="BAY64" s="349"/>
      <c r="BAZ64" s="349"/>
      <c r="BBA64" s="349"/>
      <c r="BBB64" s="349"/>
      <c r="BBC64" s="349"/>
      <c r="BBD64" s="349"/>
      <c r="BBE64" s="349"/>
      <c r="BBF64" s="349"/>
      <c r="BBG64" s="349"/>
      <c r="BBH64" s="349"/>
      <c r="BBI64" s="349"/>
      <c r="BBJ64" s="349"/>
      <c r="BBK64" s="349"/>
      <c r="BBL64" s="349"/>
      <c r="BBM64" s="349"/>
      <c r="BBN64" s="349"/>
      <c r="BBO64" s="349"/>
      <c r="BBP64" s="349"/>
      <c r="BBQ64" s="349"/>
      <c r="BBR64" s="349"/>
      <c r="BBS64" s="349"/>
      <c r="BBT64" s="349"/>
      <c r="BBU64" s="349"/>
      <c r="BBV64" s="349"/>
      <c r="BBW64" s="349"/>
      <c r="BBX64" s="349"/>
      <c r="BBY64" s="349"/>
      <c r="BBZ64" s="349"/>
      <c r="BCA64" s="349"/>
      <c r="BCB64" s="349"/>
      <c r="BCC64" s="349"/>
      <c r="BCD64" s="349"/>
      <c r="BCE64" s="349"/>
      <c r="BCF64" s="349"/>
      <c r="BCG64" s="349"/>
      <c r="BCH64" s="349"/>
      <c r="BCI64" s="349"/>
      <c r="BCJ64" s="349"/>
      <c r="BCK64" s="349"/>
      <c r="BCL64" s="349"/>
      <c r="BCM64" s="349"/>
      <c r="BCN64" s="349"/>
      <c r="BCO64" s="349"/>
      <c r="BCP64" s="349"/>
      <c r="BCQ64" s="349"/>
      <c r="BCR64" s="349"/>
      <c r="BCS64" s="349"/>
      <c r="BCT64" s="349"/>
      <c r="BCU64" s="349"/>
      <c r="BCV64" s="349"/>
      <c r="BCW64" s="349"/>
      <c r="BCX64" s="349"/>
      <c r="BCY64" s="349"/>
      <c r="BCZ64" s="349"/>
      <c r="BDA64" s="349"/>
      <c r="BDB64" s="349"/>
      <c r="BDC64" s="349"/>
      <c r="BDD64" s="349"/>
      <c r="BDE64" s="349"/>
      <c r="BDF64" s="349"/>
      <c r="BDG64" s="349"/>
      <c r="BDH64" s="349"/>
      <c r="BDI64" s="349"/>
      <c r="BDJ64" s="349"/>
      <c r="BDK64" s="349"/>
      <c r="BDL64" s="349"/>
      <c r="BDM64" s="349"/>
      <c r="BDN64" s="349"/>
      <c r="BDO64" s="349"/>
      <c r="BDP64" s="349"/>
      <c r="BDQ64" s="349"/>
      <c r="BDR64" s="349"/>
      <c r="BDS64" s="349"/>
      <c r="BDT64" s="349"/>
      <c r="BDU64" s="349"/>
      <c r="BDV64" s="349"/>
      <c r="BDW64" s="349"/>
      <c r="BDX64" s="349"/>
      <c r="BDY64" s="349"/>
      <c r="BDZ64" s="349"/>
      <c r="BEA64" s="349"/>
      <c r="BEB64" s="349"/>
      <c r="BEC64" s="349"/>
      <c r="BED64" s="349"/>
      <c r="BEE64" s="349"/>
      <c r="BEF64" s="349"/>
      <c r="BEG64" s="349"/>
      <c r="BEH64" s="349"/>
      <c r="BEI64" s="349"/>
      <c r="BEJ64" s="349"/>
      <c r="BEK64" s="349"/>
      <c r="BEL64" s="349"/>
      <c r="BEM64" s="349"/>
      <c r="BEN64" s="349"/>
      <c r="BEO64" s="349"/>
      <c r="BEP64" s="349"/>
      <c r="BEQ64" s="349"/>
      <c r="BER64" s="349"/>
      <c r="BES64" s="349"/>
      <c r="BET64" s="349"/>
      <c r="BEU64" s="349"/>
      <c r="BEV64" s="349"/>
      <c r="BEW64" s="349"/>
      <c r="BEX64" s="349"/>
      <c r="BEY64" s="349"/>
      <c r="BEZ64" s="349"/>
      <c r="BFA64" s="349"/>
      <c r="BFB64" s="349"/>
      <c r="BFC64" s="349"/>
      <c r="BFD64" s="349"/>
      <c r="BFE64" s="349"/>
      <c r="BFF64" s="349"/>
      <c r="BFG64" s="349"/>
      <c r="BFH64" s="349"/>
      <c r="BFI64" s="349"/>
      <c r="BFJ64" s="349"/>
      <c r="BFK64" s="349"/>
      <c r="BFL64" s="349"/>
      <c r="BFM64" s="349"/>
      <c r="BFN64" s="349"/>
      <c r="BFO64" s="349"/>
      <c r="BFP64" s="349"/>
      <c r="BFQ64" s="349"/>
      <c r="BFR64" s="349"/>
      <c r="BFS64" s="349"/>
      <c r="BFT64" s="349"/>
      <c r="BFU64" s="349"/>
      <c r="BFV64" s="349"/>
      <c r="BFW64" s="349"/>
      <c r="BFX64" s="349"/>
      <c r="BFY64" s="349"/>
      <c r="BFZ64" s="349"/>
      <c r="BGA64" s="349"/>
      <c r="BGB64" s="349"/>
      <c r="BGC64" s="349"/>
      <c r="BGD64" s="349"/>
      <c r="BGE64" s="349"/>
      <c r="BGF64" s="349"/>
      <c r="BGG64" s="349"/>
      <c r="BGH64" s="349"/>
      <c r="BGI64" s="349"/>
      <c r="BGJ64" s="349"/>
      <c r="BGK64" s="349"/>
      <c r="BGL64" s="349"/>
      <c r="BGM64" s="349"/>
      <c r="BGN64" s="349"/>
      <c r="BGO64" s="349"/>
      <c r="BGP64" s="349"/>
      <c r="BGQ64" s="349"/>
      <c r="BGR64" s="349"/>
      <c r="BGS64" s="349"/>
      <c r="BGT64" s="349"/>
      <c r="BGU64" s="349"/>
      <c r="BGV64" s="349"/>
      <c r="BGW64" s="349"/>
      <c r="BGX64" s="349"/>
      <c r="BGY64" s="349"/>
      <c r="BGZ64" s="349"/>
      <c r="BHA64" s="349"/>
      <c r="BHB64" s="349"/>
      <c r="BHC64" s="349"/>
      <c r="BHD64" s="349"/>
      <c r="BHE64" s="349"/>
      <c r="BHF64" s="349"/>
      <c r="BHG64" s="349"/>
      <c r="BHH64" s="349"/>
      <c r="BHI64" s="349"/>
      <c r="BHJ64" s="349"/>
      <c r="BHK64" s="349"/>
      <c r="BHL64" s="349"/>
      <c r="BHM64" s="349"/>
      <c r="BHN64" s="349"/>
      <c r="BHO64" s="349"/>
      <c r="BHP64" s="349"/>
      <c r="BHQ64" s="349"/>
      <c r="BHR64" s="349"/>
      <c r="BHS64" s="349"/>
      <c r="BHT64" s="349"/>
      <c r="BHU64" s="349"/>
      <c r="BHV64" s="349"/>
      <c r="BHW64" s="349"/>
      <c r="BHX64" s="349"/>
      <c r="BHY64" s="349"/>
      <c r="BHZ64" s="349"/>
      <c r="BIA64" s="349"/>
      <c r="BIB64" s="349"/>
      <c r="BIC64" s="349"/>
      <c r="BID64" s="349"/>
      <c r="BIE64" s="349"/>
      <c r="BIF64" s="349"/>
      <c r="BIG64" s="349"/>
      <c r="BIH64" s="349"/>
      <c r="BII64" s="349"/>
      <c r="BIJ64" s="349"/>
      <c r="BIK64" s="349"/>
      <c r="BIL64" s="349"/>
      <c r="BIM64" s="349"/>
      <c r="BIN64" s="349"/>
      <c r="BIO64" s="349"/>
      <c r="BIP64" s="349"/>
      <c r="BIQ64" s="349"/>
      <c r="BIR64" s="349"/>
      <c r="BIS64" s="349"/>
      <c r="BIT64" s="349"/>
      <c r="BIU64" s="349"/>
      <c r="BIV64" s="349"/>
      <c r="BIW64" s="349"/>
      <c r="BIX64" s="349"/>
      <c r="BIY64" s="349"/>
      <c r="BIZ64" s="349"/>
      <c r="BJA64" s="349"/>
      <c r="BJB64" s="349"/>
      <c r="BJC64" s="349"/>
      <c r="BJD64" s="349"/>
      <c r="BJE64" s="349"/>
      <c r="BJF64" s="349"/>
      <c r="BJG64" s="349"/>
      <c r="BJH64" s="349"/>
      <c r="BJI64" s="349"/>
      <c r="BJJ64" s="349"/>
      <c r="BJK64" s="349"/>
      <c r="BJL64" s="349"/>
      <c r="BJM64" s="349"/>
      <c r="BJN64" s="349"/>
      <c r="BJO64" s="349"/>
      <c r="BJP64" s="349"/>
      <c r="BJQ64" s="349"/>
      <c r="BJR64" s="349"/>
      <c r="BJS64" s="349"/>
      <c r="BJT64" s="349"/>
      <c r="BJU64" s="349"/>
      <c r="BJV64" s="349"/>
      <c r="BJW64" s="349"/>
      <c r="BJX64" s="349"/>
      <c r="BJY64" s="349"/>
      <c r="BJZ64" s="349"/>
      <c r="BKA64" s="349"/>
      <c r="BKB64" s="349"/>
      <c r="BKC64" s="349"/>
      <c r="BKD64" s="349"/>
      <c r="BKE64" s="349"/>
      <c r="BKF64" s="349"/>
      <c r="BKG64" s="349"/>
      <c r="BKH64" s="349"/>
      <c r="BKI64" s="349"/>
      <c r="BKJ64" s="349"/>
      <c r="BKK64" s="349"/>
      <c r="BKL64" s="349"/>
      <c r="BKM64" s="349"/>
      <c r="BKN64" s="349"/>
      <c r="BKO64" s="349"/>
      <c r="BKP64" s="349"/>
      <c r="BKQ64" s="349"/>
      <c r="BKR64" s="349"/>
      <c r="BKS64" s="349"/>
      <c r="BKT64" s="349"/>
      <c r="BKU64" s="349"/>
      <c r="BKV64" s="349"/>
      <c r="BKW64" s="349"/>
      <c r="BKX64" s="349"/>
      <c r="BKY64" s="349"/>
      <c r="BKZ64" s="349"/>
      <c r="BLA64" s="349"/>
      <c r="BLB64" s="349"/>
      <c r="BLC64" s="349"/>
      <c r="BLD64" s="349"/>
      <c r="BLE64" s="349"/>
      <c r="BLF64" s="349"/>
      <c r="BLG64" s="349"/>
      <c r="BLH64" s="349"/>
      <c r="BLI64" s="349"/>
      <c r="BLJ64" s="349"/>
      <c r="BLK64" s="349"/>
      <c r="BLL64" s="349"/>
      <c r="BLM64" s="349"/>
      <c r="BLN64" s="349"/>
      <c r="BLO64" s="349"/>
      <c r="BLP64" s="349"/>
      <c r="BLQ64" s="349"/>
      <c r="BLR64" s="349"/>
      <c r="BLS64" s="349"/>
      <c r="BLT64" s="349"/>
      <c r="BLU64" s="349"/>
      <c r="BLV64" s="349"/>
      <c r="BLW64" s="349"/>
      <c r="BLX64" s="349"/>
      <c r="BLY64" s="349"/>
      <c r="BLZ64" s="349"/>
      <c r="BMA64" s="349"/>
      <c r="BMB64" s="349"/>
      <c r="BMC64" s="349"/>
      <c r="BMD64" s="349"/>
      <c r="BME64" s="349"/>
      <c r="BMF64" s="349"/>
      <c r="BMG64" s="349"/>
      <c r="BMH64" s="349"/>
      <c r="BMI64" s="349"/>
      <c r="BMJ64" s="349"/>
      <c r="BMK64" s="349"/>
      <c r="BML64" s="349"/>
      <c r="BMM64" s="349"/>
      <c r="BMN64" s="349"/>
      <c r="BMO64" s="349"/>
      <c r="BMP64" s="349"/>
      <c r="BMQ64" s="349"/>
      <c r="BMR64" s="349"/>
      <c r="BMS64" s="349"/>
      <c r="BMT64" s="349"/>
      <c r="BMU64" s="349"/>
      <c r="BMV64" s="349"/>
      <c r="BMW64" s="349"/>
      <c r="BMX64" s="349"/>
      <c r="BMY64" s="349"/>
      <c r="BMZ64" s="349"/>
      <c r="BNA64" s="349"/>
      <c r="BNB64" s="349"/>
      <c r="BNC64" s="349"/>
      <c r="BND64" s="349"/>
      <c r="BNE64" s="349"/>
      <c r="BNF64" s="349"/>
      <c r="BNG64" s="349"/>
      <c r="BNH64" s="349"/>
      <c r="BNI64" s="349"/>
      <c r="BNJ64" s="349"/>
      <c r="BNK64" s="349"/>
      <c r="BNL64" s="349"/>
      <c r="BNM64" s="349"/>
      <c r="BNN64" s="349"/>
      <c r="BNO64" s="349"/>
      <c r="BNP64" s="349"/>
      <c r="BNQ64" s="349"/>
      <c r="BNR64" s="349"/>
      <c r="BNS64" s="349"/>
      <c r="BNT64" s="349"/>
      <c r="BNU64" s="349"/>
      <c r="BNV64" s="349"/>
      <c r="BNW64" s="349"/>
      <c r="BNX64" s="349"/>
      <c r="BNY64" s="349"/>
      <c r="BNZ64" s="349"/>
      <c r="BOA64" s="349"/>
      <c r="BOB64" s="349"/>
      <c r="BOC64" s="349"/>
      <c r="BOD64" s="349"/>
      <c r="BOE64" s="349"/>
      <c r="BOF64" s="349"/>
      <c r="BOG64" s="349"/>
      <c r="BOH64" s="349"/>
      <c r="BOI64" s="349"/>
      <c r="BOJ64" s="349"/>
      <c r="BOK64" s="349"/>
      <c r="BOL64" s="349"/>
      <c r="BOM64" s="349"/>
      <c r="BON64" s="349"/>
      <c r="BOO64" s="349"/>
      <c r="BOP64" s="349"/>
      <c r="BOQ64" s="349"/>
      <c r="BOR64" s="349"/>
      <c r="BOS64" s="349"/>
      <c r="BOT64" s="349"/>
      <c r="BOU64" s="349"/>
      <c r="BOV64" s="349"/>
      <c r="BOW64" s="349"/>
      <c r="BOX64" s="349"/>
      <c r="BOY64" s="349"/>
      <c r="BOZ64" s="349"/>
      <c r="BPA64" s="349"/>
      <c r="BPB64" s="349"/>
      <c r="BPC64" s="349"/>
      <c r="BPD64" s="349"/>
      <c r="BPE64" s="349"/>
      <c r="BPF64" s="349"/>
      <c r="BPG64" s="349"/>
      <c r="BPH64" s="349"/>
      <c r="BPI64" s="349"/>
      <c r="BPJ64" s="349"/>
      <c r="BPK64" s="349"/>
      <c r="BPL64" s="349"/>
      <c r="BPM64" s="349"/>
      <c r="BPN64" s="349"/>
      <c r="BPO64" s="349"/>
      <c r="BPP64" s="349"/>
      <c r="BPQ64" s="349"/>
      <c r="BPR64" s="349"/>
      <c r="BPS64" s="349"/>
      <c r="BPT64" s="349"/>
      <c r="BPU64" s="349"/>
      <c r="BPV64" s="349"/>
      <c r="BPW64" s="349"/>
      <c r="BPX64" s="349"/>
      <c r="BPY64" s="349"/>
      <c r="BPZ64" s="349"/>
      <c r="BQA64" s="349"/>
      <c r="BQB64" s="349"/>
      <c r="BQC64" s="349"/>
      <c r="BQD64" s="349"/>
      <c r="BQE64" s="349"/>
      <c r="BQF64" s="349"/>
      <c r="BQG64" s="349"/>
      <c r="BQH64" s="349"/>
      <c r="BQI64" s="349"/>
      <c r="BQJ64" s="349"/>
      <c r="BQK64" s="349"/>
      <c r="BQL64" s="349"/>
      <c r="BQM64" s="349"/>
      <c r="BQN64" s="349"/>
      <c r="BQO64" s="349"/>
      <c r="BQP64" s="349"/>
      <c r="BQQ64" s="349"/>
      <c r="BQR64" s="349"/>
      <c r="BQS64" s="349"/>
      <c r="BQT64" s="349"/>
      <c r="BQU64" s="349"/>
      <c r="BQV64" s="349"/>
      <c r="BQW64" s="349"/>
      <c r="BQX64" s="349"/>
      <c r="BQY64" s="349"/>
      <c r="BQZ64" s="349"/>
      <c r="BRA64" s="349"/>
      <c r="BRB64" s="349"/>
      <c r="BRC64" s="349"/>
      <c r="BRD64" s="349"/>
      <c r="BRE64" s="349"/>
      <c r="BRF64" s="349"/>
      <c r="BRG64" s="349"/>
      <c r="BRH64" s="349"/>
      <c r="BRI64" s="349"/>
      <c r="BRJ64" s="349"/>
      <c r="BRK64" s="349"/>
      <c r="BRL64" s="349"/>
      <c r="BRM64" s="349"/>
      <c r="BRN64" s="349"/>
      <c r="BRO64" s="349"/>
      <c r="BRP64" s="349"/>
      <c r="BRQ64" s="349"/>
      <c r="BRR64" s="349"/>
      <c r="BRS64" s="349"/>
      <c r="BRT64" s="349"/>
      <c r="BRU64" s="349"/>
      <c r="BRV64" s="349"/>
      <c r="BRW64" s="349"/>
      <c r="BRX64" s="349"/>
      <c r="BRY64" s="349"/>
      <c r="BRZ64" s="349"/>
      <c r="BSA64" s="349"/>
      <c r="BSB64" s="349"/>
      <c r="BSC64" s="349"/>
      <c r="BSD64" s="349"/>
      <c r="BSE64" s="349"/>
      <c r="BSF64" s="349"/>
      <c r="BSG64" s="349"/>
      <c r="BSH64" s="349"/>
      <c r="BSI64" s="349"/>
      <c r="BSJ64" s="349"/>
      <c r="BSK64" s="349"/>
      <c r="BSL64" s="349"/>
      <c r="BSM64" s="349"/>
      <c r="BSN64" s="349"/>
      <c r="BSO64" s="349"/>
      <c r="BSP64" s="349"/>
      <c r="BSQ64" s="349"/>
      <c r="BSR64" s="349"/>
      <c r="BSS64" s="349"/>
      <c r="BST64" s="349"/>
      <c r="BSU64" s="349"/>
      <c r="BSV64" s="349"/>
      <c r="BSW64" s="349"/>
      <c r="BSX64" s="349"/>
      <c r="BSY64" s="349"/>
      <c r="BSZ64" s="349"/>
      <c r="BTA64" s="349"/>
      <c r="BTB64" s="349"/>
      <c r="BTC64" s="349"/>
      <c r="BTD64" s="349"/>
      <c r="BTE64" s="349"/>
      <c r="BTF64" s="349"/>
      <c r="BTG64" s="349"/>
      <c r="BTH64" s="349"/>
      <c r="BTI64" s="349"/>
      <c r="BTJ64" s="349"/>
      <c r="BTK64" s="349"/>
      <c r="BTL64" s="349"/>
      <c r="BTM64" s="349"/>
      <c r="BTN64" s="349"/>
      <c r="BTO64" s="349"/>
      <c r="BTP64" s="349"/>
      <c r="BTQ64" s="349"/>
      <c r="BTR64" s="349"/>
      <c r="BTS64" s="349"/>
      <c r="BTT64" s="349"/>
      <c r="BTU64" s="349"/>
      <c r="BTV64" s="349"/>
      <c r="BTW64" s="349"/>
      <c r="BTX64" s="349"/>
      <c r="BTY64" s="349"/>
      <c r="BTZ64" s="349"/>
      <c r="BUA64" s="349"/>
      <c r="BUB64" s="349"/>
      <c r="BUC64" s="349"/>
      <c r="BUD64" s="349"/>
      <c r="BUE64" s="349"/>
      <c r="BUF64" s="349"/>
      <c r="BUG64" s="349"/>
      <c r="BUH64" s="349"/>
      <c r="BUI64" s="349"/>
      <c r="BUJ64" s="349"/>
      <c r="BUK64" s="349"/>
      <c r="BUL64" s="349"/>
      <c r="BUM64" s="349"/>
      <c r="BUN64" s="349"/>
      <c r="BUO64" s="349"/>
      <c r="BUP64" s="349"/>
      <c r="BUQ64" s="349"/>
      <c r="BUR64" s="349"/>
      <c r="BUS64" s="349"/>
      <c r="BUT64" s="349"/>
      <c r="BUU64" s="349"/>
      <c r="BUV64" s="349"/>
      <c r="BUW64" s="349"/>
      <c r="BUX64" s="349"/>
      <c r="BUY64" s="349"/>
      <c r="BUZ64" s="349"/>
      <c r="BVA64" s="349"/>
      <c r="BVB64" s="349"/>
      <c r="BVC64" s="349"/>
      <c r="BVD64" s="349"/>
      <c r="BVE64" s="349"/>
      <c r="BVF64" s="349"/>
      <c r="BVG64" s="349"/>
      <c r="BVH64" s="349"/>
      <c r="BVI64" s="349"/>
      <c r="BVJ64" s="349"/>
      <c r="BVK64" s="349"/>
      <c r="BVL64" s="349"/>
      <c r="BVM64" s="349"/>
      <c r="BVN64" s="349"/>
      <c r="BVO64" s="349"/>
      <c r="BVP64" s="349"/>
      <c r="BVQ64" s="349"/>
      <c r="BVR64" s="349"/>
      <c r="BVS64" s="349"/>
      <c r="BVT64" s="349"/>
      <c r="BVU64" s="349"/>
      <c r="BVV64" s="349"/>
      <c r="BVW64" s="349"/>
      <c r="BVX64" s="349"/>
      <c r="BVY64" s="349"/>
      <c r="BVZ64" s="349"/>
      <c r="BWA64" s="349"/>
      <c r="BWB64" s="349"/>
      <c r="BWC64" s="349"/>
      <c r="BWD64" s="349"/>
      <c r="BWE64" s="349"/>
      <c r="BWF64" s="349"/>
      <c r="BWG64" s="349"/>
      <c r="BWH64" s="349"/>
      <c r="BWI64" s="349"/>
      <c r="BWJ64" s="349"/>
      <c r="BWK64" s="349"/>
      <c r="BWL64" s="349"/>
      <c r="BWM64" s="349"/>
      <c r="BWN64" s="349"/>
      <c r="BWO64" s="349"/>
      <c r="BWP64" s="349"/>
      <c r="BWQ64" s="349"/>
      <c r="BWR64" s="349"/>
      <c r="BWS64" s="349"/>
      <c r="BWT64" s="349"/>
      <c r="BWU64" s="349"/>
      <c r="BWV64" s="349"/>
      <c r="BWW64" s="349"/>
      <c r="BWX64" s="349"/>
      <c r="BWY64" s="349"/>
      <c r="BWZ64" s="349"/>
      <c r="BXA64" s="349"/>
      <c r="BXB64" s="349"/>
      <c r="BXC64" s="349"/>
      <c r="BXD64" s="349"/>
      <c r="BXE64" s="349"/>
      <c r="BXF64" s="349"/>
      <c r="BXG64" s="349"/>
      <c r="BXH64" s="349"/>
      <c r="BXI64" s="349"/>
      <c r="BXJ64" s="349"/>
      <c r="BXK64" s="349"/>
      <c r="BXL64" s="349"/>
      <c r="BXM64" s="349"/>
      <c r="BXN64" s="349"/>
      <c r="BXO64" s="349"/>
      <c r="BXP64" s="349"/>
      <c r="BXQ64" s="349"/>
      <c r="BXR64" s="349"/>
      <c r="BXS64" s="349"/>
      <c r="BXT64" s="349"/>
      <c r="BXU64" s="349"/>
      <c r="BXV64" s="349"/>
      <c r="BXW64" s="349"/>
      <c r="BXX64" s="349"/>
      <c r="BXY64" s="349"/>
      <c r="BXZ64" s="349"/>
      <c r="BYA64" s="349"/>
      <c r="BYB64" s="349"/>
      <c r="BYC64" s="349"/>
      <c r="BYD64" s="349"/>
      <c r="BYE64" s="349"/>
      <c r="BYF64" s="349"/>
      <c r="BYG64" s="349"/>
      <c r="BYH64" s="349"/>
      <c r="BYI64" s="349"/>
      <c r="BYJ64" s="349"/>
      <c r="BYK64" s="349"/>
      <c r="BYL64" s="349"/>
      <c r="BYM64" s="349"/>
      <c r="BYN64" s="349"/>
      <c r="BYO64" s="349"/>
      <c r="BYP64" s="349"/>
      <c r="BYQ64" s="349"/>
      <c r="BYR64" s="349"/>
      <c r="BYS64" s="349"/>
      <c r="BYT64" s="349"/>
      <c r="BYU64" s="349"/>
      <c r="BYV64" s="349"/>
      <c r="BYW64" s="349"/>
      <c r="BYX64" s="349"/>
      <c r="BYY64" s="349"/>
      <c r="BYZ64" s="349"/>
      <c r="BZA64" s="349"/>
      <c r="BZB64" s="349"/>
      <c r="BZC64" s="349"/>
      <c r="BZD64" s="349"/>
      <c r="BZE64" s="349"/>
      <c r="BZF64" s="349"/>
      <c r="BZG64" s="349"/>
      <c r="BZH64" s="349"/>
      <c r="BZI64" s="349"/>
      <c r="BZJ64" s="349"/>
      <c r="BZK64" s="349"/>
      <c r="BZL64" s="349"/>
      <c r="BZM64" s="349"/>
      <c r="BZN64" s="349"/>
      <c r="BZO64" s="349"/>
      <c r="BZP64" s="349"/>
      <c r="BZQ64" s="349"/>
      <c r="BZR64" s="349"/>
      <c r="BZS64" s="349"/>
      <c r="BZT64" s="349"/>
      <c r="BZU64" s="349"/>
      <c r="BZV64" s="349"/>
      <c r="BZW64" s="349"/>
      <c r="BZX64" s="349"/>
      <c r="BZY64" s="349"/>
      <c r="BZZ64" s="349"/>
      <c r="CAA64" s="349"/>
      <c r="CAB64" s="349"/>
      <c r="CAC64" s="349"/>
      <c r="CAD64" s="349"/>
      <c r="CAE64" s="349"/>
      <c r="CAF64" s="349"/>
      <c r="CAG64" s="349"/>
      <c r="CAH64" s="349"/>
      <c r="CAI64" s="349"/>
      <c r="CAJ64" s="349"/>
      <c r="CAK64" s="349"/>
      <c r="CAL64" s="349"/>
      <c r="CAM64" s="349"/>
      <c r="CAN64" s="349"/>
      <c r="CAO64" s="349"/>
      <c r="CAP64" s="349"/>
      <c r="CAQ64" s="349"/>
      <c r="CAR64" s="349"/>
      <c r="CAS64" s="349"/>
      <c r="CAT64" s="349"/>
      <c r="CAU64" s="349"/>
      <c r="CAV64" s="349"/>
      <c r="CAW64" s="349"/>
      <c r="CAX64" s="349"/>
      <c r="CAY64" s="349"/>
      <c r="CAZ64" s="349"/>
      <c r="CBA64" s="349"/>
      <c r="CBB64" s="349"/>
      <c r="CBC64" s="349"/>
      <c r="CBD64" s="349"/>
      <c r="CBE64" s="349"/>
      <c r="CBF64" s="349"/>
      <c r="CBG64" s="349"/>
      <c r="CBH64" s="349"/>
      <c r="CBI64" s="349"/>
      <c r="CBJ64" s="349"/>
      <c r="CBK64" s="349"/>
      <c r="CBL64" s="349"/>
      <c r="CBM64" s="349"/>
      <c r="CBN64" s="349"/>
      <c r="CBO64" s="349"/>
      <c r="CBP64" s="349"/>
      <c r="CBQ64" s="349"/>
      <c r="CBR64" s="349"/>
      <c r="CBS64" s="349"/>
      <c r="CBT64" s="349"/>
      <c r="CBU64" s="349"/>
      <c r="CBV64" s="349"/>
      <c r="CBW64" s="349"/>
      <c r="CBX64" s="349"/>
      <c r="CBY64" s="349"/>
      <c r="CBZ64" s="349"/>
      <c r="CCA64" s="349"/>
      <c r="CCB64" s="349"/>
      <c r="CCC64" s="349"/>
      <c r="CCD64" s="349"/>
      <c r="CCE64" s="349"/>
      <c r="CCF64" s="349"/>
      <c r="CCG64" s="349"/>
      <c r="CCH64" s="349"/>
      <c r="CCI64" s="349"/>
      <c r="CCJ64" s="349"/>
      <c r="CCK64" s="349"/>
      <c r="CCL64" s="349"/>
      <c r="CCM64" s="349"/>
      <c r="CCN64" s="349"/>
      <c r="CCO64" s="349"/>
      <c r="CCP64" s="349"/>
      <c r="CCQ64" s="349"/>
      <c r="CCR64" s="349"/>
      <c r="CCS64" s="349"/>
      <c r="CCT64" s="349"/>
      <c r="CCU64" s="349"/>
      <c r="CCV64" s="349"/>
      <c r="CCW64" s="349"/>
      <c r="CCX64" s="349"/>
      <c r="CCY64" s="349"/>
      <c r="CCZ64" s="349"/>
      <c r="CDA64" s="349"/>
      <c r="CDB64" s="349"/>
      <c r="CDC64" s="349"/>
      <c r="CDD64" s="349"/>
      <c r="CDE64" s="349"/>
      <c r="CDF64" s="349"/>
      <c r="CDG64" s="349"/>
      <c r="CDH64" s="349"/>
      <c r="CDI64" s="349"/>
      <c r="CDJ64" s="349"/>
      <c r="CDK64" s="349"/>
      <c r="CDL64" s="349"/>
      <c r="CDM64" s="349"/>
      <c r="CDN64" s="349"/>
      <c r="CDO64" s="349"/>
      <c r="CDP64" s="349"/>
      <c r="CDQ64" s="349"/>
      <c r="CDR64" s="349"/>
      <c r="CDS64" s="349"/>
      <c r="CDT64" s="349"/>
      <c r="CDU64" s="349"/>
      <c r="CDV64" s="349"/>
      <c r="CDW64" s="349"/>
      <c r="CDX64" s="349"/>
      <c r="CDY64" s="349"/>
      <c r="CDZ64" s="349"/>
      <c r="CEA64" s="349"/>
      <c r="CEB64" s="349"/>
      <c r="CEC64" s="349"/>
      <c r="CED64" s="349"/>
      <c r="CEE64" s="349"/>
      <c r="CEF64" s="349"/>
      <c r="CEG64" s="349"/>
      <c r="CEH64" s="349"/>
      <c r="CEI64" s="349"/>
      <c r="CEJ64" s="349"/>
      <c r="CEK64" s="349"/>
      <c r="CEL64" s="349"/>
      <c r="CEM64" s="349"/>
      <c r="CEN64" s="349"/>
      <c r="CEO64" s="349"/>
      <c r="CEP64" s="349"/>
      <c r="CEQ64" s="349"/>
      <c r="CER64" s="349"/>
      <c r="CES64" s="349"/>
      <c r="CET64" s="349"/>
      <c r="CEU64" s="349"/>
      <c r="CEV64" s="349"/>
      <c r="CEW64" s="349"/>
      <c r="CEX64" s="349"/>
      <c r="CEY64" s="349"/>
      <c r="CEZ64" s="349"/>
      <c r="CFA64" s="349"/>
      <c r="CFB64" s="349"/>
      <c r="CFC64" s="349"/>
      <c r="CFD64" s="349"/>
      <c r="CFE64" s="349"/>
      <c r="CFF64" s="349"/>
      <c r="CFG64" s="349"/>
      <c r="CFH64" s="349"/>
      <c r="CFI64" s="349"/>
      <c r="CFJ64" s="349"/>
      <c r="CFK64" s="349"/>
      <c r="CFL64" s="349"/>
      <c r="CFM64" s="349"/>
      <c r="CFN64" s="349"/>
      <c r="CFO64" s="349"/>
      <c r="CFP64" s="349"/>
      <c r="CFQ64" s="349"/>
      <c r="CFR64" s="349"/>
      <c r="CFS64" s="349"/>
      <c r="CFT64" s="349"/>
      <c r="CFU64" s="349"/>
      <c r="CFV64" s="349"/>
      <c r="CFW64" s="349"/>
      <c r="CFX64" s="349"/>
      <c r="CFY64" s="349"/>
      <c r="CFZ64" s="349"/>
      <c r="CGA64" s="349"/>
      <c r="CGB64" s="349"/>
      <c r="CGC64" s="349"/>
      <c r="CGD64" s="349"/>
      <c r="CGE64" s="349"/>
      <c r="CGF64" s="349"/>
      <c r="CGG64" s="349"/>
      <c r="CGH64" s="349"/>
      <c r="CGI64" s="349"/>
      <c r="CGJ64" s="349"/>
      <c r="CGK64" s="349"/>
      <c r="CGL64" s="349"/>
      <c r="CGM64" s="349"/>
      <c r="CGN64" s="349"/>
      <c r="CGO64" s="349"/>
      <c r="CGP64" s="349"/>
      <c r="CGQ64" s="349"/>
      <c r="CGR64" s="349"/>
      <c r="CGS64" s="349"/>
      <c r="CGT64" s="349"/>
      <c r="CGU64" s="349"/>
      <c r="CGV64" s="349"/>
      <c r="CGW64" s="349"/>
      <c r="CGX64" s="349"/>
      <c r="CGY64" s="349"/>
      <c r="CGZ64" s="349"/>
      <c r="CHA64" s="349"/>
      <c r="CHB64" s="349"/>
      <c r="CHC64" s="349"/>
      <c r="CHD64" s="349"/>
      <c r="CHE64" s="349"/>
      <c r="CHF64" s="349"/>
      <c r="CHG64" s="349"/>
      <c r="CHH64" s="349"/>
      <c r="CHI64" s="349"/>
      <c r="CHJ64" s="349"/>
      <c r="CHK64" s="349"/>
      <c r="CHL64" s="349"/>
      <c r="CHM64" s="349"/>
      <c r="CHN64" s="349"/>
      <c r="CHO64" s="349"/>
      <c r="CHP64" s="349"/>
      <c r="CHQ64" s="349"/>
      <c r="CHR64" s="349"/>
      <c r="CHS64" s="349"/>
      <c r="CHT64" s="349"/>
      <c r="CHU64" s="349"/>
      <c r="CHV64" s="349"/>
      <c r="CHW64" s="349"/>
      <c r="CHX64" s="349"/>
      <c r="CHY64" s="349"/>
      <c r="CHZ64" s="349"/>
      <c r="CIA64" s="349"/>
      <c r="CIB64" s="349"/>
      <c r="CIC64" s="349"/>
      <c r="CID64" s="349"/>
      <c r="CIE64" s="349"/>
      <c r="CIF64" s="349"/>
      <c r="CIG64" s="349"/>
      <c r="CIH64" s="349"/>
      <c r="CII64" s="349"/>
      <c r="CIJ64" s="349"/>
      <c r="CIK64" s="349"/>
      <c r="CIL64" s="349"/>
      <c r="CIM64" s="349"/>
      <c r="CIN64" s="349"/>
      <c r="CIO64" s="349"/>
      <c r="CIP64" s="349"/>
      <c r="CIQ64" s="349"/>
      <c r="CIR64" s="349"/>
      <c r="CIS64" s="349"/>
      <c r="CIT64" s="349"/>
      <c r="CIU64" s="349"/>
      <c r="CIV64" s="349"/>
      <c r="CIW64" s="349"/>
      <c r="CIX64" s="349"/>
      <c r="CIY64" s="349"/>
      <c r="CIZ64" s="349"/>
      <c r="CJA64" s="349"/>
      <c r="CJB64" s="349"/>
      <c r="CJC64" s="349"/>
      <c r="CJD64" s="349"/>
      <c r="CJE64" s="349"/>
      <c r="CJF64" s="349"/>
      <c r="CJG64" s="349"/>
      <c r="CJH64" s="349"/>
      <c r="CJI64" s="349"/>
      <c r="CJJ64" s="349"/>
      <c r="CJK64" s="349"/>
      <c r="CJL64" s="349"/>
      <c r="CJM64" s="349"/>
      <c r="CJN64" s="349"/>
      <c r="CJO64" s="349"/>
      <c r="CJP64" s="349"/>
      <c r="CJQ64" s="349"/>
      <c r="CJR64" s="349"/>
      <c r="CJS64" s="349"/>
      <c r="CJT64" s="349"/>
      <c r="CJU64" s="349"/>
      <c r="CJV64" s="349"/>
      <c r="CJW64" s="349"/>
      <c r="CJX64" s="349"/>
      <c r="CJY64" s="349"/>
      <c r="CJZ64" s="349"/>
      <c r="CKA64" s="349"/>
      <c r="CKB64" s="349"/>
      <c r="CKC64" s="349"/>
      <c r="CKD64" s="349"/>
      <c r="CKE64" s="349"/>
      <c r="CKF64" s="349"/>
      <c r="CKG64" s="349"/>
      <c r="CKH64" s="349"/>
      <c r="CKI64" s="349"/>
      <c r="CKJ64" s="349"/>
      <c r="CKK64" s="349"/>
      <c r="CKL64" s="349"/>
      <c r="CKM64" s="349"/>
      <c r="CKN64" s="349"/>
      <c r="CKO64" s="349"/>
      <c r="CKP64" s="349"/>
      <c r="CKQ64" s="349"/>
      <c r="CKR64" s="349"/>
      <c r="CKS64" s="349"/>
      <c r="CKT64" s="349"/>
      <c r="CKU64" s="349"/>
      <c r="CKV64" s="349"/>
      <c r="CKW64" s="349"/>
      <c r="CKX64" s="349"/>
      <c r="CKY64" s="349"/>
      <c r="CKZ64" s="349"/>
      <c r="CLA64" s="349"/>
      <c r="CLB64" s="349"/>
      <c r="CLC64" s="349"/>
      <c r="CLD64" s="349"/>
      <c r="CLE64" s="349"/>
      <c r="CLF64" s="349"/>
      <c r="CLG64" s="349"/>
      <c r="CLH64" s="349"/>
      <c r="CLI64" s="349"/>
      <c r="CLJ64" s="349"/>
      <c r="CLK64" s="349"/>
      <c r="CLL64" s="349"/>
      <c r="CLM64" s="349"/>
      <c r="CLN64" s="349"/>
      <c r="CLO64" s="349"/>
      <c r="CLP64" s="349"/>
      <c r="CLQ64" s="349"/>
      <c r="CLR64" s="349"/>
      <c r="CLS64" s="349"/>
      <c r="CLT64" s="349"/>
      <c r="CLU64" s="349"/>
      <c r="CLV64" s="349"/>
      <c r="CLW64" s="349"/>
      <c r="CLX64" s="349"/>
      <c r="CLY64" s="349"/>
      <c r="CLZ64" s="349"/>
      <c r="CMA64" s="349"/>
      <c r="CMB64" s="349"/>
      <c r="CMC64" s="349"/>
      <c r="CMD64" s="349"/>
      <c r="CME64" s="349"/>
      <c r="CMF64" s="349"/>
      <c r="CMG64" s="349"/>
      <c r="CMH64" s="349"/>
      <c r="CMI64" s="349"/>
      <c r="CMJ64" s="349"/>
      <c r="CMK64" s="349"/>
      <c r="CML64" s="349"/>
      <c r="CMM64" s="349"/>
      <c r="CMN64" s="349"/>
      <c r="CMO64" s="349"/>
      <c r="CMP64" s="349"/>
      <c r="CMQ64" s="349"/>
      <c r="CMR64" s="349"/>
      <c r="CMS64" s="349"/>
      <c r="CMT64" s="349"/>
      <c r="CMU64" s="349"/>
      <c r="CMV64" s="349"/>
      <c r="CMW64" s="349"/>
      <c r="CMX64" s="349"/>
      <c r="CMY64" s="349"/>
      <c r="CMZ64" s="349"/>
      <c r="CNA64" s="349"/>
      <c r="CNB64" s="349"/>
      <c r="CNC64" s="349"/>
      <c r="CND64" s="349"/>
      <c r="CNE64" s="349"/>
      <c r="CNF64" s="349"/>
      <c r="CNG64" s="349"/>
      <c r="CNH64" s="349"/>
      <c r="CNI64" s="349"/>
      <c r="CNJ64" s="349"/>
      <c r="CNK64" s="349"/>
      <c r="CNL64" s="349"/>
      <c r="CNM64" s="349"/>
      <c r="CNN64" s="349"/>
      <c r="CNO64" s="349"/>
      <c r="CNP64" s="349"/>
      <c r="CNQ64" s="349"/>
      <c r="CNR64" s="349"/>
      <c r="CNS64" s="349"/>
      <c r="CNT64" s="349"/>
      <c r="CNU64" s="349"/>
      <c r="CNV64" s="349"/>
      <c r="CNW64" s="349"/>
      <c r="CNX64" s="349"/>
      <c r="CNY64" s="349"/>
      <c r="CNZ64" s="349"/>
      <c r="COA64" s="349"/>
      <c r="COB64" s="349"/>
      <c r="COC64" s="349"/>
      <c r="COD64" s="349"/>
      <c r="COE64" s="349"/>
      <c r="COF64" s="349"/>
      <c r="COG64" s="349"/>
      <c r="COH64" s="349"/>
      <c r="COI64" s="349"/>
      <c r="COJ64" s="349"/>
      <c r="COK64" s="349"/>
      <c r="COL64" s="349"/>
      <c r="COM64" s="349"/>
      <c r="CON64" s="349"/>
      <c r="COO64" s="349"/>
      <c r="COP64" s="349"/>
      <c r="COQ64" s="349"/>
      <c r="COR64" s="349"/>
      <c r="COS64" s="349"/>
      <c r="COT64" s="349"/>
      <c r="COU64" s="349"/>
      <c r="COV64" s="349"/>
      <c r="COW64" s="349"/>
      <c r="COX64" s="349"/>
      <c r="COY64" s="349"/>
      <c r="COZ64" s="349"/>
      <c r="CPA64" s="349"/>
      <c r="CPB64" s="349"/>
      <c r="CPC64" s="349"/>
      <c r="CPD64" s="349"/>
      <c r="CPE64" s="349"/>
      <c r="CPF64" s="349"/>
      <c r="CPG64" s="349"/>
      <c r="CPH64" s="349"/>
      <c r="CPI64" s="349"/>
      <c r="CPJ64" s="349"/>
      <c r="CPK64" s="349"/>
      <c r="CPL64" s="349"/>
      <c r="CPM64" s="349"/>
      <c r="CPN64" s="349"/>
      <c r="CPO64" s="349"/>
      <c r="CPP64" s="349"/>
      <c r="CPQ64" s="349"/>
      <c r="CPR64" s="349"/>
      <c r="CPS64" s="349"/>
      <c r="CPT64" s="349"/>
      <c r="CPU64" s="349"/>
      <c r="CPV64" s="349"/>
      <c r="CPW64" s="349"/>
      <c r="CPX64" s="349"/>
      <c r="CPY64" s="349"/>
      <c r="CPZ64" s="349"/>
      <c r="CQA64" s="349"/>
      <c r="CQB64" s="349"/>
      <c r="CQC64" s="349"/>
      <c r="CQD64" s="349"/>
      <c r="CQE64" s="349"/>
      <c r="CQF64" s="349"/>
      <c r="CQG64" s="349"/>
      <c r="CQH64" s="349"/>
      <c r="CQI64" s="349"/>
      <c r="CQJ64" s="349"/>
      <c r="CQK64" s="349"/>
      <c r="CQL64" s="349"/>
      <c r="CQM64" s="349"/>
      <c r="CQN64" s="349"/>
      <c r="CQO64" s="349"/>
      <c r="CQP64" s="349"/>
      <c r="CQQ64" s="349"/>
      <c r="CQR64" s="349"/>
      <c r="CQS64" s="349"/>
      <c r="CQT64" s="349"/>
      <c r="CQU64" s="349"/>
      <c r="CQV64" s="349"/>
      <c r="CQW64" s="349"/>
      <c r="CQX64" s="349"/>
      <c r="CQY64" s="349"/>
      <c r="CQZ64" s="349"/>
      <c r="CRA64" s="349"/>
      <c r="CRB64" s="349"/>
      <c r="CRC64" s="349"/>
      <c r="CRD64" s="349"/>
      <c r="CRE64" s="349"/>
      <c r="CRF64" s="349"/>
      <c r="CRG64" s="349"/>
      <c r="CRH64" s="349"/>
      <c r="CRI64" s="349"/>
      <c r="CRJ64" s="349"/>
      <c r="CRK64" s="349"/>
      <c r="CRL64" s="349"/>
      <c r="CRM64" s="349"/>
      <c r="CRN64" s="349"/>
      <c r="CRO64" s="349"/>
      <c r="CRP64" s="349"/>
      <c r="CRQ64" s="349"/>
      <c r="CRR64" s="349"/>
      <c r="CRS64" s="349"/>
      <c r="CRT64" s="349"/>
      <c r="CRU64" s="349"/>
      <c r="CRV64" s="349"/>
      <c r="CRW64" s="349"/>
      <c r="CRX64" s="349"/>
      <c r="CRY64" s="349"/>
      <c r="CRZ64" s="349"/>
      <c r="CSA64" s="349"/>
      <c r="CSB64" s="349"/>
      <c r="CSC64" s="349"/>
      <c r="CSD64" s="349"/>
      <c r="CSE64" s="349"/>
      <c r="CSF64" s="349"/>
      <c r="CSG64" s="349"/>
      <c r="CSH64" s="349"/>
      <c r="CSI64" s="349"/>
      <c r="CSJ64" s="349"/>
      <c r="CSK64" s="349"/>
      <c r="CSL64" s="349"/>
      <c r="CSM64" s="349"/>
      <c r="CSN64" s="349"/>
      <c r="CSO64" s="349"/>
      <c r="CSP64" s="349"/>
      <c r="CSQ64" s="349"/>
      <c r="CSR64" s="349"/>
      <c r="CSS64" s="349"/>
      <c r="CST64" s="349"/>
      <c r="CSU64" s="349"/>
      <c r="CSV64" s="349"/>
      <c r="CSW64" s="349"/>
      <c r="CSX64" s="349"/>
      <c r="CSY64" s="349"/>
      <c r="CSZ64" s="349"/>
      <c r="CTA64" s="349"/>
      <c r="CTB64" s="349"/>
      <c r="CTC64" s="349"/>
      <c r="CTD64" s="349"/>
      <c r="CTE64" s="349"/>
      <c r="CTF64" s="349"/>
      <c r="CTG64" s="349"/>
      <c r="CTH64" s="349"/>
      <c r="CTI64" s="349"/>
      <c r="CTJ64" s="349"/>
      <c r="CTK64" s="349"/>
      <c r="CTL64" s="349"/>
      <c r="CTM64" s="349"/>
      <c r="CTN64" s="349"/>
      <c r="CTO64" s="349"/>
      <c r="CTP64" s="349"/>
      <c r="CTQ64" s="349"/>
      <c r="CTR64" s="349"/>
      <c r="CTS64" s="349"/>
      <c r="CTT64" s="349"/>
      <c r="CTU64" s="349"/>
      <c r="CTV64" s="349"/>
      <c r="CTW64" s="349"/>
      <c r="CTX64" s="349"/>
      <c r="CTY64" s="349"/>
      <c r="CTZ64" s="349"/>
      <c r="CUA64" s="349"/>
      <c r="CUB64" s="349"/>
      <c r="CUC64" s="349"/>
      <c r="CUD64" s="349"/>
      <c r="CUE64" s="349"/>
      <c r="CUF64" s="349"/>
      <c r="CUG64" s="349"/>
      <c r="CUH64" s="349"/>
      <c r="CUI64" s="349"/>
      <c r="CUJ64" s="349"/>
      <c r="CUK64" s="349"/>
      <c r="CUL64" s="349"/>
      <c r="CUM64" s="349"/>
      <c r="CUN64" s="349"/>
      <c r="CUO64" s="349"/>
      <c r="CUP64" s="349"/>
      <c r="CUQ64" s="349"/>
      <c r="CUR64" s="349"/>
      <c r="CUS64" s="349"/>
      <c r="CUT64" s="349"/>
      <c r="CUU64" s="349"/>
      <c r="CUV64" s="349"/>
      <c r="CUW64" s="349"/>
      <c r="CUX64" s="349"/>
      <c r="CUY64" s="349"/>
      <c r="CUZ64" s="349"/>
      <c r="CVA64" s="349"/>
      <c r="CVB64" s="349"/>
      <c r="CVC64" s="349"/>
      <c r="CVD64" s="349"/>
      <c r="CVE64" s="349"/>
      <c r="CVF64" s="349"/>
      <c r="CVG64" s="349"/>
      <c r="CVH64" s="349"/>
      <c r="CVI64" s="349"/>
      <c r="CVJ64" s="349"/>
      <c r="CVK64" s="349"/>
      <c r="CVL64" s="349"/>
      <c r="CVM64" s="349"/>
      <c r="CVN64" s="349"/>
      <c r="CVO64" s="349"/>
      <c r="CVP64" s="349"/>
      <c r="CVQ64" s="349"/>
      <c r="CVR64" s="349"/>
      <c r="CVS64" s="349"/>
      <c r="CVT64" s="349"/>
      <c r="CVU64" s="349"/>
      <c r="CVV64" s="349"/>
      <c r="CVW64" s="349"/>
      <c r="CVX64" s="349"/>
      <c r="CVY64" s="349"/>
      <c r="CVZ64" s="349"/>
      <c r="CWA64" s="349"/>
      <c r="CWB64" s="349"/>
      <c r="CWC64" s="349"/>
      <c r="CWD64" s="349"/>
      <c r="CWE64" s="349"/>
      <c r="CWF64" s="349"/>
      <c r="CWG64" s="349"/>
      <c r="CWH64" s="349"/>
      <c r="CWI64" s="349"/>
      <c r="CWJ64" s="349"/>
      <c r="CWK64" s="349"/>
      <c r="CWL64" s="349"/>
      <c r="CWM64" s="349"/>
      <c r="CWN64" s="349"/>
      <c r="CWO64" s="349"/>
      <c r="CWP64" s="349"/>
      <c r="CWQ64" s="349"/>
      <c r="CWR64" s="349"/>
      <c r="CWS64" s="349"/>
      <c r="CWT64" s="349"/>
      <c r="CWU64" s="349"/>
      <c r="CWV64" s="349"/>
      <c r="CWW64" s="349"/>
      <c r="CWX64" s="349"/>
      <c r="CWY64" s="349"/>
      <c r="CWZ64" s="349"/>
      <c r="CXA64" s="349"/>
      <c r="CXB64" s="349"/>
      <c r="CXC64" s="349"/>
      <c r="CXD64" s="349"/>
      <c r="CXE64" s="349"/>
      <c r="CXF64" s="349"/>
      <c r="CXG64" s="349"/>
      <c r="CXH64" s="349"/>
      <c r="CXI64" s="349"/>
      <c r="CXJ64" s="349"/>
      <c r="CXK64" s="349"/>
      <c r="CXL64" s="349"/>
      <c r="CXM64" s="349"/>
      <c r="CXN64" s="349"/>
      <c r="CXO64" s="349"/>
      <c r="CXP64" s="349"/>
      <c r="CXQ64" s="349"/>
      <c r="CXR64" s="349"/>
      <c r="CXS64" s="349"/>
      <c r="CXT64" s="349"/>
      <c r="CXU64" s="349"/>
      <c r="CXV64" s="349"/>
      <c r="CXW64" s="349"/>
      <c r="CXX64" s="349"/>
      <c r="CXY64" s="349"/>
      <c r="CXZ64" s="349"/>
      <c r="CYA64" s="349"/>
      <c r="CYB64" s="349"/>
      <c r="CYC64" s="349"/>
      <c r="CYD64" s="349"/>
      <c r="CYE64" s="349"/>
      <c r="CYF64" s="349"/>
      <c r="CYG64" s="349"/>
      <c r="CYH64" s="349"/>
      <c r="CYI64" s="349"/>
      <c r="CYJ64" s="349"/>
      <c r="CYK64" s="349"/>
      <c r="CYL64" s="349"/>
      <c r="CYM64" s="349"/>
      <c r="CYN64" s="349"/>
      <c r="CYO64" s="349"/>
      <c r="CYP64" s="349"/>
      <c r="CYQ64" s="349"/>
      <c r="CYR64" s="349"/>
      <c r="CYS64" s="349"/>
      <c r="CYT64" s="349"/>
      <c r="CYU64" s="349"/>
      <c r="CYV64" s="349"/>
      <c r="CYW64" s="349"/>
      <c r="CYX64" s="349"/>
      <c r="CYY64" s="349"/>
      <c r="CYZ64" s="349"/>
      <c r="CZA64" s="349"/>
      <c r="CZB64" s="349"/>
      <c r="CZC64" s="349"/>
      <c r="CZD64" s="349"/>
      <c r="CZE64" s="349"/>
      <c r="CZF64" s="349"/>
      <c r="CZG64" s="349"/>
      <c r="CZH64" s="349"/>
      <c r="CZI64" s="349"/>
      <c r="CZJ64" s="349"/>
      <c r="CZK64" s="349"/>
      <c r="CZL64" s="349"/>
      <c r="CZM64" s="349"/>
      <c r="CZN64" s="349"/>
      <c r="CZO64" s="349"/>
      <c r="CZP64" s="349"/>
      <c r="CZQ64" s="349"/>
      <c r="CZR64" s="349"/>
      <c r="CZS64" s="349"/>
      <c r="CZT64" s="349"/>
      <c r="CZU64" s="349"/>
      <c r="CZV64" s="349"/>
      <c r="CZW64" s="349"/>
      <c r="CZX64" s="349"/>
      <c r="CZY64" s="349"/>
      <c r="CZZ64" s="349"/>
      <c r="DAA64" s="349"/>
      <c r="DAB64" s="349"/>
      <c r="DAC64" s="349"/>
      <c r="DAD64" s="349"/>
      <c r="DAE64" s="349"/>
      <c r="DAF64" s="349"/>
      <c r="DAG64" s="349"/>
      <c r="DAH64" s="349"/>
      <c r="DAI64" s="349"/>
      <c r="DAJ64" s="349"/>
      <c r="DAK64" s="349"/>
      <c r="DAL64" s="349"/>
      <c r="DAM64" s="349"/>
      <c r="DAN64" s="349"/>
      <c r="DAO64" s="349"/>
      <c r="DAP64" s="349"/>
      <c r="DAQ64" s="349"/>
      <c r="DAR64" s="349"/>
      <c r="DAS64" s="349"/>
      <c r="DAT64" s="349"/>
      <c r="DAU64" s="349"/>
      <c r="DAV64" s="349"/>
      <c r="DAW64" s="349"/>
      <c r="DAX64" s="349"/>
      <c r="DAY64" s="349"/>
      <c r="DAZ64" s="349"/>
      <c r="DBA64" s="349"/>
      <c r="DBB64" s="349"/>
      <c r="DBC64" s="349"/>
      <c r="DBD64" s="349"/>
      <c r="DBE64" s="349"/>
      <c r="DBF64" s="349"/>
      <c r="DBG64" s="349"/>
      <c r="DBH64" s="349"/>
      <c r="DBI64" s="349"/>
      <c r="DBJ64" s="349"/>
      <c r="DBK64" s="349"/>
      <c r="DBL64" s="349"/>
      <c r="DBM64" s="349"/>
      <c r="DBN64" s="349"/>
      <c r="DBO64" s="349"/>
      <c r="DBP64" s="349"/>
      <c r="DBQ64" s="349"/>
      <c r="DBR64" s="349"/>
      <c r="DBS64" s="349"/>
      <c r="DBT64" s="349"/>
      <c r="DBU64" s="349"/>
      <c r="DBV64" s="349"/>
      <c r="DBW64" s="349"/>
      <c r="DBX64" s="349"/>
      <c r="DBY64" s="349"/>
      <c r="DBZ64" s="349"/>
      <c r="DCA64" s="349"/>
      <c r="DCB64" s="349"/>
      <c r="DCC64" s="349"/>
      <c r="DCD64" s="349"/>
      <c r="DCE64" s="349"/>
      <c r="DCF64" s="349"/>
      <c r="DCG64" s="349"/>
      <c r="DCH64" s="349"/>
      <c r="DCI64" s="349"/>
      <c r="DCJ64" s="349"/>
      <c r="DCK64" s="349"/>
      <c r="DCL64" s="349"/>
      <c r="DCM64" s="349"/>
      <c r="DCN64" s="349"/>
      <c r="DCO64" s="349"/>
      <c r="DCP64" s="349"/>
      <c r="DCQ64" s="349"/>
      <c r="DCR64" s="349"/>
      <c r="DCS64" s="349"/>
      <c r="DCT64" s="349"/>
      <c r="DCU64" s="349"/>
      <c r="DCV64" s="349"/>
      <c r="DCW64" s="349"/>
      <c r="DCX64" s="349"/>
      <c r="DCY64" s="349"/>
      <c r="DCZ64" s="349"/>
      <c r="DDA64" s="349"/>
      <c r="DDB64" s="349"/>
      <c r="DDC64" s="349"/>
      <c r="DDD64" s="349"/>
      <c r="DDE64" s="349"/>
      <c r="DDF64" s="349"/>
      <c r="DDG64" s="349"/>
      <c r="DDH64" s="349"/>
      <c r="DDI64" s="349"/>
      <c r="DDJ64" s="349"/>
      <c r="DDK64" s="349"/>
      <c r="DDL64" s="349"/>
      <c r="DDM64" s="349"/>
      <c r="DDN64" s="349"/>
      <c r="DDO64" s="349"/>
      <c r="DDP64" s="349"/>
      <c r="DDQ64" s="349"/>
      <c r="DDR64" s="349"/>
      <c r="DDS64" s="349"/>
      <c r="DDT64" s="349"/>
      <c r="DDU64" s="349"/>
      <c r="DDV64" s="349"/>
      <c r="DDW64" s="349"/>
      <c r="DDX64" s="349"/>
      <c r="DDY64" s="349"/>
      <c r="DDZ64" s="349"/>
      <c r="DEA64" s="349"/>
      <c r="DEB64" s="349"/>
      <c r="DEC64" s="349"/>
      <c r="DED64" s="349"/>
      <c r="DEE64" s="349"/>
      <c r="DEF64" s="349"/>
      <c r="DEG64" s="349"/>
      <c r="DEH64" s="349"/>
      <c r="DEI64" s="349"/>
      <c r="DEJ64" s="349"/>
      <c r="DEK64" s="349"/>
      <c r="DEL64" s="349"/>
      <c r="DEM64" s="349"/>
      <c r="DEN64" s="349"/>
      <c r="DEO64" s="349"/>
      <c r="DEP64" s="349"/>
      <c r="DEQ64" s="349"/>
      <c r="DER64" s="349"/>
      <c r="DES64" s="349"/>
      <c r="DET64" s="349"/>
      <c r="DEU64" s="349"/>
      <c r="DEV64" s="349"/>
      <c r="DEW64" s="349"/>
      <c r="DEX64" s="349"/>
      <c r="DEY64" s="349"/>
      <c r="DEZ64" s="349"/>
      <c r="DFA64" s="349"/>
      <c r="DFB64" s="349"/>
      <c r="DFC64" s="349"/>
      <c r="DFD64" s="349"/>
      <c r="DFE64" s="349"/>
      <c r="DFF64" s="349"/>
      <c r="DFG64" s="349"/>
      <c r="DFH64" s="349"/>
      <c r="DFI64" s="349"/>
      <c r="DFJ64" s="349"/>
      <c r="DFK64" s="349"/>
      <c r="DFL64" s="349"/>
      <c r="DFM64" s="349"/>
      <c r="DFN64" s="349"/>
      <c r="DFO64" s="349"/>
      <c r="DFP64" s="349"/>
      <c r="DFQ64" s="349"/>
      <c r="DFR64" s="349"/>
      <c r="DFS64" s="349"/>
      <c r="DFT64" s="349"/>
      <c r="DFU64" s="349"/>
      <c r="DFV64" s="349"/>
      <c r="DFW64" s="349"/>
      <c r="DFX64" s="349"/>
      <c r="DFY64" s="349"/>
      <c r="DFZ64" s="349"/>
      <c r="DGA64" s="349"/>
      <c r="DGB64" s="349"/>
      <c r="DGC64" s="349"/>
      <c r="DGD64" s="349"/>
      <c r="DGE64" s="349"/>
      <c r="DGF64" s="349"/>
      <c r="DGG64" s="349"/>
      <c r="DGH64" s="349"/>
      <c r="DGI64" s="349"/>
      <c r="DGJ64" s="349"/>
      <c r="DGK64" s="349"/>
      <c r="DGL64" s="349"/>
      <c r="DGM64" s="349"/>
      <c r="DGN64" s="349"/>
      <c r="DGO64" s="349"/>
      <c r="DGP64" s="349"/>
      <c r="DGQ64" s="349"/>
      <c r="DGR64" s="349"/>
      <c r="DGS64" s="349"/>
      <c r="DGT64" s="349"/>
      <c r="DGU64" s="349"/>
      <c r="DGV64" s="349"/>
      <c r="DGW64" s="349"/>
      <c r="DGX64" s="349"/>
      <c r="DGY64" s="349"/>
      <c r="DGZ64" s="349"/>
      <c r="DHA64" s="349"/>
      <c r="DHB64" s="349"/>
      <c r="DHC64" s="349"/>
      <c r="DHD64" s="349"/>
      <c r="DHE64" s="349"/>
      <c r="DHF64" s="349"/>
      <c r="DHG64" s="349"/>
      <c r="DHH64" s="349"/>
      <c r="DHI64" s="349"/>
      <c r="DHJ64" s="349"/>
      <c r="DHK64" s="349"/>
      <c r="DHL64" s="349"/>
      <c r="DHM64" s="349"/>
      <c r="DHN64" s="349"/>
      <c r="DHO64" s="349"/>
      <c r="DHP64" s="349"/>
      <c r="DHQ64" s="349"/>
      <c r="DHR64" s="349"/>
      <c r="DHS64" s="349"/>
      <c r="DHT64" s="349"/>
      <c r="DHU64" s="349"/>
      <c r="DHV64" s="349"/>
      <c r="DHW64" s="349"/>
      <c r="DHX64" s="349"/>
      <c r="DHY64" s="349"/>
      <c r="DHZ64" s="349"/>
      <c r="DIA64" s="349"/>
      <c r="DIB64" s="349"/>
      <c r="DIC64" s="349"/>
      <c r="DID64" s="349"/>
      <c r="DIE64" s="349"/>
      <c r="DIF64" s="349"/>
      <c r="DIG64" s="349"/>
      <c r="DIH64" s="349"/>
      <c r="DII64" s="349"/>
      <c r="DIJ64" s="349"/>
      <c r="DIK64" s="349"/>
      <c r="DIL64" s="349"/>
      <c r="DIM64" s="349"/>
      <c r="DIN64" s="349"/>
      <c r="DIO64" s="349"/>
      <c r="DIP64" s="349"/>
      <c r="DIQ64" s="349"/>
      <c r="DIR64" s="349"/>
      <c r="DIS64" s="349"/>
      <c r="DIT64" s="349"/>
      <c r="DIU64" s="349"/>
      <c r="DIV64" s="349"/>
      <c r="DIW64" s="349"/>
      <c r="DIX64" s="349"/>
      <c r="DIY64" s="349"/>
      <c r="DIZ64" s="349"/>
      <c r="DJA64" s="349"/>
      <c r="DJB64" s="349"/>
      <c r="DJC64" s="349"/>
      <c r="DJD64" s="349"/>
      <c r="DJE64" s="349"/>
      <c r="DJF64" s="349"/>
      <c r="DJG64" s="349"/>
      <c r="DJH64" s="349"/>
      <c r="DJI64" s="349"/>
      <c r="DJJ64" s="349"/>
      <c r="DJK64" s="349"/>
      <c r="DJL64" s="349"/>
      <c r="DJM64" s="349"/>
      <c r="DJN64" s="349"/>
      <c r="DJO64" s="349"/>
      <c r="DJP64" s="349"/>
      <c r="DJQ64" s="349"/>
      <c r="DJR64" s="349"/>
      <c r="DJS64" s="349"/>
      <c r="DJT64" s="349"/>
      <c r="DJU64" s="349"/>
      <c r="DJV64" s="349"/>
      <c r="DJW64" s="349"/>
      <c r="DJX64" s="349"/>
      <c r="DJY64" s="349"/>
      <c r="DJZ64" s="349"/>
      <c r="DKA64" s="349"/>
      <c r="DKB64" s="349"/>
      <c r="DKC64" s="349"/>
      <c r="DKD64" s="349"/>
      <c r="DKE64" s="349"/>
      <c r="DKF64" s="349"/>
      <c r="DKG64" s="349"/>
      <c r="DKH64" s="349"/>
      <c r="DKI64" s="349"/>
      <c r="DKJ64" s="349"/>
      <c r="DKK64" s="349"/>
      <c r="DKL64" s="349"/>
      <c r="DKM64" s="349"/>
      <c r="DKN64" s="349"/>
      <c r="DKO64" s="349"/>
      <c r="DKP64" s="349"/>
      <c r="DKQ64" s="349"/>
      <c r="DKR64" s="349"/>
      <c r="DKS64" s="349"/>
      <c r="DKT64" s="349"/>
      <c r="DKU64" s="349"/>
      <c r="DKV64" s="349"/>
      <c r="DKW64" s="349"/>
      <c r="DKX64" s="349"/>
      <c r="DKY64" s="349"/>
      <c r="DKZ64" s="349"/>
      <c r="DLA64" s="349"/>
      <c r="DLB64" s="349"/>
      <c r="DLC64" s="349"/>
      <c r="DLD64" s="349"/>
      <c r="DLE64" s="349"/>
      <c r="DLF64" s="349"/>
      <c r="DLG64" s="349"/>
      <c r="DLH64" s="349"/>
      <c r="DLI64" s="349"/>
      <c r="DLJ64" s="349"/>
      <c r="DLK64" s="349"/>
      <c r="DLL64" s="349"/>
      <c r="DLM64" s="349"/>
      <c r="DLN64" s="349"/>
      <c r="DLO64" s="349"/>
      <c r="DLP64" s="349"/>
      <c r="DLQ64" s="349"/>
      <c r="DLR64" s="349"/>
      <c r="DLS64" s="349"/>
      <c r="DLT64" s="349"/>
      <c r="DLU64" s="349"/>
      <c r="DLV64" s="349"/>
      <c r="DLW64" s="349"/>
      <c r="DLX64" s="349"/>
      <c r="DLY64" s="349"/>
      <c r="DLZ64" s="349"/>
      <c r="DMA64" s="349"/>
      <c r="DMB64" s="349"/>
      <c r="DMC64" s="349"/>
      <c r="DMD64" s="349"/>
      <c r="DME64" s="349"/>
      <c r="DMF64" s="349"/>
      <c r="DMG64" s="349"/>
      <c r="DMH64" s="349"/>
      <c r="DMI64" s="349"/>
      <c r="DMJ64" s="349"/>
      <c r="DMK64" s="349"/>
      <c r="DML64" s="349"/>
      <c r="DMM64" s="349"/>
      <c r="DMN64" s="349"/>
      <c r="DMO64" s="349"/>
      <c r="DMP64" s="349"/>
      <c r="DMQ64" s="349"/>
      <c r="DMR64" s="349"/>
      <c r="DMS64" s="349"/>
      <c r="DMT64" s="349"/>
      <c r="DMU64" s="349"/>
      <c r="DMV64" s="349"/>
      <c r="DMW64" s="349"/>
      <c r="DMX64" s="349"/>
      <c r="DMY64" s="349"/>
      <c r="DMZ64" s="349"/>
      <c r="DNA64" s="349"/>
      <c r="DNB64" s="349"/>
      <c r="DNC64" s="349"/>
      <c r="DND64" s="349"/>
      <c r="DNE64" s="349"/>
      <c r="DNF64" s="349"/>
      <c r="DNG64" s="349"/>
      <c r="DNH64" s="349"/>
      <c r="DNI64" s="349"/>
      <c r="DNJ64" s="349"/>
      <c r="DNK64" s="349"/>
      <c r="DNL64" s="349"/>
      <c r="DNM64" s="349"/>
      <c r="DNN64" s="349"/>
      <c r="DNO64" s="349"/>
      <c r="DNP64" s="349"/>
      <c r="DNQ64" s="349"/>
      <c r="DNR64" s="349"/>
      <c r="DNS64" s="349"/>
      <c r="DNT64" s="349"/>
      <c r="DNU64" s="349"/>
      <c r="DNV64" s="349"/>
      <c r="DNW64" s="349"/>
      <c r="DNX64" s="349"/>
      <c r="DNY64" s="349"/>
      <c r="DNZ64" s="349"/>
      <c r="DOA64" s="349"/>
      <c r="DOB64" s="349"/>
      <c r="DOC64" s="349"/>
      <c r="DOD64" s="349"/>
      <c r="DOE64" s="349"/>
      <c r="DOF64" s="349"/>
      <c r="DOG64" s="349"/>
      <c r="DOH64" s="349"/>
      <c r="DOI64" s="349"/>
      <c r="DOJ64" s="349"/>
      <c r="DOK64" s="349"/>
      <c r="DOL64" s="349"/>
      <c r="DOM64" s="349"/>
      <c r="DON64" s="349"/>
      <c r="DOO64" s="349"/>
      <c r="DOP64" s="349"/>
      <c r="DOQ64" s="349"/>
      <c r="DOR64" s="349"/>
      <c r="DOS64" s="349"/>
      <c r="DOT64" s="349"/>
      <c r="DOU64" s="349"/>
      <c r="DOV64" s="349"/>
      <c r="DOW64" s="349"/>
      <c r="DOX64" s="349"/>
      <c r="DOY64" s="349"/>
      <c r="DOZ64" s="349"/>
      <c r="DPA64" s="349"/>
      <c r="DPB64" s="349"/>
      <c r="DPC64" s="349"/>
      <c r="DPD64" s="349"/>
      <c r="DPE64" s="349"/>
      <c r="DPF64" s="349"/>
      <c r="DPG64" s="349"/>
      <c r="DPH64" s="349"/>
      <c r="DPI64" s="349"/>
      <c r="DPJ64" s="349"/>
      <c r="DPK64" s="349"/>
      <c r="DPL64" s="349"/>
      <c r="DPM64" s="349"/>
      <c r="DPN64" s="349"/>
      <c r="DPO64" s="349"/>
      <c r="DPP64" s="349"/>
      <c r="DPQ64" s="349"/>
      <c r="DPR64" s="349"/>
      <c r="DPS64" s="349"/>
      <c r="DPT64" s="349"/>
      <c r="DPU64" s="349"/>
      <c r="DPV64" s="349"/>
      <c r="DPW64" s="349"/>
      <c r="DPX64" s="349"/>
      <c r="DPY64" s="349"/>
      <c r="DPZ64" s="349"/>
      <c r="DQA64" s="349"/>
      <c r="DQB64" s="349"/>
      <c r="DQC64" s="349"/>
      <c r="DQD64" s="349"/>
      <c r="DQE64" s="349"/>
      <c r="DQF64" s="349"/>
      <c r="DQG64" s="349"/>
      <c r="DQH64" s="349"/>
      <c r="DQI64" s="349"/>
      <c r="DQJ64" s="349"/>
      <c r="DQK64" s="349"/>
      <c r="DQL64" s="349"/>
      <c r="DQM64" s="349"/>
      <c r="DQN64" s="349"/>
      <c r="DQO64" s="349"/>
      <c r="DQP64" s="349"/>
      <c r="DQQ64" s="349"/>
      <c r="DQR64" s="349"/>
      <c r="DQS64" s="349"/>
      <c r="DQT64" s="349"/>
      <c r="DQU64" s="349"/>
      <c r="DQV64" s="349"/>
      <c r="DQW64" s="349"/>
      <c r="DQX64" s="349"/>
      <c r="DQY64" s="349"/>
      <c r="DQZ64" s="349"/>
      <c r="DRA64" s="349"/>
      <c r="DRB64" s="349"/>
      <c r="DRC64" s="349"/>
      <c r="DRD64" s="349"/>
      <c r="DRE64" s="349"/>
      <c r="DRF64" s="349"/>
      <c r="DRG64" s="349"/>
      <c r="DRH64" s="349"/>
      <c r="DRI64" s="349"/>
      <c r="DRJ64" s="349"/>
      <c r="DRK64" s="349"/>
      <c r="DRL64" s="349"/>
      <c r="DRM64" s="349"/>
      <c r="DRN64" s="349"/>
      <c r="DRO64" s="349"/>
      <c r="DRP64" s="349"/>
      <c r="DRQ64" s="349"/>
      <c r="DRR64" s="349"/>
      <c r="DRS64" s="349"/>
      <c r="DRT64" s="349"/>
      <c r="DRU64" s="349"/>
      <c r="DRV64" s="349"/>
      <c r="DRW64" s="349"/>
      <c r="DRX64" s="349"/>
      <c r="DRY64" s="349"/>
      <c r="DRZ64" s="349"/>
      <c r="DSA64" s="349"/>
      <c r="DSB64" s="349"/>
      <c r="DSC64" s="349"/>
      <c r="DSD64" s="349"/>
      <c r="DSE64" s="349"/>
      <c r="DSF64" s="349"/>
      <c r="DSG64" s="349"/>
      <c r="DSH64" s="349"/>
      <c r="DSI64" s="349"/>
      <c r="DSJ64" s="349"/>
      <c r="DSK64" s="349"/>
      <c r="DSL64" s="349"/>
      <c r="DSM64" s="349"/>
      <c r="DSN64" s="349"/>
      <c r="DSO64" s="349"/>
      <c r="DSP64" s="349"/>
      <c r="DSQ64" s="349"/>
      <c r="DSR64" s="349"/>
      <c r="DSS64" s="349"/>
      <c r="DST64" s="349"/>
      <c r="DSU64" s="349"/>
      <c r="DSV64" s="349"/>
      <c r="DSW64" s="349"/>
      <c r="DSX64" s="349"/>
      <c r="DSY64" s="349"/>
      <c r="DSZ64" s="349"/>
      <c r="DTA64" s="349"/>
      <c r="DTB64" s="349"/>
      <c r="DTC64" s="349"/>
      <c r="DTD64" s="349"/>
      <c r="DTE64" s="349"/>
      <c r="DTF64" s="349"/>
      <c r="DTG64" s="349"/>
      <c r="DTH64" s="349"/>
      <c r="DTI64" s="349"/>
      <c r="DTJ64" s="349"/>
      <c r="DTK64" s="349"/>
      <c r="DTL64" s="349"/>
      <c r="DTM64" s="349"/>
      <c r="DTN64" s="349"/>
      <c r="DTO64" s="349"/>
      <c r="DTP64" s="349"/>
      <c r="DTQ64" s="349"/>
      <c r="DTR64" s="349"/>
      <c r="DTS64" s="349"/>
      <c r="DTT64" s="349"/>
      <c r="DTU64" s="349"/>
      <c r="DTV64" s="349"/>
      <c r="DTW64" s="349"/>
      <c r="DTX64" s="349"/>
      <c r="DTY64" s="349"/>
      <c r="DTZ64" s="349"/>
      <c r="DUA64" s="349"/>
      <c r="DUB64" s="349"/>
      <c r="DUC64" s="349"/>
      <c r="DUD64" s="349"/>
      <c r="DUE64" s="349"/>
      <c r="DUF64" s="349"/>
      <c r="DUG64" s="349"/>
      <c r="DUH64" s="349"/>
      <c r="DUI64" s="349"/>
      <c r="DUJ64" s="349"/>
      <c r="DUK64" s="349"/>
      <c r="DUL64" s="349"/>
      <c r="DUM64" s="349"/>
      <c r="DUN64" s="349"/>
      <c r="DUO64" s="349"/>
      <c r="DUP64" s="349"/>
      <c r="DUQ64" s="349"/>
      <c r="DUR64" s="349"/>
      <c r="DUS64" s="349"/>
      <c r="DUT64" s="349"/>
      <c r="DUU64" s="349"/>
      <c r="DUV64" s="349"/>
      <c r="DUW64" s="349"/>
      <c r="DUX64" s="349"/>
      <c r="DUY64" s="349"/>
      <c r="DUZ64" s="349"/>
      <c r="DVA64" s="349"/>
      <c r="DVB64" s="349"/>
      <c r="DVC64" s="349"/>
      <c r="DVD64" s="349"/>
      <c r="DVE64" s="349"/>
      <c r="DVF64" s="349"/>
      <c r="DVG64" s="349"/>
      <c r="DVH64" s="349"/>
      <c r="DVI64" s="349"/>
      <c r="DVJ64" s="349"/>
      <c r="DVK64" s="349"/>
      <c r="DVL64" s="349"/>
      <c r="DVM64" s="349"/>
      <c r="DVN64" s="349"/>
      <c r="DVO64" s="349"/>
      <c r="DVP64" s="349"/>
      <c r="DVQ64" s="349"/>
      <c r="DVR64" s="349"/>
      <c r="DVS64" s="349"/>
      <c r="DVT64" s="349"/>
      <c r="DVU64" s="349"/>
      <c r="DVV64" s="349"/>
      <c r="DVW64" s="349"/>
      <c r="DVX64" s="349"/>
      <c r="DVY64" s="349"/>
      <c r="DVZ64" s="349"/>
      <c r="DWA64" s="349"/>
      <c r="DWB64" s="349"/>
      <c r="DWC64" s="349"/>
      <c r="DWD64" s="349"/>
      <c r="DWE64" s="349"/>
      <c r="DWF64" s="349"/>
      <c r="DWG64" s="349"/>
      <c r="DWH64" s="349"/>
      <c r="DWI64" s="349"/>
      <c r="DWJ64" s="349"/>
      <c r="DWK64" s="349"/>
      <c r="DWL64" s="349"/>
      <c r="DWM64" s="349"/>
      <c r="DWN64" s="349"/>
      <c r="DWO64" s="349"/>
      <c r="DWP64" s="349"/>
      <c r="DWQ64" s="349"/>
      <c r="DWR64" s="349"/>
      <c r="DWS64" s="349"/>
      <c r="DWT64" s="349"/>
      <c r="DWU64" s="349"/>
      <c r="DWV64" s="349"/>
      <c r="DWW64" s="349"/>
      <c r="DWX64" s="349"/>
      <c r="DWY64" s="349"/>
      <c r="DWZ64" s="349"/>
      <c r="DXA64" s="349"/>
      <c r="DXB64" s="349"/>
      <c r="DXC64" s="349"/>
      <c r="DXD64" s="349"/>
      <c r="DXE64" s="349"/>
      <c r="DXF64" s="349"/>
      <c r="DXG64" s="349"/>
      <c r="DXH64" s="349"/>
      <c r="DXI64" s="349"/>
      <c r="DXJ64" s="349"/>
      <c r="DXK64" s="349"/>
      <c r="DXL64" s="349"/>
      <c r="DXM64" s="349"/>
      <c r="DXN64" s="349"/>
      <c r="DXO64" s="349"/>
      <c r="DXP64" s="349"/>
      <c r="DXQ64" s="349"/>
      <c r="DXR64" s="349"/>
      <c r="DXS64" s="349"/>
      <c r="DXT64" s="349"/>
      <c r="DXU64" s="349"/>
      <c r="DXV64" s="349"/>
      <c r="DXW64" s="349"/>
      <c r="DXX64" s="349"/>
      <c r="DXY64" s="349"/>
      <c r="DXZ64" s="349"/>
      <c r="DYA64" s="349"/>
      <c r="DYB64" s="349"/>
      <c r="DYC64" s="349"/>
      <c r="DYD64" s="349"/>
      <c r="DYE64" s="349"/>
      <c r="DYF64" s="349"/>
      <c r="DYG64" s="349"/>
      <c r="DYH64" s="349"/>
      <c r="DYI64" s="349"/>
      <c r="DYJ64" s="349"/>
      <c r="DYK64" s="349"/>
      <c r="DYL64" s="349"/>
      <c r="DYM64" s="349"/>
      <c r="DYN64" s="349"/>
      <c r="DYO64" s="349"/>
      <c r="DYP64" s="349"/>
      <c r="DYQ64" s="349"/>
      <c r="DYR64" s="349"/>
      <c r="DYS64" s="349"/>
      <c r="DYT64" s="349"/>
      <c r="DYU64" s="349"/>
      <c r="DYV64" s="349"/>
      <c r="DYW64" s="349"/>
      <c r="DYX64" s="349"/>
      <c r="DYY64" s="349"/>
      <c r="DYZ64" s="349"/>
      <c r="DZA64" s="349"/>
      <c r="DZB64" s="349"/>
      <c r="DZC64" s="349"/>
      <c r="DZD64" s="349"/>
      <c r="DZE64" s="349"/>
      <c r="DZF64" s="349"/>
      <c r="DZG64" s="349"/>
      <c r="DZH64" s="349"/>
      <c r="DZI64" s="349"/>
      <c r="DZJ64" s="349"/>
      <c r="DZK64" s="349"/>
      <c r="DZL64" s="349"/>
      <c r="DZM64" s="349"/>
      <c r="DZN64" s="349"/>
      <c r="DZO64" s="349"/>
      <c r="DZP64" s="349"/>
      <c r="DZQ64" s="349"/>
      <c r="DZR64" s="349"/>
      <c r="DZS64" s="349"/>
      <c r="DZT64" s="349"/>
      <c r="DZU64" s="349"/>
      <c r="DZV64" s="349"/>
      <c r="DZW64" s="349"/>
      <c r="DZX64" s="349"/>
      <c r="DZY64" s="349"/>
      <c r="DZZ64" s="349"/>
      <c r="EAA64" s="349"/>
      <c r="EAB64" s="349"/>
      <c r="EAC64" s="349"/>
      <c r="EAD64" s="349"/>
      <c r="EAE64" s="349"/>
      <c r="EAF64" s="349"/>
      <c r="EAG64" s="349"/>
      <c r="EAH64" s="349"/>
      <c r="EAI64" s="349"/>
      <c r="EAJ64" s="349"/>
      <c r="EAK64" s="349"/>
      <c r="EAL64" s="349"/>
      <c r="EAM64" s="349"/>
      <c r="EAN64" s="349"/>
      <c r="EAO64" s="349"/>
      <c r="EAP64" s="349"/>
      <c r="EAQ64" s="349"/>
      <c r="EAR64" s="349"/>
      <c r="EAS64" s="349"/>
      <c r="EAT64" s="349"/>
      <c r="EAU64" s="349"/>
      <c r="EAV64" s="349"/>
      <c r="EAW64" s="349"/>
      <c r="EAX64" s="349"/>
      <c r="EAY64" s="349"/>
      <c r="EAZ64" s="349"/>
      <c r="EBA64" s="349"/>
      <c r="EBB64" s="349"/>
      <c r="EBC64" s="349"/>
      <c r="EBD64" s="349"/>
      <c r="EBE64" s="349"/>
      <c r="EBF64" s="349"/>
      <c r="EBG64" s="349"/>
      <c r="EBH64" s="349"/>
      <c r="EBI64" s="349"/>
      <c r="EBJ64" s="349"/>
      <c r="EBK64" s="349"/>
      <c r="EBL64" s="349"/>
      <c r="EBM64" s="349"/>
      <c r="EBN64" s="349"/>
      <c r="EBO64" s="349"/>
      <c r="EBP64" s="349"/>
      <c r="EBQ64" s="349"/>
      <c r="EBR64" s="349"/>
      <c r="EBS64" s="349"/>
      <c r="EBT64" s="349"/>
      <c r="EBU64" s="349"/>
      <c r="EBV64" s="349"/>
      <c r="EBW64" s="349"/>
      <c r="EBX64" s="349"/>
      <c r="EBY64" s="349"/>
      <c r="EBZ64" s="349"/>
      <c r="ECA64" s="349"/>
      <c r="ECB64" s="349"/>
      <c r="ECC64" s="349"/>
      <c r="ECD64" s="349"/>
      <c r="ECE64" s="349"/>
      <c r="ECF64" s="349"/>
      <c r="ECG64" s="349"/>
      <c r="ECH64" s="349"/>
      <c r="ECI64" s="349"/>
      <c r="ECJ64" s="349"/>
      <c r="ECK64" s="349"/>
      <c r="ECL64" s="349"/>
      <c r="ECM64" s="349"/>
      <c r="ECN64" s="349"/>
      <c r="ECO64" s="349"/>
      <c r="ECP64" s="349"/>
      <c r="ECQ64" s="349"/>
      <c r="ECR64" s="349"/>
      <c r="ECS64" s="349"/>
      <c r="ECT64" s="349"/>
      <c r="ECU64" s="349"/>
      <c r="ECV64" s="349"/>
      <c r="ECW64" s="349"/>
      <c r="ECX64" s="349"/>
      <c r="ECY64" s="349"/>
      <c r="ECZ64" s="349"/>
      <c r="EDA64" s="349"/>
      <c r="EDB64" s="349"/>
      <c r="EDC64" s="349"/>
      <c r="EDD64" s="349"/>
      <c r="EDE64" s="349"/>
      <c r="EDF64" s="349"/>
      <c r="EDG64" s="349"/>
      <c r="EDH64" s="349"/>
      <c r="EDI64" s="349"/>
      <c r="EDJ64" s="349"/>
      <c r="EDK64" s="349"/>
      <c r="EDL64" s="349"/>
      <c r="EDM64" s="349"/>
      <c r="EDN64" s="349"/>
      <c r="EDO64" s="349"/>
      <c r="EDP64" s="349"/>
      <c r="EDQ64" s="349"/>
      <c r="EDR64" s="349"/>
      <c r="EDS64" s="349"/>
      <c r="EDT64" s="349"/>
      <c r="EDU64" s="349"/>
      <c r="EDV64" s="349"/>
      <c r="EDW64" s="349"/>
      <c r="EDX64" s="349"/>
      <c r="EDY64" s="349"/>
      <c r="EDZ64" s="349"/>
      <c r="EEA64" s="349"/>
      <c r="EEB64" s="349"/>
      <c r="EEC64" s="349"/>
      <c r="EED64" s="349"/>
      <c r="EEE64" s="349"/>
      <c r="EEF64" s="349"/>
      <c r="EEG64" s="349"/>
      <c r="EEH64" s="349"/>
      <c r="EEI64" s="349"/>
      <c r="EEJ64" s="349"/>
      <c r="EEK64" s="349"/>
      <c r="EEL64" s="349"/>
      <c r="EEM64" s="349"/>
      <c r="EEN64" s="349"/>
      <c r="EEO64" s="349"/>
      <c r="EEP64" s="349"/>
      <c r="EEQ64" s="349"/>
      <c r="EER64" s="349"/>
      <c r="EES64" s="349"/>
      <c r="EET64" s="349"/>
      <c r="EEU64" s="349"/>
      <c r="EEV64" s="349"/>
      <c r="EEW64" s="349"/>
      <c r="EEX64" s="349"/>
      <c r="EEY64" s="349"/>
      <c r="EEZ64" s="349"/>
      <c r="EFA64" s="349"/>
      <c r="EFB64" s="349"/>
      <c r="EFC64" s="349"/>
      <c r="EFD64" s="349"/>
      <c r="EFE64" s="349"/>
      <c r="EFF64" s="349"/>
      <c r="EFG64" s="349"/>
      <c r="EFH64" s="349"/>
      <c r="EFI64" s="349"/>
      <c r="EFJ64" s="349"/>
      <c r="EFK64" s="349"/>
      <c r="EFL64" s="349"/>
      <c r="EFM64" s="349"/>
      <c r="EFN64" s="349"/>
      <c r="EFO64" s="349"/>
      <c r="EFP64" s="349"/>
      <c r="EFQ64" s="349"/>
      <c r="EFR64" s="349"/>
      <c r="EFS64" s="349"/>
      <c r="EFT64" s="349"/>
      <c r="EFU64" s="349"/>
      <c r="EFV64" s="349"/>
      <c r="EFW64" s="349"/>
      <c r="EFX64" s="349"/>
      <c r="EFY64" s="349"/>
      <c r="EFZ64" s="349"/>
      <c r="EGA64" s="349"/>
      <c r="EGB64" s="349"/>
      <c r="EGC64" s="349"/>
      <c r="EGD64" s="349"/>
      <c r="EGE64" s="349"/>
      <c r="EGF64" s="349"/>
      <c r="EGG64" s="349"/>
      <c r="EGH64" s="349"/>
      <c r="EGI64" s="349"/>
      <c r="EGJ64" s="349"/>
      <c r="EGK64" s="349"/>
      <c r="EGL64" s="349"/>
      <c r="EGM64" s="349"/>
      <c r="EGN64" s="349"/>
      <c r="EGO64" s="349"/>
      <c r="EGP64" s="349"/>
      <c r="EGQ64" s="349"/>
      <c r="EGR64" s="349"/>
      <c r="EGS64" s="349"/>
      <c r="EGT64" s="349"/>
      <c r="EGU64" s="349"/>
      <c r="EGV64" s="349"/>
      <c r="EGW64" s="349"/>
      <c r="EGX64" s="349"/>
      <c r="EGY64" s="349"/>
      <c r="EGZ64" s="349"/>
      <c r="EHA64" s="349"/>
      <c r="EHB64" s="349"/>
      <c r="EHC64" s="349"/>
      <c r="EHD64" s="349"/>
      <c r="EHE64" s="349"/>
      <c r="EHF64" s="349"/>
      <c r="EHG64" s="349"/>
      <c r="EHH64" s="349"/>
      <c r="EHI64" s="349"/>
      <c r="EHJ64" s="349"/>
      <c r="EHK64" s="349"/>
      <c r="EHL64" s="349"/>
      <c r="EHM64" s="349"/>
      <c r="EHN64" s="349"/>
      <c r="EHO64" s="349"/>
      <c r="EHP64" s="349"/>
      <c r="EHQ64" s="349"/>
      <c r="EHR64" s="349"/>
      <c r="EHS64" s="349"/>
      <c r="EHT64" s="349"/>
      <c r="EHU64" s="349"/>
      <c r="EHV64" s="349"/>
      <c r="EHW64" s="349"/>
      <c r="EHX64" s="349"/>
      <c r="EHY64" s="349"/>
      <c r="EHZ64" s="349"/>
      <c r="EIA64" s="349"/>
      <c r="EIB64" s="349"/>
      <c r="EIC64" s="349"/>
      <c r="EID64" s="349"/>
      <c r="EIE64" s="349"/>
      <c r="EIF64" s="349"/>
      <c r="EIG64" s="349"/>
      <c r="EIH64" s="349"/>
      <c r="EII64" s="349"/>
      <c r="EIJ64" s="349"/>
      <c r="EIK64" s="349"/>
      <c r="EIL64" s="349"/>
      <c r="EIM64" s="349"/>
      <c r="EIN64" s="349"/>
      <c r="EIO64" s="349"/>
      <c r="EIP64" s="349"/>
      <c r="EIQ64" s="349"/>
      <c r="EIR64" s="349"/>
      <c r="EIS64" s="349"/>
      <c r="EIT64" s="349"/>
      <c r="EIU64" s="349"/>
      <c r="EIV64" s="349"/>
      <c r="EIW64" s="349"/>
      <c r="EIX64" s="349"/>
      <c r="EIY64" s="349"/>
      <c r="EIZ64" s="349"/>
      <c r="EJA64" s="349"/>
      <c r="EJB64" s="349"/>
      <c r="EJC64" s="349"/>
      <c r="EJD64" s="349"/>
      <c r="EJE64" s="349"/>
      <c r="EJF64" s="349"/>
      <c r="EJG64" s="349"/>
      <c r="EJH64" s="349"/>
      <c r="EJI64" s="349"/>
      <c r="EJJ64" s="349"/>
      <c r="EJK64" s="349"/>
      <c r="EJL64" s="349"/>
      <c r="EJM64" s="349"/>
      <c r="EJN64" s="349"/>
      <c r="EJO64" s="349"/>
      <c r="EJP64" s="349"/>
      <c r="EJQ64" s="349"/>
      <c r="EJR64" s="349"/>
      <c r="EJS64" s="349"/>
      <c r="EJT64" s="349"/>
      <c r="EJU64" s="349"/>
      <c r="EJV64" s="349"/>
      <c r="EJW64" s="349"/>
      <c r="EJX64" s="349"/>
      <c r="EJY64" s="349"/>
      <c r="EJZ64" s="349"/>
      <c r="EKA64" s="349"/>
      <c r="EKB64" s="349"/>
      <c r="EKC64" s="349"/>
      <c r="EKD64" s="349"/>
      <c r="EKE64" s="349"/>
      <c r="EKF64" s="349"/>
      <c r="EKG64" s="349"/>
      <c r="EKH64" s="349"/>
      <c r="EKI64" s="349"/>
      <c r="EKJ64" s="349"/>
      <c r="EKK64" s="349"/>
      <c r="EKL64" s="349"/>
      <c r="EKM64" s="349"/>
      <c r="EKN64" s="349"/>
      <c r="EKO64" s="349"/>
      <c r="EKP64" s="349"/>
      <c r="EKQ64" s="349"/>
      <c r="EKR64" s="349"/>
      <c r="EKS64" s="349"/>
      <c r="EKT64" s="349"/>
      <c r="EKU64" s="349"/>
      <c r="EKV64" s="349"/>
      <c r="EKW64" s="349"/>
      <c r="EKX64" s="349"/>
      <c r="EKY64" s="349"/>
      <c r="EKZ64" s="349"/>
      <c r="ELA64" s="349"/>
      <c r="ELB64" s="349"/>
      <c r="ELC64" s="349"/>
      <c r="ELD64" s="349"/>
      <c r="ELE64" s="349"/>
      <c r="ELF64" s="349"/>
      <c r="ELG64" s="349"/>
      <c r="ELH64" s="349"/>
      <c r="ELI64" s="349"/>
      <c r="ELJ64" s="349"/>
      <c r="ELK64" s="349"/>
      <c r="ELL64" s="349"/>
      <c r="ELM64" s="349"/>
      <c r="ELN64" s="349"/>
      <c r="ELO64" s="349"/>
      <c r="ELP64" s="349"/>
      <c r="ELQ64" s="349"/>
      <c r="ELR64" s="349"/>
      <c r="ELS64" s="349"/>
      <c r="ELT64" s="349"/>
      <c r="ELU64" s="349"/>
      <c r="ELV64" s="349"/>
      <c r="ELW64" s="349"/>
      <c r="ELX64" s="349"/>
      <c r="ELY64" s="349"/>
      <c r="ELZ64" s="349"/>
      <c r="EMA64" s="349"/>
      <c r="EMB64" s="349"/>
      <c r="EMC64" s="349"/>
      <c r="EMD64" s="349"/>
      <c r="EME64" s="349"/>
      <c r="EMF64" s="349"/>
      <c r="EMG64" s="349"/>
      <c r="EMH64" s="349"/>
      <c r="EMI64" s="349"/>
      <c r="EMJ64" s="349"/>
      <c r="EMK64" s="349"/>
      <c r="EML64" s="349"/>
      <c r="EMM64" s="349"/>
      <c r="EMN64" s="349"/>
      <c r="EMO64" s="349"/>
      <c r="EMP64" s="349"/>
      <c r="EMQ64" s="349"/>
      <c r="EMR64" s="349"/>
      <c r="EMS64" s="349"/>
      <c r="EMT64" s="349"/>
      <c r="EMU64" s="349"/>
      <c r="EMV64" s="349"/>
      <c r="EMW64" s="349"/>
      <c r="EMX64" s="349"/>
      <c r="EMY64" s="349"/>
      <c r="EMZ64" s="349"/>
      <c r="ENA64" s="349"/>
      <c r="ENB64" s="349"/>
      <c r="ENC64" s="349"/>
      <c r="END64" s="349"/>
      <c r="ENE64" s="349"/>
      <c r="ENF64" s="349"/>
      <c r="ENG64" s="349"/>
      <c r="ENH64" s="349"/>
      <c r="ENI64" s="349"/>
      <c r="ENJ64" s="349"/>
      <c r="ENK64" s="349"/>
      <c r="ENL64" s="349"/>
      <c r="ENM64" s="349"/>
      <c r="ENN64" s="349"/>
      <c r="ENO64" s="349"/>
      <c r="ENP64" s="349"/>
      <c r="ENQ64" s="349"/>
      <c r="ENR64" s="349"/>
      <c r="ENS64" s="349"/>
      <c r="ENT64" s="349"/>
      <c r="ENU64" s="349"/>
      <c r="ENV64" s="349"/>
      <c r="ENW64" s="349"/>
      <c r="ENX64" s="349"/>
      <c r="ENY64" s="349"/>
      <c r="ENZ64" s="349"/>
      <c r="EOA64" s="349"/>
      <c r="EOB64" s="349"/>
      <c r="EOC64" s="349"/>
      <c r="EOD64" s="349"/>
      <c r="EOE64" s="349"/>
      <c r="EOF64" s="349"/>
      <c r="EOG64" s="349"/>
      <c r="EOH64" s="349"/>
      <c r="EOI64" s="349"/>
      <c r="EOJ64" s="349"/>
      <c r="EOK64" s="349"/>
      <c r="EOL64" s="349"/>
      <c r="EOM64" s="349"/>
      <c r="EON64" s="349"/>
      <c r="EOO64" s="349"/>
      <c r="EOP64" s="349"/>
      <c r="EOQ64" s="349"/>
      <c r="EOR64" s="349"/>
      <c r="EOS64" s="349"/>
      <c r="EOT64" s="349"/>
      <c r="EOU64" s="349"/>
      <c r="EOV64" s="349"/>
      <c r="EOW64" s="349"/>
      <c r="EOX64" s="349"/>
      <c r="EOY64" s="349"/>
      <c r="EOZ64" s="349"/>
      <c r="EPA64" s="349"/>
      <c r="EPB64" s="349"/>
      <c r="EPC64" s="349"/>
      <c r="EPD64" s="349"/>
      <c r="EPE64" s="349"/>
      <c r="EPF64" s="349"/>
      <c r="EPG64" s="349"/>
      <c r="EPH64" s="349"/>
      <c r="EPI64" s="349"/>
      <c r="EPJ64" s="349"/>
      <c r="EPK64" s="349"/>
      <c r="EPL64" s="349"/>
      <c r="EPM64" s="349"/>
      <c r="EPN64" s="349"/>
      <c r="EPO64" s="349"/>
      <c r="EPP64" s="349"/>
      <c r="EPQ64" s="349"/>
      <c r="EPR64" s="349"/>
      <c r="EPS64" s="349"/>
      <c r="EPT64" s="349"/>
      <c r="EPU64" s="349"/>
      <c r="EPV64" s="349"/>
      <c r="EPW64" s="349"/>
      <c r="EPX64" s="349"/>
      <c r="EPY64" s="349"/>
      <c r="EPZ64" s="349"/>
      <c r="EQA64" s="349"/>
      <c r="EQB64" s="349"/>
      <c r="EQC64" s="349"/>
      <c r="EQD64" s="349"/>
      <c r="EQE64" s="349"/>
      <c r="EQF64" s="349"/>
      <c r="EQG64" s="349"/>
      <c r="EQH64" s="349"/>
      <c r="EQI64" s="349"/>
      <c r="EQJ64" s="349"/>
      <c r="EQK64" s="349"/>
      <c r="EQL64" s="349"/>
      <c r="EQM64" s="349"/>
      <c r="EQN64" s="349"/>
      <c r="EQO64" s="349"/>
      <c r="EQP64" s="349"/>
      <c r="EQQ64" s="349"/>
      <c r="EQR64" s="349"/>
      <c r="EQS64" s="349"/>
      <c r="EQT64" s="349"/>
      <c r="EQU64" s="349"/>
      <c r="EQV64" s="349"/>
      <c r="EQW64" s="349"/>
      <c r="EQX64" s="349"/>
      <c r="EQY64" s="349"/>
      <c r="EQZ64" s="349"/>
      <c r="ERA64" s="349"/>
      <c r="ERB64" s="349"/>
      <c r="ERC64" s="349"/>
      <c r="ERD64" s="349"/>
      <c r="ERE64" s="349"/>
      <c r="ERF64" s="349"/>
      <c r="ERG64" s="349"/>
      <c r="ERH64" s="349"/>
      <c r="ERI64" s="349"/>
      <c r="ERJ64" s="349"/>
      <c r="ERK64" s="349"/>
      <c r="ERL64" s="349"/>
      <c r="ERM64" s="349"/>
      <c r="ERN64" s="349"/>
      <c r="ERO64" s="349"/>
      <c r="ERP64" s="349"/>
      <c r="ERQ64" s="349"/>
      <c r="ERR64" s="349"/>
      <c r="ERS64" s="349"/>
      <c r="ERT64" s="349"/>
      <c r="ERU64" s="349"/>
      <c r="ERV64" s="349"/>
      <c r="ERW64" s="349"/>
      <c r="ERX64" s="349"/>
      <c r="ERY64" s="349"/>
      <c r="ERZ64" s="349"/>
      <c r="ESA64" s="349"/>
      <c r="ESB64" s="349"/>
      <c r="ESC64" s="349"/>
      <c r="ESD64" s="349"/>
      <c r="ESE64" s="349"/>
      <c r="ESF64" s="349"/>
      <c r="ESG64" s="349"/>
      <c r="ESH64" s="349"/>
      <c r="ESI64" s="349"/>
      <c r="ESJ64" s="349"/>
      <c r="ESK64" s="349"/>
      <c r="ESL64" s="349"/>
      <c r="ESM64" s="349"/>
      <c r="ESN64" s="349"/>
      <c r="ESO64" s="349"/>
      <c r="ESP64" s="349"/>
      <c r="ESQ64" s="349"/>
      <c r="ESR64" s="349"/>
      <c r="ESS64" s="349"/>
      <c r="EST64" s="349"/>
      <c r="ESU64" s="349"/>
      <c r="ESV64" s="349"/>
      <c r="ESW64" s="349"/>
      <c r="ESX64" s="349"/>
      <c r="ESY64" s="349"/>
      <c r="ESZ64" s="349"/>
      <c r="ETA64" s="349"/>
      <c r="ETB64" s="349"/>
      <c r="ETC64" s="349"/>
      <c r="ETD64" s="349"/>
      <c r="ETE64" s="349"/>
      <c r="ETF64" s="349"/>
      <c r="ETG64" s="349"/>
      <c r="ETH64" s="349"/>
      <c r="ETI64" s="349"/>
      <c r="ETJ64" s="349"/>
      <c r="ETK64" s="349"/>
      <c r="ETL64" s="349"/>
      <c r="ETM64" s="349"/>
      <c r="ETN64" s="349"/>
      <c r="ETO64" s="349"/>
      <c r="ETP64" s="349"/>
      <c r="ETQ64" s="349"/>
      <c r="ETR64" s="349"/>
      <c r="ETS64" s="349"/>
      <c r="ETT64" s="349"/>
      <c r="ETU64" s="349"/>
      <c r="ETV64" s="349"/>
      <c r="ETW64" s="349"/>
      <c r="ETX64" s="349"/>
      <c r="ETY64" s="349"/>
      <c r="ETZ64" s="349"/>
      <c r="EUA64" s="349"/>
      <c r="EUB64" s="349"/>
      <c r="EUC64" s="349"/>
      <c r="EUD64" s="349"/>
      <c r="EUE64" s="349"/>
      <c r="EUF64" s="349"/>
      <c r="EUG64" s="349"/>
      <c r="EUH64" s="349"/>
      <c r="EUI64" s="349"/>
      <c r="EUJ64" s="349"/>
      <c r="EUK64" s="349"/>
      <c r="EUL64" s="349"/>
      <c r="EUM64" s="349"/>
      <c r="EUN64" s="349"/>
      <c r="EUO64" s="349"/>
      <c r="EUP64" s="349"/>
      <c r="EUQ64" s="349"/>
      <c r="EUR64" s="349"/>
      <c r="EUS64" s="349"/>
      <c r="EUT64" s="349"/>
      <c r="EUU64" s="349"/>
      <c r="EUV64" s="349"/>
      <c r="EUW64" s="349"/>
      <c r="EUX64" s="349"/>
      <c r="EUY64" s="349"/>
      <c r="EUZ64" s="349"/>
      <c r="EVA64" s="349"/>
      <c r="EVB64" s="349"/>
      <c r="EVC64" s="349"/>
      <c r="EVD64" s="349"/>
      <c r="EVE64" s="349"/>
      <c r="EVF64" s="349"/>
      <c r="EVG64" s="349"/>
      <c r="EVH64" s="349"/>
      <c r="EVI64" s="349"/>
      <c r="EVJ64" s="349"/>
      <c r="EVK64" s="349"/>
      <c r="EVL64" s="349"/>
      <c r="EVM64" s="349"/>
      <c r="EVN64" s="349"/>
      <c r="EVO64" s="349"/>
      <c r="EVP64" s="349"/>
      <c r="EVQ64" s="349"/>
      <c r="EVR64" s="349"/>
      <c r="EVS64" s="349"/>
      <c r="EVT64" s="349"/>
      <c r="EVU64" s="349"/>
      <c r="EVV64" s="349"/>
      <c r="EVW64" s="349"/>
      <c r="EVX64" s="349"/>
      <c r="EVY64" s="349"/>
      <c r="EVZ64" s="349"/>
      <c r="EWA64" s="349"/>
      <c r="EWB64" s="349"/>
      <c r="EWC64" s="349"/>
      <c r="EWD64" s="349"/>
      <c r="EWE64" s="349"/>
      <c r="EWF64" s="349"/>
      <c r="EWG64" s="349"/>
      <c r="EWH64" s="349"/>
      <c r="EWI64" s="349"/>
      <c r="EWJ64" s="349"/>
      <c r="EWK64" s="349"/>
      <c r="EWL64" s="349"/>
      <c r="EWM64" s="349"/>
      <c r="EWN64" s="349"/>
      <c r="EWO64" s="349"/>
      <c r="EWP64" s="349"/>
      <c r="EWQ64" s="349"/>
      <c r="EWR64" s="349"/>
      <c r="EWS64" s="349"/>
      <c r="EWT64" s="349"/>
      <c r="EWU64" s="349"/>
      <c r="EWV64" s="349"/>
      <c r="EWW64" s="349"/>
      <c r="EWX64" s="349"/>
      <c r="EWY64" s="349"/>
      <c r="EWZ64" s="349"/>
      <c r="EXA64" s="349"/>
      <c r="EXB64" s="349"/>
      <c r="EXC64" s="349"/>
      <c r="EXD64" s="349"/>
      <c r="EXE64" s="349"/>
      <c r="EXF64" s="349"/>
      <c r="EXG64" s="349"/>
      <c r="EXH64" s="349"/>
      <c r="EXI64" s="349"/>
      <c r="EXJ64" s="349"/>
      <c r="EXK64" s="349"/>
      <c r="EXL64" s="349"/>
      <c r="EXM64" s="349"/>
      <c r="EXN64" s="349"/>
      <c r="EXO64" s="349"/>
      <c r="EXP64" s="349"/>
      <c r="EXQ64" s="349"/>
      <c r="EXR64" s="349"/>
      <c r="EXS64" s="349"/>
      <c r="EXT64" s="349"/>
      <c r="EXU64" s="349"/>
      <c r="EXV64" s="349"/>
      <c r="EXW64" s="349"/>
      <c r="EXX64" s="349"/>
      <c r="EXY64" s="349"/>
      <c r="EXZ64" s="349"/>
      <c r="EYA64" s="349"/>
      <c r="EYB64" s="349"/>
      <c r="EYC64" s="349"/>
      <c r="EYD64" s="349"/>
      <c r="EYE64" s="349"/>
      <c r="EYF64" s="349"/>
      <c r="EYG64" s="349"/>
      <c r="EYH64" s="349"/>
      <c r="EYI64" s="349"/>
      <c r="EYJ64" s="349"/>
      <c r="EYK64" s="349"/>
      <c r="EYL64" s="349"/>
      <c r="EYM64" s="349"/>
      <c r="EYN64" s="349"/>
      <c r="EYO64" s="349"/>
      <c r="EYP64" s="349"/>
      <c r="EYQ64" s="349"/>
      <c r="EYR64" s="349"/>
      <c r="EYS64" s="349"/>
      <c r="EYT64" s="349"/>
      <c r="EYU64" s="349"/>
      <c r="EYV64" s="349"/>
      <c r="EYW64" s="349"/>
      <c r="EYX64" s="349"/>
      <c r="EYY64" s="349"/>
      <c r="EYZ64" s="349"/>
      <c r="EZA64" s="349"/>
      <c r="EZB64" s="349"/>
      <c r="EZC64" s="349"/>
      <c r="EZD64" s="349"/>
      <c r="EZE64" s="349"/>
      <c r="EZF64" s="349"/>
      <c r="EZG64" s="349"/>
      <c r="EZH64" s="349"/>
      <c r="EZI64" s="349"/>
      <c r="EZJ64" s="349"/>
      <c r="EZK64" s="349"/>
      <c r="EZL64" s="349"/>
      <c r="EZM64" s="349"/>
      <c r="EZN64" s="349"/>
      <c r="EZO64" s="349"/>
      <c r="EZP64" s="349"/>
      <c r="EZQ64" s="349"/>
      <c r="EZR64" s="349"/>
      <c r="EZS64" s="349"/>
      <c r="EZT64" s="349"/>
      <c r="EZU64" s="349"/>
      <c r="EZV64" s="349"/>
      <c r="EZW64" s="349"/>
      <c r="EZX64" s="349"/>
      <c r="EZY64" s="349"/>
      <c r="EZZ64" s="349"/>
      <c r="FAA64" s="349"/>
      <c r="FAB64" s="349"/>
      <c r="FAC64" s="349"/>
      <c r="FAD64" s="349"/>
      <c r="FAE64" s="349"/>
      <c r="FAF64" s="349"/>
      <c r="FAG64" s="349"/>
      <c r="FAH64" s="349"/>
      <c r="FAI64" s="349"/>
      <c r="FAJ64" s="349"/>
      <c r="FAK64" s="349"/>
      <c r="FAL64" s="349"/>
      <c r="FAM64" s="349"/>
      <c r="FAN64" s="349"/>
      <c r="FAO64" s="349"/>
      <c r="FAP64" s="349"/>
      <c r="FAQ64" s="349"/>
      <c r="FAR64" s="349"/>
      <c r="FAS64" s="349"/>
      <c r="FAT64" s="349"/>
      <c r="FAU64" s="349"/>
      <c r="FAV64" s="349"/>
      <c r="FAW64" s="349"/>
      <c r="FAX64" s="349"/>
      <c r="FAY64" s="349"/>
      <c r="FAZ64" s="349"/>
      <c r="FBA64" s="349"/>
      <c r="FBB64" s="349"/>
      <c r="FBC64" s="349"/>
      <c r="FBD64" s="349"/>
      <c r="FBE64" s="349"/>
      <c r="FBF64" s="349"/>
      <c r="FBG64" s="349"/>
      <c r="FBH64" s="349"/>
      <c r="FBI64" s="349"/>
      <c r="FBJ64" s="349"/>
      <c r="FBK64" s="349"/>
      <c r="FBL64" s="349"/>
      <c r="FBM64" s="349"/>
      <c r="FBN64" s="349"/>
      <c r="FBO64" s="349"/>
      <c r="FBP64" s="349"/>
      <c r="FBQ64" s="349"/>
      <c r="FBR64" s="349"/>
      <c r="FBS64" s="349"/>
      <c r="FBT64" s="349"/>
      <c r="FBU64" s="349"/>
      <c r="FBV64" s="349"/>
      <c r="FBW64" s="349"/>
      <c r="FBX64" s="349"/>
      <c r="FBY64" s="349"/>
      <c r="FBZ64" s="349"/>
      <c r="FCA64" s="349"/>
      <c r="FCB64" s="349"/>
      <c r="FCC64" s="349"/>
      <c r="FCD64" s="349"/>
      <c r="FCE64" s="349"/>
      <c r="FCF64" s="349"/>
      <c r="FCG64" s="349"/>
      <c r="FCH64" s="349"/>
      <c r="FCI64" s="349"/>
      <c r="FCJ64" s="349"/>
      <c r="FCK64" s="349"/>
      <c r="FCL64" s="349"/>
      <c r="FCM64" s="349"/>
      <c r="FCN64" s="349"/>
      <c r="FCO64" s="349"/>
      <c r="FCP64" s="349"/>
      <c r="FCQ64" s="349"/>
      <c r="FCR64" s="349"/>
      <c r="FCS64" s="349"/>
      <c r="FCT64" s="349"/>
      <c r="FCU64" s="349"/>
      <c r="FCV64" s="349"/>
      <c r="FCW64" s="349"/>
      <c r="FCX64" s="349"/>
      <c r="FCY64" s="349"/>
      <c r="FCZ64" s="349"/>
      <c r="FDA64" s="349"/>
      <c r="FDB64" s="349"/>
      <c r="FDC64" s="349"/>
      <c r="FDD64" s="349"/>
      <c r="FDE64" s="349"/>
      <c r="FDF64" s="349"/>
      <c r="FDG64" s="349"/>
      <c r="FDH64" s="349"/>
      <c r="FDI64" s="349"/>
      <c r="FDJ64" s="349"/>
      <c r="FDK64" s="349"/>
      <c r="FDL64" s="349"/>
      <c r="FDM64" s="349"/>
      <c r="FDN64" s="349"/>
      <c r="FDO64" s="349"/>
      <c r="FDP64" s="349"/>
      <c r="FDQ64" s="349"/>
      <c r="FDR64" s="349"/>
      <c r="FDS64" s="349"/>
      <c r="FDT64" s="349"/>
      <c r="FDU64" s="349"/>
      <c r="FDV64" s="349"/>
      <c r="FDW64" s="349"/>
      <c r="FDX64" s="349"/>
      <c r="FDY64" s="349"/>
      <c r="FDZ64" s="349"/>
      <c r="FEA64" s="349"/>
      <c r="FEB64" s="349"/>
      <c r="FEC64" s="349"/>
      <c r="FED64" s="349"/>
      <c r="FEE64" s="349"/>
      <c r="FEF64" s="349"/>
      <c r="FEG64" s="349"/>
      <c r="FEH64" s="349"/>
      <c r="FEI64" s="349"/>
      <c r="FEJ64" s="349"/>
      <c r="FEK64" s="349"/>
      <c r="FEL64" s="349"/>
      <c r="FEM64" s="349"/>
      <c r="FEN64" s="349"/>
      <c r="FEO64" s="349"/>
      <c r="FEP64" s="349"/>
      <c r="FEQ64" s="349"/>
      <c r="FER64" s="349"/>
      <c r="FES64" s="349"/>
      <c r="FET64" s="349"/>
      <c r="FEU64" s="349"/>
      <c r="FEV64" s="349"/>
      <c r="FEW64" s="349"/>
      <c r="FEX64" s="349"/>
      <c r="FEY64" s="349"/>
      <c r="FEZ64" s="349"/>
      <c r="FFA64" s="349"/>
      <c r="FFB64" s="349"/>
      <c r="FFC64" s="349"/>
      <c r="FFD64" s="349"/>
      <c r="FFE64" s="349"/>
      <c r="FFF64" s="349"/>
      <c r="FFG64" s="349"/>
      <c r="FFH64" s="349"/>
      <c r="FFI64" s="349"/>
      <c r="FFJ64" s="349"/>
      <c r="FFK64" s="349"/>
      <c r="FFL64" s="349"/>
      <c r="FFM64" s="349"/>
      <c r="FFN64" s="349"/>
      <c r="FFO64" s="349"/>
      <c r="FFP64" s="349"/>
      <c r="FFQ64" s="349"/>
      <c r="FFR64" s="349"/>
      <c r="FFS64" s="349"/>
      <c r="FFT64" s="349"/>
      <c r="FFU64" s="349"/>
      <c r="FFV64" s="349"/>
      <c r="FFW64" s="349"/>
      <c r="FFX64" s="349"/>
      <c r="FFY64" s="349"/>
      <c r="FFZ64" s="349"/>
      <c r="FGA64" s="349"/>
      <c r="FGB64" s="349"/>
      <c r="FGC64" s="349"/>
      <c r="FGD64" s="349"/>
      <c r="FGE64" s="349"/>
      <c r="FGF64" s="349"/>
      <c r="FGG64" s="349"/>
      <c r="FGH64" s="349"/>
      <c r="FGI64" s="349"/>
      <c r="FGJ64" s="349"/>
      <c r="FGK64" s="349"/>
      <c r="FGL64" s="349"/>
      <c r="FGM64" s="349"/>
      <c r="FGN64" s="349"/>
      <c r="FGO64" s="349"/>
      <c r="FGP64" s="349"/>
      <c r="FGQ64" s="349"/>
      <c r="FGR64" s="349"/>
      <c r="FGS64" s="349"/>
      <c r="FGT64" s="349"/>
      <c r="FGU64" s="349"/>
      <c r="FGV64" s="349"/>
      <c r="FGW64" s="349"/>
      <c r="FGX64" s="349"/>
      <c r="FGY64" s="349"/>
      <c r="FGZ64" s="349"/>
      <c r="FHA64" s="349"/>
      <c r="FHB64" s="349"/>
      <c r="FHC64" s="349"/>
      <c r="FHD64" s="349"/>
      <c r="FHE64" s="349"/>
      <c r="FHF64" s="349"/>
      <c r="FHG64" s="349"/>
      <c r="FHH64" s="349"/>
      <c r="FHI64" s="349"/>
      <c r="FHJ64" s="349"/>
      <c r="FHK64" s="349"/>
      <c r="FHL64" s="349"/>
      <c r="FHM64" s="349"/>
      <c r="FHN64" s="349"/>
      <c r="FHO64" s="349"/>
      <c r="FHP64" s="349"/>
      <c r="FHQ64" s="349"/>
      <c r="FHR64" s="349"/>
      <c r="FHS64" s="349"/>
      <c r="FHT64" s="349"/>
      <c r="FHU64" s="349"/>
      <c r="FHV64" s="349"/>
      <c r="FHW64" s="349"/>
      <c r="FHX64" s="349"/>
      <c r="FHY64" s="349"/>
      <c r="FHZ64" s="349"/>
      <c r="FIA64" s="349"/>
      <c r="FIB64" s="349"/>
      <c r="FIC64" s="349"/>
      <c r="FID64" s="349"/>
      <c r="FIE64" s="349"/>
      <c r="FIF64" s="349"/>
      <c r="FIG64" s="349"/>
      <c r="FIH64" s="349"/>
      <c r="FII64" s="349"/>
      <c r="FIJ64" s="349"/>
      <c r="FIK64" s="349"/>
      <c r="FIL64" s="349"/>
      <c r="FIM64" s="349"/>
      <c r="FIN64" s="349"/>
      <c r="FIO64" s="349"/>
      <c r="FIP64" s="349"/>
      <c r="FIQ64" s="349"/>
      <c r="FIR64" s="349"/>
      <c r="FIS64" s="349"/>
      <c r="FIT64" s="349"/>
      <c r="FIU64" s="349"/>
      <c r="FIV64" s="349"/>
      <c r="FIW64" s="349"/>
      <c r="FIX64" s="349"/>
      <c r="FIY64" s="349"/>
      <c r="FIZ64" s="349"/>
      <c r="FJA64" s="349"/>
      <c r="FJB64" s="349"/>
      <c r="FJC64" s="349"/>
      <c r="FJD64" s="349"/>
      <c r="FJE64" s="349"/>
      <c r="FJF64" s="349"/>
      <c r="FJG64" s="349"/>
      <c r="FJH64" s="349"/>
      <c r="FJI64" s="349"/>
      <c r="FJJ64" s="349"/>
      <c r="FJK64" s="349"/>
      <c r="FJL64" s="349"/>
      <c r="FJM64" s="349"/>
      <c r="FJN64" s="349"/>
      <c r="FJO64" s="349"/>
      <c r="FJP64" s="349"/>
      <c r="FJQ64" s="349"/>
      <c r="FJR64" s="349"/>
      <c r="FJS64" s="349"/>
      <c r="FJT64" s="349"/>
      <c r="FJU64" s="349"/>
      <c r="FJV64" s="349"/>
      <c r="FJW64" s="349"/>
      <c r="FJX64" s="349"/>
      <c r="FJY64" s="349"/>
      <c r="FJZ64" s="349"/>
      <c r="FKA64" s="349"/>
      <c r="FKB64" s="349"/>
      <c r="FKC64" s="349"/>
      <c r="FKD64" s="349"/>
      <c r="FKE64" s="349"/>
      <c r="FKF64" s="349"/>
      <c r="FKG64" s="349"/>
      <c r="FKH64" s="349"/>
      <c r="FKI64" s="349"/>
      <c r="FKJ64" s="349"/>
      <c r="FKK64" s="349"/>
      <c r="FKL64" s="349"/>
      <c r="FKM64" s="349"/>
      <c r="FKN64" s="349"/>
      <c r="FKO64" s="349"/>
      <c r="FKP64" s="349"/>
      <c r="FKQ64" s="349"/>
      <c r="FKR64" s="349"/>
      <c r="FKS64" s="349"/>
      <c r="FKT64" s="349"/>
      <c r="FKU64" s="349"/>
      <c r="FKV64" s="349"/>
      <c r="FKW64" s="349"/>
      <c r="FKX64" s="349"/>
      <c r="FKY64" s="349"/>
      <c r="FKZ64" s="349"/>
      <c r="FLA64" s="349"/>
      <c r="FLB64" s="349"/>
      <c r="FLC64" s="349"/>
      <c r="FLD64" s="349"/>
      <c r="FLE64" s="349"/>
      <c r="FLF64" s="349"/>
      <c r="FLG64" s="349"/>
      <c r="FLH64" s="349"/>
      <c r="FLI64" s="349"/>
      <c r="FLJ64" s="349"/>
      <c r="FLK64" s="349"/>
      <c r="FLL64" s="349"/>
      <c r="FLM64" s="349"/>
      <c r="FLN64" s="349"/>
      <c r="FLO64" s="349"/>
      <c r="FLP64" s="349"/>
      <c r="FLQ64" s="349"/>
      <c r="FLR64" s="349"/>
      <c r="FLS64" s="349"/>
      <c r="FLT64" s="349"/>
      <c r="FLU64" s="349"/>
      <c r="FLV64" s="349"/>
      <c r="FLW64" s="349"/>
      <c r="FLX64" s="349"/>
      <c r="FLY64" s="349"/>
      <c r="FLZ64" s="349"/>
      <c r="FMA64" s="349"/>
      <c r="FMB64" s="349"/>
      <c r="FMC64" s="349"/>
      <c r="FMD64" s="349"/>
      <c r="FME64" s="349"/>
      <c r="FMF64" s="349"/>
      <c r="FMG64" s="349"/>
      <c r="FMH64" s="349"/>
      <c r="FMI64" s="349"/>
      <c r="FMJ64" s="349"/>
      <c r="FMK64" s="349"/>
      <c r="FML64" s="349"/>
      <c r="FMM64" s="349"/>
      <c r="FMN64" s="349"/>
      <c r="FMO64" s="349"/>
      <c r="FMP64" s="349"/>
      <c r="FMQ64" s="349"/>
      <c r="FMR64" s="349"/>
      <c r="FMS64" s="349"/>
      <c r="FMT64" s="349"/>
      <c r="FMU64" s="349"/>
      <c r="FMV64" s="349"/>
      <c r="FMW64" s="349"/>
      <c r="FMX64" s="349"/>
      <c r="FMY64" s="349"/>
      <c r="FMZ64" s="349"/>
      <c r="FNA64" s="349"/>
      <c r="FNB64" s="349"/>
      <c r="FNC64" s="349"/>
      <c r="FND64" s="349"/>
      <c r="FNE64" s="349"/>
      <c r="FNF64" s="349"/>
      <c r="FNG64" s="349"/>
      <c r="FNH64" s="349"/>
      <c r="FNI64" s="349"/>
      <c r="FNJ64" s="349"/>
      <c r="FNK64" s="349"/>
      <c r="FNL64" s="349"/>
      <c r="FNM64" s="349"/>
      <c r="FNN64" s="349"/>
      <c r="FNO64" s="349"/>
      <c r="FNP64" s="349"/>
      <c r="FNQ64" s="349"/>
      <c r="FNR64" s="349"/>
      <c r="FNS64" s="349"/>
      <c r="FNT64" s="349"/>
      <c r="FNU64" s="349"/>
      <c r="FNV64" s="349"/>
      <c r="FNW64" s="349"/>
      <c r="FNX64" s="349"/>
      <c r="FNY64" s="349"/>
      <c r="FNZ64" s="349"/>
      <c r="FOA64" s="349"/>
      <c r="FOB64" s="349"/>
      <c r="FOC64" s="349"/>
      <c r="FOD64" s="349"/>
      <c r="FOE64" s="349"/>
      <c r="FOF64" s="349"/>
      <c r="FOG64" s="349"/>
      <c r="FOH64" s="349"/>
      <c r="FOI64" s="349"/>
      <c r="FOJ64" s="349"/>
      <c r="FOK64" s="349"/>
      <c r="FOL64" s="349"/>
      <c r="FOM64" s="349"/>
      <c r="FON64" s="349"/>
      <c r="FOO64" s="349"/>
      <c r="FOP64" s="349"/>
      <c r="FOQ64" s="349"/>
      <c r="FOR64" s="349"/>
      <c r="FOS64" s="349"/>
      <c r="FOT64" s="349"/>
      <c r="FOU64" s="349"/>
      <c r="FOV64" s="349"/>
      <c r="FOW64" s="349"/>
      <c r="FOX64" s="349"/>
      <c r="FOY64" s="349"/>
      <c r="FOZ64" s="349"/>
      <c r="FPA64" s="349"/>
      <c r="FPB64" s="349"/>
      <c r="FPC64" s="349"/>
      <c r="FPD64" s="349"/>
      <c r="FPE64" s="349"/>
      <c r="FPF64" s="349"/>
      <c r="FPG64" s="349"/>
      <c r="FPH64" s="349"/>
      <c r="FPI64" s="349"/>
      <c r="FPJ64" s="349"/>
      <c r="FPK64" s="349"/>
      <c r="FPL64" s="349"/>
      <c r="FPM64" s="349"/>
      <c r="FPN64" s="349"/>
      <c r="FPO64" s="349"/>
      <c r="FPP64" s="349"/>
      <c r="FPQ64" s="349"/>
      <c r="FPR64" s="349"/>
      <c r="FPS64" s="349"/>
      <c r="FPT64" s="349"/>
      <c r="FPU64" s="349"/>
      <c r="FPV64" s="349"/>
      <c r="FPW64" s="349"/>
      <c r="FPX64" s="349"/>
      <c r="FPY64" s="349"/>
      <c r="FPZ64" s="349"/>
      <c r="FQA64" s="349"/>
      <c r="FQB64" s="349"/>
      <c r="FQC64" s="349"/>
      <c r="FQD64" s="349"/>
      <c r="FQE64" s="349"/>
      <c r="FQF64" s="349"/>
      <c r="FQG64" s="349"/>
      <c r="FQH64" s="349"/>
      <c r="FQI64" s="349"/>
      <c r="FQJ64" s="349"/>
      <c r="FQK64" s="349"/>
      <c r="FQL64" s="349"/>
      <c r="FQM64" s="349"/>
      <c r="FQN64" s="349"/>
      <c r="FQO64" s="349"/>
      <c r="FQP64" s="349"/>
      <c r="FQQ64" s="349"/>
      <c r="FQR64" s="349"/>
      <c r="FQS64" s="349"/>
      <c r="FQT64" s="349"/>
      <c r="FQU64" s="349"/>
      <c r="FQV64" s="349"/>
      <c r="FQW64" s="349"/>
      <c r="FQX64" s="349"/>
      <c r="FQY64" s="349"/>
      <c r="FQZ64" s="349"/>
      <c r="FRA64" s="349"/>
      <c r="FRB64" s="349"/>
      <c r="FRC64" s="349"/>
      <c r="FRD64" s="349"/>
      <c r="FRE64" s="349"/>
      <c r="FRF64" s="349"/>
      <c r="FRG64" s="349"/>
      <c r="FRH64" s="349"/>
      <c r="FRI64" s="349"/>
      <c r="FRJ64" s="349"/>
      <c r="FRK64" s="349"/>
      <c r="FRL64" s="349"/>
      <c r="FRM64" s="349"/>
      <c r="FRN64" s="349"/>
      <c r="FRO64" s="349"/>
      <c r="FRP64" s="349"/>
      <c r="FRQ64" s="349"/>
      <c r="FRR64" s="349"/>
      <c r="FRS64" s="349"/>
      <c r="FRT64" s="349"/>
      <c r="FRU64" s="349"/>
      <c r="FRV64" s="349"/>
      <c r="FRW64" s="349"/>
      <c r="FRX64" s="349"/>
      <c r="FRY64" s="349"/>
      <c r="FRZ64" s="349"/>
      <c r="FSA64" s="349"/>
      <c r="FSB64" s="349"/>
      <c r="FSC64" s="349"/>
      <c r="FSD64" s="349"/>
      <c r="FSE64" s="349"/>
      <c r="FSF64" s="349"/>
      <c r="FSG64" s="349"/>
      <c r="FSH64" s="349"/>
      <c r="FSI64" s="349"/>
      <c r="FSJ64" s="349"/>
      <c r="FSK64" s="349"/>
      <c r="FSL64" s="349"/>
      <c r="FSM64" s="349"/>
      <c r="FSN64" s="349"/>
      <c r="FSO64" s="349"/>
      <c r="FSP64" s="349"/>
      <c r="FSQ64" s="349"/>
      <c r="FSR64" s="349"/>
      <c r="FSS64" s="349"/>
      <c r="FST64" s="349"/>
      <c r="FSU64" s="349"/>
      <c r="FSV64" s="349"/>
      <c r="FSW64" s="349"/>
      <c r="FSX64" s="349"/>
      <c r="FSY64" s="349"/>
      <c r="FSZ64" s="349"/>
      <c r="FTA64" s="349"/>
      <c r="FTB64" s="349"/>
      <c r="FTC64" s="349"/>
      <c r="FTD64" s="349"/>
      <c r="FTE64" s="349"/>
      <c r="FTF64" s="349"/>
      <c r="FTG64" s="349"/>
      <c r="FTH64" s="349"/>
      <c r="FTI64" s="349"/>
      <c r="FTJ64" s="349"/>
      <c r="FTK64" s="349"/>
      <c r="FTL64" s="349"/>
      <c r="FTM64" s="349"/>
      <c r="FTN64" s="349"/>
      <c r="FTO64" s="349"/>
      <c r="FTP64" s="349"/>
      <c r="FTQ64" s="349"/>
      <c r="FTR64" s="349"/>
      <c r="FTS64" s="349"/>
      <c r="FTT64" s="349"/>
      <c r="FTU64" s="349"/>
      <c r="FTV64" s="349"/>
      <c r="FTW64" s="349"/>
      <c r="FTX64" s="349"/>
      <c r="FTY64" s="349"/>
      <c r="FTZ64" s="349"/>
      <c r="FUA64" s="349"/>
      <c r="FUB64" s="349"/>
      <c r="FUC64" s="349"/>
      <c r="FUD64" s="349"/>
      <c r="FUE64" s="349"/>
      <c r="FUF64" s="349"/>
      <c r="FUG64" s="349"/>
      <c r="FUH64" s="349"/>
      <c r="FUI64" s="349"/>
      <c r="FUJ64" s="349"/>
      <c r="FUK64" s="349"/>
      <c r="FUL64" s="349"/>
      <c r="FUM64" s="349"/>
      <c r="FUN64" s="349"/>
      <c r="FUO64" s="349"/>
      <c r="FUP64" s="349"/>
      <c r="FUQ64" s="349"/>
      <c r="FUR64" s="349"/>
      <c r="FUS64" s="349"/>
      <c r="FUT64" s="349"/>
      <c r="FUU64" s="349"/>
      <c r="FUV64" s="349"/>
      <c r="FUW64" s="349"/>
      <c r="FUX64" s="349"/>
      <c r="FUY64" s="349"/>
      <c r="FUZ64" s="349"/>
      <c r="FVA64" s="349"/>
      <c r="FVB64" s="349"/>
      <c r="FVC64" s="349"/>
      <c r="FVD64" s="349"/>
      <c r="FVE64" s="349"/>
      <c r="FVF64" s="349"/>
      <c r="FVG64" s="349"/>
      <c r="FVH64" s="349"/>
      <c r="FVI64" s="349"/>
      <c r="FVJ64" s="349"/>
      <c r="FVK64" s="349"/>
      <c r="FVL64" s="349"/>
      <c r="FVM64" s="349"/>
      <c r="FVN64" s="349"/>
      <c r="FVO64" s="349"/>
      <c r="FVP64" s="349"/>
      <c r="FVQ64" s="349"/>
      <c r="FVR64" s="349"/>
      <c r="FVS64" s="349"/>
      <c r="FVT64" s="349"/>
      <c r="FVU64" s="349"/>
      <c r="FVV64" s="349"/>
      <c r="FVW64" s="349"/>
      <c r="FVX64" s="349"/>
      <c r="FVY64" s="349"/>
      <c r="FVZ64" s="349"/>
      <c r="FWA64" s="349"/>
      <c r="FWB64" s="349"/>
      <c r="FWC64" s="349"/>
      <c r="FWD64" s="349"/>
      <c r="FWE64" s="349"/>
      <c r="FWF64" s="349"/>
      <c r="FWG64" s="349"/>
      <c r="FWH64" s="349"/>
      <c r="FWI64" s="349"/>
      <c r="FWJ64" s="349"/>
      <c r="FWK64" s="349"/>
      <c r="FWL64" s="349"/>
      <c r="FWM64" s="349"/>
      <c r="FWN64" s="349"/>
      <c r="FWO64" s="349"/>
      <c r="FWP64" s="349"/>
      <c r="FWQ64" s="349"/>
      <c r="FWR64" s="349"/>
      <c r="FWS64" s="349"/>
      <c r="FWT64" s="349"/>
      <c r="FWU64" s="349"/>
      <c r="FWV64" s="349"/>
      <c r="FWW64" s="349"/>
      <c r="FWX64" s="349"/>
      <c r="FWY64" s="349"/>
      <c r="FWZ64" s="349"/>
      <c r="FXA64" s="349"/>
      <c r="FXB64" s="349"/>
      <c r="FXC64" s="349"/>
      <c r="FXD64" s="349"/>
      <c r="FXE64" s="349"/>
      <c r="FXF64" s="349"/>
      <c r="FXG64" s="349"/>
      <c r="FXH64" s="349"/>
      <c r="FXI64" s="349"/>
      <c r="FXJ64" s="349"/>
      <c r="FXK64" s="349"/>
      <c r="FXL64" s="349"/>
      <c r="FXM64" s="349"/>
      <c r="FXN64" s="349"/>
      <c r="FXO64" s="349"/>
      <c r="FXP64" s="349"/>
      <c r="FXQ64" s="349"/>
      <c r="FXR64" s="349"/>
      <c r="FXS64" s="349"/>
      <c r="FXT64" s="349"/>
      <c r="FXU64" s="349"/>
      <c r="FXV64" s="349"/>
      <c r="FXW64" s="349"/>
      <c r="FXX64" s="349"/>
      <c r="FXY64" s="349"/>
      <c r="FXZ64" s="349"/>
      <c r="FYA64" s="349"/>
      <c r="FYB64" s="349"/>
      <c r="FYC64" s="349"/>
      <c r="FYD64" s="349"/>
      <c r="FYE64" s="349"/>
      <c r="FYF64" s="349"/>
      <c r="FYG64" s="349"/>
      <c r="FYH64" s="349"/>
      <c r="FYI64" s="349"/>
      <c r="FYJ64" s="349"/>
      <c r="FYK64" s="349"/>
      <c r="FYL64" s="349"/>
      <c r="FYM64" s="349"/>
      <c r="FYN64" s="349"/>
      <c r="FYO64" s="349"/>
      <c r="FYP64" s="349"/>
      <c r="FYQ64" s="349"/>
      <c r="FYR64" s="349"/>
      <c r="FYS64" s="349"/>
      <c r="FYT64" s="349"/>
      <c r="FYU64" s="349"/>
      <c r="FYV64" s="349"/>
      <c r="FYW64" s="349"/>
      <c r="FYX64" s="349"/>
      <c r="FYY64" s="349"/>
      <c r="FYZ64" s="349"/>
      <c r="FZA64" s="349"/>
      <c r="FZB64" s="349"/>
      <c r="FZC64" s="349"/>
      <c r="FZD64" s="349"/>
      <c r="FZE64" s="349"/>
      <c r="FZF64" s="349"/>
      <c r="FZG64" s="349"/>
      <c r="FZH64" s="349"/>
      <c r="FZI64" s="349"/>
      <c r="FZJ64" s="349"/>
      <c r="FZK64" s="349"/>
      <c r="FZL64" s="349"/>
      <c r="FZM64" s="349"/>
      <c r="FZN64" s="349"/>
      <c r="FZO64" s="349"/>
      <c r="FZP64" s="349"/>
      <c r="FZQ64" s="349"/>
      <c r="FZR64" s="349"/>
      <c r="FZS64" s="349"/>
      <c r="FZT64" s="349"/>
      <c r="FZU64" s="349"/>
      <c r="FZV64" s="349"/>
      <c r="FZW64" s="349"/>
      <c r="FZX64" s="349"/>
      <c r="FZY64" s="349"/>
      <c r="FZZ64" s="349"/>
      <c r="GAA64" s="349"/>
      <c r="GAB64" s="349"/>
      <c r="GAC64" s="349"/>
      <c r="GAD64" s="349"/>
      <c r="GAE64" s="349"/>
      <c r="GAF64" s="349"/>
      <c r="GAG64" s="349"/>
      <c r="GAH64" s="349"/>
      <c r="GAI64" s="349"/>
      <c r="GAJ64" s="349"/>
      <c r="GAK64" s="349"/>
      <c r="GAL64" s="349"/>
      <c r="GAM64" s="349"/>
      <c r="GAN64" s="349"/>
      <c r="GAO64" s="349"/>
      <c r="GAP64" s="349"/>
      <c r="GAQ64" s="349"/>
      <c r="GAR64" s="349"/>
      <c r="GAS64" s="349"/>
      <c r="GAT64" s="349"/>
      <c r="GAU64" s="349"/>
      <c r="GAV64" s="349"/>
      <c r="GAW64" s="349"/>
      <c r="GAX64" s="349"/>
      <c r="GAY64" s="349"/>
      <c r="GAZ64" s="349"/>
      <c r="GBA64" s="349"/>
      <c r="GBB64" s="349"/>
      <c r="GBC64" s="349"/>
      <c r="GBD64" s="349"/>
      <c r="GBE64" s="349"/>
      <c r="GBF64" s="349"/>
      <c r="GBG64" s="349"/>
      <c r="GBH64" s="349"/>
      <c r="GBI64" s="349"/>
      <c r="GBJ64" s="349"/>
      <c r="GBK64" s="349"/>
      <c r="GBL64" s="349"/>
      <c r="GBM64" s="349"/>
      <c r="GBN64" s="349"/>
      <c r="GBO64" s="349"/>
      <c r="GBP64" s="349"/>
      <c r="GBQ64" s="349"/>
      <c r="GBR64" s="349"/>
      <c r="GBS64" s="349"/>
      <c r="GBT64" s="349"/>
      <c r="GBU64" s="349"/>
      <c r="GBV64" s="349"/>
      <c r="GBW64" s="349"/>
      <c r="GBX64" s="349"/>
      <c r="GBY64" s="349"/>
      <c r="GBZ64" s="349"/>
      <c r="GCA64" s="349"/>
      <c r="GCB64" s="349"/>
      <c r="GCC64" s="349"/>
      <c r="GCD64" s="349"/>
      <c r="GCE64" s="349"/>
      <c r="GCF64" s="349"/>
      <c r="GCG64" s="349"/>
      <c r="GCH64" s="349"/>
      <c r="GCI64" s="349"/>
      <c r="GCJ64" s="349"/>
      <c r="GCK64" s="349"/>
      <c r="GCL64" s="349"/>
      <c r="GCM64" s="349"/>
      <c r="GCN64" s="349"/>
      <c r="GCO64" s="349"/>
      <c r="GCP64" s="349"/>
      <c r="GCQ64" s="349"/>
      <c r="GCR64" s="349"/>
      <c r="GCS64" s="349"/>
      <c r="GCT64" s="349"/>
      <c r="GCU64" s="349"/>
      <c r="GCV64" s="349"/>
      <c r="GCW64" s="349"/>
      <c r="GCX64" s="349"/>
      <c r="GCY64" s="349"/>
      <c r="GCZ64" s="349"/>
      <c r="GDA64" s="349"/>
      <c r="GDB64" s="349"/>
      <c r="GDC64" s="349"/>
      <c r="GDD64" s="349"/>
      <c r="GDE64" s="349"/>
      <c r="GDF64" s="349"/>
      <c r="GDG64" s="349"/>
      <c r="GDH64" s="349"/>
      <c r="GDI64" s="349"/>
      <c r="GDJ64" s="349"/>
      <c r="GDK64" s="349"/>
      <c r="GDL64" s="349"/>
      <c r="GDM64" s="349"/>
      <c r="GDN64" s="349"/>
      <c r="GDO64" s="349"/>
      <c r="GDP64" s="349"/>
      <c r="GDQ64" s="349"/>
      <c r="GDR64" s="349"/>
      <c r="GDS64" s="349"/>
      <c r="GDT64" s="349"/>
      <c r="GDU64" s="349"/>
      <c r="GDV64" s="349"/>
      <c r="GDW64" s="349"/>
      <c r="GDX64" s="349"/>
      <c r="GDY64" s="349"/>
      <c r="GDZ64" s="349"/>
      <c r="GEA64" s="349"/>
      <c r="GEB64" s="349"/>
      <c r="GEC64" s="349"/>
      <c r="GED64" s="349"/>
      <c r="GEE64" s="349"/>
      <c r="GEF64" s="349"/>
      <c r="GEG64" s="349"/>
      <c r="GEH64" s="349"/>
      <c r="GEI64" s="349"/>
      <c r="GEJ64" s="349"/>
      <c r="GEK64" s="349"/>
      <c r="GEL64" s="349"/>
      <c r="GEM64" s="349"/>
      <c r="GEN64" s="349"/>
      <c r="GEO64" s="349"/>
      <c r="GEP64" s="349"/>
      <c r="GEQ64" s="349"/>
      <c r="GER64" s="349"/>
      <c r="GES64" s="349"/>
      <c r="GET64" s="349"/>
      <c r="GEU64" s="349"/>
      <c r="GEV64" s="349"/>
      <c r="GEW64" s="349"/>
      <c r="GEX64" s="349"/>
      <c r="GEY64" s="349"/>
      <c r="GEZ64" s="349"/>
      <c r="GFA64" s="349"/>
      <c r="GFB64" s="349"/>
      <c r="GFC64" s="349"/>
      <c r="GFD64" s="349"/>
      <c r="GFE64" s="349"/>
      <c r="GFF64" s="349"/>
      <c r="GFG64" s="349"/>
      <c r="GFH64" s="349"/>
      <c r="GFI64" s="349"/>
      <c r="GFJ64" s="349"/>
      <c r="GFK64" s="349"/>
      <c r="GFL64" s="349"/>
      <c r="GFM64" s="349"/>
      <c r="GFN64" s="349"/>
      <c r="GFO64" s="349"/>
      <c r="GFP64" s="349"/>
      <c r="GFQ64" s="349"/>
      <c r="GFR64" s="349"/>
      <c r="GFS64" s="349"/>
      <c r="GFT64" s="349"/>
      <c r="GFU64" s="349"/>
      <c r="GFV64" s="349"/>
      <c r="GFW64" s="349"/>
      <c r="GFX64" s="349"/>
      <c r="GFY64" s="349"/>
      <c r="GFZ64" s="349"/>
      <c r="GGA64" s="349"/>
      <c r="GGB64" s="349"/>
      <c r="GGC64" s="349"/>
      <c r="GGD64" s="349"/>
      <c r="GGE64" s="349"/>
      <c r="GGF64" s="349"/>
      <c r="GGG64" s="349"/>
      <c r="GGH64" s="349"/>
      <c r="GGI64" s="349"/>
      <c r="GGJ64" s="349"/>
      <c r="GGK64" s="349"/>
      <c r="GGL64" s="349"/>
      <c r="GGM64" s="349"/>
      <c r="GGN64" s="349"/>
      <c r="GGO64" s="349"/>
      <c r="GGP64" s="349"/>
      <c r="GGQ64" s="349"/>
      <c r="GGR64" s="349"/>
      <c r="GGS64" s="349"/>
      <c r="GGT64" s="349"/>
      <c r="GGU64" s="349"/>
      <c r="GGV64" s="349"/>
      <c r="GGW64" s="349"/>
      <c r="GGX64" s="349"/>
      <c r="GGY64" s="349"/>
      <c r="GGZ64" s="349"/>
      <c r="GHA64" s="349"/>
      <c r="GHB64" s="349"/>
      <c r="GHC64" s="349"/>
      <c r="GHD64" s="349"/>
      <c r="GHE64" s="349"/>
      <c r="GHF64" s="349"/>
      <c r="GHG64" s="349"/>
      <c r="GHH64" s="349"/>
      <c r="GHI64" s="349"/>
      <c r="GHJ64" s="349"/>
      <c r="GHK64" s="349"/>
      <c r="GHL64" s="349"/>
      <c r="GHM64" s="349"/>
      <c r="GHN64" s="349"/>
      <c r="GHO64" s="349"/>
      <c r="GHP64" s="349"/>
      <c r="GHQ64" s="349"/>
      <c r="GHR64" s="349"/>
      <c r="GHS64" s="349"/>
      <c r="GHT64" s="349"/>
      <c r="GHU64" s="349"/>
      <c r="GHV64" s="349"/>
      <c r="GHW64" s="349"/>
      <c r="GHX64" s="349"/>
      <c r="GHY64" s="349"/>
      <c r="GHZ64" s="349"/>
      <c r="GIA64" s="349"/>
      <c r="GIB64" s="349"/>
      <c r="GIC64" s="349"/>
      <c r="GID64" s="349"/>
      <c r="GIE64" s="349"/>
      <c r="GIF64" s="349"/>
      <c r="GIG64" s="349"/>
      <c r="GIH64" s="349"/>
      <c r="GII64" s="349"/>
      <c r="GIJ64" s="349"/>
      <c r="GIK64" s="349"/>
      <c r="GIL64" s="349"/>
      <c r="GIM64" s="349"/>
      <c r="GIN64" s="349"/>
      <c r="GIO64" s="349"/>
      <c r="GIP64" s="349"/>
      <c r="GIQ64" s="349"/>
      <c r="GIR64" s="349"/>
      <c r="GIS64" s="349"/>
      <c r="GIT64" s="349"/>
      <c r="GIU64" s="349"/>
      <c r="GIV64" s="349"/>
      <c r="GIW64" s="349"/>
      <c r="GIX64" s="349"/>
      <c r="GIY64" s="349"/>
      <c r="GIZ64" s="349"/>
      <c r="GJA64" s="349"/>
      <c r="GJB64" s="349"/>
      <c r="GJC64" s="349"/>
      <c r="GJD64" s="349"/>
      <c r="GJE64" s="349"/>
      <c r="GJF64" s="349"/>
      <c r="GJG64" s="349"/>
      <c r="GJH64" s="349"/>
      <c r="GJI64" s="349"/>
      <c r="GJJ64" s="349"/>
      <c r="GJK64" s="349"/>
      <c r="GJL64" s="349"/>
      <c r="GJM64" s="349"/>
      <c r="GJN64" s="349"/>
      <c r="GJO64" s="349"/>
      <c r="GJP64" s="349"/>
      <c r="GJQ64" s="349"/>
      <c r="GJR64" s="349"/>
      <c r="GJS64" s="349"/>
      <c r="GJT64" s="349"/>
      <c r="GJU64" s="349"/>
      <c r="GJV64" s="349"/>
      <c r="GJW64" s="349"/>
      <c r="GJX64" s="349"/>
      <c r="GJY64" s="349"/>
      <c r="GJZ64" s="349"/>
      <c r="GKA64" s="349"/>
      <c r="GKB64" s="349"/>
      <c r="GKC64" s="349"/>
      <c r="GKD64" s="349"/>
      <c r="GKE64" s="349"/>
      <c r="GKF64" s="349"/>
      <c r="GKG64" s="349"/>
      <c r="GKH64" s="349"/>
      <c r="GKI64" s="349"/>
      <c r="GKJ64" s="349"/>
      <c r="GKK64" s="349"/>
      <c r="GKL64" s="349"/>
      <c r="GKM64" s="349"/>
      <c r="GKN64" s="349"/>
      <c r="GKO64" s="349"/>
      <c r="GKP64" s="349"/>
      <c r="GKQ64" s="349"/>
      <c r="GKR64" s="349"/>
      <c r="GKS64" s="349"/>
      <c r="GKT64" s="349"/>
      <c r="GKU64" s="349"/>
      <c r="GKV64" s="349"/>
      <c r="GKW64" s="349"/>
      <c r="GKX64" s="349"/>
      <c r="GKY64" s="349"/>
      <c r="GKZ64" s="349"/>
      <c r="GLA64" s="349"/>
      <c r="GLB64" s="349"/>
      <c r="GLC64" s="349"/>
      <c r="GLD64" s="349"/>
      <c r="GLE64" s="349"/>
      <c r="GLF64" s="349"/>
      <c r="GLG64" s="349"/>
      <c r="GLH64" s="349"/>
      <c r="GLI64" s="349"/>
      <c r="GLJ64" s="349"/>
      <c r="GLK64" s="349"/>
      <c r="GLL64" s="349"/>
      <c r="GLM64" s="349"/>
      <c r="GLN64" s="349"/>
      <c r="GLO64" s="349"/>
      <c r="GLP64" s="349"/>
      <c r="GLQ64" s="349"/>
      <c r="GLR64" s="349"/>
      <c r="GLS64" s="349"/>
      <c r="GLT64" s="349"/>
      <c r="GLU64" s="349"/>
      <c r="GLV64" s="349"/>
      <c r="GLW64" s="349"/>
      <c r="GLX64" s="349"/>
      <c r="GLY64" s="349"/>
      <c r="GLZ64" s="349"/>
      <c r="GMA64" s="349"/>
      <c r="GMB64" s="349"/>
      <c r="GMC64" s="349"/>
      <c r="GMD64" s="349"/>
      <c r="GME64" s="349"/>
      <c r="GMF64" s="349"/>
      <c r="GMG64" s="349"/>
      <c r="GMH64" s="349"/>
      <c r="GMI64" s="349"/>
      <c r="GMJ64" s="349"/>
      <c r="GMK64" s="349"/>
      <c r="GML64" s="349"/>
      <c r="GMM64" s="349"/>
      <c r="GMN64" s="349"/>
      <c r="GMO64" s="349"/>
      <c r="GMP64" s="349"/>
      <c r="GMQ64" s="349"/>
      <c r="GMR64" s="349"/>
      <c r="GMS64" s="349"/>
      <c r="GMT64" s="349"/>
      <c r="GMU64" s="349"/>
      <c r="GMV64" s="349"/>
      <c r="GMW64" s="349"/>
      <c r="GMX64" s="349"/>
      <c r="GMY64" s="349"/>
      <c r="GMZ64" s="349"/>
      <c r="GNA64" s="349"/>
      <c r="GNB64" s="349"/>
      <c r="GNC64" s="349"/>
      <c r="GND64" s="349"/>
      <c r="GNE64" s="349"/>
      <c r="GNF64" s="349"/>
      <c r="GNG64" s="349"/>
      <c r="GNH64" s="349"/>
      <c r="GNI64" s="349"/>
      <c r="GNJ64" s="349"/>
      <c r="GNK64" s="349"/>
      <c r="GNL64" s="349"/>
      <c r="GNM64" s="349"/>
      <c r="GNN64" s="349"/>
      <c r="GNO64" s="349"/>
      <c r="GNP64" s="349"/>
      <c r="GNQ64" s="349"/>
      <c r="GNR64" s="349"/>
      <c r="GNS64" s="349"/>
      <c r="GNT64" s="349"/>
      <c r="GNU64" s="349"/>
      <c r="GNV64" s="349"/>
      <c r="GNW64" s="349"/>
      <c r="GNX64" s="349"/>
      <c r="GNY64" s="349"/>
      <c r="GNZ64" s="349"/>
      <c r="GOA64" s="349"/>
      <c r="GOB64" s="349"/>
      <c r="GOC64" s="349"/>
      <c r="GOD64" s="349"/>
      <c r="GOE64" s="349"/>
      <c r="GOF64" s="349"/>
      <c r="GOG64" s="349"/>
      <c r="GOH64" s="349"/>
      <c r="GOI64" s="349"/>
      <c r="GOJ64" s="349"/>
      <c r="GOK64" s="349"/>
      <c r="GOL64" s="349"/>
      <c r="GOM64" s="349"/>
      <c r="GON64" s="349"/>
      <c r="GOO64" s="349"/>
      <c r="GOP64" s="349"/>
      <c r="GOQ64" s="349"/>
      <c r="GOR64" s="349"/>
      <c r="GOS64" s="349"/>
      <c r="GOT64" s="349"/>
      <c r="GOU64" s="349"/>
      <c r="GOV64" s="349"/>
      <c r="GOW64" s="349"/>
      <c r="GOX64" s="349"/>
      <c r="GOY64" s="349"/>
      <c r="GOZ64" s="349"/>
      <c r="GPA64" s="349"/>
      <c r="GPB64" s="349"/>
      <c r="GPC64" s="349"/>
      <c r="GPD64" s="349"/>
      <c r="GPE64" s="349"/>
      <c r="GPF64" s="349"/>
      <c r="GPG64" s="349"/>
      <c r="GPH64" s="349"/>
      <c r="GPI64" s="349"/>
      <c r="GPJ64" s="349"/>
      <c r="GPK64" s="349"/>
      <c r="GPL64" s="349"/>
      <c r="GPM64" s="349"/>
      <c r="GPN64" s="349"/>
      <c r="GPO64" s="349"/>
      <c r="GPP64" s="349"/>
      <c r="GPQ64" s="349"/>
      <c r="GPR64" s="349"/>
      <c r="GPS64" s="349"/>
      <c r="GPT64" s="349"/>
      <c r="GPU64" s="349"/>
      <c r="GPV64" s="349"/>
      <c r="GPW64" s="349"/>
      <c r="GPX64" s="349"/>
      <c r="GPY64" s="349"/>
      <c r="GPZ64" s="349"/>
      <c r="GQA64" s="349"/>
      <c r="GQB64" s="349"/>
      <c r="GQC64" s="349"/>
      <c r="GQD64" s="349"/>
      <c r="GQE64" s="349"/>
      <c r="GQF64" s="349"/>
      <c r="GQG64" s="349"/>
      <c r="GQH64" s="349"/>
      <c r="GQI64" s="349"/>
      <c r="GQJ64" s="349"/>
      <c r="GQK64" s="349"/>
      <c r="GQL64" s="349"/>
      <c r="GQM64" s="349"/>
      <c r="GQN64" s="349"/>
      <c r="GQO64" s="349"/>
      <c r="GQP64" s="349"/>
      <c r="GQQ64" s="349"/>
      <c r="GQR64" s="349"/>
      <c r="GQS64" s="349"/>
      <c r="GQT64" s="349"/>
      <c r="GQU64" s="349"/>
      <c r="GQV64" s="349"/>
      <c r="GQW64" s="349"/>
      <c r="GQX64" s="349"/>
      <c r="GQY64" s="349"/>
      <c r="GQZ64" s="349"/>
      <c r="GRA64" s="349"/>
      <c r="GRB64" s="349"/>
      <c r="GRC64" s="349"/>
      <c r="GRD64" s="349"/>
      <c r="GRE64" s="349"/>
      <c r="GRF64" s="349"/>
      <c r="GRG64" s="349"/>
      <c r="GRH64" s="349"/>
      <c r="GRI64" s="349"/>
      <c r="GRJ64" s="349"/>
      <c r="GRK64" s="349"/>
      <c r="GRL64" s="349"/>
      <c r="GRM64" s="349"/>
      <c r="GRN64" s="349"/>
      <c r="GRO64" s="349"/>
      <c r="GRP64" s="349"/>
      <c r="GRQ64" s="349"/>
      <c r="GRR64" s="349"/>
      <c r="GRS64" s="349"/>
      <c r="GRT64" s="349"/>
      <c r="GRU64" s="349"/>
      <c r="GRV64" s="349"/>
      <c r="GRW64" s="349"/>
      <c r="GRX64" s="349"/>
      <c r="GRY64" s="349"/>
      <c r="GRZ64" s="349"/>
      <c r="GSA64" s="349"/>
      <c r="GSB64" s="349"/>
      <c r="GSC64" s="349"/>
      <c r="GSD64" s="349"/>
      <c r="GSE64" s="349"/>
      <c r="GSF64" s="349"/>
      <c r="GSG64" s="349"/>
      <c r="GSH64" s="349"/>
      <c r="GSI64" s="349"/>
      <c r="GSJ64" s="349"/>
      <c r="GSK64" s="349"/>
      <c r="GSL64" s="349"/>
      <c r="GSM64" s="349"/>
      <c r="GSN64" s="349"/>
      <c r="GSO64" s="349"/>
      <c r="GSP64" s="349"/>
      <c r="GSQ64" s="349"/>
      <c r="GSR64" s="349"/>
      <c r="GSS64" s="349"/>
      <c r="GST64" s="349"/>
      <c r="GSU64" s="349"/>
      <c r="GSV64" s="349"/>
      <c r="GSW64" s="349"/>
      <c r="GSX64" s="349"/>
      <c r="GSY64" s="349"/>
      <c r="GSZ64" s="349"/>
      <c r="GTA64" s="349"/>
      <c r="GTB64" s="349"/>
      <c r="GTC64" s="349"/>
      <c r="GTD64" s="349"/>
      <c r="GTE64" s="349"/>
      <c r="GTF64" s="349"/>
      <c r="GTG64" s="349"/>
      <c r="GTH64" s="349"/>
      <c r="GTI64" s="349"/>
      <c r="GTJ64" s="349"/>
      <c r="GTK64" s="349"/>
      <c r="GTL64" s="349"/>
      <c r="GTM64" s="349"/>
      <c r="GTN64" s="349"/>
      <c r="GTO64" s="349"/>
      <c r="GTP64" s="349"/>
      <c r="GTQ64" s="349"/>
      <c r="GTR64" s="349"/>
      <c r="GTS64" s="349"/>
      <c r="GTT64" s="349"/>
      <c r="GTU64" s="349"/>
      <c r="GTV64" s="349"/>
      <c r="GTW64" s="349"/>
      <c r="GTX64" s="349"/>
      <c r="GTY64" s="349"/>
      <c r="GTZ64" s="349"/>
      <c r="GUA64" s="349"/>
      <c r="GUB64" s="349"/>
      <c r="GUC64" s="349"/>
      <c r="GUD64" s="349"/>
      <c r="GUE64" s="349"/>
      <c r="GUF64" s="349"/>
      <c r="GUG64" s="349"/>
      <c r="GUH64" s="349"/>
      <c r="GUI64" s="349"/>
      <c r="GUJ64" s="349"/>
      <c r="GUK64" s="349"/>
      <c r="GUL64" s="349"/>
      <c r="GUM64" s="349"/>
      <c r="GUN64" s="349"/>
      <c r="GUO64" s="349"/>
      <c r="GUP64" s="349"/>
      <c r="GUQ64" s="349"/>
      <c r="GUR64" s="349"/>
      <c r="GUS64" s="349"/>
      <c r="GUT64" s="349"/>
      <c r="GUU64" s="349"/>
      <c r="GUV64" s="349"/>
      <c r="GUW64" s="349"/>
      <c r="GUX64" s="349"/>
      <c r="GUY64" s="349"/>
      <c r="GUZ64" s="349"/>
      <c r="GVA64" s="349"/>
      <c r="GVB64" s="349"/>
      <c r="GVC64" s="349"/>
      <c r="GVD64" s="349"/>
      <c r="GVE64" s="349"/>
      <c r="GVF64" s="349"/>
      <c r="GVG64" s="349"/>
      <c r="GVH64" s="349"/>
      <c r="GVI64" s="349"/>
      <c r="GVJ64" s="349"/>
      <c r="GVK64" s="349"/>
      <c r="GVL64" s="349"/>
      <c r="GVM64" s="349"/>
      <c r="GVN64" s="349"/>
      <c r="GVO64" s="349"/>
      <c r="GVP64" s="349"/>
      <c r="GVQ64" s="349"/>
      <c r="GVR64" s="349"/>
      <c r="GVS64" s="349"/>
      <c r="GVT64" s="349"/>
      <c r="GVU64" s="349"/>
      <c r="GVV64" s="349"/>
      <c r="GVW64" s="349"/>
      <c r="GVX64" s="349"/>
      <c r="GVY64" s="349"/>
      <c r="GVZ64" s="349"/>
      <c r="GWA64" s="349"/>
      <c r="GWB64" s="349"/>
      <c r="GWC64" s="349"/>
      <c r="GWD64" s="349"/>
      <c r="GWE64" s="349"/>
      <c r="GWF64" s="349"/>
      <c r="GWG64" s="349"/>
      <c r="GWH64" s="349"/>
      <c r="GWI64" s="349"/>
      <c r="GWJ64" s="349"/>
      <c r="GWK64" s="349"/>
      <c r="GWL64" s="349"/>
      <c r="GWM64" s="349"/>
      <c r="GWN64" s="349"/>
      <c r="GWO64" s="349"/>
      <c r="GWP64" s="349"/>
      <c r="GWQ64" s="349"/>
      <c r="GWR64" s="349"/>
      <c r="GWS64" s="349"/>
      <c r="GWT64" s="349"/>
      <c r="GWU64" s="349"/>
      <c r="GWV64" s="349"/>
      <c r="GWW64" s="349"/>
      <c r="GWX64" s="349"/>
      <c r="GWY64" s="349"/>
      <c r="GWZ64" s="349"/>
      <c r="GXA64" s="349"/>
      <c r="GXB64" s="349"/>
      <c r="GXC64" s="349"/>
      <c r="GXD64" s="349"/>
      <c r="GXE64" s="349"/>
      <c r="GXF64" s="349"/>
      <c r="GXG64" s="349"/>
      <c r="GXH64" s="349"/>
      <c r="GXI64" s="349"/>
      <c r="GXJ64" s="349"/>
      <c r="GXK64" s="349"/>
      <c r="GXL64" s="349"/>
      <c r="GXM64" s="349"/>
      <c r="GXN64" s="349"/>
      <c r="GXO64" s="349"/>
      <c r="GXP64" s="349"/>
      <c r="GXQ64" s="349"/>
      <c r="GXR64" s="349"/>
      <c r="GXS64" s="349"/>
      <c r="GXT64" s="349"/>
      <c r="GXU64" s="349"/>
      <c r="GXV64" s="349"/>
      <c r="GXW64" s="349"/>
      <c r="GXX64" s="349"/>
      <c r="GXY64" s="349"/>
      <c r="GXZ64" s="349"/>
      <c r="GYA64" s="349"/>
      <c r="GYB64" s="349"/>
      <c r="GYC64" s="349"/>
      <c r="GYD64" s="349"/>
      <c r="GYE64" s="349"/>
      <c r="GYF64" s="349"/>
      <c r="GYG64" s="349"/>
      <c r="GYH64" s="349"/>
      <c r="GYI64" s="349"/>
      <c r="GYJ64" s="349"/>
      <c r="GYK64" s="349"/>
      <c r="GYL64" s="349"/>
      <c r="GYM64" s="349"/>
      <c r="GYN64" s="349"/>
      <c r="GYO64" s="349"/>
      <c r="GYP64" s="349"/>
      <c r="GYQ64" s="349"/>
      <c r="GYR64" s="349"/>
      <c r="GYS64" s="349"/>
      <c r="GYT64" s="349"/>
      <c r="GYU64" s="349"/>
      <c r="GYV64" s="349"/>
      <c r="GYW64" s="349"/>
      <c r="GYX64" s="349"/>
      <c r="GYY64" s="349"/>
      <c r="GYZ64" s="349"/>
      <c r="GZA64" s="349"/>
      <c r="GZB64" s="349"/>
      <c r="GZC64" s="349"/>
      <c r="GZD64" s="349"/>
      <c r="GZE64" s="349"/>
      <c r="GZF64" s="349"/>
      <c r="GZG64" s="349"/>
      <c r="GZH64" s="349"/>
      <c r="GZI64" s="349"/>
      <c r="GZJ64" s="349"/>
      <c r="GZK64" s="349"/>
      <c r="GZL64" s="349"/>
      <c r="GZM64" s="349"/>
      <c r="GZN64" s="349"/>
      <c r="GZO64" s="349"/>
      <c r="GZP64" s="349"/>
      <c r="GZQ64" s="349"/>
      <c r="GZR64" s="349"/>
      <c r="GZS64" s="349"/>
      <c r="GZT64" s="349"/>
      <c r="GZU64" s="349"/>
      <c r="GZV64" s="349"/>
      <c r="GZW64" s="349"/>
      <c r="GZX64" s="349"/>
      <c r="GZY64" s="349"/>
      <c r="GZZ64" s="349"/>
      <c r="HAA64" s="349"/>
      <c r="HAB64" s="349"/>
      <c r="HAC64" s="349"/>
      <c r="HAD64" s="349"/>
      <c r="HAE64" s="349"/>
      <c r="HAF64" s="349"/>
      <c r="HAG64" s="349"/>
      <c r="HAH64" s="349"/>
      <c r="HAI64" s="349"/>
      <c r="HAJ64" s="349"/>
      <c r="HAK64" s="349"/>
      <c r="HAL64" s="349"/>
      <c r="HAM64" s="349"/>
      <c r="HAN64" s="349"/>
      <c r="HAO64" s="349"/>
      <c r="HAP64" s="349"/>
      <c r="HAQ64" s="349"/>
      <c r="HAR64" s="349"/>
      <c r="HAS64" s="349"/>
      <c r="HAT64" s="349"/>
      <c r="HAU64" s="349"/>
      <c r="HAV64" s="349"/>
      <c r="HAW64" s="349"/>
      <c r="HAX64" s="349"/>
      <c r="HAY64" s="349"/>
      <c r="HAZ64" s="349"/>
      <c r="HBA64" s="349"/>
      <c r="HBB64" s="349"/>
      <c r="HBC64" s="349"/>
      <c r="HBD64" s="349"/>
      <c r="HBE64" s="349"/>
      <c r="HBF64" s="349"/>
      <c r="HBG64" s="349"/>
      <c r="HBH64" s="349"/>
      <c r="HBI64" s="349"/>
      <c r="HBJ64" s="349"/>
      <c r="HBK64" s="349"/>
      <c r="HBL64" s="349"/>
      <c r="HBM64" s="349"/>
      <c r="HBN64" s="349"/>
      <c r="HBO64" s="349"/>
      <c r="HBP64" s="349"/>
      <c r="HBQ64" s="349"/>
      <c r="HBR64" s="349"/>
      <c r="HBS64" s="349"/>
      <c r="HBT64" s="349"/>
      <c r="HBU64" s="349"/>
      <c r="HBV64" s="349"/>
      <c r="HBW64" s="349"/>
      <c r="HBX64" s="349"/>
      <c r="HBY64" s="349"/>
      <c r="HBZ64" s="349"/>
      <c r="HCA64" s="349"/>
      <c r="HCB64" s="349"/>
      <c r="HCC64" s="349"/>
      <c r="HCD64" s="349"/>
      <c r="HCE64" s="349"/>
      <c r="HCF64" s="349"/>
      <c r="HCG64" s="349"/>
      <c r="HCH64" s="349"/>
      <c r="HCI64" s="349"/>
      <c r="HCJ64" s="349"/>
      <c r="HCK64" s="349"/>
      <c r="HCL64" s="349"/>
      <c r="HCM64" s="349"/>
      <c r="HCN64" s="349"/>
      <c r="HCO64" s="349"/>
      <c r="HCP64" s="349"/>
      <c r="HCQ64" s="349"/>
      <c r="HCR64" s="349"/>
      <c r="HCS64" s="349"/>
      <c r="HCT64" s="349"/>
      <c r="HCU64" s="349"/>
      <c r="HCV64" s="349"/>
      <c r="HCW64" s="349"/>
      <c r="HCX64" s="349"/>
      <c r="HCY64" s="349"/>
      <c r="HCZ64" s="349"/>
      <c r="HDA64" s="349"/>
      <c r="HDB64" s="349"/>
      <c r="HDC64" s="349"/>
      <c r="HDD64" s="349"/>
      <c r="HDE64" s="349"/>
      <c r="HDF64" s="349"/>
      <c r="HDG64" s="349"/>
      <c r="HDH64" s="349"/>
      <c r="HDI64" s="349"/>
      <c r="HDJ64" s="349"/>
      <c r="HDK64" s="349"/>
      <c r="HDL64" s="349"/>
      <c r="HDM64" s="349"/>
      <c r="HDN64" s="349"/>
      <c r="HDO64" s="349"/>
      <c r="HDP64" s="349"/>
      <c r="HDQ64" s="349"/>
      <c r="HDR64" s="349"/>
      <c r="HDS64" s="349"/>
      <c r="HDT64" s="349"/>
      <c r="HDU64" s="349"/>
      <c r="HDV64" s="349"/>
      <c r="HDW64" s="349"/>
      <c r="HDX64" s="349"/>
      <c r="HDY64" s="349"/>
      <c r="HDZ64" s="349"/>
      <c r="HEA64" s="349"/>
      <c r="HEB64" s="349"/>
      <c r="HEC64" s="349"/>
      <c r="HED64" s="349"/>
      <c r="HEE64" s="349"/>
      <c r="HEF64" s="349"/>
      <c r="HEG64" s="349"/>
      <c r="HEH64" s="349"/>
      <c r="HEI64" s="349"/>
      <c r="HEJ64" s="349"/>
      <c r="HEK64" s="349"/>
      <c r="HEL64" s="349"/>
      <c r="HEM64" s="349"/>
      <c r="HEN64" s="349"/>
      <c r="HEO64" s="349"/>
      <c r="HEP64" s="349"/>
      <c r="HEQ64" s="349"/>
      <c r="HER64" s="349"/>
      <c r="HES64" s="349"/>
      <c r="HET64" s="349"/>
      <c r="HEU64" s="349"/>
      <c r="HEV64" s="349"/>
      <c r="HEW64" s="349"/>
      <c r="HEX64" s="349"/>
      <c r="HEY64" s="349"/>
      <c r="HEZ64" s="349"/>
      <c r="HFA64" s="349"/>
      <c r="HFB64" s="349"/>
      <c r="HFC64" s="349"/>
      <c r="HFD64" s="349"/>
      <c r="HFE64" s="349"/>
      <c r="HFF64" s="349"/>
      <c r="HFG64" s="349"/>
      <c r="HFH64" s="349"/>
      <c r="HFI64" s="349"/>
      <c r="HFJ64" s="349"/>
      <c r="HFK64" s="349"/>
      <c r="HFL64" s="349"/>
      <c r="HFM64" s="349"/>
      <c r="HFN64" s="349"/>
      <c r="HFO64" s="349"/>
      <c r="HFP64" s="349"/>
      <c r="HFQ64" s="349"/>
      <c r="HFR64" s="349"/>
      <c r="HFS64" s="349"/>
      <c r="HFT64" s="349"/>
      <c r="HFU64" s="349"/>
      <c r="HFV64" s="349"/>
      <c r="HFW64" s="349"/>
      <c r="HFX64" s="349"/>
      <c r="HFY64" s="349"/>
      <c r="HFZ64" s="349"/>
      <c r="HGA64" s="349"/>
      <c r="HGB64" s="349"/>
      <c r="HGC64" s="349"/>
      <c r="HGD64" s="349"/>
      <c r="HGE64" s="349"/>
      <c r="HGF64" s="349"/>
      <c r="HGG64" s="349"/>
      <c r="HGH64" s="349"/>
      <c r="HGI64" s="349"/>
      <c r="HGJ64" s="349"/>
      <c r="HGK64" s="349"/>
      <c r="HGL64" s="349"/>
      <c r="HGM64" s="349"/>
      <c r="HGN64" s="349"/>
      <c r="HGO64" s="349"/>
      <c r="HGP64" s="349"/>
      <c r="HGQ64" s="349"/>
      <c r="HGR64" s="349"/>
      <c r="HGS64" s="349"/>
      <c r="HGT64" s="349"/>
      <c r="HGU64" s="349"/>
      <c r="HGV64" s="349"/>
      <c r="HGW64" s="349"/>
      <c r="HGX64" s="349"/>
      <c r="HGY64" s="349"/>
      <c r="HGZ64" s="349"/>
      <c r="HHA64" s="349"/>
      <c r="HHB64" s="349"/>
      <c r="HHC64" s="349"/>
      <c r="HHD64" s="349"/>
      <c r="HHE64" s="349"/>
      <c r="HHF64" s="349"/>
      <c r="HHG64" s="349"/>
      <c r="HHH64" s="349"/>
      <c r="HHI64" s="349"/>
      <c r="HHJ64" s="349"/>
      <c r="HHK64" s="349"/>
      <c r="HHL64" s="349"/>
      <c r="HHM64" s="349"/>
      <c r="HHN64" s="349"/>
      <c r="HHO64" s="349"/>
      <c r="HHP64" s="349"/>
      <c r="HHQ64" s="349"/>
      <c r="HHR64" s="349"/>
      <c r="HHS64" s="349"/>
      <c r="HHT64" s="349"/>
      <c r="HHU64" s="349"/>
      <c r="HHV64" s="349"/>
      <c r="HHW64" s="349"/>
      <c r="HHX64" s="349"/>
      <c r="HHY64" s="349"/>
      <c r="HHZ64" s="349"/>
      <c r="HIA64" s="349"/>
      <c r="HIB64" s="349"/>
      <c r="HIC64" s="349"/>
      <c r="HID64" s="349"/>
      <c r="HIE64" s="349"/>
      <c r="HIF64" s="349"/>
      <c r="HIG64" s="349"/>
      <c r="HIH64" s="349"/>
      <c r="HII64" s="349"/>
      <c r="HIJ64" s="349"/>
      <c r="HIK64" s="349"/>
      <c r="HIL64" s="349"/>
      <c r="HIM64" s="349"/>
      <c r="HIN64" s="349"/>
      <c r="HIO64" s="349"/>
      <c r="HIP64" s="349"/>
      <c r="HIQ64" s="349"/>
      <c r="HIR64" s="349"/>
      <c r="HIS64" s="349"/>
      <c r="HIT64" s="349"/>
      <c r="HIU64" s="349"/>
      <c r="HIV64" s="349"/>
      <c r="HIW64" s="349"/>
      <c r="HIX64" s="349"/>
      <c r="HIY64" s="349"/>
      <c r="HIZ64" s="349"/>
      <c r="HJA64" s="349"/>
      <c r="HJB64" s="349"/>
      <c r="HJC64" s="349"/>
      <c r="HJD64" s="349"/>
      <c r="HJE64" s="349"/>
      <c r="HJF64" s="349"/>
      <c r="HJG64" s="349"/>
      <c r="HJH64" s="349"/>
      <c r="HJI64" s="349"/>
      <c r="HJJ64" s="349"/>
      <c r="HJK64" s="349"/>
      <c r="HJL64" s="349"/>
      <c r="HJM64" s="349"/>
      <c r="HJN64" s="349"/>
      <c r="HJO64" s="349"/>
      <c r="HJP64" s="349"/>
      <c r="HJQ64" s="349"/>
      <c r="HJR64" s="349"/>
      <c r="HJS64" s="349"/>
      <c r="HJT64" s="349"/>
      <c r="HJU64" s="349"/>
      <c r="HJV64" s="349"/>
      <c r="HJW64" s="349"/>
      <c r="HJX64" s="349"/>
      <c r="HJY64" s="349"/>
      <c r="HJZ64" s="349"/>
      <c r="HKA64" s="349"/>
      <c r="HKB64" s="349"/>
      <c r="HKC64" s="349"/>
      <c r="HKD64" s="349"/>
      <c r="HKE64" s="349"/>
      <c r="HKF64" s="349"/>
      <c r="HKG64" s="349"/>
      <c r="HKH64" s="349"/>
      <c r="HKI64" s="349"/>
      <c r="HKJ64" s="349"/>
      <c r="HKK64" s="349"/>
      <c r="HKL64" s="349"/>
      <c r="HKM64" s="349"/>
      <c r="HKN64" s="349"/>
      <c r="HKO64" s="349"/>
      <c r="HKP64" s="349"/>
      <c r="HKQ64" s="349"/>
      <c r="HKR64" s="349"/>
      <c r="HKS64" s="349"/>
      <c r="HKT64" s="349"/>
      <c r="HKU64" s="349"/>
      <c r="HKV64" s="349"/>
      <c r="HKW64" s="349"/>
      <c r="HKX64" s="349"/>
      <c r="HKY64" s="349"/>
      <c r="HKZ64" s="349"/>
      <c r="HLA64" s="349"/>
      <c r="HLB64" s="349"/>
      <c r="HLC64" s="349"/>
      <c r="HLD64" s="349"/>
      <c r="HLE64" s="349"/>
      <c r="HLF64" s="349"/>
      <c r="HLG64" s="349"/>
      <c r="HLH64" s="349"/>
      <c r="HLI64" s="349"/>
      <c r="HLJ64" s="349"/>
      <c r="HLK64" s="349"/>
      <c r="HLL64" s="349"/>
      <c r="HLM64" s="349"/>
      <c r="HLN64" s="349"/>
      <c r="HLO64" s="349"/>
      <c r="HLP64" s="349"/>
      <c r="HLQ64" s="349"/>
      <c r="HLR64" s="349"/>
      <c r="HLS64" s="349"/>
      <c r="HLT64" s="349"/>
      <c r="HLU64" s="349"/>
      <c r="HLV64" s="349"/>
      <c r="HLW64" s="349"/>
      <c r="HLX64" s="349"/>
      <c r="HLY64" s="349"/>
      <c r="HLZ64" s="349"/>
      <c r="HMA64" s="349"/>
      <c r="HMB64" s="349"/>
      <c r="HMC64" s="349"/>
      <c r="HMD64" s="349"/>
      <c r="HME64" s="349"/>
      <c r="HMF64" s="349"/>
      <c r="HMG64" s="349"/>
      <c r="HMH64" s="349"/>
      <c r="HMI64" s="349"/>
      <c r="HMJ64" s="349"/>
      <c r="HMK64" s="349"/>
      <c r="HML64" s="349"/>
      <c r="HMM64" s="349"/>
      <c r="HMN64" s="349"/>
      <c r="HMO64" s="349"/>
      <c r="HMP64" s="349"/>
      <c r="HMQ64" s="349"/>
      <c r="HMR64" s="349"/>
      <c r="HMS64" s="349"/>
      <c r="HMT64" s="349"/>
      <c r="HMU64" s="349"/>
      <c r="HMV64" s="349"/>
      <c r="HMW64" s="349"/>
      <c r="HMX64" s="349"/>
      <c r="HMY64" s="349"/>
      <c r="HMZ64" s="349"/>
      <c r="HNA64" s="349"/>
      <c r="HNB64" s="349"/>
      <c r="HNC64" s="349"/>
      <c r="HND64" s="349"/>
      <c r="HNE64" s="349"/>
      <c r="HNF64" s="349"/>
      <c r="HNG64" s="349"/>
      <c r="HNH64" s="349"/>
      <c r="HNI64" s="349"/>
      <c r="HNJ64" s="349"/>
      <c r="HNK64" s="349"/>
      <c r="HNL64" s="349"/>
      <c r="HNM64" s="349"/>
      <c r="HNN64" s="349"/>
      <c r="HNO64" s="349"/>
      <c r="HNP64" s="349"/>
      <c r="HNQ64" s="349"/>
      <c r="HNR64" s="349"/>
      <c r="HNS64" s="349"/>
      <c r="HNT64" s="349"/>
      <c r="HNU64" s="349"/>
      <c r="HNV64" s="349"/>
      <c r="HNW64" s="349"/>
      <c r="HNX64" s="349"/>
      <c r="HNY64" s="349"/>
      <c r="HNZ64" s="349"/>
      <c r="HOA64" s="349"/>
      <c r="HOB64" s="349"/>
      <c r="HOC64" s="349"/>
      <c r="HOD64" s="349"/>
      <c r="HOE64" s="349"/>
      <c r="HOF64" s="349"/>
      <c r="HOG64" s="349"/>
      <c r="HOH64" s="349"/>
      <c r="HOI64" s="349"/>
      <c r="HOJ64" s="349"/>
      <c r="HOK64" s="349"/>
      <c r="HOL64" s="349"/>
      <c r="HOM64" s="349"/>
      <c r="HON64" s="349"/>
      <c r="HOO64" s="349"/>
      <c r="HOP64" s="349"/>
      <c r="HOQ64" s="349"/>
      <c r="HOR64" s="349"/>
      <c r="HOS64" s="349"/>
      <c r="HOT64" s="349"/>
      <c r="HOU64" s="349"/>
      <c r="HOV64" s="349"/>
      <c r="HOW64" s="349"/>
      <c r="HOX64" s="349"/>
      <c r="HOY64" s="349"/>
      <c r="HOZ64" s="349"/>
      <c r="HPA64" s="349"/>
      <c r="HPB64" s="349"/>
      <c r="HPC64" s="349"/>
      <c r="HPD64" s="349"/>
      <c r="HPE64" s="349"/>
      <c r="HPF64" s="349"/>
      <c r="HPG64" s="349"/>
      <c r="HPH64" s="349"/>
      <c r="HPI64" s="349"/>
      <c r="HPJ64" s="349"/>
      <c r="HPK64" s="349"/>
      <c r="HPL64" s="349"/>
      <c r="HPM64" s="349"/>
      <c r="HPN64" s="349"/>
      <c r="HPO64" s="349"/>
      <c r="HPP64" s="349"/>
      <c r="HPQ64" s="349"/>
      <c r="HPR64" s="349"/>
      <c r="HPS64" s="349"/>
      <c r="HPT64" s="349"/>
      <c r="HPU64" s="349"/>
      <c r="HPV64" s="349"/>
      <c r="HPW64" s="349"/>
      <c r="HPX64" s="349"/>
      <c r="HPY64" s="349"/>
      <c r="HPZ64" s="349"/>
      <c r="HQA64" s="349"/>
      <c r="HQB64" s="349"/>
      <c r="HQC64" s="349"/>
      <c r="HQD64" s="349"/>
      <c r="HQE64" s="349"/>
      <c r="HQF64" s="349"/>
      <c r="HQG64" s="349"/>
      <c r="HQH64" s="349"/>
      <c r="HQI64" s="349"/>
      <c r="HQJ64" s="349"/>
      <c r="HQK64" s="349"/>
      <c r="HQL64" s="349"/>
      <c r="HQM64" s="349"/>
      <c r="HQN64" s="349"/>
      <c r="HQO64" s="349"/>
      <c r="HQP64" s="349"/>
      <c r="HQQ64" s="349"/>
      <c r="HQR64" s="349"/>
      <c r="HQS64" s="349"/>
      <c r="HQT64" s="349"/>
      <c r="HQU64" s="349"/>
      <c r="HQV64" s="349"/>
      <c r="HQW64" s="349"/>
      <c r="HQX64" s="349"/>
      <c r="HQY64" s="349"/>
      <c r="HQZ64" s="349"/>
      <c r="HRA64" s="349"/>
      <c r="HRB64" s="349"/>
      <c r="HRC64" s="349"/>
      <c r="HRD64" s="349"/>
      <c r="HRE64" s="349"/>
      <c r="HRF64" s="349"/>
      <c r="HRG64" s="349"/>
      <c r="HRH64" s="349"/>
      <c r="HRI64" s="349"/>
      <c r="HRJ64" s="349"/>
      <c r="HRK64" s="349"/>
      <c r="HRL64" s="349"/>
      <c r="HRM64" s="349"/>
      <c r="HRN64" s="349"/>
      <c r="HRO64" s="349"/>
      <c r="HRP64" s="349"/>
      <c r="HRQ64" s="349"/>
      <c r="HRR64" s="349"/>
      <c r="HRS64" s="349"/>
      <c r="HRT64" s="349"/>
      <c r="HRU64" s="349"/>
      <c r="HRV64" s="349"/>
      <c r="HRW64" s="349"/>
      <c r="HRX64" s="349"/>
      <c r="HRY64" s="349"/>
      <c r="HRZ64" s="349"/>
      <c r="HSA64" s="349"/>
      <c r="HSB64" s="349"/>
      <c r="HSC64" s="349"/>
      <c r="HSD64" s="349"/>
      <c r="HSE64" s="349"/>
      <c r="HSF64" s="349"/>
      <c r="HSG64" s="349"/>
      <c r="HSH64" s="349"/>
      <c r="HSI64" s="349"/>
      <c r="HSJ64" s="349"/>
      <c r="HSK64" s="349"/>
      <c r="HSL64" s="349"/>
      <c r="HSM64" s="349"/>
      <c r="HSN64" s="349"/>
      <c r="HSO64" s="349"/>
      <c r="HSP64" s="349"/>
      <c r="HSQ64" s="349"/>
      <c r="HSR64" s="349"/>
      <c r="HSS64" s="349"/>
      <c r="HST64" s="349"/>
      <c r="HSU64" s="349"/>
      <c r="HSV64" s="349"/>
      <c r="HSW64" s="349"/>
      <c r="HSX64" s="349"/>
      <c r="HSY64" s="349"/>
      <c r="HSZ64" s="349"/>
      <c r="HTA64" s="349"/>
      <c r="HTB64" s="349"/>
      <c r="HTC64" s="349"/>
      <c r="HTD64" s="349"/>
      <c r="HTE64" s="349"/>
      <c r="HTF64" s="349"/>
      <c r="HTG64" s="349"/>
      <c r="HTH64" s="349"/>
      <c r="HTI64" s="349"/>
      <c r="HTJ64" s="349"/>
      <c r="HTK64" s="349"/>
      <c r="HTL64" s="349"/>
      <c r="HTM64" s="349"/>
      <c r="HTN64" s="349"/>
      <c r="HTO64" s="349"/>
      <c r="HTP64" s="349"/>
      <c r="HTQ64" s="349"/>
      <c r="HTR64" s="349"/>
      <c r="HTS64" s="349"/>
      <c r="HTT64" s="349"/>
      <c r="HTU64" s="349"/>
      <c r="HTV64" s="349"/>
      <c r="HTW64" s="349"/>
      <c r="HTX64" s="349"/>
      <c r="HTY64" s="349"/>
      <c r="HTZ64" s="349"/>
      <c r="HUA64" s="349"/>
      <c r="HUB64" s="349"/>
      <c r="HUC64" s="349"/>
      <c r="HUD64" s="349"/>
      <c r="HUE64" s="349"/>
      <c r="HUF64" s="349"/>
      <c r="HUG64" s="349"/>
      <c r="HUH64" s="349"/>
      <c r="HUI64" s="349"/>
      <c r="HUJ64" s="349"/>
      <c r="HUK64" s="349"/>
      <c r="HUL64" s="349"/>
      <c r="HUM64" s="349"/>
      <c r="HUN64" s="349"/>
      <c r="HUO64" s="349"/>
      <c r="HUP64" s="349"/>
      <c r="HUQ64" s="349"/>
      <c r="HUR64" s="349"/>
      <c r="HUS64" s="349"/>
      <c r="HUT64" s="349"/>
      <c r="HUU64" s="349"/>
      <c r="HUV64" s="349"/>
      <c r="HUW64" s="349"/>
      <c r="HUX64" s="349"/>
      <c r="HUY64" s="349"/>
      <c r="HUZ64" s="349"/>
      <c r="HVA64" s="349"/>
      <c r="HVB64" s="349"/>
      <c r="HVC64" s="349"/>
      <c r="HVD64" s="349"/>
      <c r="HVE64" s="349"/>
      <c r="HVF64" s="349"/>
      <c r="HVG64" s="349"/>
      <c r="HVH64" s="349"/>
      <c r="HVI64" s="349"/>
      <c r="HVJ64" s="349"/>
      <c r="HVK64" s="349"/>
      <c r="HVL64" s="349"/>
      <c r="HVM64" s="349"/>
      <c r="HVN64" s="349"/>
      <c r="HVO64" s="349"/>
      <c r="HVP64" s="349"/>
      <c r="HVQ64" s="349"/>
      <c r="HVR64" s="349"/>
      <c r="HVS64" s="349"/>
      <c r="HVT64" s="349"/>
      <c r="HVU64" s="349"/>
      <c r="HVV64" s="349"/>
      <c r="HVW64" s="349"/>
      <c r="HVX64" s="349"/>
      <c r="HVY64" s="349"/>
      <c r="HVZ64" s="349"/>
      <c r="HWA64" s="349"/>
      <c r="HWB64" s="349"/>
      <c r="HWC64" s="349"/>
      <c r="HWD64" s="349"/>
      <c r="HWE64" s="349"/>
      <c r="HWF64" s="349"/>
      <c r="HWG64" s="349"/>
      <c r="HWH64" s="349"/>
      <c r="HWI64" s="349"/>
      <c r="HWJ64" s="349"/>
      <c r="HWK64" s="349"/>
      <c r="HWL64" s="349"/>
      <c r="HWM64" s="349"/>
      <c r="HWN64" s="349"/>
      <c r="HWO64" s="349"/>
      <c r="HWP64" s="349"/>
      <c r="HWQ64" s="349"/>
      <c r="HWR64" s="349"/>
      <c r="HWS64" s="349"/>
      <c r="HWT64" s="349"/>
      <c r="HWU64" s="349"/>
      <c r="HWV64" s="349"/>
      <c r="HWW64" s="349"/>
      <c r="HWX64" s="349"/>
      <c r="HWY64" s="349"/>
      <c r="HWZ64" s="349"/>
      <c r="HXA64" s="349"/>
      <c r="HXB64" s="349"/>
      <c r="HXC64" s="349"/>
      <c r="HXD64" s="349"/>
      <c r="HXE64" s="349"/>
      <c r="HXF64" s="349"/>
      <c r="HXG64" s="349"/>
      <c r="HXH64" s="349"/>
      <c r="HXI64" s="349"/>
      <c r="HXJ64" s="349"/>
      <c r="HXK64" s="349"/>
      <c r="HXL64" s="349"/>
      <c r="HXM64" s="349"/>
      <c r="HXN64" s="349"/>
      <c r="HXO64" s="349"/>
      <c r="HXP64" s="349"/>
      <c r="HXQ64" s="349"/>
      <c r="HXR64" s="349"/>
      <c r="HXS64" s="349"/>
      <c r="HXT64" s="349"/>
      <c r="HXU64" s="349"/>
      <c r="HXV64" s="349"/>
      <c r="HXW64" s="349"/>
      <c r="HXX64" s="349"/>
      <c r="HXY64" s="349"/>
      <c r="HXZ64" s="349"/>
      <c r="HYA64" s="349"/>
      <c r="HYB64" s="349"/>
      <c r="HYC64" s="349"/>
      <c r="HYD64" s="349"/>
      <c r="HYE64" s="349"/>
      <c r="HYF64" s="349"/>
      <c r="HYG64" s="349"/>
      <c r="HYH64" s="349"/>
      <c r="HYI64" s="349"/>
      <c r="HYJ64" s="349"/>
      <c r="HYK64" s="349"/>
      <c r="HYL64" s="349"/>
      <c r="HYM64" s="349"/>
      <c r="HYN64" s="349"/>
      <c r="HYO64" s="349"/>
      <c r="HYP64" s="349"/>
      <c r="HYQ64" s="349"/>
      <c r="HYR64" s="349"/>
      <c r="HYS64" s="349"/>
      <c r="HYT64" s="349"/>
      <c r="HYU64" s="349"/>
      <c r="HYV64" s="349"/>
      <c r="HYW64" s="349"/>
      <c r="HYX64" s="349"/>
      <c r="HYY64" s="349"/>
      <c r="HYZ64" s="349"/>
      <c r="HZA64" s="349"/>
      <c r="HZB64" s="349"/>
      <c r="HZC64" s="349"/>
      <c r="HZD64" s="349"/>
      <c r="HZE64" s="349"/>
      <c r="HZF64" s="349"/>
      <c r="HZG64" s="349"/>
      <c r="HZH64" s="349"/>
      <c r="HZI64" s="349"/>
      <c r="HZJ64" s="349"/>
      <c r="HZK64" s="349"/>
      <c r="HZL64" s="349"/>
      <c r="HZM64" s="349"/>
      <c r="HZN64" s="349"/>
      <c r="HZO64" s="349"/>
      <c r="HZP64" s="349"/>
      <c r="HZQ64" s="349"/>
      <c r="HZR64" s="349"/>
      <c r="HZS64" s="349"/>
      <c r="HZT64" s="349"/>
      <c r="HZU64" s="349"/>
      <c r="HZV64" s="349"/>
      <c r="HZW64" s="349"/>
      <c r="HZX64" s="349"/>
      <c r="HZY64" s="349"/>
      <c r="HZZ64" s="349"/>
      <c r="IAA64" s="349"/>
      <c r="IAB64" s="349"/>
      <c r="IAC64" s="349"/>
      <c r="IAD64" s="349"/>
      <c r="IAE64" s="349"/>
      <c r="IAF64" s="349"/>
      <c r="IAG64" s="349"/>
      <c r="IAH64" s="349"/>
      <c r="IAI64" s="349"/>
      <c r="IAJ64" s="349"/>
      <c r="IAK64" s="349"/>
      <c r="IAL64" s="349"/>
      <c r="IAM64" s="349"/>
      <c r="IAN64" s="349"/>
      <c r="IAO64" s="349"/>
      <c r="IAP64" s="349"/>
      <c r="IAQ64" s="349"/>
      <c r="IAR64" s="349"/>
      <c r="IAS64" s="349"/>
      <c r="IAT64" s="349"/>
      <c r="IAU64" s="349"/>
      <c r="IAV64" s="349"/>
      <c r="IAW64" s="349"/>
      <c r="IAX64" s="349"/>
      <c r="IAY64" s="349"/>
      <c r="IAZ64" s="349"/>
      <c r="IBA64" s="349"/>
      <c r="IBB64" s="349"/>
      <c r="IBC64" s="349"/>
      <c r="IBD64" s="349"/>
      <c r="IBE64" s="349"/>
      <c r="IBF64" s="349"/>
      <c r="IBG64" s="349"/>
      <c r="IBH64" s="349"/>
      <c r="IBI64" s="349"/>
      <c r="IBJ64" s="349"/>
      <c r="IBK64" s="349"/>
      <c r="IBL64" s="349"/>
      <c r="IBM64" s="349"/>
      <c r="IBN64" s="349"/>
      <c r="IBO64" s="349"/>
      <c r="IBP64" s="349"/>
      <c r="IBQ64" s="349"/>
      <c r="IBR64" s="349"/>
      <c r="IBS64" s="349"/>
      <c r="IBT64" s="349"/>
      <c r="IBU64" s="349"/>
      <c r="IBV64" s="349"/>
      <c r="IBW64" s="349"/>
      <c r="IBX64" s="349"/>
      <c r="IBY64" s="349"/>
      <c r="IBZ64" s="349"/>
      <c r="ICA64" s="349"/>
      <c r="ICB64" s="349"/>
      <c r="ICC64" s="349"/>
      <c r="ICD64" s="349"/>
      <c r="ICE64" s="349"/>
      <c r="ICF64" s="349"/>
      <c r="ICG64" s="349"/>
      <c r="ICH64" s="349"/>
      <c r="ICI64" s="349"/>
      <c r="ICJ64" s="349"/>
      <c r="ICK64" s="349"/>
      <c r="ICL64" s="349"/>
      <c r="ICM64" s="349"/>
      <c r="ICN64" s="349"/>
      <c r="ICO64" s="349"/>
      <c r="ICP64" s="349"/>
      <c r="ICQ64" s="349"/>
      <c r="ICR64" s="349"/>
      <c r="ICS64" s="349"/>
      <c r="ICT64" s="349"/>
      <c r="ICU64" s="349"/>
      <c r="ICV64" s="349"/>
      <c r="ICW64" s="349"/>
      <c r="ICX64" s="349"/>
      <c r="ICY64" s="349"/>
      <c r="ICZ64" s="349"/>
      <c r="IDA64" s="349"/>
      <c r="IDB64" s="349"/>
      <c r="IDC64" s="349"/>
      <c r="IDD64" s="349"/>
      <c r="IDE64" s="349"/>
      <c r="IDF64" s="349"/>
      <c r="IDG64" s="349"/>
      <c r="IDH64" s="349"/>
      <c r="IDI64" s="349"/>
      <c r="IDJ64" s="349"/>
      <c r="IDK64" s="349"/>
      <c r="IDL64" s="349"/>
      <c r="IDM64" s="349"/>
      <c r="IDN64" s="349"/>
      <c r="IDO64" s="349"/>
      <c r="IDP64" s="349"/>
      <c r="IDQ64" s="349"/>
      <c r="IDR64" s="349"/>
      <c r="IDS64" s="349"/>
      <c r="IDT64" s="349"/>
      <c r="IDU64" s="349"/>
      <c r="IDV64" s="349"/>
      <c r="IDW64" s="349"/>
      <c r="IDX64" s="349"/>
      <c r="IDY64" s="349"/>
      <c r="IDZ64" s="349"/>
      <c r="IEA64" s="349"/>
      <c r="IEB64" s="349"/>
      <c r="IEC64" s="349"/>
      <c r="IED64" s="349"/>
      <c r="IEE64" s="349"/>
      <c r="IEF64" s="349"/>
      <c r="IEG64" s="349"/>
      <c r="IEH64" s="349"/>
      <c r="IEI64" s="349"/>
      <c r="IEJ64" s="349"/>
      <c r="IEK64" s="349"/>
      <c r="IEL64" s="349"/>
      <c r="IEM64" s="349"/>
      <c r="IEN64" s="349"/>
      <c r="IEO64" s="349"/>
      <c r="IEP64" s="349"/>
      <c r="IEQ64" s="349"/>
      <c r="IER64" s="349"/>
      <c r="IES64" s="349"/>
      <c r="IET64" s="349"/>
      <c r="IEU64" s="349"/>
      <c r="IEV64" s="349"/>
      <c r="IEW64" s="349"/>
      <c r="IEX64" s="349"/>
      <c r="IEY64" s="349"/>
      <c r="IEZ64" s="349"/>
      <c r="IFA64" s="349"/>
      <c r="IFB64" s="349"/>
      <c r="IFC64" s="349"/>
      <c r="IFD64" s="349"/>
      <c r="IFE64" s="349"/>
      <c r="IFF64" s="349"/>
      <c r="IFG64" s="349"/>
      <c r="IFH64" s="349"/>
      <c r="IFI64" s="349"/>
      <c r="IFJ64" s="349"/>
      <c r="IFK64" s="349"/>
      <c r="IFL64" s="349"/>
      <c r="IFM64" s="349"/>
      <c r="IFN64" s="349"/>
      <c r="IFO64" s="349"/>
      <c r="IFP64" s="349"/>
      <c r="IFQ64" s="349"/>
      <c r="IFR64" s="349"/>
      <c r="IFS64" s="349"/>
      <c r="IFT64" s="349"/>
      <c r="IFU64" s="349"/>
      <c r="IFV64" s="349"/>
      <c r="IFW64" s="349"/>
      <c r="IFX64" s="349"/>
      <c r="IFY64" s="349"/>
      <c r="IFZ64" s="349"/>
      <c r="IGA64" s="349"/>
      <c r="IGB64" s="349"/>
      <c r="IGC64" s="349"/>
      <c r="IGD64" s="349"/>
      <c r="IGE64" s="349"/>
      <c r="IGF64" s="349"/>
      <c r="IGG64" s="349"/>
      <c r="IGH64" s="349"/>
      <c r="IGI64" s="349"/>
      <c r="IGJ64" s="349"/>
      <c r="IGK64" s="349"/>
      <c r="IGL64" s="349"/>
      <c r="IGM64" s="349"/>
      <c r="IGN64" s="349"/>
      <c r="IGO64" s="349"/>
      <c r="IGP64" s="349"/>
      <c r="IGQ64" s="349"/>
      <c r="IGR64" s="349"/>
      <c r="IGS64" s="349"/>
      <c r="IGT64" s="349"/>
      <c r="IGU64" s="349"/>
      <c r="IGV64" s="349"/>
      <c r="IGW64" s="349"/>
      <c r="IGX64" s="349"/>
      <c r="IGY64" s="349"/>
      <c r="IGZ64" s="349"/>
      <c r="IHA64" s="349"/>
      <c r="IHB64" s="349"/>
      <c r="IHC64" s="349"/>
      <c r="IHD64" s="349"/>
      <c r="IHE64" s="349"/>
      <c r="IHF64" s="349"/>
      <c r="IHG64" s="349"/>
      <c r="IHH64" s="349"/>
      <c r="IHI64" s="349"/>
      <c r="IHJ64" s="349"/>
      <c r="IHK64" s="349"/>
      <c r="IHL64" s="349"/>
      <c r="IHM64" s="349"/>
      <c r="IHN64" s="349"/>
      <c r="IHO64" s="349"/>
      <c r="IHP64" s="349"/>
      <c r="IHQ64" s="349"/>
      <c r="IHR64" s="349"/>
      <c r="IHS64" s="349"/>
      <c r="IHT64" s="349"/>
      <c r="IHU64" s="349"/>
      <c r="IHV64" s="349"/>
      <c r="IHW64" s="349"/>
      <c r="IHX64" s="349"/>
      <c r="IHY64" s="349"/>
      <c r="IHZ64" s="349"/>
      <c r="IIA64" s="349"/>
      <c r="IIB64" s="349"/>
      <c r="IIC64" s="349"/>
      <c r="IID64" s="349"/>
      <c r="IIE64" s="349"/>
      <c r="IIF64" s="349"/>
      <c r="IIG64" s="349"/>
      <c r="IIH64" s="349"/>
      <c r="III64" s="349"/>
      <c r="IIJ64" s="349"/>
      <c r="IIK64" s="349"/>
      <c r="IIL64" s="349"/>
      <c r="IIM64" s="349"/>
      <c r="IIN64" s="349"/>
      <c r="IIO64" s="349"/>
      <c r="IIP64" s="349"/>
      <c r="IIQ64" s="349"/>
      <c r="IIR64" s="349"/>
      <c r="IIS64" s="349"/>
      <c r="IIT64" s="349"/>
      <c r="IIU64" s="349"/>
      <c r="IIV64" s="349"/>
      <c r="IIW64" s="349"/>
      <c r="IIX64" s="349"/>
      <c r="IIY64" s="349"/>
      <c r="IIZ64" s="349"/>
      <c r="IJA64" s="349"/>
      <c r="IJB64" s="349"/>
      <c r="IJC64" s="349"/>
      <c r="IJD64" s="349"/>
      <c r="IJE64" s="349"/>
      <c r="IJF64" s="349"/>
      <c r="IJG64" s="349"/>
      <c r="IJH64" s="349"/>
      <c r="IJI64" s="349"/>
      <c r="IJJ64" s="349"/>
      <c r="IJK64" s="349"/>
      <c r="IJL64" s="349"/>
      <c r="IJM64" s="349"/>
      <c r="IJN64" s="349"/>
      <c r="IJO64" s="349"/>
      <c r="IJP64" s="349"/>
      <c r="IJQ64" s="349"/>
      <c r="IJR64" s="349"/>
      <c r="IJS64" s="349"/>
      <c r="IJT64" s="349"/>
      <c r="IJU64" s="349"/>
      <c r="IJV64" s="349"/>
      <c r="IJW64" s="349"/>
      <c r="IJX64" s="349"/>
      <c r="IJY64" s="349"/>
      <c r="IJZ64" s="349"/>
      <c r="IKA64" s="349"/>
      <c r="IKB64" s="349"/>
      <c r="IKC64" s="349"/>
      <c r="IKD64" s="349"/>
      <c r="IKE64" s="349"/>
      <c r="IKF64" s="349"/>
      <c r="IKG64" s="349"/>
      <c r="IKH64" s="349"/>
      <c r="IKI64" s="349"/>
      <c r="IKJ64" s="349"/>
      <c r="IKK64" s="349"/>
      <c r="IKL64" s="349"/>
      <c r="IKM64" s="349"/>
      <c r="IKN64" s="349"/>
      <c r="IKO64" s="349"/>
      <c r="IKP64" s="349"/>
      <c r="IKQ64" s="349"/>
      <c r="IKR64" s="349"/>
      <c r="IKS64" s="349"/>
      <c r="IKT64" s="349"/>
      <c r="IKU64" s="349"/>
      <c r="IKV64" s="349"/>
      <c r="IKW64" s="349"/>
      <c r="IKX64" s="349"/>
      <c r="IKY64" s="349"/>
      <c r="IKZ64" s="349"/>
      <c r="ILA64" s="349"/>
      <c r="ILB64" s="349"/>
      <c r="ILC64" s="349"/>
      <c r="ILD64" s="349"/>
      <c r="ILE64" s="349"/>
      <c r="ILF64" s="349"/>
      <c r="ILG64" s="349"/>
      <c r="ILH64" s="349"/>
      <c r="ILI64" s="349"/>
      <c r="ILJ64" s="349"/>
      <c r="ILK64" s="349"/>
      <c r="ILL64" s="349"/>
      <c r="ILM64" s="349"/>
      <c r="ILN64" s="349"/>
      <c r="ILO64" s="349"/>
      <c r="ILP64" s="349"/>
      <c r="ILQ64" s="349"/>
      <c r="ILR64" s="349"/>
      <c r="ILS64" s="349"/>
      <c r="ILT64" s="349"/>
      <c r="ILU64" s="349"/>
      <c r="ILV64" s="349"/>
      <c r="ILW64" s="349"/>
      <c r="ILX64" s="349"/>
      <c r="ILY64" s="349"/>
      <c r="ILZ64" s="349"/>
      <c r="IMA64" s="349"/>
      <c r="IMB64" s="349"/>
      <c r="IMC64" s="349"/>
      <c r="IMD64" s="349"/>
      <c r="IME64" s="349"/>
      <c r="IMF64" s="349"/>
      <c r="IMG64" s="349"/>
      <c r="IMH64" s="349"/>
      <c r="IMI64" s="349"/>
      <c r="IMJ64" s="349"/>
      <c r="IMK64" s="349"/>
      <c r="IML64" s="349"/>
      <c r="IMM64" s="349"/>
      <c r="IMN64" s="349"/>
      <c r="IMO64" s="349"/>
      <c r="IMP64" s="349"/>
      <c r="IMQ64" s="349"/>
      <c r="IMR64" s="349"/>
      <c r="IMS64" s="349"/>
      <c r="IMT64" s="349"/>
      <c r="IMU64" s="349"/>
      <c r="IMV64" s="349"/>
      <c r="IMW64" s="349"/>
      <c r="IMX64" s="349"/>
      <c r="IMY64" s="349"/>
      <c r="IMZ64" s="349"/>
      <c r="INA64" s="349"/>
      <c r="INB64" s="349"/>
      <c r="INC64" s="349"/>
      <c r="IND64" s="349"/>
      <c r="INE64" s="349"/>
      <c r="INF64" s="349"/>
      <c r="ING64" s="349"/>
      <c r="INH64" s="349"/>
      <c r="INI64" s="349"/>
      <c r="INJ64" s="349"/>
      <c r="INK64" s="349"/>
      <c r="INL64" s="349"/>
      <c r="INM64" s="349"/>
      <c r="INN64" s="349"/>
      <c r="INO64" s="349"/>
      <c r="INP64" s="349"/>
      <c r="INQ64" s="349"/>
      <c r="INR64" s="349"/>
      <c r="INS64" s="349"/>
      <c r="INT64" s="349"/>
      <c r="INU64" s="349"/>
      <c r="INV64" s="349"/>
      <c r="INW64" s="349"/>
      <c r="INX64" s="349"/>
      <c r="INY64" s="349"/>
      <c r="INZ64" s="349"/>
      <c r="IOA64" s="349"/>
      <c r="IOB64" s="349"/>
      <c r="IOC64" s="349"/>
      <c r="IOD64" s="349"/>
      <c r="IOE64" s="349"/>
      <c r="IOF64" s="349"/>
      <c r="IOG64" s="349"/>
      <c r="IOH64" s="349"/>
      <c r="IOI64" s="349"/>
      <c r="IOJ64" s="349"/>
      <c r="IOK64" s="349"/>
      <c r="IOL64" s="349"/>
      <c r="IOM64" s="349"/>
      <c r="ION64" s="349"/>
      <c r="IOO64" s="349"/>
      <c r="IOP64" s="349"/>
      <c r="IOQ64" s="349"/>
      <c r="IOR64" s="349"/>
      <c r="IOS64" s="349"/>
      <c r="IOT64" s="349"/>
      <c r="IOU64" s="349"/>
      <c r="IOV64" s="349"/>
      <c r="IOW64" s="349"/>
      <c r="IOX64" s="349"/>
      <c r="IOY64" s="349"/>
      <c r="IOZ64" s="349"/>
      <c r="IPA64" s="349"/>
      <c r="IPB64" s="349"/>
      <c r="IPC64" s="349"/>
      <c r="IPD64" s="349"/>
      <c r="IPE64" s="349"/>
      <c r="IPF64" s="349"/>
      <c r="IPG64" s="349"/>
      <c r="IPH64" s="349"/>
      <c r="IPI64" s="349"/>
      <c r="IPJ64" s="349"/>
      <c r="IPK64" s="349"/>
      <c r="IPL64" s="349"/>
      <c r="IPM64" s="349"/>
      <c r="IPN64" s="349"/>
      <c r="IPO64" s="349"/>
      <c r="IPP64" s="349"/>
      <c r="IPQ64" s="349"/>
      <c r="IPR64" s="349"/>
      <c r="IPS64" s="349"/>
      <c r="IPT64" s="349"/>
      <c r="IPU64" s="349"/>
      <c r="IPV64" s="349"/>
      <c r="IPW64" s="349"/>
      <c r="IPX64" s="349"/>
      <c r="IPY64" s="349"/>
      <c r="IPZ64" s="349"/>
      <c r="IQA64" s="349"/>
      <c r="IQB64" s="349"/>
      <c r="IQC64" s="349"/>
      <c r="IQD64" s="349"/>
      <c r="IQE64" s="349"/>
      <c r="IQF64" s="349"/>
      <c r="IQG64" s="349"/>
      <c r="IQH64" s="349"/>
      <c r="IQI64" s="349"/>
      <c r="IQJ64" s="349"/>
      <c r="IQK64" s="349"/>
      <c r="IQL64" s="349"/>
      <c r="IQM64" s="349"/>
      <c r="IQN64" s="349"/>
      <c r="IQO64" s="349"/>
      <c r="IQP64" s="349"/>
      <c r="IQQ64" s="349"/>
      <c r="IQR64" s="349"/>
      <c r="IQS64" s="349"/>
      <c r="IQT64" s="349"/>
      <c r="IQU64" s="349"/>
      <c r="IQV64" s="349"/>
      <c r="IQW64" s="349"/>
      <c r="IQX64" s="349"/>
      <c r="IQY64" s="349"/>
      <c r="IQZ64" s="349"/>
      <c r="IRA64" s="349"/>
      <c r="IRB64" s="349"/>
      <c r="IRC64" s="349"/>
      <c r="IRD64" s="349"/>
      <c r="IRE64" s="349"/>
      <c r="IRF64" s="349"/>
      <c r="IRG64" s="349"/>
      <c r="IRH64" s="349"/>
      <c r="IRI64" s="349"/>
      <c r="IRJ64" s="349"/>
      <c r="IRK64" s="349"/>
      <c r="IRL64" s="349"/>
      <c r="IRM64" s="349"/>
      <c r="IRN64" s="349"/>
      <c r="IRO64" s="349"/>
      <c r="IRP64" s="349"/>
      <c r="IRQ64" s="349"/>
      <c r="IRR64" s="349"/>
      <c r="IRS64" s="349"/>
      <c r="IRT64" s="349"/>
      <c r="IRU64" s="349"/>
      <c r="IRV64" s="349"/>
      <c r="IRW64" s="349"/>
      <c r="IRX64" s="349"/>
      <c r="IRY64" s="349"/>
      <c r="IRZ64" s="349"/>
      <c r="ISA64" s="349"/>
      <c r="ISB64" s="349"/>
      <c r="ISC64" s="349"/>
      <c r="ISD64" s="349"/>
      <c r="ISE64" s="349"/>
      <c r="ISF64" s="349"/>
      <c r="ISG64" s="349"/>
      <c r="ISH64" s="349"/>
      <c r="ISI64" s="349"/>
      <c r="ISJ64" s="349"/>
      <c r="ISK64" s="349"/>
      <c r="ISL64" s="349"/>
      <c r="ISM64" s="349"/>
      <c r="ISN64" s="349"/>
      <c r="ISO64" s="349"/>
      <c r="ISP64" s="349"/>
      <c r="ISQ64" s="349"/>
      <c r="ISR64" s="349"/>
      <c r="ISS64" s="349"/>
      <c r="IST64" s="349"/>
      <c r="ISU64" s="349"/>
      <c r="ISV64" s="349"/>
      <c r="ISW64" s="349"/>
      <c r="ISX64" s="349"/>
      <c r="ISY64" s="349"/>
      <c r="ISZ64" s="349"/>
      <c r="ITA64" s="349"/>
      <c r="ITB64" s="349"/>
      <c r="ITC64" s="349"/>
      <c r="ITD64" s="349"/>
      <c r="ITE64" s="349"/>
      <c r="ITF64" s="349"/>
      <c r="ITG64" s="349"/>
      <c r="ITH64" s="349"/>
      <c r="ITI64" s="349"/>
      <c r="ITJ64" s="349"/>
      <c r="ITK64" s="349"/>
      <c r="ITL64" s="349"/>
      <c r="ITM64" s="349"/>
      <c r="ITN64" s="349"/>
      <c r="ITO64" s="349"/>
      <c r="ITP64" s="349"/>
      <c r="ITQ64" s="349"/>
      <c r="ITR64" s="349"/>
      <c r="ITS64" s="349"/>
      <c r="ITT64" s="349"/>
      <c r="ITU64" s="349"/>
      <c r="ITV64" s="349"/>
      <c r="ITW64" s="349"/>
      <c r="ITX64" s="349"/>
      <c r="ITY64" s="349"/>
      <c r="ITZ64" s="349"/>
      <c r="IUA64" s="349"/>
      <c r="IUB64" s="349"/>
      <c r="IUC64" s="349"/>
      <c r="IUD64" s="349"/>
      <c r="IUE64" s="349"/>
      <c r="IUF64" s="349"/>
      <c r="IUG64" s="349"/>
      <c r="IUH64" s="349"/>
      <c r="IUI64" s="349"/>
      <c r="IUJ64" s="349"/>
      <c r="IUK64" s="349"/>
      <c r="IUL64" s="349"/>
      <c r="IUM64" s="349"/>
      <c r="IUN64" s="349"/>
      <c r="IUO64" s="349"/>
      <c r="IUP64" s="349"/>
      <c r="IUQ64" s="349"/>
      <c r="IUR64" s="349"/>
      <c r="IUS64" s="349"/>
      <c r="IUT64" s="349"/>
      <c r="IUU64" s="349"/>
      <c r="IUV64" s="349"/>
      <c r="IUW64" s="349"/>
      <c r="IUX64" s="349"/>
      <c r="IUY64" s="349"/>
      <c r="IUZ64" s="349"/>
      <c r="IVA64" s="349"/>
      <c r="IVB64" s="349"/>
      <c r="IVC64" s="349"/>
      <c r="IVD64" s="349"/>
      <c r="IVE64" s="349"/>
      <c r="IVF64" s="349"/>
      <c r="IVG64" s="349"/>
      <c r="IVH64" s="349"/>
      <c r="IVI64" s="349"/>
      <c r="IVJ64" s="349"/>
      <c r="IVK64" s="349"/>
      <c r="IVL64" s="349"/>
      <c r="IVM64" s="349"/>
      <c r="IVN64" s="349"/>
      <c r="IVO64" s="349"/>
      <c r="IVP64" s="349"/>
      <c r="IVQ64" s="349"/>
      <c r="IVR64" s="349"/>
      <c r="IVS64" s="349"/>
      <c r="IVT64" s="349"/>
      <c r="IVU64" s="349"/>
      <c r="IVV64" s="349"/>
      <c r="IVW64" s="349"/>
      <c r="IVX64" s="349"/>
      <c r="IVY64" s="349"/>
      <c r="IVZ64" s="349"/>
      <c r="IWA64" s="349"/>
      <c r="IWB64" s="349"/>
      <c r="IWC64" s="349"/>
      <c r="IWD64" s="349"/>
      <c r="IWE64" s="349"/>
      <c r="IWF64" s="349"/>
      <c r="IWG64" s="349"/>
      <c r="IWH64" s="349"/>
      <c r="IWI64" s="349"/>
      <c r="IWJ64" s="349"/>
      <c r="IWK64" s="349"/>
      <c r="IWL64" s="349"/>
      <c r="IWM64" s="349"/>
      <c r="IWN64" s="349"/>
      <c r="IWO64" s="349"/>
      <c r="IWP64" s="349"/>
      <c r="IWQ64" s="349"/>
      <c r="IWR64" s="349"/>
      <c r="IWS64" s="349"/>
      <c r="IWT64" s="349"/>
      <c r="IWU64" s="349"/>
      <c r="IWV64" s="349"/>
      <c r="IWW64" s="349"/>
      <c r="IWX64" s="349"/>
      <c r="IWY64" s="349"/>
      <c r="IWZ64" s="349"/>
      <c r="IXA64" s="349"/>
      <c r="IXB64" s="349"/>
      <c r="IXC64" s="349"/>
      <c r="IXD64" s="349"/>
      <c r="IXE64" s="349"/>
      <c r="IXF64" s="349"/>
      <c r="IXG64" s="349"/>
      <c r="IXH64" s="349"/>
      <c r="IXI64" s="349"/>
      <c r="IXJ64" s="349"/>
      <c r="IXK64" s="349"/>
      <c r="IXL64" s="349"/>
      <c r="IXM64" s="349"/>
      <c r="IXN64" s="349"/>
      <c r="IXO64" s="349"/>
      <c r="IXP64" s="349"/>
      <c r="IXQ64" s="349"/>
      <c r="IXR64" s="349"/>
      <c r="IXS64" s="349"/>
      <c r="IXT64" s="349"/>
      <c r="IXU64" s="349"/>
      <c r="IXV64" s="349"/>
      <c r="IXW64" s="349"/>
      <c r="IXX64" s="349"/>
      <c r="IXY64" s="349"/>
      <c r="IXZ64" s="349"/>
      <c r="IYA64" s="349"/>
      <c r="IYB64" s="349"/>
      <c r="IYC64" s="349"/>
      <c r="IYD64" s="349"/>
      <c r="IYE64" s="349"/>
      <c r="IYF64" s="349"/>
      <c r="IYG64" s="349"/>
      <c r="IYH64" s="349"/>
      <c r="IYI64" s="349"/>
      <c r="IYJ64" s="349"/>
      <c r="IYK64" s="349"/>
      <c r="IYL64" s="349"/>
      <c r="IYM64" s="349"/>
      <c r="IYN64" s="349"/>
      <c r="IYO64" s="349"/>
      <c r="IYP64" s="349"/>
      <c r="IYQ64" s="349"/>
      <c r="IYR64" s="349"/>
      <c r="IYS64" s="349"/>
      <c r="IYT64" s="349"/>
      <c r="IYU64" s="349"/>
      <c r="IYV64" s="349"/>
      <c r="IYW64" s="349"/>
      <c r="IYX64" s="349"/>
      <c r="IYY64" s="349"/>
      <c r="IYZ64" s="349"/>
      <c r="IZA64" s="349"/>
      <c r="IZB64" s="349"/>
      <c r="IZC64" s="349"/>
      <c r="IZD64" s="349"/>
      <c r="IZE64" s="349"/>
      <c r="IZF64" s="349"/>
      <c r="IZG64" s="349"/>
      <c r="IZH64" s="349"/>
      <c r="IZI64" s="349"/>
      <c r="IZJ64" s="349"/>
      <c r="IZK64" s="349"/>
      <c r="IZL64" s="349"/>
      <c r="IZM64" s="349"/>
      <c r="IZN64" s="349"/>
      <c r="IZO64" s="349"/>
      <c r="IZP64" s="349"/>
      <c r="IZQ64" s="349"/>
      <c r="IZR64" s="349"/>
      <c r="IZS64" s="349"/>
      <c r="IZT64" s="349"/>
      <c r="IZU64" s="349"/>
      <c r="IZV64" s="349"/>
      <c r="IZW64" s="349"/>
      <c r="IZX64" s="349"/>
      <c r="IZY64" s="349"/>
      <c r="IZZ64" s="349"/>
      <c r="JAA64" s="349"/>
      <c r="JAB64" s="349"/>
      <c r="JAC64" s="349"/>
      <c r="JAD64" s="349"/>
      <c r="JAE64" s="349"/>
      <c r="JAF64" s="349"/>
      <c r="JAG64" s="349"/>
      <c r="JAH64" s="349"/>
      <c r="JAI64" s="349"/>
      <c r="JAJ64" s="349"/>
      <c r="JAK64" s="349"/>
      <c r="JAL64" s="349"/>
      <c r="JAM64" s="349"/>
      <c r="JAN64" s="349"/>
      <c r="JAO64" s="349"/>
      <c r="JAP64" s="349"/>
      <c r="JAQ64" s="349"/>
      <c r="JAR64" s="349"/>
      <c r="JAS64" s="349"/>
      <c r="JAT64" s="349"/>
      <c r="JAU64" s="349"/>
      <c r="JAV64" s="349"/>
      <c r="JAW64" s="349"/>
      <c r="JAX64" s="349"/>
      <c r="JAY64" s="349"/>
      <c r="JAZ64" s="349"/>
      <c r="JBA64" s="349"/>
      <c r="JBB64" s="349"/>
      <c r="JBC64" s="349"/>
      <c r="JBD64" s="349"/>
      <c r="JBE64" s="349"/>
      <c r="JBF64" s="349"/>
      <c r="JBG64" s="349"/>
      <c r="JBH64" s="349"/>
      <c r="JBI64" s="349"/>
      <c r="JBJ64" s="349"/>
      <c r="JBK64" s="349"/>
      <c r="JBL64" s="349"/>
      <c r="JBM64" s="349"/>
      <c r="JBN64" s="349"/>
      <c r="JBO64" s="349"/>
      <c r="JBP64" s="349"/>
      <c r="JBQ64" s="349"/>
      <c r="JBR64" s="349"/>
      <c r="JBS64" s="349"/>
      <c r="JBT64" s="349"/>
      <c r="JBU64" s="349"/>
      <c r="JBV64" s="349"/>
      <c r="JBW64" s="349"/>
      <c r="JBX64" s="349"/>
      <c r="JBY64" s="349"/>
      <c r="JBZ64" s="349"/>
      <c r="JCA64" s="349"/>
      <c r="JCB64" s="349"/>
      <c r="JCC64" s="349"/>
      <c r="JCD64" s="349"/>
      <c r="JCE64" s="349"/>
      <c r="JCF64" s="349"/>
      <c r="JCG64" s="349"/>
      <c r="JCH64" s="349"/>
      <c r="JCI64" s="349"/>
      <c r="JCJ64" s="349"/>
      <c r="JCK64" s="349"/>
      <c r="JCL64" s="349"/>
      <c r="JCM64" s="349"/>
      <c r="JCN64" s="349"/>
      <c r="JCO64" s="349"/>
      <c r="JCP64" s="349"/>
      <c r="JCQ64" s="349"/>
      <c r="JCR64" s="349"/>
      <c r="JCS64" s="349"/>
      <c r="JCT64" s="349"/>
      <c r="JCU64" s="349"/>
      <c r="JCV64" s="349"/>
      <c r="JCW64" s="349"/>
      <c r="JCX64" s="349"/>
      <c r="JCY64" s="349"/>
      <c r="JCZ64" s="349"/>
      <c r="JDA64" s="349"/>
      <c r="JDB64" s="349"/>
      <c r="JDC64" s="349"/>
      <c r="JDD64" s="349"/>
      <c r="JDE64" s="349"/>
      <c r="JDF64" s="349"/>
      <c r="JDG64" s="349"/>
      <c r="JDH64" s="349"/>
      <c r="JDI64" s="349"/>
      <c r="JDJ64" s="349"/>
      <c r="JDK64" s="349"/>
      <c r="JDL64" s="349"/>
      <c r="JDM64" s="349"/>
      <c r="JDN64" s="349"/>
      <c r="JDO64" s="349"/>
      <c r="JDP64" s="349"/>
      <c r="JDQ64" s="349"/>
      <c r="JDR64" s="349"/>
      <c r="JDS64" s="349"/>
      <c r="JDT64" s="349"/>
      <c r="JDU64" s="349"/>
      <c r="JDV64" s="349"/>
      <c r="JDW64" s="349"/>
      <c r="JDX64" s="349"/>
      <c r="JDY64" s="349"/>
      <c r="JDZ64" s="349"/>
      <c r="JEA64" s="349"/>
      <c r="JEB64" s="349"/>
      <c r="JEC64" s="349"/>
      <c r="JED64" s="349"/>
      <c r="JEE64" s="349"/>
      <c r="JEF64" s="349"/>
      <c r="JEG64" s="349"/>
      <c r="JEH64" s="349"/>
      <c r="JEI64" s="349"/>
      <c r="JEJ64" s="349"/>
      <c r="JEK64" s="349"/>
      <c r="JEL64" s="349"/>
      <c r="JEM64" s="349"/>
      <c r="JEN64" s="349"/>
      <c r="JEO64" s="349"/>
      <c r="JEP64" s="349"/>
      <c r="JEQ64" s="349"/>
      <c r="JER64" s="349"/>
      <c r="JES64" s="349"/>
      <c r="JET64" s="349"/>
      <c r="JEU64" s="349"/>
      <c r="JEV64" s="349"/>
      <c r="JEW64" s="349"/>
      <c r="JEX64" s="349"/>
      <c r="JEY64" s="349"/>
      <c r="JEZ64" s="349"/>
      <c r="JFA64" s="349"/>
      <c r="JFB64" s="349"/>
      <c r="JFC64" s="349"/>
      <c r="JFD64" s="349"/>
      <c r="JFE64" s="349"/>
      <c r="JFF64" s="349"/>
      <c r="JFG64" s="349"/>
      <c r="JFH64" s="349"/>
      <c r="JFI64" s="349"/>
      <c r="JFJ64" s="349"/>
      <c r="JFK64" s="349"/>
      <c r="JFL64" s="349"/>
      <c r="JFM64" s="349"/>
      <c r="JFN64" s="349"/>
      <c r="JFO64" s="349"/>
      <c r="JFP64" s="349"/>
      <c r="JFQ64" s="349"/>
      <c r="JFR64" s="349"/>
      <c r="JFS64" s="349"/>
      <c r="JFT64" s="349"/>
      <c r="JFU64" s="349"/>
      <c r="JFV64" s="349"/>
      <c r="JFW64" s="349"/>
      <c r="JFX64" s="349"/>
      <c r="JFY64" s="349"/>
      <c r="JFZ64" s="349"/>
      <c r="JGA64" s="349"/>
      <c r="JGB64" s="349"/>
      <c r="JGC64" s="349"/>
      <c r="JGD64" s="349"/>
      <c r="JGE64" s="349"/>
      <c r="JGF64" s="349"/>
      <c r="JGG64" s="349"/>
      <c r="JGH64" s="349"/>
      <c r="JGI64" s="349"/>
      <c r="JGJ64" s="349"/>
      <c r="JGK64" s="349"/>
      <c r="JGL64" s="349"/>
      <c r="JGM64" s="349"/>
      <c r="JGN64" s="349"/>
      <c r="JGO64" s="349"/>
      <c r="JGP64" s="349"/>
      <c r="JGQ64" s="349"/>
      <c r="JGR64" s="349"/>
      <c r="JGS64" s="349"/>
      <c r="JGT64" s="349"/>
      <c r="JGU64" s="349"/>
      <c r="JGV64" s="349"/>
      <c r="JGW64" s="349"/>
      <c r="JGX64" s="349"/>
      <c r="JGY64" s="349"/>
      <c r="JGZ64" s="349"/>
      <c r="JHA64" s="349"/>
      <c r="JHB64" s="349"/>
      <c r="JHC64" s="349"/>
      <c r="JHD64" s="349"/>
      <c r="JHE64" s="349"/>
      <c r="JHF64" s="349"/>
      <c r="JHG64" s="349"/>
      <c r="JHH64" s="349"/>
      <c r="JHI64" s="349"/>
      <c r="JHJ64" s="349"/>
      <c r="JHK64" s="349"/>
      <c r="JHL64" s="349"/>
      <c r="JHM64" s="349"/>
      <c r="JHN64" s="349"/>
      <c r="JHO64" s="349"/>
      <c r="JHP64" s="349"/>
      <c r="JHQ64" s="349"/>
      <c r="JHR64" s="349"/>
      <c r="JHS64" s="349"/>
      <c r="JHT64" s="349"/>
      <c r="JHU64" s="349"/>
      <c r="JHV64" s="349"/>
      <c r="JHW64" s="349"/>
      <c r="JHX64" s="349"/>
      <c r="JHY64" s="349"/>
      <c r="JHZ64" s="349"/>
      <c r="JIA64" s="349"/>
      <c r="JIB64" s="349"/>
      <c r="JIC64" s="349"/>
      <c r="JID64" s="349"/>
      <c r="JIE64" s="349"/>
      <c r="JIF64" s="349"/>
      <c r="JIG64" s="349"/>
      <c r="JIH64" s="349"/>
      <c r="JII64" s="349"/>
      <c r="JIJ64" s="349"/>
      <c r="JIK64" s="349"/>
      <c r="JIL64" s="349"/>
      <c r="JIM64" s="349"/>
      <c r="JIN64" s="349"/>
      <c r="JIO64" s="349"/>
      <c r="JIP64" s="349"/>
      <c r="JIQ64" s="349"/>
      <c r="JIR64" s="349"/>
      <c r="JIS64" s="349"/>
      <c r="JIT64" s="349"/>
      <c r="JIU64" s="349"/>
      <c r="JIV64" s="349"/>
      <c r="JIW64" s="349"/>
      <c r="JIX64" s="349"/>
      <c r="JIY64" s="349"/>
      <c r="JIZ64" s="349"/>
      <c r="JJA64" s="349"/>
      <c r="JJB64" s="349"/>
      <c r="JJC64" s="349"/>
      <c r="JJD64" s="349"/>
      <c r="JJE64" s="349"/>
      <c r="JJF64" s="349"/>
      <c r="JJG64" s="349"/>
      <c r="JJH64" s="349"/>
      <c r="JJI64" s="349"/>
      <c r="JJJ64" s="349"/>
      <c r="JJK64" s="349"/>
      <c r="JJL64" s="349"/>
      <c r="JJM64" s="349"/>
      <c r="JJN64" s="349"/>
      <c r="JJO64" s="349"/>
      <c r="JJP64" s="349"/>
      <c r="JJQ64" s="349"/>
      <c r="JJR64" s="349"/>
      <c r="JJS64" s="349"/>
      <c r="JJT64" s="349"/>
      <c r="JJU64" s="349"/>
      <c r="JJV64" s="349"/>
      <c r="JJW64" s="349"/>
      <c r="JJX64" s="349"/>
      <c r="JJY64" s="349"/>
      <c r="JJZ64" s="349"/>
      <c r="JKA64" s="349"/>
      <c r="JKB64" s="349"/>
      <c r="JKC64" s="349"/>
      <c r="JKD64" s="349"/>
      <c r="JKE64" s="349"/>
      <c r="JKF64" s="349"/>
      <c r="JKG64" s="349"/>
      <c r="JKH64" s="349"/>
      <c r="JKI64" s="349"/>
      <c r="JKJ64" s="349"/>
      <c r="JKK64" s="349"/>
      <c r="JKL64" s="349"/>
      <c r="JKM64" s="349"/>
      <c r="JKN64" s="349"/>
      <c r="JKO64" s="349"/>
      <c r="JKP64" s="349"/>
      <c r="JKQ64" s="349"/>
      <c r="JKR64" s="349"/>
      <c r="JKS64" s="349"/>
      <c r="JKT64" s="349"/>
      <c r="JKU64" s="349"/>
      <c r="JKV64" s="349"/>
      <c r="JKW64" s="349"/>
      <c r="JKX64" s="349"/>
      <c r="JKY64" s="349"/>
      <c r="JKZ64" s="349"/>
      <c r="JLA64" s="349"/>
      <c r="JLB64" s="349"/>
      <c r="JLC64" s="349"/>
      <c r="JLD64" s="349"/>
      <c r="JLE64" s="349"/>
      <c r="JLF64" s="349"/>
      <c r="JLG64" s="349"/>
      <c r="JLH64" s="349"/>
      <c r="JLI64" s="349"/>
      <c r="JLJ64" s="349"/>
      <c r="JLK64" s="349"/>
      <c r="JLL64" s="349"/>
      <c r="JLM64" s="349"/>
      <c r="JLN64" s="349"/>
      <c r="JLO64" s="349"/>
      <c r="JLP64" s="349"/>
      <c r="JLQ64" s="349"/>
      <c r="JLR64" s="349"/>
      <c r="JLS64" s="349"/>
      <c r="JLT64" s="349"/>
      <c r="JLU64" s="349"/>
      <c r="JLV64" s="349"/>
      <c r="JLW64" s="349"/>
      <c r="JLX64" s="349"/>
      <c r="JLY64" s="349"/>
      <c r="JLZ64" s="349"/>
      <c r="JMA64" s="349"/>
      <c r="JMB64" s="349"/>
      <c r="JMC64" s="349"/>
      <c r="JMD64" s="349"/>
      <c r="JME64" s="349"/>
      <c r="JMF64" s="349"/>
      <c r="JMG64" s="349"/>
      <c r="JMH64" s="349"/>
      <c r="JMI64" s="349"/>
      <c r="JMJ64" s="349"/>
      <c r="JMK64" s="349"/>
      <c r="JML64" s="349"/>
      <c r="JMM64" s="349"/>
      <c r="JMN64" s="349"/>
      <c r="JMO64" s="349"/>
      <c r="JMP64" s="349"/>
      <c r="JMQ64" s="349"/>
      <c r="JMR64" s="349"/>
      <c r="JMS64" s="349"/>
      <c r="JMT64" s="349"/>
      <c r="JMU64" s="349"/>
      <c r="JMV64" s="349"/>
      <c r="JMW64" s="349"/>
      <c r="JMX64" s="349"/>
      <c r="JMY64" s="349"/>
      <c r="JMZ64" s="349"/>
      <c r="JNA64" s="349"/>
      <c r="JNB64" s="349"/>
      <c r="JNC64" s="349"/>
      <c r="JND64" s="349"/>
      <c r="JNE64" s="349"/>
      <c r="JNF64" s="349"/>
      <c r="JNG64" s="349"/>
      <c r="JNH64" s="349"/>
      <c r="JNI64" s="349"/>
      <c r="JNJ64" s="349"/>
      <c r="JNK64" s="349"/>
      <c r="JNL64" s="349"/>
      <c r="JNM64" s="349"/>
      <c r="JNN64" s="349"/>
      <c r="JNO64" s="349"/>
      <c r="JNP64" s="349"/>
      <c r="JNQ64" s="349"/>
      <c r="JNR64" s="349"/>
      <c r="JNS64" s="349"/>
      <c r="JNT64" s="349"/>
      <c r="JNU64" s="349"/>
      <c r="JNV64" s="349"/>
      <c r="JNW64" s="349"/>
      <c r="JNX64" s="349"/>
      <c r="JNY64" s="349"/>
      <c r="JNZ64" s="349"/>
      <c r="JOA64" s="349"/>
      <c r="JOB64" s="349"/>
      <c r="JOC64" s="349"/>
      <c r="JOD64" s="349"/>
      <c r="JOE64" s="349"/>
      <c r="JOF64" s="349"/>
      <c r="JOG64" s="349"/>
      <c r="JOH64" s="349"/>
      <c r="JOI64" s="349"/>
      <c r="JOJ64" s="349"/>
      <c r="JOK64" s="349"/>
      <c r="JOL64" s="349"/>
      <c r="JOM64" s="349"/>
      <c r="JON64" s="349"/>
      <c r="JOO64" s="349"/>
      <c r="JOP64" s="349"/>
      <c r="JOQ64" s="349"/>
      <c r="JOR64" s="349"/>
      <c r="JOS64" s="349"/>
      <c r="JOT64" s="349"/>
      <c r="JOU64" s="349"/>
      <c r="JOV64" s="349"/>
      <c r="JOW64" s="349"/>
      <c r="JOX64" s="349"/>
      <c r="JOY64" s="349"/>
      <c r="JOZ64" s="349"/>
      <c r="JPA64" s="349"/>
      <c r="JPB64" s="349"/>
      <c r="JPC64" s="349"/>
      <c r="JPD64" s="349"/>
      <c r="JPE64" s="349"/>
      <c r="JPF64" s="349"/>
      <c r="JPG64" s="349"/>
      <c r="JPH64" s="349"/>
      <c r="JPI64" s="349"/>
      <c r="JPJ64" s="349"/>
      <c r="JPK64" s="349"/>
      <c r="JPL64" s="349"/>
      <c r="JPM64" s="349"/>
      <c r="JPN64" s="349"/>
      <c r="JPO64" s="349"/>
      <c r="JPP64" s="349"/>
      <c r="JPQ64" s="349"/>
      <c r="JPR64" s="349"/>
      <c r="JPS64" s="349"/>
      <c r="JPT64" s="349"/>
      <c r="JPU64" s="349"/>
      <c r="JPV64" s="349"/>
      <c r="JPW64" s="349"/>
      <c r="JPX64" s="349"/>
      <c r="JPY64" s="349"/>
      <c r="JPZ64" s="349"/>
      <c r="JQA64" s="349"/>
      <c r="JQB64" s="349"/>
      <c r="JQC64" s="349"/>
      <c r="JQD64" s="349"/>
      <c r="JQE64" s="349"/>
      <c r="JQF64" s="349"/>
      <c r="JQG64" s="349"/>
      <c r="JQH64" s="349"/>
      <c r="JQI64" s="349"/>
      <c r="JQJ64" s="349"/>
      <c r="JQK64" s="349"/>
      <c r="JQL64" s="349"/>
      <c r="JQM64" s="349"/>
      <c r="JQN64" s="349"/>
      <c r="JQO64" s="349"/>
      <c r="JQP64" s="349"/>
      <c r="JQQ64" s="349"/>
      <c r="JQR64" s="349"/>
      <c r="JQS64" s="349"/>
      <c r="JQT64" s="349"/>
      <c r="JQU64" s="349"/>
      <c r="JQV64" s="349"/>
      <c r="JQW64" s="349"/>
      <c r="JQX64" s="349"/>
      <c r="JQY64" s="349"/>
      <c r="JQZ64" s="349"/>
      <c r="JRA64" s="349"/>
      <c r="JRB64" s="349"/>
      <c r="JRC64" s="349"/>
      <c r="JRD64" s="349"/>
      <c r="JRE64" s="349"/>
      <c r="JRF64" s="349"/>
      <c r="JRG64" s="349"/>
      <c r="JRH64" s="349"/>
      <c r="JRI64" s="349"/>
      <c r="JRJ64" s="349"/>
      <c r="JRK64" s="349"/>
      <c r="JRL64" s="349"/>
      <c r="JRM64" s="349"/>
      <c r="JRN64" s="349"/>
      <c r="JRO64" s="349"/>
      <c r="JRP64" s="349"/>
      <c r="JRQ64" s="349"/>
      <c r="JRR64" s="349"/>
      <c r="JRS64" s="349"/>
      <c r="JRT64" s="349"/>
      <c r="JRU64" s="349"/>
      <c r="JRV64" s="349"/>
      <c r="JRW64" s="349"/>
      <c r="JRX64" s="349"/>
      <c r="JRY64" s="349"/>
      <c r="JRZ64" s="349"/>
      <c r="JSA64" s="349"/>
      <c r="JSB64" s="349"/>
      <c r="JSC64" s="349"/>
      <c r="JSD64" s="349"/>
      <c r="JSE64" s="349"/>
      <c r="JSF64" s="349"/>
      <c r="JSG64" s="349"/>
      <c r="JSH64" s="349"/>
      <c r="JSI64" s="349"/>
      <c r="JSJ64" s="349"/>
      <c r="JSK64" s="349"/>
      <c r="JSL64" s="349"/>
      <c r="JSM64" s="349"/>
      <c r="JSN64" s="349"/>
      <c r="JSO64" s="349"/>
      <c r="JSP64" s="349"/>
      <c r="JSQ64" s="349"/>
      <c r="JSR64" s="349"/>
      <c r="JSS64" s="349"/>
      <c r="JST64" s="349"/>
      <c r="JSU64" s="349"/>
      <c r="JSV64" s="349"/>
      <c r="JSW64" s="349"/>
      <c r="JSX64" s="349"/>
      <c r="JSY64" s="349"/>
      <c r="JSZ64" s="349"/>
      <c r="JTA64" s="349"/>
      <c r="JTB64" s="349"/>
      <c r="JTC64" s="349"/>
      <c r="JTD64" s="349"/>
      <c r="JTE64" s="349"/>
      <c r="JTF64" s="349"/>
      <c r="JTG64" s="349"/>
      <c r="JTH64" s="349"/>
      <c r="JTI64" s="349"/>
      <c r="JTJ64" s="349"/>
      <c r="JTK64" s="349"/>
      <c r="JTL64" s="349"/>
      <c r="JTM64" s="349"/>
      <c r="JTN64" s="349"/>
      <c r="JTO64" s="349"/>
      <c r="JTP64" s="349"/>
      <c r="JTQ64" s="349"/>
      <c r="JTR64" s="349"/>
      <c r="JTS64" s="349"/>
      <c r="JTT64" s="349"/>
      <c r="JTU64" s="349"/>
      <c r="JTV64" s="349"/>
      <c r="JTW64" s="349"/>
      <c r="JTX64" s="349"/>
      <c r="JTY64" s="349"/>
      <c r="JTZ64" s="349"/>
      <c r="JUA64" s="349"/>
      <c r="JUB64" s="349"/>
      <c r="JUC64" s="349"/>
      <c r="JUD64" s="349"/>
      <c r="JUE64" s="349"/>
      <c r="JUF64" s="349"/>
      <c r="JUG64" s="349"/>
      <c r="JUH64" s="349"/>
      <c r="JUI64" s="349"/>
      <c r="JUJ64" s="349"/>
      <c r="JUK64" s="349"/>
      <c r="JUL64" s="349"/>
      <c r="JUM64" s="349"/>
      <c r="JUN64" s="349"/>
      <c r="JUO64" s="349"/>
      <c r="JUP64" s="349"/>
      <c r="JUQ64" s="349"/>
      <c r="JUR64" s="349"/>
      <c r="JUS64" s="349"/>
      <c r="JUT64" s="349"/>
      <c r="JUU64" s="349"/>
      <c r="JUV64" s="349"/>
      <c r="JUW64" s="349"/>
      <c r="JUX64" s="349"/>
      <c r="JUY64" s="349"/>
      <c r="JUZ64" s="349"/>
      <c r="JVA64" s="349"/>
      <c r="JVB64" s="349"/>
      <c r="JVC64" s="349"/>
      <c r="JVD64" s="349"/>
      <c r="JVE64" s="349"/>
      <c r="JVF64" s="349"/>
      <c r="JVG64" s="349"/>
      <c r="JVH64" s="349"/>
      <c r="JVI64" s="349"/>
      <c r="JVJ64" s="349"/>
      <c r="JVK64" s="349"/>
      <c r="JVL64" s="349"/>
      <c r="JVM64" s="349"/>
      <c r="JVN64" s="349"/>
      <c r="JVO64" s="349"/>
      <c r="JVP64" s="349"/>
      <c r="JVQ64" s="349"/>
      <c r="JVR64" s="349"/>
      <c r="JVS64" s="349"/>
      <c r="JVT64" s="349"/>
      <c r="JVU64" s="349"/>
      <c r="JVV64" s="349"/>
      <c r="JVW64" s="349"/>
      <c r="JVX64" s="349"/>
      <c r="JVY64" s="349"/>
      <c r="JVZ64" s="349"/>
      <c r="JWA64" s="349"/>
      <c r="JWB64" s="349"/>
      <c r="JWC64" s="349"/>
      <c r="JWD64" s="349"/>
      <c r="JWE64" s="349"/>
      <c r="JWF64" s="349"/>
      <c r="JWG64" s="349"/>
      <c r="JWH64" s="349"/>
      <c r="JWI64" s="349"/>
      <c r="JWJ64" s="349"/>
      <c r="JWK64" s="349"/>
      <c r="JWL64" s="349"/>
      <c r="JWM64" s="349"/>
      <c r="JWN64" s="349"/>
      <c r="JWO64" s="349"/>
      <c r="JWP64" s="349"/>
      <c r="JWQ64" s="349"/>
      <c r="JWR64" s="349"/>
      <c r="JWS64" s="349"/>
      <c r="JWT64" s="349"/>
      <c r="JWU64" s="349"/>
      <c r="JWV64" s="349"/>
      <c r="JWW64" s="349"/>
      <c r="JWX64" s="349"/>
      <c r="JWY64" s="349"/>
      <c r="JWZ64" s="349"/>
      <c r="JXA64" s="349"/>
      <c r="JXB64" s="349"/>
      <c r="JXC64" s="349"/>
      <c r="JXD64" s="349"/>
      <c r="JXE64" s="349"/>
      <c r="JXF64" s="349"/>
      <c r="JXG64" s="349"/>
      <c r="JXH64" s="349"/>
      <c r="JXI64" s="349"/>
      <c r="JXJ64" s="349"/>
      <c r="JXK64" s="349"/>
      <c r="JXL64" s="349"/>
      <c r="JXM64" s="349"/>
      <c r="JXN64" s="349"/>
      <c r="JXO64" s="349"/>
      <c r="JXP64" s="349"/>
      <c r="JXQ64" s="349"/>
      <c r="JXR64" s="349"/>
      <c r="JXS64" s="349"/>
      <c r="JXT64" s="349"/>
      <c r="JXU64" s="349"/>
      <c r="JXV64" s="349"/>
      <c r="JXW64" s="349"/>
      <c r="JXX64" s="349"/>
      <c r="JXY64" s="349"/>
      <c r="JXZ64" s="349"/>
      <c r="JYA64" s="349"/>
      <c r="JYB64" s="349"/>
      <c r="JYC64" s="349"/>
      <c r="JYD64" s="349"/>
      <c r="JYE64" s="349"/>
      <c r="JYF64" s="349"/>
      <c r="JYG64" s="349"/>
      <c r="JYH64" s="349"/>
      <c r="JYI64" s="349"/>
      <c r="JYJ64" s="349"/>
      <c r="JYK64" s="349"/>
      <c r="JYL64" s="349"/>
      <c r="JYM64" s="349"/>
      <c r="JYN64" s="349"/>
      <c r="JYO64" s="349"/>
      <c r="JYP64" s="349"/>
      <c r="JYQ64" s="349"/>
      <c r="JYR64" s="349"/>
      <c r="JYS64" s="349"/>
      <c r="JYT64" s="349"/>
      <c r="JYU64" s="349"/>
      <c r="JYV64" s="349"/>
      <c r="JYW64" s="349"/>
      <c r="JYX64" s="349"/>
      <c r="JYY64" s="349"/>
      <c r="JYZ64" s="349"/>
      <c r="JZA64" s="349"/>
      <c r="JZB64" s="349"/>
      <c r="JZC64" s="349"/>
      <c r="JZD64" s="349"/>
      <c r="JZE64" s="349"/>
      <c r="JZF64" s="349"/>
      <c r="JZG64" s="349"/>
      <c r="JZH64" s="349"/>
      <c r="JZI64" s="349"/>
      <c r="JZJ64" s="349"/>
      <c r="JZK64" s="349"/>
      <c r="JZL64" s="349"/>
      <c r="JZM64" s="349"/>
      <c r="JZN64" s="349"/>
      <c r="JZO64" s="349"/>
      <c r="JZP64" s="349"/>
      <c r="JZQ64" s="349"/>
      <c r="JZR64" s="349"/>
      <c r="JZS64" s="349"/>
      <c r="JZT64" s="349"/>
      <c r="JZU64" s="349"/>
      <c r="JZV64" s="349"/>
      <c r="JZW64" s="349"/>
      <c r="JZX64" s="349"/>
      <c r="JZY64" s="349"/>
      <c r="JZZ64" s="349"/>
      <c r="KAA64" s="349"/>
      <c r="KAB64" s="349"/>
      <c r="KAC64" s="349"/>
      <c r="KAD64" s="349"/>
      <c r="KAE64" s="349"/>
      <c r="KAF64" s="349"/>
      <c r="KAG64" s="349"/>
      <c r="KAH64" s="349"/>
      <c r="KAI64" s="349"/>
      <c r="KAJ64" s="349"/>
      <c r="KAK64" s="349"/>
      <c r="KAL64" s="349"/>
      <c r="KAM64" s="349"/>
      <c r="KAN64" s="349"/>
      <c r="KAO64" s="349"/>
      <c r="KAP64" s="349"/>
      <c r="KAQ64" s="349"/>
      <c r="KAR64" s="349"/>
      <c r="KAS64" s="349"/>
      <c r="KAT64" s="349"/>
      <c r="KAU64" s="349"/>
      <c r="KAV64" s="349"/>
      <c r="KAW64" s="349"/>
      <c r="KAX64" s="349"/>
      <c r="KAY64" s="349"/>
      <c r="KAZ64" s="349"/>
      <c r="KBA64" s="349"/>
      <c r="KBB64" s="349"/>
      <c r="KBC64" s="349"/>
      <c r="KBD64" s="349"/>
      <c r="KBE64" s="349"/>
      <c r="KBF64" s="349"/>
      <c r="KBG64" s="349"/>
      <c r="KBH64" s="349"/>
      <c r="KBI64" s="349"/>
      <c r="KBJ64" s="349"/>
      <c r="KBK64" s="349"/>
      <c r="KBL64" s="349"/>
      <c r="KBM64" s="349"/>
      <c r="KBN64" s="349"/>
      <c r="KBO64" s="349"/>
      <c r="KBP64" s="349"/>
      <c r="KBQ64" s="349"/>
      <c r="KBR64" s="349"/>
      <c r="KBS64" s="349"/>
      <c r="KBT64" s="349"/>
      <c r="KBU64" s="349"/>
      <c r="KBV64" s="349"/>
      <c r="KBW64" s="349"/>
      <c r="KBX64" s="349"/>
      <c r="KBY64" s="349"/>
      <c r="KBZ64" s="349"/>
      <c r="KCA64" s="349"/>
      <c r="KCB64" s="349"/>
      <c r="KCC64" s="349"/>
      <c r="KCD64" s="349"/>
      <c r="KCE64" s="349"/>
      <c r="KCF64" s="349"/>
      <c r="KCG64" s="349"/>
      <c r="KCH64" s="349"/>
      <c r="KCI64" s="349"/>
      <c r="KCJ64" s="349"/>
      <c r="KCK64" s="349"/>
      <c r="KCL64" s="349"/>
      <c r="KCM64" s="349"/>
      <c r="KCN64" s="349"/>
      <c r="KCO64" s="349"/>
      <c r="KCP64" s="349"/>
      <c r="KCQ64" s="349"/>
      <c r="KCR64" s="349"/>
      <c r="KCS64" s="349"/>
      <c r="KCT64" s="349"/>
      <c r="KCU64" s="349"/>
      <c r="KCV64" s="349"/>
      <c r="KCW64" s="349"/>
      <c r="KCX64" s="349"/>
      <c r="KCY64" s="349"/>
      <c r="KCZ64" s="349"/>
      <c r="KDA64" s="349"/>
      <c r="KDB64" s="349"/>
      <c r="KDC64" s="349"/>
      <c r="KDD64" s="349"/>
      <c r="KDE64" s="349"/>
      <c r="KDF64" s="349"/>
      <c r="KDG64" s="349"/>
      <c r="KDH64" s="349"/>
      <c r="KDI64" s="349"/>
      <c r="KDJ64" s="349"/>
      <c r="KDK64" s="349"/>
      <c r="KDL64" s="349"/>
      <c r="KDM64" s="349"/>
      <c r="KDN64" s="349"/>
      <c r="KDO64" s="349"/>
      <c r="KDP64" s="349"/>
      <c r="KDQ64" s="349"/>
      <c r="KDR64" s="349"/>
      <c r="KDS64" s="349"/>
      <c r="KDT64" s="349"/>
      <c r="KDU64" s="349"/>
      <c r="KDV64" s="349"/>
      <c r="KDW64" s="349"/>
      <c r="KDX64" s="349"/>
      <c r="KDY64" s="349"/>
      <c r="KDZ64" s="349"/>
      <c r="KEA64" s="349"/>
      <c r="KEB64" s="349"/>
      <c r="KEC64" s="349"/>
      <c r="KED64" s="349"/>
      <c r="KEE64" s="349"/>
      <c r="KEF64" s="349"/>
      <c r="KEG64" s="349"/>
      <c r="KEH64" s="349"/>
      <c r="KEI64" s="349"/>
      <c r="KEJ64" s="349"/>
      <c r="KEK64" s="349"/>
      <c r="KEL64" s="349"/>
      <c r="KEM64" s="349"/>
      <c r="KEN64" s="349"/>
      <c r="KEO64" s="349"/>
      <c r="KEP64" s="349"/>
      <c r="KEQ64" s="349"/>
      <c r="KER64" s="349"/>
      <c r="KES64" s="349"/>
      <c r="KET64" s="349"/>
      <c r="KEU64" s="349"/>
      <c r="KEV64" s="349"/>
      <c r="KEW64" s="349"/>
      <c r="KEX64" s="349"/>
      <c r="KEY64" s="349"/>
      <c r="KEZ64" s="349"/>
      <c r="KFA64" s="349"/>
      <c r="KFB64" s="349"/>
      <c r="KFC64" s="349"/>
      <c r="KFD64" s="349"/>
      <c r="KFE64" s="349"/>
      <c r="KFF64" s="349"/>
      <c r="KFG64" s="349"/>
      <c r="KFH64" s="349"/>
      <c r="KFI64" s="349"/>
      <c r="KFJ64" s="349"/>
      <c r="KFK64" s="349"/>
      <c r="KFL64" s="349"/>
      <c r="KFM64" s="349"/>
      <c r="KFN64" s="349"/>
      <c r="KFO64" s="349"/>
      <c r="KFP64" s="349"/>
      <c r="KFQ64" s="349"/>
      <c r="KFR64" s="349"/>
      <c r="KFS64" s="349"/>
      <c r="KFT64" s="349"/>
      <c r="KFU64" s="349"/>
      <c r="KFV64" s="349"/>
      <c r="KFW64" s="349"/>
      <c r="KFX64" s="349"/>
      <c r="KFY64" s="349"/>
      <c r="KFZ64" s="349"/>
      <c r="KGA64" s="349"/>
      <c r="KGB64" s="349"/>
      <c r="KGC64" s="349"/>
      <c r="KGD64" s="349"/>
      <c r="KGE64" s="349"/>
      <c r="KGF64" s="349"/>
      <c r="KGG64" s="349"/>
      <c r="KGH64" s="349"/>
      <c r="KGI64" s="349"/>
      <c r="KGJ64" s="349"/>
      <c r="KGK64" s="349"/>
      <c r="KGL64" s="349"/>
      <c r="KGM64" s="349"/>
      <c r="KGN64" s="349"/>
      <c r="KGO64" s="349"/>
      <c r="KGP64" s="349"/>
      <c r="KGQ64" s="349"/>
      <c r="KGR64" s="349"/>
      <c r="KGS64" s="349"/>
      <c r="KGT64" s="349"/>
      <c r="KGU64" s="349"/>
      <c r="KGV64" s="349"/>
      <c r="KGW64" s="349"/>
      <c r="KGX64" s="349"/>
      <c r="KGY64" s="349"/>
      <c r="KGZ64" s="349"/>
      <c r="KHA64" s="349"/>
      <c r="KHB64" s="349"/>
      <c r="KHC64" s="349"/>
      <c r="KHD64" s="349"/>
      <c r="KHE64" s="349"/>
      <c r="KHF64" s="349"/>
      <c r="KHG64" s="349"/>
      <c r="KHH64" s="349"/>
      <c r="KHI64" s="349"/>
      <c r="KHJ64" s="349"/>
      <c r="KHK64" s="349"/>
      <c r="KHL64" s="349"/>
      <c r="KHM64" s="349"/>
      <c r="KHN64" s="349"/>
      <c r="KHO64" s="349"/>
      <c r="KHP64" s="349"/>
      <c r="KHQ64" s="349"/>
      <c r="KHR64" s="349"/>
      <c r="KHS64" s="349"/>
      <c r="KHT64" s="349"/>
      <c r="KHU64" s="349"/>
      <c r="KHV64" s="349"/>
      <c r="KHW64" s="349"/>
      <c r="KHX64" s="349"/>
      <c r="KHY64" s="349"/>
      <c r="KHZ64" s="349"/>
      <c r="KIA64" s="349"/>
      <c r="KIB64" s="349"/>
      <c r="KIC64" s="349"/>
      <c r="KID64" s="349"/>
      <c r="KIE64" s="349"/>
      <c r="KIF64" s="349"/>
      <c r="KIG64" s="349"/>
      <c r="KIH64" s="349"/>
      <c r="KII64" s="349"/>
      <c r="KIJ64" s="349"/>
      <c r="KIK64" s="349"/>
      <c r="KIL64" s="349"/>
      <c r="KIM64" s="349"/>
      <c r="KIN64" s="349"/>
      <c r="KIO64" s="349"/>
      <c r="KIP64" s="349"/>
      <c r="KIQ64" s="349"/>
      <c r="KIR64" s="349"/>
      <c r="KIS64" s="349"/>
      <c r="KIT64" s="349"/>
      <c r="KIU64" s="349"/>
      <c r="KIV64" s="349"/>
      <c r="KIW64" s="349"/>
      <c r="KIX64" s="349"/>
      <c r="KIY64" s="349"/>
      <c r="KIZ64" s="349"/>
      <c r="KJA64" s="349"/>
      <c r="KJB64" s="349"/>
      <c r="KJC64" s="349"/>
      <c r="KJD64" s="349"/>
      <c r="KJE64" s="349"/>
      <c r="KJF64" s="349"/>
      <c r="KJG64" s="349"/>
      <c r="KJH64" s="349"/>
      <c r="KJI64" s="349"/>
      <c r="KJJ64" s="349"/>
      <c r="KJK64" s="349"/>
      <c r="KJL64" s="349"/>
      <c r="KJM64" s="349"/>
      <c r="KJN64" s="349"/>
      <c r="KJO64" s="349"/>
      <c r="KJP64" s="349"/>
      <c r="KJQ64" s="349"/>
      <c r="KJR64" s="349"/>
      <c r="KJS64" s="349"/>
      <c r="KJT64" s="349"/>
      <c r="KJU64" s="349"/>
      <c r="KJV64" s="349"/>
      <c r="KJW64" s="349"/>
      <c r="KJX64" s="349"/>
      <c r="KJY64" s="349"/>
      <c r="KJZ64" s="349"/>
      <c r="KKA64" s="349"/>
      <c r="KKB64" s="349"/>
      <c r="KKC64" s="349"/>
      <c r="KKD64" s="349"/>
      <c r="KKE64" s="349"/>
      <c r="KKF64" s="349"/>
      <c r="KKG64" s="349"/>
      <c r="KKH64" s="349"/>
      <c r="KKI64" s="349"/>
      <c r="KKJ64" s="349"/>
      <c r="KKK64" s="349"/>
      <c r="KKL64" s="349"/>
      <c r="KKM64" s="349"/>
      <c r="KKN64" s="349"/>
      <c r="KKO64" s="349"/>
      <c r="KKP64" s="349"/>
      <c r="KKQ64" s="349"/>
      <c r="KKR64" s="349"/>
      <c r="KKS64" s="349"/>
      <c r="KKT64" s="349"/>
      <c r="KKU64" s="349"/>
      <c r="KKV64" s="349"/>
      <c r="KKW64" s="349"/>
      <c r="KKX64" s="349"/>
      <c r="KKY64" s="349"/>
      <c r="KKZ64" s="349"/>
      <c r="KLA64" s="349"/>
      <c r="KLB64" s="349"/>
      <c r="KLC64" s="349"/>
      <c r="KLD64" s="349"/>
      <c r="KLE64" s="349"/>
      <c r="KLF64" s="349"/>
      <c r="KLG64" s="349"/>
      <c r="KLH64" s="349"/>
      <c r="KLI64" s="349"/>
      <c r="KLJ64" s="349"/>
      <c r="KLK64" s="349"/>
      <c r="KLL64" s="349"/>
      <c r="KLM64" s="349"/>
      <c r="KLN64" s="349"/>
      <c r="KLO64" s="349"/>
      <c r="KLP64" s="349"/>
      <c r="KLQ64" s="349"/>
      <c r="KLR64" s="349"/>
      <c r="KLS64" s="349"/>
      <c r="KLT64" s="349"/>
      <c r="KLU64" s="349"/>
      <c r="KLV64" s="349"/>
      <c r="KLW64" s="349"/>
      <c r="KLX64" s="349"/>
      <c r="KLY64" s="349"/>
      <c r="KLZ64" s="349"/>
      <c r="KMA64" s="349"/>
      <c r="KMB64" s="349"/>
      <c r="KMC64" s="349"/>
      <c r="KMD64" s="349"/>
      <c r="KME64" s="349"/>
      <c r="KMF64" s="349"/>
      <c r="KMG64" s="349"/>
      <c r="KMH64" s="349"/>
      <c r="KMI64" s="349"/>
      <c r="KMJ64" s="349"/>
      <c r="KMK64" s="349"/>
      <c r="KML64" s="349"/>
      <c r="KMM64" s="349"/>
      <c r="KMN64" s="349"/>
      <c r="KMO64" s="349"/>
      <c r="KMP64" s="349"/>
      <c r="KMQ64" s="349"/>
      <c r="KMR64" s="349"/>
      <c r="KMS64" s="349"/>
      <c r="KMT64" s="349"/>
      <c r="KMU64" s="349"/>
      <c r="KMV64" s="349"/>
      <c r="KMW64" s="349"/>
      <c r="KMX64" s="349"/>
      <c r="KMY64" s="349"/>
      <c r="KMZ64" s="349"/>
      <c r="KNA64" s="349"/>
      <c r="KNB64" s="349"/>
      <c r="KNC64" s="349"/>
      <c r="KND64" s="349"/>
      <c r="KNE64" s="349"/>
      <c r="KNF64" s="349"/>
      <c r="KNG64" s="349"/>
      <c r="KNH64" s="349"/>
      <c r="KNI64" s="349"/>
      <c r="KNJ64" s="349"/>
      <c r="KNK64" s="349"/>
      <c r="KNL64" s="349"/>
      <c r="KNM64" s="349"/>
      <c r="KNN64" s="349"/>
      <c r="KNO64" s="349"/>
      <c r="KNP64" s="349"/>
      <c r="KNQ64" s="349"/>
      <c r="KNR64" s="349"/>
      <c r="KNS64" s="349"/>
      <c r="KNT64" s="349"/>
      <c r="KNU64" s="349"/>
      <c r="KNV64" s="349"/>
      <c r="KNW64" s="349"/>
      <c r="KNX64" s="349"/>
      <c r="KNY64" s="349"/>
      <c r="KNZ64" s="349"/>
      <c r="KOA64" s="349"/>
      <c r="KOB64" s="349"/>
      <c r="KOC64" s="349"/>
      <c r="KOD64" s="349"/>
      <c r="KOE64" s="349"/>
      <c r="KOF64" s="349"/>
      <c r="KOG64" s="349"/>
      <c r="KOH64" s="349"/>
      <c r="KOI64" s="349"/>
      <c r="KOJ64" s="349"/>
      <c r="KOK64" s="349"/>
      <c r="KOL64" s="349"/>
      <c r="KOM64" s="349"/>
      <c r="KON64" s="349"/>
      <c r="KOO64" s="349"/>
      <c r="KOP64" s="349"/>
      <c r="KOQ64" s="349"/>
      <c r="KOR64" s="349"/>
      <c r="KOS64" s="349"/>
      <c r="KOT64" s="349"/>
      <c r="KOU64" s="349"/>
      <c r="KOV64" s="349"/>
      <c r="KOW64" s="349"/>
      <c r="KOX64" s="349"/>
      <c r="KOY64" s="349"/>
      <c r="KOZ64" s="349"/>
      <c r="KPA64" s="349"/>
      <c r="KPB64" s="349"/>
      <c r="KPC64" s="349"/>
      <c r="KPD64" s="349"/>
      <c r="KPE64" s="349"/>
      <c r="KPF64" s="349"/>
      <c r="KPG64" s="349"/>
      <c r="KPH64" s="349"/>
      <c r="KPI64" s="349"/>
      <c r="KPJ64" s="349"/>
      <c r="KPK64" s="349"/>
      <c r="KPL64" s="349"/>
      <c r="KPM64" s="349"/>
      <c r="KPN64" s="349"/>
      <c r="KPO64" s="349"/>
      <c r="KPP64" s="349"/>
      <c r="KPQ64" s="349"/>
      <c r="KPR64" s="349"/>
      <c r="KPS64" s="349"/>
      <c r="KPT64" s="349"/>
      <c r="KPU64" s="349"/>
      <c r="KPV64" s="349"/>
      <c r="KPW64" s="349"/>
      <c r="KPX64" s="349"/>
      <c r="KPY64" s="349"/>
      <c r="KPZ64" s="349"/>
      <c r="KQA64" s="349"/>
      <c r="KQB64" s="349"/>
      <c r="KQC64" s="349"/>
      <c r="KQD64" s="349"/>
      <c r="KQE64" s="349"/>
      <c r="KQF64" s="349"/>
      <c r="KQG64" s="349"/>
      <c r="KQH64" s="349"/>
      <c r="KQI64" s="349"/>
      <c r="KQJ64" s="349"/>
      <c r="KQK64" s="349"/>
      <c r="KQL64" s="349"/>
      <c r="KQM64" s="349"/>
      <c r="KQN64" s="349"/>
      <c r="KQO64" s="349"/>
      <c r="KQP64" s="349"/>
      <c r="KQQ64" s="349"/>
      <c r="KQR64" s="349"/>
      <c r="KQS64" s="349"/>
      <c r="KQT64" s="349"/>
      <c r="KQU64" s="349"/>
      <c r="KQV64" s="349"/>
      <c r="KQW64" s="349"/>
      <c r="KQX64" s="349"/>
      <c r="KQY64" s="349"/>
      <c r="KQZ64" s="349"/>
      <c r="KRA64" s="349"/>
      <c r="KRB64" s="349"/>
      <c r="KRC64" s="349"/>
      <c r="KRD64" s="349"/>
      <c r="KRE64" s="349"/>
      <c r="KRF64" s="349"/>
      <c r="KRG64" s="349"/>
      <c r="KRH64" s="349"/>
      <c r="KRI64" s="349"/>
      <c r="KRJ64" s="349"/>
      <c r="KRK64" s="349"/>
      <c r="KRL64" s="349"/>
      <c r="KRM64" s="349"/>
      <c r="KRN64" s="349"/>
      <c r="KRO64" s="349"/>
      <c r="KRP64" s="349"/>
      <c r="KRQ64" s="349"/>
      <c r="KRR64" s="349"/>
      <c r="KRS64" s="349"/>
      <c r="KRT64" s="349"/>
      <c r="KRU64" s="349"/>
      <c r="KRV64" s="349"/>
      <c r="KRW64" s="349"/>
      <c r="KRX64" s="349"/>
      <c r="KRY64" s="349"/>
      <c r="KRZ64" s="349"/>
      <c r="KSA64" s="349"/>
      <c r="KSB64" s="349"/>
      <c r="KSC64" s="349"/>
      <c r="KSD64" s="349"/>
      <c r="KSE64" s="349"/>
      <c r="KSF64" s="349"/>
      <c r="KSG64" s="349"/>
      <c r="KSH64" s="349"/>
      <c r="KSI64" s="349"/>
      <c r="KSJ64" s="349"/>
      <c r="KSK64" s="349"/>
      <c r="KSL64" s="349"/>
      <c r="KSM64" s="349"/>
      <c r="KSN64" s="349"/>
      <c r="KSO64" s="349"/>
      <c r="KSP64" s="349"/>
      <c r="KSQ64" s="349"/>
      <c r="KSR64" s="349"/>
      <c r="KSS64" s="349"/>
      <c r="KST64" s="349"/>
      <c r="KSU64" s="349"/>
      <c r="KSV64" s="349"/>
      <c r="KSW64" s="349"/>
      <c r="KSX64" s="349"/>
      <c r="KSY64" s="349"/>
      <c r="KSZ64" s="349"/>
      <c r="KTA64" s="349"/>
      <c r="KTB64" s="349"/>
      <c r="KTC64" s="349"/>
      <c r="KTD64" s="349"/>
      <c r="KTE64" s="349"/>
      <c r="KTF64" s="349"/>
      <c r="KTG64" s="349"/>
      <c r="KTH64" s="349"/>
      <c r="KTI64" s="349"/>
      <c r="KTJ64" s="349"/>
      <c r="KTK64" s="349"/>
      <c r="KTL64" s="349"/>
      <c r="KTM64" s="349"/>
      <c r="KTN64" s="349"/>
      <c r="KTO64" s="349"/>
      <c r="KTP64" s="349"/>
      <c r="KTQ64" s="349"/>
      <c r="KTR64" s="349"/>
      <c r="KTS64" s="349"/>
      <c r="KTT64" s="349"/>
      <c r="KTU64" s="349"/>
      <c r="KTV64" s="349"/>
      <c r="KTW64" s="349"/>
      <c r="KTX64" s="349"/>
      <c r="KTY64" s="349"/>
      <c r="KTZ64" s="349"/>
      <c r="KUA64" s="349"/>
      <c r="KUB64" s="349"/>
      <c r="KUC64" s="349"/>
      <c r="KUD64" s="349"/>
      <c r="KUE64" s="349"/>
      <c r="KUF64" s="349"/>
      <c r="KUG64" s="349"/>
      <c r="KUH64" s="349"/>
      <c r="KUI64" s="349"/>
      <c r="KUJ64" s="349"/>
      <c r="KUK64" s="349"/>
      <c r="KUL64" s="349"/>
      <c r="KUM64" s="349"/>
      <c r="KUN64" s="349"/>
      <c r="KUO64" s="349"/>
      <c r="KUP64" s="349"/>
      <c r="KUQ64" s="349"/>
      <c r="KUR64" s="349"/>
      <c r="KUS64" s="349"/>
      <c r="KUT64" s="349"/>
      <c r="KUU64" s="349"/>
      <c r="KUV64" s="349"/>
      <c r="KUW64" s="349"/>
      <c r="KUX64" s="349"/>
      <c r="KUY64" s="349"/>
      <c r="KUZ64" s="349"/>
      <c r="KVA64" s="349"/>
      <c r="KVB64" s="349"/>
      <c r="KVC64" s="349"/>
      <c r="KVD64" s="349"/>
      <c r="KVE64" s="349"/>
      <c r="KVF64" s="349"/>
      <c r="KVG64" s="349"/>
      <c r="KVH64" s="349"/>
      <c r="KVI64" s="349"/>
      <c r="KVJ64" s="349"/>
      <c r="KVK64" s="349"/>
      <c r="KVL64" s="349"/>
      <c r="KVM64" s="349"/>
      <c r="KVN64" s="349"/>
      <c r="KVO64" s="349"/>
      <c r="KVP64" s="349"/>
      <c r="KVQ64" s="349"/>
      <c r="KVR64" s="349"/>
      <c r="KVS64" s="349"/>
      <c r="KVT64" s="349"/>
      <c r="KVU64" s="349"/>
      <c r="KVV64" s="349"/>
      <c r="KVW64" s="349"/>
      <c r="KVX64" s="349"/>
      <c r="KVY64" s="349"/>
      <c r="KVZ64" s="349"/>
      <c r="KWA64" s="349"/>
      <c r="KWB64" s="349"/>
      <c r="KWC64" s="349"/>
      <c r="KWD64" s="349"/>
      <c r="KWE64" s="349"/>
      <c r="KWF64" s="349"/>
      <c r="KWG64" s="349"/>
      <c r="KWH64" s="349"/>
      <c r="KWI64" s="349"/>
      <c r="KWJ64" s="349"/>
      <c r="KWK64" s="349"/>
      <c r="KWL64" s="349"/>
      <c r="KWM64" s="349"/>
      <c r="KWN64" s="349"/>
      <c r="KWO64" s="349"/>
      <c r="KWP64" s="349"/>
      <c r="KWQ64" s="349"/>
      <c r="KWR64" s="349"/>
      <c r="KWS64" s="349"/>
      <c r="KWT64" s="349"/>
      <c r="KWU64" s="349"/>
      <c r="KWV64" s="349"/>
      <c r="KWW64" s="349"/>
      <c r="KWX64" s="349"/>
      <c r="KWY64" s="349"/>
      <c r="KWZ64" s="349"/>
      <c r="KXA64" s="349"/>
      <c r="KXB64" s="349"/>
      <c r="KXC64" s="349"/>
      <c r="KXD64" s="349"/>
      <c r="KXE64" s="349"/>
      <c r="KXF64" s="349"/>
      <c r="KXG64" s="349"/>
      <c r="KXH64" s="349"/>
      <c r="KXI64" s="349"/>
      <c r="KXJ64" s="349"/>
      <c r="KXK64" s="349"/>
      <c r="KXL64" s="349"/>
      <c r="KXM64" s="349"/>
      <c r="KXN64" s="349"/>
      <c r="KXO64" s="349"/>
      <c r="KXP64" s="349"/>
      <c r="KXQ64" s="349"/>
      <c r="KXR64" s="349"/>
      <c r="KXS64" s="349"/>
      <c r="KXT64" s="349"/>
      <c r="KXU64" s="349"/>
      <c r="KXV64" s="349"/>
      <c r="KXW64" s="349"/>
      <c r="KXX64" s="349"/>
      <c r="KXY64" s="349"/>
      <c r="KXZ64" s="349"/>
      <c r="KYA64" s="349"/>
      <c r="KYB64" s="349"/>
      <c r="KYC64" s="349"/>
      <c r="KYD64" s="349"/>
      <c r="KYE64" s="349"/>
      <c r="KYF64" s="349"/>
      <c r="KYG64" s="349"/>
      <c r="KYH64" s="349"/>
      <c r="KYI64" s="349"/>
      <c r="KYJ64" s="349"/>
      <c r="KYK64" s="349"/>
      <c r="KYL64" s="349"/>
      <c r="KYM64" s="349"/>
      <c r="KYN64" s="349"/>
      <c r="KYO64" s="349"/>
      <c r="KYP64" s="349"/>
      <c r="KYQ64" s="349"/>
      <c r="KYR64" s="349"/>
      <c r="KYS64" s="349"/>
      <c r="KYT64" s="349"/>
      <c r="KYU64" s="349"/>
      <c r="KYV64" s="349"/>
      <c r="KYW64" s="349"/>
      <c r="KYX64" s="349"/>
      <c r="KYY64" s="349"/>
      <c r="KYZ64" s="349"/>
      <c r="KZA64" s="349"/>
      <c r="KZB64" s="349"/>
      <c r="KZC64" s="349"/>
      <c r="KZD64" s="349"/>
      <c r="KZE64" s="349"/>
      <c r="KZF64" s="349"/>
      <c r="KZG64" s="349"/>
      <c r="KZH64" s="349"/>
      <c r="KZI64" s="349"/>
      <c r="KZJ64" s="349"/>
      <c r="KZK64" s="349"/>
      <c r="KZL64" s="349"/>
      <c r="KZM64" s="349"/>
      <c r="KZN64" s="349"/>
      <c r="KZO64" s="349"/>
      <c r="KZP64" s="349"/>
      <c r="KZQ64" s="349"/>
      <c r="KZR64" s="349"/>
      <c r="KZS64" s="349"/>
      <c r="KZT64" s="349"/>
      <c r="KZU64" s="349"/>
      <c r="KZV64" s="349"/>
      <c r="KZW64" s="349"/>
      <c r="KZX64" s="349"/>
      <c r="KZY64" s="349"/>
      <c r="KZZ64" s="349"/>
      <c r="LAA64" s="349"/>
      <c r="LAB64" s="349"/>
      <c r="LAC64" s="349"/>
      <c r="LAD64" s="349"/>
      <c r="LAE64" s="349"/>
      <c r="LAF64" s="349"/>
      <c r="LAG64" s="349"/>
      <c r="LAH64" s="349"/>
      <c r="LAI64" s="349"/>
      <c r="LAJ64" s="349"/>
      <c r="LAK64" s="349"/>
      <c r="LAL64" s="349"/>
      <c r="LAM64" s="349"/>
      <c r="LAN64" s="349"/>
      <c r="LAO64" s="349"/>
      <c r="LAP64" s="349"/>
      <c r="LAQ64" s="349"/>
      <c r="LAR64" s="349"/>
      <c r="LAS64" s="349"/>
      <c r="LAT64" s="349"/>
      <c r="LAU64" s="349"/>
      <c r="LAV64" s="349"/>
      <c r="LAW64" s="349"/>
      <c r="LAX64" s="349"/>
      <c r="LAY64" s="349"/>
      <c r="LAZ64" s="349"/>
      <c r="LBA64" s="349"/>
      <c r="LBB64" s="349"/>
      <c r="LBC64" s="349"/>
      <c r="LBD64" s="349"/>
      <c r="LBE64" s="349"/>
      <c r="LBF64" s="349"/>
      <c r="LBG64" s="349"/>
      <c r="LBH64" s="349"/>
      <c r="LBI64" s="349"/>
      <c r="LBJ64" s="349"/>
      <c r="LBK64" s="349"/>
      <c r="LBL64" s="349"/>
      <c r="LBM64" s="349"/>
      <c r="LBN64" s="349"/>
      <c r="LBO64" s="349"/>
      <c r="LBP64" s="349"/>
      <c r="LBQ64" s="349"/>
      <c r="LBR64" s="349"/>
      <c r="LBS64" s="349"/>
      <c r="LBT64" s="349"/>
      <c r="LBU64" s="349"/>
      <c r="LBV64" s="349"/>
      <c r="LBW64" s="349"/>
      <c r="LBX64" s="349"/>
      <c r="LBY64" s="349"/>
      <c r="LBZ64" s="349"/>
      <c r="LCA64" s="349"/>
      <c r="LCB64" s="349"/>
      <c r="LCC64" s="349"/>
      <c r="LCD64" s="349"/>
      <c r="LCE64" s="349"/>
      <c r="LCF64" s="349"/>
      <c r="LCG64" s="349"/>
      <c r="LCH64" s="349"/>
      <c r="LCI64" s="349"/>
      <c r="LCJ64" s="349"/>
      <c r="LCK64" s="349"/>
      <c r="LCL64" s="349"/>
      <c r="LCM64" s="349"/>
      <c r="LCN64" s="349"/>
      <c r="LCO64" s="349"/>
      <c r="LCP64" s="349"/>
      <c r="LCQ64" s="349"/>
      <c r="LCR64" s="349"/>
      <c r="LCS64" s="349"/>
      <c r="LCT64" s="349"/>
      <c r="LCU64" s="349"/>
      <c r="LCV64" s="349"/>
      <c r="LCW64" s="349"/>
      <c r="LCX64" s="349"/>
      <c r="LCY64" s="349"/>
      <c r="LCZ64" s="349"/>
      <c r="LDA64" s="349"/>
      <c r="LDB64" s="349"/>
      <c r="LDC64" s="349"/>
      <c r="LDD64" s="349"/>
      <c r="LDE64" s="349"/>
      <c r="LDF64" s="349"/>
      <c r="LDG64" s="349"/>
      <c r="LDH64" s="349"/>
      <c r="LDI64" s="349"/>
      <c r="LDJ64" s="349"/>
      <c r="LDK64" s="349"/>
      <c r="LDL64" s="349"/>
      <c r="LDM64" s="349"/>
      <c r="LDN64" s="349"/>
      <c r="LDO64" s="349"/>
      <c r="LDP64" s="349"/>
      <c r="LDQ64" s="349"/>
      <c r="LDR64" s="349"/>
      <c r="LDS64" s="349"/>
      <c r="LDT64" s="349"/>
      <c r="LDU64" s="349"/>
      <c r="LDV64" s="349"/>
      <c r="LDW64" s="349"/>
      <c r="LDX64" s="349"/>
      <c r="LDY64" s="349"/>
      <c r="LDZ64" s="349"/>
      <c r="LEA64" s="349"/>
      <c r="LEB64" s="349"/>
      <c r="LEC64" s="349"/>
      <c r="LED64" s="349"/>
      <c r="LEE64" s="349"/>
      <c r="LEF64" s="349"/>
      <c r="LEG64" s="349"/>
      <c r="LEH64" s="349"/>
      <c r="LEI64" s="349"/>
      <c r="LEJ64" s="349"/>
      <c r="LEK64" s="349"/>
      <c r="LEL64" s="349"/>
      <c r="LEM64" s="349"/>
      <c r="LEN64" s="349"/>
      <c r="LEO64" s="349"/>
      <c r="LEP64" s="349"/>
      <c r="LEQ64" s="349"/>
      <c r="LER64" s="349"/>
      <c r="LES64" s="349"/>
      <c r="LET64" s="349"/>
      <c r="LEU64" s="349"/>
      <c r="LEV64" s="349"/>
      <c r="LEW64" s="349"/>
      <c r="LEX64" s="349"/>
      <c r="LEY64" s="349"/>
      <c r="LEZ64" s="349"/>
      <c r="LFA64" s="349"/>
      <c r="LFB64" s="349"/>
      <c r="LFC64" s="349"/>
      <c r="LFD64" s="349"/>
      <c r="LFE64" s="349"/>
      <c r="LFF64" s="349"/>
      <c r="LFG64" s="349"/>
      <c r="LFH64" s="349"/>
      <c r="LFI64" s="349"/>
      <c r="LFJ64" s="349"/>
      <c r="LFK64" s="349"/>
      <c r="LFL64" s="349"/>
      <c r="LFM64" s="349"/>
      <c r="LFN64" s="349"/>
      <c r="LFO64" s="349"/>
      <c r="LFP64" s="349"/>
      <c r="LFQ64" s="349"/>
      <c r="LFR64" s="349"/>
      <c r="LFS64" s="349"/>
      <c r="LFT64" s="349"/>
      <c r="LFU64" s="349"/>
      <c r="LFV64" s="349"/>
      <c r="LFW64" s="349"/>
      <c r="LFX64" s="349"/>
      <c r="LFY64" s="349"/>
      <c r="LFZ64" s="349"/>
      <c r="LGA64" s="349"/>
      <c r="LGB64" s="349"/>
      <c r="LGC64" s="349"/>
      <c r="LGD64" s="349"/>
      <c r="LGE64" s="349"/>
      <c r="LGF64" s="349"/>
      <c r="LGG64" s="349"/>
      <c r="LGH64" s="349"/>
      <c r="LGI64" s="349"/>
      <c r="LGJ64" s="349"/>
      <c r="LGK64" s="349"/>
      <c r="LGL64" s="349"/>
      <c r="LGM64" s="349"/>
      <c r="LGN64" s="349"/>
      <c r="LGO64" s="349"/>
      <c r="LGP64" s="349"/>
      <c r="LGQ64" s="349"/>
      <c r="LGR64" s="349"/>
      <c r="LGS64" s="349"/>
      <c r="LGT64" s="349"/>
      <c r="LGU64" s="349"/>
      <c r="LGV64" s="349"/>
      <c r="LGW64" s="349"/>
      <c r="LGX64" s="349"/>
      <c r="LGY64" s="349"/>
      <c r="LGZ64" s="349"/>
      <c r="LHA64" s="349"/>
      <c r="LHB64" s="349"/>
      <c r="LHC64" s="349"/>
      <c r="LHD64" s="349"/>
      <c r="LHE64" s="349"/>
      <c r="LHF64" s="349"/>
      <c r="LHG64" s="349"/>
      <c r="LHH64" s="349"/>
      <c r="LHI64" s="349"/>
      <c r="LHJ64" s="349"/>
      <c r="LHK64" s="349"/>
      <c r="LHL64" s="349"/>
      <c r="LHM64" s="349"/>
      <c r="LHN64" s="349"/>
      <c r="LHO64" s="349"/>
      <c r="LHP64" s="349"/>
      <c r="LHQ64" s="349"/>
      <c r="LHR64" s="349"/>
      <c r="LHS64" s="349"/>
      <c r="LHT64" s="349"/>
      <c r="LHU64" s="349"/>
      <c r="LHV64" s="349"/>
      <c r="LHW64" s="349"/>
      <c r="LHX64" s="349"/>
      <c r="LHY64" s="349"/>
      <c r="LHZ64" s="349"/>
      <c r="LIA64" s="349"/>
      <c r="LIB64" s="349"/>
      <c r="LIC64" s="349"/>
      <c r="LID64" s="349"/>
      <c r="LIE64" s="349"/>
      <c r="LIF64" s="349"/>
      <c r="LIG64" s="349"/>
      <c r="LIH64" s="349"/>
      <c r="LII64" s="349"/>
      <c r="LIJ64" s="349"/>
      <c r="LIK64" s="349"/>
      <c r="LIL64" s="349"/>
      <c r="LIM64" s="349"/>
      <c r="LIN64" s="349"/>
      <c r="LIO64" s="349"/>
      <c r="LIP64" s="349"/>
      <c r="LIQ64" s="349"/>
      <c r="LIR64" s="349"/>
      <c r="LIS64" s="349"/>
      <c r="LIT64" s="349"/>
      <c r="LIU64" s="349"/>
      <c r="LIV64" s="349"/>
      <c r="LIW64" s="349"/>
      <c r="LIX64" s="349"/>
      <c r="LIY64" s="349"/>
      <c r="LIZ64" s="349"/>
      <c r="LJA64" s="349"/>
      <c r="LJB64" s="349"/>
      <c r="LJC64" s="349"/>
      <c r="LJD64" s="349"/>
      <c r="LJE64" s="349"/>
      <c r="LJF64" s="349"/>
      <c r="LJG64" s="349"/>
      <c r="LJH64" s="349"/>
      <c r="LJI64" s="349"/>
      <c r="LJJ64" s="349"/>
      <c r="LJK64" s="349"/>
      <c r="LJL64" s="349"/>
      <c r="LJM64" s="349"/>
      <c r="LJN64" s="349"/>
      <c r="LJO64" s="349"/>
      <c r="LJP64" s="349"/>
      <c r="LJQ64" s="349"/>
      <c r="LJR64" s="349"/>
      <c r="LJS64" s="349"/>
      <c r="LJT64" s="349"/>
      <c r="LJU64" s="349"/>
      <c r="LJV64" s="349"/>
      <c r="LJW64" s="349"/>
      <c r="LJX64" s="349"/>
      <c r="LJY64" s="349"/>
      <c r="LJZ64" s="349"/>
      <c r="LKA64" s="349"/>
      <c r="LKB64" s="349"/>
      <c r="LKC64" s="349"/>
      <c r="LKD64" s="349"/>
      <c r="LKE64" s="349"/>
      <c r="LKF64" s="349"/>
      <c r="LKG64" s="349"/>
      <c r="LKH64" s="349"/>
      <c r="LKI64" s="349"/>
      <c r="LKJ64" s="349"/>
      <c r="LKK64" s="349"/>
      <c r="LKL64" s="349"/>
      <c r="LKM64" s="349"/>
      <c r="LKN64" s="349"/>
      <c r="LKO64" s="349"/>
      <c r="LKP64" s="349"/>
      <c r="LKQ64" s="349"/>
      <c r="LKR64" s="349"/>
      <c r="LKS64" s="349"/>
      <c r="LKT64" s="349"/>
      <c r="LKU64" s="349"/>
      <c r="LKV64" s="349"/>
      <c r="LKW64" s="349"/>
      <c r="LKX64" s="349"/>
      <c r="LKY64" s="349"/>
      <c r="LKZ64" s="349"/>
      <c r="LLA64" s="349"/>
      <c r="LLB64" s="349"/>
      <c r="LLC64" s="349"/>
      <c r="LLD64" s="349"/>
      <c r="LLE64" s="349"/>
      <c r="LLF64" s="349"/>
      <c r="LLG64" s="349"/>
      <c r="LLH64" s="349"/>
      <c r="LLI64" s="349"/>
      <c r="LLJ64" s="349"/>
      <c r="LLK64" s="349"/>
      <c r="LLL64" s="349"/>
      <c r="LLM64" s="349"/>
      <c r="LLN64" s="349"/>
      <c r="LLO64" s="349"/>
      <c r="LLP64" s="349"/>
      <c r="LLQ64" s="349"/>
      <c r="LLR64" s="349"/>
      <c r="LLS64" s="349"/>
      <c r="LLT64" s="349"/>
      <c r="LLU64" s="349"/>
      <c r="LLV64" s="349"/>
      <c r="LLW64" s="349"/>
      <c r="LLX64" s="349"/>
      <c r="LLY64" s="349"/>
      <c r="LLZ64" s="349"/>
      <c r="LMA64" s="349"/>
      <c r="LMB64" s="349"/>
      <c r="LMC64" s="349"/>
      <c r="LMD64" s="349"/>
      <c r="LME64" s="349"/>
      <c r="LMF64" s="349"/>
      <c r="LMG64" s="349"/>
      <c r="LMH64" s="349"/>
      <c r="LMI64" s="349"/>
      <c r="LMJ64" s="349"/>
      <c r="LMK64" s="349"/>
      <c r="LML64" s="349"/>
      <c r="LMM64" s="349"/>
      <c r="LMN64" s="349"/>
      <c r="LMO64" s="349"/>
      <c r="LMP64" s="349"/>
      <c r="LMQ64" s="349"/>
      <c r="LMR64" s="349"/>
      <c r="LMS64" s="349"/>
      <c r="LMT64" s="349"/>
      <c r="LMU64" s="349"/>
      <c r="LMV64" s="349"/>
      <c r="LMW64" s="349"/>
      <c r="LMX64" s="349"/>
      <c r="LMY64" s="349"/>
      <c r="LMZ64" s="349"/>
      <c r="LNA64" s="349"/>
      <c r="LNB64" s="349"/>
      <c r="LNC64" s="349"/>
      <c r="LND64" s="349"/>
      <c r="LNE64" s="349"/>
      <c r="LNF64" s="349"/>
      <c r="LNG64" s="349"/>
      <c r="LNH64" s="349"/>
      <c r="LNI64" s="349"/>
      <c r="LNJ64" s="349"/>
      <c r="LNK64" s="349"/>
      <c r="LNL64" s="349"/>
      <c r="LNM64" s="349"/>
      <c r="LNN64" s="349"/>
      <c r="LNO64" s="349"/>
      <c r="LNP64" s="349"/>
      <c r="LNQ64" s="349"/>
      <c r="LNR64" s="349"/>
      <c r="LNS64" s="349"/>
      <c r="LNT64" s="349"/>
      <c r="LNU64" s="349"/>
      <c r="LNV64" s="349"/>
      <c r="LNW64" s="349"/>
      <c r="LNX64" s="349"/>
      <c r="LNY64" s="349"/>
      <c r="LNZ64" s="349"/>
      <c r="LOA64" s="349"/>
      <c r="LOB64" s="349"/>
      <c r="LOC64" s="349"/>
      <c r="LOD64" s="349"/>
      <c r="LOE64" s="349"/>
      <c r="LOF64" s="349"/>
      <c r="LOG64" s="349"/>
      <c r="LOH64" s="349"/>
      <c r="LOI64" s="349"/>
      <c r="LOJ64" s="349"/>
      <c r="LOK64" s="349"/>
      <c r="LOL64" s="349"/>
      <c r="LOM64" s="349"/>
      <c r="LON64" s="349"/>
      <c r="LOO64" s="349"/>
      <c r="LOP64" s="349"/>
      <c r="LOQ64" s="349"/>
      <c r="LOR64" s="349"/>
      <c r="LOS64" s="349"/>
      <c r="LOT64" s="349"/>
      <c r="LOU64" s="349"/>
      <c r="LOV64" s="349"/>
      <c r="LOW64" s="349"/>
      <c r="LOX64" s="349"/>
      <c r="LOY64" s="349"/>
      <c r="LOZ64" s="349"/>
      <c r="LPA64" s="349"/>
      <c r="LPB64" s="349"/>
      <c r="LPC64" s="349"/>
      <c r="LPD64" s="349"/>
      <c r="LPE64" s="349"/>
      <c r="LPF64" s="349"/>
      <c r="LPG64" s="349"/>
      <c r="LPH64" s="349"/>
      <c r="LPI64" s="349"/>
      <c r="LPJ64" s="349"/>
      <c r="LPK64" s="349"/>
      <c r="LPL64" s="349"/>
      <c r="LPM64" s="349"/>
      <c r="LPN64" s="349"/>
      <c r="LPO64" s="349"/>
      <c r="LPP64" s="349"/>
      <c r="LPQ64" s="349"/>
      <c r="LPR64" s="349"/>
      <c r="LPS64" s="349"/>
      <c r="LPT64" s="349"/>
      <c r="LPU64" s="349"/>
      <c r="LPV64" s="349"/>
      <c r="LPW64" s="349"/>
      <c r="LPX64" s="349"/>
      <c r="LPY64" s="349"/>
      <c r="LPZ64" s="349"/>
      <c r="LQA64" s="349"/>
      <c r="LQB64" s="349"/>
      <c r="LQC64" s="349"/>
      <c r="LQD64" s="349"/>
      <c r="LQE64" s="349"/>
      <c r="LQF64" s="349"/>
      <c r="LQG64" s="349"/>
      <c r="LQH64" s="349"/>
      <c r="LQI64" s="349"/>
      <c r="LQJ64" s="349"/>
      <c r="LQK64" s="349"/>
      <c r="LQL64" s="349"/>
      <c r="LQM64" s="349"/>
      <c r="LQN64" s="349"/>
      <c r="LQO64" s="349"/>
      <c r="LQP64" s="349"/>
      <c r="LQQ64" s="349"/>
      <c r="LQR64" s="349"/>
      <c r="LQS64" s="349"/>
      <c r="LQT64" s="349"/>
      <c r="LQU64" s="349"/>
      <c r="LQV64" s="349"/>
      <c r="LQW64" s="349"/>
      <c r="LQX64" s="349"/>
      <c r="LQY64" s="349"/>
      <c r="LQZ64" s="349"/>
      <c r="LRA64" s="349"/>
      <c r="LRB64" s="349"/>
      <c r="LRC64" s="349"/>
      <c r="LRD64" s="349"/>
      <c r="LRE64" s="349"/>
      <c r="LRF64" s="349"/>
      <c r="LRG64" s="349"/>
      <c r="LRH64" s="349"/>
      <c r="LRI64" s="349"/>
      <c r="LRJ64" s="349"/>
      <c r="LRK64" s="349"/>
      <c r="LRL64" s="349"/>
      <c r="LRM64" s="349"/>
      <c r="LRN64" s="349"/>
      <c r="LRO64" s="349"/>
      <c r="LRP64" s="349"/>
      <c r="LRQ64" s="349"/>
      <c r="LRR64" s="349"/>
      <c r="LRS64" s="349"/>
      <c r="LRT64" s="349"/>
      <c r="LRU64" s="349"/>
      <c r="LRV64" s="349"/>
      <c r="LRW64" s="349"/>
      <c r="LRX64" s="349"/>
      <c r="LRY64" s="349"/>
      <c r="LRZ64" s="349"/>
      <c r="LSA64" s="349"/>
      <c r="LSB64" s="349"/>
      <c r="LSC64" s="349"/>
      <c r="LSD64" s="349"/>
      <c r="LSE64" s="349"/>
      <c r="LSF64" s="349"/>
      <c r="LSG64" s="349"/>
      <c r="LSH64" s="349"/>
      <c r="LSI64" s="349"/>
      <c r="LSJ64" s="349"/>
      <c r="LSK64" s="349"/>
      <c r="LSL64" s="349"/>
      <c r="LSM64" s="349"/>
      <c r="LSN64" s="349"/>
      <c r="LSO64" s="349"/>
      <c r="LSP64" s="349"/>
      <c r="LSQ64" s="349"/>
      <c r="LSR64" s="349"/>
      <c r="LSS64" s="349"/>
      <c r="LST64" s="349"/>
      <c r="LSU64" s="349"/>
      <c r="LSV64" s="349"/>
      <c r="LSW64" s="349"/>
      <c r="LSX64" s="349"/>
      <c r="LSY64" s="349"/>
      <c r="LSZ64" s="349"/>
      <c r="LTA64" s="349"/>
      <c r="LTB64" s="349"/>
      <c r="LTC64" s="349"/>
      <c r="LTD64" s="349"/>
      <c r="LTE64" s="349"/>
      <c r="LTF64" s="349"/>
      <c r="LTG64" s="349"/>
      <c r="LTH64" s="349"/>
      <c r="LTI64" s="349"/>
      <c r="LTJ64" s="349"/>
      <c r="LTK64" s="349"/>
      <c r="LTL64" s="349"/>
      <c r="LTM64" s="349"/>
      <c r="LTN64" s="349"/>
      <c r="LTO64" s="349"/>
      <c r="LTP64" s="349"/>
      <c r="LTQ64" s="349"/>
      <c r="LTR64" s="349"/>
      <c r="LTS64" s="349"/>
      <c r="LTT64" s="349"/>
      <c r="LTU64" s="349"/>
      <c r="LTV64" s="349"/>
      <c r="LTW64" s="349"/>
      <c r="LTX64" s="349"/>
      <c r="LTY64" s="349"/>
      <c r="LTZ64" s="349"/>
      <c r="LUA64" s="349"/>
      <c r="LUB64" s="349"/>
      <c r="LUC64" s="349"/>
      <c r="LUD64" s="349"/>
      <c r="LUE64" s="349"/>
      <c r="LUF64" s="349"/>
      <c r="LUG64" s="349"/>
      <c r="LUH64" s="349"/>
      <c r="LUI64" s="349"/>
      <c r="LUJ64" s="349"/>
      <c r="LUK64" s="349"/>
      <c r="LUL64" s="349"/>
      <c r="LUM64" s="349"/>
      <c r="LUN64" s="349"/>
      <c r="LUO64" s="349"/>
      <c r="LUP64" s="349"/>
      <c r="LUQ64" s="349"/>
      <c r="LUR64" s="349"/>
      <c r="LUS64" s="349"/>
      <c r="LUT64" s="349"/>
      <c r="LUU64" s="349"/>
      <c r="LUV64" s="349"/>
      <c r="LUW64" s="349"/>
      <c r="LUX64" s="349"/>
      <c r="LUY64" s="349"/>
      <c r="LUZ64" s="349"/>
      <c r="LVA64" s="349"/>
      <c r="LVB64" s="349"/>
      <c r="LVC64" s="349"/>
      <c r="LVD64" s="349"/>
      <c r="LVE64" s="349"/>
      <c r="LVF64" s="349"/>
      <c r="LVG64" s="349"/>
      <c r="LVH64" s="349"/>
      <c r="LVI64" s="349"/>
      <c r="LVJ64" s="349"/>
      <c r="LVK64" s="349"/>
      <c r="LVL64" s="349"/>
      <c r="LVM64" s="349"/>
      <c r="LVN64" s="349"/>
      <c r="LVO64" s="349"/>
      <c r="LVP64" s="349"/>
      <c r="LVQ64" s="349"/>
      <c r="LVR64" s="349"/>
      <c r="LVS64" s="349"/>
      <c r="LVT64" s="349"/>
      <c r="LVU64" s="349"/>
      <c r="LVV64" s="349"/>
      <c r="LVW64" s="349"/>
      <c r="LVX64" s="349"/>
      <c r="LVY64" s="349"/>
      <c r="LVZ64" s="349"/>
      <c r="LWA64" s="349"/>
      <c r="LWB64" s="349"/>
      <c r="LWC64" s="349"/>
      <c r="LWD64" s="349"/>
      <c r="LWE64" s="349"/>
      <c r="LWF64" s="349"/>
      <c r="LWG64" s="349"/>
      <c r="LWH64" s="349"/>
      <c r="LWI64" s="349"/>
      <c r="LWJ64" s="349"/>
      <c r="LWK64" s="349"/>
      <c r="LWL64" s="349"/>
      <c r="LWM64" s="349"/>
      <c r="LWN64" s="349"/>
      <c r="LWO64" s="349"/>
      <c r="LWP64" s="349"/>
      <c r="LWQ64" s="349"/>
      <c r="LWR64" s="349"/>
      <c r="LWS64" s="349"/>
      <c r="LWT64" s="349"/>
      <c r="LWU64" s="349"/>
      <c r="LWV64" s="349"/>
      <c r="LWW64" s="349"/>
      <c r="LWX64" s="349"/>
      <c r="LWY64" s="349"/>
      <c r="LWZ64" s="349"/>
      <c r="LXA64" s="349"/>
      <c r="LXB64" s="349"/>
      <c r="LXC64" s="349"/>
      <c r="LXD64" s="349"/>
      <c r="LXE64" s="349"/>
      <c r="LXF64" s="349"/>
      <c r="LXG64" s="349"/>
      <c r="LXH64" s="349"/>
      <c r="LXI64" s="349"/>
      <c r="LXJ64" s="349"/>
      <c r="LXK64" s="349"/>
      <c r="LXL64" s="349"/>
      <c r="LXM64" s="349"/>
      <c r="LXN64" s="349"/>
      <c r="LXO64" s="349"/>
      <c r="LXP64" s="349"/>
      <c r="LXQ64" s="349"/>
      <c r="LXR64" s="349"/>
      <c r="LXS64" s="349"/>
      <c r="LXT64" s="349"/>
      <c r="LXU64" s="349"/>
      <c r="LXV64" s="349"/>
      <c r="LXW64" s="349"/>
      <c r="LXX64" s="349"/>
      <c r="LXY64" s="349"/>
      <c r="LXZ64" s="349"/>
      <c r="LYA64" s="349"/>
      <c r="LYB64" s="349"/>
      <c r="LYC64" s="349"/>
      <c r="LYD64" s="349"/>
      <c r="LYE64" s="349"/>
      <c r="LYF64" s="349"/>
      <c r="LYG64" s="349"/>
      <c r="LYH64" s="349"/>
      <c r="LYI64" s="349"/>
      <c r="LYJ64" s="349"/>
      <c r="LYK64" s="349"/>
      <c r="LYL64" s="349"/>
      <c r="LYM64" s="349"/>
      <c r="LYN64" s="349"/>
      <c r="LYO64" s="349"/>
      <c r="LYP64" s="349"/>
      <c r="LYQ64" s="349"/>
      <c r="LYR64" s="349"/>
      <c r="LYS64" s="349"/>
      <c r="LYT64" s="349"/>
      <c r="LYU64" s="349"/>
      <c r="LYV64" s="349"/>
      <c r="LYW64" s="349"/>
      <c r="LYX64" s="349"/>
      <c r="LYY64" s="349"/>
      <c r="LYZ64" s="349"/>
      <c r="LZA64" s="349"/>
      <c r="LZB64" s="349"/>
      <c r="LZC64" s="349"/>
      <c r="LZD64" s="349"/>
      <c r="LZE64" s="349"/>
      <c r="LZF64" s="349"/>
      <c r="LZG64" s="349"/>
      <c r="LZH64" s="349"/>
      <c r="LZI64" s="349"/>
      <c r="LZJ64" s="349"/>
      <c r="LZK64" s="349"/>
      <c r="LZL64" s="349"/>
      <c r="LZM64" s="349"/>
      <c r="LZN64" s="349"/>
      <c r="LZO64" s="349"/>
      <c r="LZP64" s="349"/>
      <c r="LZQ64" s="349"/>
      <c r="LZR64" s="349"/>
      <c r="LZS64" s="349"/>
      <c r="LZT64" s="349"/>
      <c r="LZU64" s="349"/>
      <c r="LZV64" s="349"/>
      <c r="LZW64" s="349"/>
      <c r="LZX64" s="349"/>
      <c r="LZY64" s="349"/>
      <c r="LZZ64" s="349"/>
      <c r="MAA64" s="349"/>
      <c r="MAB64" s="349"/>
      <c r="MAC64" s="349"/>
      <c r="MAD64" s="349"/>
      <c r="MAE64" s="349"/>
      <c r="MAF64" s="349"/>
      <c r="MAG64" s="349"/>
      <c r="MAH64" s="349"/>
      <c r="MAI64" s="349"/>
      <c r="MAJ64" s="349"/>
      <c r="MAK64" s="349"/>
      <c r="MAL64" s="349"/>
      <c r="MAM64" s="349"/>
      <c r="MAN64" s="349"/>
      <c r="MAO64" s="349"/>
      <c r="MAP64" s="349"/>
      <c r="MAQ64" s="349"/>
      <c r="MAR64" s="349"/>
      <c r="MAS64" s="349"/>
      <c r="MAT64" s="349"/>
      <c r="MAU64" s="349"/>
      <c r="MAV64" s="349"/>
      <c r="MAW64" s="349"/>
      <c r="MAX64" s="349"/>
      <c r="MAY64" s="349"/>
      <c r="MAZ64" s="349"/>
      <c r="MBA64" s="349"/>
      <c r="MBB64" s="349"/>
      <c r="MBC64" s="349"/>
      <c r="MBD64" s="349"/>
      <c r="MBE64" s="349"/>
      <c r="MBF64" s="349"/>
      <c r="MBG64" s="349"/>
      <c r="MBH64" s="349"/>
      <c r="MBI64" s="349"/>
      <c r="MBJ64" s="349"/>
      <c r="MBK64" s="349"/>
      <c r="MBL64" s="349"/>
      <c r="MBM64" s="349"/>
      <c r="MBN64" s="349"/>
      <c r="MBO64" s="349"/>
      <c r="MBP64" s="349"/>
      <c r="MBQ64" s="349"/>
      <c r="MBR64" s="349"/>
      <c r="MBS64" s="349"/>
      <c r="MBT64" s="349"/>
      <c r="MBU64" s="349"/>
      <c r="MBV64" s="349"/>
      <c r="MBW64" s="349"/>
      <c r="MBX64" s="349"/>
      <c r="MBY64" s="349"/>
      <c r="MBZ64" s="349"/>
      <c r="MCA64" s="349"/>
      <c r="MCB64" s="349"/>
      <c r="MCC64" s="349"/>
      <c r="MCD64" s="349"/>
      <c r="MCE64" s="349"/>
      <c r="MCF64" s="349"/>
      <c r="MCG64" s="349"/>
      <c r="MCH64" s="349"/>
      <c r="MCI64" s="349"/>
      <c r="MCJ64" s="349"/>
      <c r="MCK64" s="349"/>
      <c r="MCL64" s="349"/>
      <c r="MCM64" s="349"/>
      <c r="MCN64" s="349"/>
      <c r="MCO64" s="349"/>
      <c r="MCP64" s="349"/>
      <c r="MCQ64" s="349"/>
      <c r="MCR64" s="349"/>
      <c r="MCS64" s="349"/>
      <c r="MCT64" s="349"/>
      <c r="MCU64" s="349"/>
      <c r="MCV64" s="349"/>
      <c r="MCW64" s="349"/>
      <c r="MCX64" s="349"/>
      <c r="MCY64" s="349"/>
      <c r="MCZ64" s="349"/>
      <c r="MDA64" s="349"/>
      <c r="MDB64" s="349"/>
      <c r="MDC64" s="349"/>
      <c r="MDD64" s="349"/>
      <c r="MDE64" s="349"/>
      <c r="MDF64" s="349"/>
      <c r="MDG64" s="349"/>
      <c r="MDH64" s="349"/>
      <c r="MDI64" s="349"/>
      <c r="MDJ64" s="349"/>
      <c r="MDK64" s="349"/>
      <c r="MDL64" s="349"/>
      <c r="MDM64" s="349"/>
      <c r="MDN64" s="349"/>
      <c r="MDO64" s="349"/>
      <c r="MDP64" s="349"/>
      <c r="MDQ64" s="349"/>
      <c r="MDR64" s="349"/>
      <c r="MDS64" s="349"/>
      <c r="MDT64" s="349"/>
      <c r="MDU64" s="349"/>
      <c r="MDV64" s="349"/>
      <c r="MDW64" s="349"/>
      <c r="MDX64" s="349"/>
      <c r="MDY64" s="349"/>
      <c r="MDZ64" s="349"/>
      <c r="MEA64" s="349"/>
      <c r="MEB64" s="349"/>
      <c r="MEC64" s="349"/>
      <c r="MED64" s="349"/>
      <c r="MEE64" s="349"/>
      <c r="MEF64" s="349"/>
      <c r="MEG64" s="349"/>
      <c r="MEH64" s="349"/>
      <c r="MEI64" s="349"/>
      <c r="MEJ64" s="349"/>
      <c r="MEK64" s="349"/>
      <c r="MEL64" s="349"/>
      <c r="MEM64" s="349"/>
      <c r="MEN64" s="349"/>
      <c r="MEO64" s="349"/>
      <c r="MEP64" s="349"/>
      <c r="MEQ64" s="349"/>
      <c r="MER64" s="349"/>
      <c r="MES64" s="349"/>
      <c r="MET64" s="349"/>
      <c r="MEU64" s="349"/>
      <c r="MEV64" s="349"/>
      <c r="MEW64" s="349"/>
      <c r="MEX64" s="349"/>
      <c r="MEY64" s="349"/>
      <c r="MEZ64" s="349"/>
      <c r="MFA64" s="349"/>
      <c r="MFB64" s="349"/>
      <c r="MFC64" s="349"/>
      <c r="MFD64" s="349"/>
      <c r="MFE64" s="349"/>
      <c r="MFF64" s="349"/>
      <c r="MFG64" s="349"/>
      <c r="MFH64" s="349"/>
      <c r="MFI64" s="349"/>
      <c r="MFJ64" s="349"/>
      <c r="MFK64" s="349"/>
      <c r="MFL64" s="349"/>
      <c r="MFM64" s="349"/>
      <c r="MFN64" s="349"/>
      <c r="MFO64" s="349"/>
      <c r="MFP64" s="349"/>
      <c r="MFQ64" s="349"/>
      <c r="MFR64" s="349"/>
      <c r="MFS64" s="349"/>
      <c r="MFT64" s="349"/>
      <c r="MFU64" s="349"/>
      <c r="MFV64" s="349"/>
      <c r="MFW64" s="349"/>
      <c r="MFX64" s="349"/>
      <c r="MFY64" s="349"/>
      <c r="MFZ64" s="349"/>
      <c r="MGA64" s="349"/>
      <c r="MGB64" s="349"/>
      <c r="MGC64" s="349"/>
      <c r="MGD64" s="349"/>
      <c r="MGE64" s="349"/>
      <c r="MGF64" s="349"/>
      <c r="MGG64" s="349"/>
      <c r="MGH64" s="349"/>
      <c r="MGI64" s="349"/>
      <c r="MGJ64" s="349"/>
      <c r="MGK64" s="349"/>
      <c r="MGL64" s="349"/>
      <c r="MGM64" s="349"/>
      <c r="MGN64" s="349"/>
      <c r="MGO64" s="349"/>
      <c r="MGP64" s="349"/>
      <c r="MGQ64" s="349"/>
      <c r="MGR64" s="349"/>
      <c r="MGS64" s="349"/>
      <c r="MGT64" s="349"/>
      <c r="MGU64" s="349"/>
      <c r="MGV64" s="349"/>
      <c r="MGW64" s="349"/>
      <c r="MGX64" s="349"/>
      <c r="MGY64" s="349"/>
      <c r="MGZ64" s="349"/>
      <c r="MHA64" s="349"/>
      <c r="MHB64" s="349"/>
      <c r="MHC64" s="349"/>
      <c r="MHD64" s="349"/>
      <c r="MHE64" s="349"/>
      <c r="MHF64" s="349"/>
      <c r="MHG64" s="349"/>
      <c r="MHH64" s="349"/>
      <c r="MHI64" s="349"/>
      <c r="MHJ64" s="349"/>
      <c r="MHK64" s="349"/>
      <c r="MHL64" s="349"/>
      <c r="MHM64" s="349"/>
      <c r="MHN64" s="349"/>
      <c r="MHO64" s="349"/>
      <c r="MHP64" s="349"/>
      <c r="MHQ64" s="349"/>
      <c r="MHR64" s="349"/>
      <c r="MHS64" s="349"/>
      <c r="MHT64" s="349"/>
      <c r="MHU64" s="349"/>
      <c r="MHV64" s="349"/>
      <c r="MHW64" s="349"/>
      <c r="MHX64" s="349"/>
      <c r="MHY64" s="349"/>
      <c r="MHZ64" s="349"/>
      <c r="MIA64" s="349"/>
      <c r="MIB64" s="349"/>
      <c r="MIC64" s="349"/>
      <c r="MID64" s="349"/>
      <c r="MIE64" s="349"/>
      <c r="MIF64" s="349"/>
      <c r="MIG64" s="349"/>
      <c r="MIH64" s="349"/>
      <c r="MII64" s="349"/>
      <c r="MIJ64" s="349"/>
      <c r="MIK64" s="349"/>
      <c r="MIL64" s="349"/>
      <c r="MIM64" s="349"/>
      <c r="MIN64" s="349"/>
      <c r="MIO64" s="349"/>
      <c r="MIP64" s="349"/>
      <c r="MIQ64" s="349"/>
      <c r="MIR64" s="349"/>
      <c r="MIS64" s="349"/>
      <c r="MIT64" s="349"/>
      <c r="MIU64" s="349"/>
      <c r="MIV64" s="349"/>
      <c r="MIW64" s="349"/>
      <c r="MIX64" s="349"/>
      <c r="MIY64" s="349"/>
      <c r="MIZ64" s="349"/>
      <c r="MJA64" s="349"/>
      <c r="MJB64" s="349"/>
      <c r="MJC64" s="349"/>
      <c r="MJD64" s="349"/>
      <c r="MJE64" s="349"/>
      <c r="MJF64" s="349"/>
      <c r="MJG64" s="349"/>
      <c r="MJH64" s="349"/>
      <c r="MJI64" s="349"/>
      <c r="MJJ64" s="349"/>
      <c r="MJK64" s="349"/>
      <c r="MJL64" s="349"/>
      <c r="MJM64" s="349"/>
      <c r="MJN64" s="349"/>
      <c r="MJO64" s="349"/>
      <c r="MJP64" s="349"/>
      <c r="MJQ64" s="349"/>
      <c r="MJR64" s="349"/>
      <c r="MJS64" s="349"/>
      <c r="MJT64" s="349"/>
      <c r="MJU64" s="349"/>
      <c r="MJV64" s="349"/>
      <c r="MJW64" s="349"/>
      <c r="MJX64" s="349"/>
      <c r="MJY64" s="349"/>
      <c r="MJZ64" s="349"/>
      <c r="MKA64" s="349"/>
      <c r="MKB64" s="349"/>
      <c r="MKC64" s="349"/>
      <c r="MKD64" s="349"/>
      <c r="MKE64" s="349"/>
      <c r="MKF64" s="349"/>
      <c r="MKG64" s="349"/>
      <c r="MKH64" s="349"/>
      <c r="MKI64" s="349"/>
      <c r="MKJ64" s="349"/>
      <c r="MKK64" s="349"/>
      <c r="MKL64" s="349"/>
      <c r="MKM64" s="349"/>
      <c r="MKN64" s="349"/>
      <c r="MKO64" s="349"/>
      <c r="MKP64" s="349"/>
      <c r="MKQ64" s="349"/>
      <c r="MKR64" s="349"/>
      <c r="MKS64" s="349"/>
      <c r="MKT64" s="349"/>
      <c r="MKU64" s="349"/>
      <c r="MKV64" s="349"/>
      <c r="MKW64" s="349"/>
      <c r="MKX64" s="349"/>
      <c r="MKY64" s="349"/>
      <c r="MKZ64" s="349"/>
      <c r="MLA64" s="349"/>
      <c r="MLB64" s="349"/>
      <c r="MLC64" s="349"/>
      <c r="MLD64" s="349"/>
      <c r="MLE64" s="349"/>
      <c r="MLF64" s="349"/>
      <c r="MLG64" s="349"/>
      <c r="MLH64" s="349"/>
      <c r="MLI64" s="349"/>
      <c r="MLJ64" s="349"/>
      <c r="MLK64" s="349"/>
      <c r="MLL64" s="349"/>
      <c r="MLM64" s="349"/>
      <c r="MLN64" s="349"/>
      <c r="MLO64" s="349"/>
      <c r="MLP64" s="349"/>
      <c r="MLQ64" s="349"/>
      <c r="MLR64" s="349"/>
      <c r="MLS64" s="349"/>
      <c r="MLT64" s="349"/>
      <c r="MLU64" s="349"/>
      <c r="MLV64" s="349"/>
      <c r="MLW64" s="349"/>
      <c r="MLX64" s="349"/>
      <c r="MLY64" s="349"/>
      <c r="MLZ64" s="349"/>
      <c r="MMA64" s="349"/>
      <c r="MMB64" s="349"/>
      <c r="MMC64" s="349"/>
      <c r="MMD64" s="349"/>
      <c r="MME64" s="349"/>
      <c r="MMF64" s="349"/>
      <c r="MMG64" s="349"/>
      <c r="MMH64" s="349"/>
      <c r="MMI64" s="349"/>
      <c r="MMJ64" s="349"/>
      <c r="MMK64" s="349"/>
      <c r="MML64" s="349"/>
      <c r="MMM64" s="349"/>
      <c r="MMN64" s="349"/>
      <c r="MMO64" s="349"/>
      <c r="MMP64" s="349"/>
      <c r="MMQ64" s="349"/>
      <c r="MMR64" s="349"/>
      <c r="MMS64" s="349"/>
      <c r="MMT64" s="349"/>
      <c r="MMU64" s="349"/>
      <c r="MMV64" s="349"/>
      <c r="MMW64" s="349"/>
      <c r="MMX64" s="349"/>
      <c r="MMY64" s="349"/>
      <c r="MMZ64" s="349"/>
      <c r="MNA64" s="349"/>
      <c r="MNB64" s="349"/>
      <c r="MNC64" s="349"/>
      <c r="MND64" s="349"/>
      <c r="MNE64" s="349"/>
      <c r="MNF64" s="349"/>
      <c r="MNG64" s="349"/>
      <c r="MNH64" s="349"/>
      <c r="MNI64" s="349"/>
      <c r="MNJ64" s="349"/>
      <c r="MNK64" s="349"/>
      <c r="MNL64" s="349"/>
      <c r="MNM64" s="349"/>
      <c r="MNN64" s="349"/>
      <c r="MNO64" s="349"/>
      <c r="MNP64" s="349"/>
      <c r="MNQ64" s="349"/>
      <c r="MNR64" s="349"/>
      <c r="MNS64" s="349"/>
      <c r="MNT64" s="349"/>
      <c r="MNU64" s="349"/>
      <c r="MNV64" s="349"/>
      <c r="MNW64" s="349"/>
      <c r="MNX64" s="349"/>
      <c r="MNY64" s="349"/>
      <c r="MNZ64" s="349"/>
      <c r="MOA64" s="349"/>
      <c r="MOB64" s="349"/>
      <c r="MOC64" s="349"/>
      <c r="MOD64" s="349"/>
      <c r="MOE64" s="349"/>
      <c r="MOF64" s="349"/>
      <c r="MOG64" s="349"/>
      <c r="MOH64" s="349"/>
      <c r="MOI64" s="349"/>
      <c r="MOJ64" s="349"/>
      <c r="MOK64" s="349"/>
      <c r="MOL64" s="349"/>
      <c r="MOM64" s="349"/>
      <c r="MON64" s="349"/>
      <c r="MOO64" s="349"/>
      <c r="MOP64" s="349"/>
      <c r="MOQ64" s="349"/>
      <c r="MOR64" s="349"/>
      <c r="MOS64" s="349"/>
      <c r="MOT64" s="349"/>
      <c r="MOU64" s="349"/>
      <c r="MOV64" s="349"/>
      <c r="MOW64" s="349"/>
      <c r="MOX64" s="349"/>
      <c r="MOY64" s="349"/>
      <c r="MOZ64" s="349"/>
      <c r="MPA64" s="349"/>
      <c r="MPB64" s="349"/>
      <c r="MPC64" s="349"/>
      <c r="MPD64" s="349"/>
      <c r="MPE64" s="349"/>
      <c r="MPF64" s="349"/>
      <c r="MPG64" s="349"/>
      <c r="MPH64" s="349"/>
      <c r="MPI64" s="349"/>
      <c r="MPJ64" s="349"/>
      <c r="MPK64" s="349"/>
      <c r="MPL64" s="349"/>
      <c r="MPM64" s="349"/>
      <c r="MPN64" s="349"/>
      <c r="MPO64" s="349"/>
      <c r="MPP64" s="349"/>
      <c r="MPQ64" s="349"/>
      <c r="MPR64" s="349"/>
      <c r="MPS64" s="349"/>
      <c r="MPT64" s="349"/>
      <c r="MPU64" s="349"/>
      <c r="MPV64" s="349"/>
      <c r="MPW64" s="349"/>
      <c r="MPX64" s="349"/>
      <c r="MPY64" s="349"/>
      <c r="MPZ64" s="349"/>
      <c r="MQA64" s="349"/>
      <c r="MQB64" s="349"/>
      <c r="MQC64" s="349"/>
      <c r="MQD64" s="349"/>
      <c r="MQE64" s="349"/>
      <c r="MQF64" s="349"/>
      <c r="MQG64" s="349"/>
      <c r="MQH64" s="349"/>
      <c r="MQI64" s="349"/>
      <c r="MQJ64" s="349"/>
      <c r="MQK64" s="349"/>
      <c r="MQL64" s="349"/>
      <c r="MQM64" s="349"/>
      <c r="MQN64" s="349"/>
      <c r="MQO64" s="349"/>
      <c r="MQP64" s="349"/>
      <c r="MQQ64" s="349"/>
      <c r="MQR64" s="349"/>
      <c r="MQS64" s="349"/>
      <c r="MQT64" s="349"/>
      <c r="MQU64" s="349"/>
      <c r="MQV64" s="349"/>
      <c r="MQW64" s="349"/>
      <c r="MQX64" s="349"/>
      <c r="MQY64" s="349"/>
      <c r="MQZ64" s="349"/>
      <c r="MRA64" s="349"/>
      <c r="MRB64" s="349"/>
      <c r="MRC64" s="349"/>
      <c r="MRD64" s="349"/>
      <c r="MRE64" s="349"/>
      <c r="MRF64" s="349"/>
      <c r="MRG64" s="349"/>
      <c r="MRH64" s="349"/>
      <c r="MRI64" s="349"/>
      <c r="MRJ64" s="349"/>
      <c r="MRK64" s="349"/>
      <c r="MRL64" s="349"/>
      <c r="MRM64" s="349"/>
      <c r="MRN64" s="349"/>
      <c r="MRO64" s="349"/>
      <c r="MRP64" s="349"/>
      <c r="MRQ64" s="349"/>
      <c r="MRR64" s="349"/>
      <c r="MRS64" s="349"/>
      <c r="MRT64" s="349"/>
      <c r="MRU64" s="349"/>
      <c r="MRV64" s="349"/>
      <c r="MRW64" s="349"/>
      <c r="MRX64" s="349"/>
      <c r="MRY64" s="349"/>
      <c r="MRZ64" s="349"/>
      <c r="MSA64" s="349"/>
      <c r="MSB64" s="349"/>
      <c r="MSC64" s="349"/>
      <c r="MSD64" s="349"/>
      <c r="MSE64" s="349"/>
      <c r="MSF64" s="349"/>
      <c r="MSG64" s="349"/>
      <c r="MSH64" s="349"/>
      <c r="MSI64" s="349"/>
      <c r="MSJ64" s="349"/>
      <c r="MSK64" s="349"/>
      <c r="MSL64" s="349"/>
      <c r="MSM64" s="349"/>
      <c r="MSN64" s="349"/>
      <c r="MSO64" s="349"/>
      <c r="MSP64" s="349"/>
      <c r="MSQ64" s="349"/>
      <c r="MSR64" s="349"/>
      <c r="MSS64" s="349"/>
      <c r="MST64" s="349"/>
      <c r="MSU64" s="349"/>
      <c r="MSV64" s="349"/>
      <c r="MSW64" s="349"/>
      <c r="MSX64" s="349"/>
      <c r="MSY64" s="349"/>
      <c r="MSZ64" s="349"/>
      <c r="MTA64" s="349"/>
      <c r="MTB64" s="349"/>
      <c r="MTC64" s="349"/>
      <c r="MTD64" s="349"/>
      <c r="MTE64" s="349"/>
      <c r="MTF64" s="349"/>
      <c r="MTG64" s="349"/>
      <c r="MTH64" s="349"/>
      <c r="MTI64" s="349"/>
      <c r="MTJ64" s="349"/>
      <c r="MTK64" s="349"/>
      <c r="MTL64" s="349"/>
      <c r="MTM64" s="349"/>
      <c r="MTN64" s="349"/>
      <c r="MTO64" s="349"/>
      <c r="MTP64" s="349"/>
      <c r="MTQ64" s="349"/>
      <c r="MTR64" s="349"/>
      <c r="MTS64" s="349"/>
      <c r="MTT64" s="349"/>
      <c r="MTU64" s="349"/>
      <c r="MTV64" s="349"/>
      <c r="MTW64" s="349"/>
      <c r="MTX64" s="349"/>
      <c r="MTY64" s="349"/>
      <c r="MTZ64" s="349"/>
      <c r="MUA64" s="349"/>
      <c r="MUB64" s="349"/>
      <c r="MUC64" s="349"/>
      <c r="MUD64" s="349"/>
      <c r="MUE64" s="349"/>
      <c r="MUF64" s="349"/>
      <c r="MUG64" s="349"/>
      <c r="MUH64" s="349"/>
      <c r="MUI64" s="349"/>
      <c r="MUJ64" s="349"/>
      <c r="MUK64" s="349"/>
      <c r="MUL64" s="349"/>
      <c r="MUM64" s="349"/>
      <c r="MUN64" s="349"/>
      <c r="MUO64" s="349"/>
      <c r="MUP64" s="349"/>
      <c r="MUQ64" s="349"/>
      <c r="MUR64" s="349"/>
      <c r="MUS64" s="349"/>
      <c r="MUT64" s="349"/>
      <c r="MUU64" s="349"/>
      <c r="MUV64" s="349"/>
      <c r="MUW64" s="349"/>
      <c r="MUX64" s="349"/>
      <c r="MUY64" s="349"/>
      <c r="MUZ64" s="349"/>
      <c r="MVA64" s="349"/>
      <c r="MVB64" s="349"/>
      <c r="MVC64" s="349"/>
      <c r="MVD64" s="349"/>
      <c r="MVE64" s="349"/>
      <c r="MVF64" s="349"/>
      <c r="MVG64" s="349"/>
      <c r="MVH64" s="349"/>
      <c r="MVI64" s="349"/>
      <c r="MVJ64" s="349"/>
      <c r="MVK64" s="349"/>
      <c r="MVL64" s="349"/>
      <c r="MVM64" s="349"/>
      <c r="MVN64" s="349"/>
      <c r="MVO64" s="349"/>
      <c r="MVP64" s="349"/>
      <c r="MVQ64" s="349"/>
      <c r="MVR64" s="349"/>
      <c r="MVS64" s="349"/>
      <c r="MVT64" s="349"/>
      <c r="MVU64" s="349"/>
      <c r="MVV64" s="349"/>
      <c r="MVW64" s="349"/>
      <c r="MVX64" s="349"/>
      <c r="MVY64" s="349"/>
      <c r="MVZ64" s="349"/>
      <c r="MWA64" s="349"/>
      <c r="MWB64" s="349"/>
      <c r="MWC64" s="349"/>
      <c r="MWD64" s="349"/>
      <c r="MWE64" s="349"/>
      <c r="MWF64" s="349"/>
      <c r="MWG64" s="349"/>
      <c r="MWH64" s="349"/>
      <c r="MWI64" s="349"/>
      <c r="MWJ64" s="349"/>
      <c r="MWK64" s="349"/>
      <c r="MWL64" s="349"/>
      <c r="MWM64" s="349"/>
      <c r="MWN64" s="349"/>
      <c r="MWO64" s="349"/>
      <c r="MWP64" s="349"/>
      <c r="MWQ64" s="349"/>
      <c r="MWR64" s="349"/>
      <c r="MWS64" s="349"/>
      <c r="MWT64" s="349"/>
      <c r="MWU64" s="349"/>
      <c r="MWV64" s="349"/>
      <c r="MWW64" s="349"/>
      <c r="MWX64" s="349"/>
      <c r="MWY64" s="349"/>
      <c r="MWZ64" s="349"/>
      <c r="MXA64" s="349"/>
      <c r="MXB64" s="349"/>
      <c r="MXC64" s="349"/>
      <c r="MXD64" s="349"/>
      <c r="MXE64" s="349"/>
      <c r="MXF64" s="349"/>
      <c r="MXG64" s="349"/>
      <c r="MXH64" s="349"/>
      <c r="MXI64" s="349"/>
      <c r="MXJ64" s="349"/>
      <c r="MXK64" s="349"/>
      <c r="MXL64" s="349"/>
      <c r="MXM64" s="349"/>
      <c r="MXN64" s="349"/>
      <c r="MXO64" s="349"/>
      <c r="MXP64" s="349"/>
      <c r="MXQ64" s="349"/>
      <c r="MXR64" s="349"/>
      <c r="MXS64" s="349"/>
      <c r="MXT64" s="349"/>
      <c r="MXU64" s="349"/>
      <c r="MXV64" s="349"/>
      <c r="MXW64" s="349"/>
      <c r="MXX64" s="349"/>
      <c r="MXY64" s="349"/>
      <c r="MXZ64" s="349"/>
      <c r="MYA64" s="349"/>
      <c r="MYB64" s="349"/>
      <c r="MYC64" s="349"/>
      <c r="MYD64" s="349"/>
      <c r="MYE64" s="349"/>
      <c r="MYF64" s="349"/>
      <c r="MYG64" s="349"/>
      <c r="MYH64" s="349"/>
      <c r="MYI64" s="349"/>
      <c r="MYJ64" s="349"/>
      <c r="MYK64" s="349"/>
      <c r="MYL64" s="349"/>
      <c r="MYM64" s="349"/>
      <c r="MYN64" s="349"/>
      <c r="MYO64" s="349"/>
      <c r="MYP64" s="349"/>
      <c r="MYQ64" s="349"/>
      <c r="MYR64" s="349"/>
      <c r="MYS64" s="349"/>
      <c r="MYT64" s="349"/>
      <c r="MYU64" s="349"/>
      <c r="MYV64" s="349"/>
      <c r="MYW64" s="349"/>
      <c r="MYX64" s="349"/>
      <c r="MYY64" s="349"/>
      <c r="MYZ64" s="349"/>
      <c r="MZA64" s="349"/>
      <c r="MZB64" s="349"/>
      <c r="MZC64" s="349"/>
      <c r="MZD64" s="349"/>
      <c r="MZE64" s="349"/>
      <c r="MZF64" s="349"/>
      <c r="MZG64" s="349"/>
      <c r="MZH64" s="349"/>
      <c r="MZI64" s="349"/>
      <c r="MZJ64" s="349"/>
      <c r="MZK64" s="349"/>
      <c r="MZL64" s="349"/>
      <c r="MZM64" s="349"/>
      <c r="MZN64" s="349"/>
      <c r="MZO64" s="349"/>
      <c r="MZP64" s="349"/>
      <c r="MZQ64" s="349"/>
      <c r="MZR64" s="349"/>
      <c r="MZS64" s="349"/>
      <c r="MZT64" s="349"/>
      <c r="MZU64" s="349"/>
      <c r="MZV64" s="349"/>
      <c r="MZW64" s="349"/>
      <c r="MZX64" s="349"/>
      <c r="MZY64" s="349"/>
      <c r="MZZ64" s="349"/>
      <c r="NAA64" s="349"/>
      <c r="NAB64" s="349"/>
      <c r="NAC64" s="349"/>
      <c r="NAD64" s="349"/>
      <c r="NAE64" s="349"/>
      <c r="NAF64" s="349"/>
      <c r="NAG64" s="349"/>
      <c r="NAH64" s="349"/>
      <c r="NAI64" s="349"/>
      <c r="NAJ64" s="349"/>
      <c r="NAK64" s="349"/>
      <c r="NAL64" s="349"/>
      <c r="NAM64" s="349"/>
      <c r="NAN64" s="349"/>
      <c r="NAO64" s="349"/>
      <c r="NAP64" s="349"/>
      <c r="NAQ64" s="349"/>
      <c r="NAR64" s="349"/>
      <c r="NAS64" s="349"/>
      <c r="NAT64" s="349"/>
      <c r="NAU64" s="349"/>
      <c r="NAV64" s="349"/>
      <c r="NAW64" s="349"/>
      <c r="NAX64" s="349"/>
      <c r="NAY64" s="349"/>
      <c r="NAZ64" s="349"/>
      <c r="NBA64" s="349"/>
      <c r="NBB64" s="349"/>
      <c r="NBC64" s="349"/>
      <c r="NBD64" s="349"/>
      <c r="NBE64" s="349"/>
      <c r="NBF64" s="349"/>
      <c r="NBG64" s="349"/>
      <c r="NBH64" s="349"/>
      <c r="NBI64" s="349"/>
      <c r="NBJ64" s="349"/>
      <c r="NBK64" s="349"/>
      <c r="NBL64" s="349"/>
      <c r="NBM64" s="349"/>
      <c r="NBN64" s="349"/>
      <c r="NBO64" s="349"/>
      <c r="NBP64" s="349"/>
      <c r="NBQ64" s="349"/>
      <c r="NBR64" s="349"/>
      <c r="NBS64" s="349"/>
      <c r="NBT64" s="349"/>
      <c r="NBU64" s="349"/>
      <c r="NBV64" s="349"/>
      <c r="NBW64" s="349"/>
      <c r="NBX64" s="349"/>
      <c r="NBY64" s="349"/>
      <c r="NBZ64" s="349"/>
      <c r="NCA64" s="349"/>
      <c r="NCB64" s="349"/>
      <c r="NCC64" s="349"/>
      <c r="NCD64" s="349"/>
      <c r="NCE64" s="349"/>
      <c r="NCF64" s="349"/>
      <c r="NCG64" s="349"/>
      <c r="NCH64" s="349"/>
      <c r="NCI64" s="349"/>
      <c r="NCJ64" s="349"/>
      <c r="NCK64" s="349"/>
      <c r="NCL64" s="349"/>
      <c r="NCM64" s="349"/>
      <c r="NCN64" s="349"/>
      <c r="NCO64" s="349"/>
      <c r="NCP64" s="349"/>
      <c r="NCQ64" s="349"/>
      <c r="NCR64" s="349"/>
      <c r="NCS64" s="349"/>
      <c r="NCT64" s="349"/>
      <c r="NCU64" s="349"/>
      <c r="NCV64" s="349"/>
      <c r="NCW64" s="349"/>
      <c r="NCX64" s="349"/>
      <c r="NCY64" s="349"/>
      <c r="NCZ64" s="349"/>
      <c r="NDA64" s="349"/>
      <c r="NDB64" s="349"/>
      <c r="NDC64" s="349"/>
      <c r="NDD64" s="349"/>
      <c r="NDE64" s="349"/>
      <c r="NDF64" s="349"/>
      <c r="NDG64" s="349"/>
      <c r="NDH64" s="349"/>
      <c r="NDI64" s="349"/>
      <c r="NDJ64" s="349"/>
      <c r="NDK64" s="349"/>
      <c r="NDL64" s="349"/>
      <c r="NDM64" s="349"/>
      <c r="NDN64" s="349"/>
      <c r="NDO64" s="349"/>
      <c r="NDP64" s="349"/>
      <c r="NDQ64" s="349"/>
      <c r="NDR64" s="349"/>
      <c r="NDS64" s="349"/>
      <c r="NDT64" s="349"/>
      <c r="NDU64" s="349"/>
      <c r="NDV64" s="349"/>
      <c r="NDW64" s="349"/>
      <c r="NDX64" s="349"/>
      <c r="NDY64" s="349"/>
      <c r="NDZ64" s="349"/>
      <c r="NEA64" s="349"/>
      <c r="NEB64" s="349"/>
      <c r="NEC64" s="349"/>
      <c r="NED64" s="349"/>
      <c r="NEE64" s="349"/>
      <c r="NEF64" s="349"/>
      <c r="NEG64" s="349"/>
      <c r="NEH64" s="349"/>
      <c r="NEI64" s="349"/>
      <c r="NEJ64" s="349"/>
      <c r="NEK64" s="349"/>
      <c r="NEL64" s="349"/>
      <c r="NEM64" s="349"/>
      <c r="NEN64" s="349"/>
      <c r="NEO64" s="349"/>
      <c r="NEP64" s="349"/>
      <c r="NEQ64" s="349"/>
      <c r="NER64" s="349"/>
      <c r="NES64" s="349"/>
      <c r="NET64" s="349"/>
      <c r="NEU64" s="349"/>
      <c r="NEV64" s="349"/>
      <c r="NEW64" s="349"/>
      <c r="NEX64" s="349"/>
      <c r="NEY64" s="349"/>
      <c r="NEZ64" s="349"/>
      <c r="NFA64" s="349"/>
      <c r="NFB64" s="349"/>
      <c r="NFC64" s="349"/>
      <c r="NFD64" s="349"/>
      <c r="NFE64" s="349"/>
      <c r="NFF64" s="349"/>
      <c r="NFG64" s="349"/>
      <c r="NFH64" s="349"/>
      <c r="NFI64" s="349"/>
      <c r="NFJ64" s="349"/>
      <c r="NFK64" s="349"/>
      <c r="NFL64" s="349"/>
      <c r="NFM64" s="349"/>
      <c r="NFN64" s="349"/>
      <c r="NFO64" s="349"/>
      <c r="NFP64" s="349"/>
      <c r="NFQ64" s="349"/>
      <c r="NFR64" s="349"/>
      <c r="NFS64" s="349"/>
      <c r="NFT64" s="349"/>
      <c r="NFU64" s="349"/>
      <c r="NFV64" s="349"/>
      <c r="NFW64" s="349"/>
      <c r="NFX64" s="349"/>
      <c r="NFY64" s="349"/>
      <c r="NFZ64" s="349"/>
      <c r="NGA64" s="349"/>
      <c r="NGB64" s="349"/>
      <c r="NGC64" s="349"/>
      <c r="NGD64" s="349"/>
      <c r="NGE64" s="349"/>
      <c r="NGF64" s="349"/>
      <c r="NGG64" s="349"/>
      <c r="NGH64" s="349"/>
      <c r="NGI64" s="349"/>
      <c r="NGJ64" s="349"/>
      <c r="NGK64" s="349"/>
      <c r="NGL64" s="349"/>
      <c r="NGM64" s="349"/>
      <c r="NGN64" s="349"/>
      <c r="NGO64" s="349"/>
      <c r="NGP64" s="349"/>
      <c r="NGQ64" s="349"/>
      <c r="NGR64" s="349"/>
      <c r="NGS64" s="349"/>
      <c r="NGT64" s="349"/>
      <c r="NGU64" s="349"/>
      <c r="NGV64" s="349"/>
      <c r="NGW64" s="349"/>
      <c r="NGX64" s="349"/>
      <c r="NGY64" s="349"/>
      <c r="NGZ64" s="349"/>
      <c r="NHA64" s="349"/>
      <c r="NHB64" s="349"/>
      <c r="NHC64" s="349"/>
      <c r="NHD64" s="349"/>
      <c r="NHE64" s="349"/>
      <c r="NHF64" s="349"/>
      <c r="NHG64" s="349"/>
      <c r="NHH64" s="349"/>
      <c r="NHI64" s="349"/>
      <c r="NHJ64" s="349"/>
      <c r="NHK64" s="349"/>
      <c r="NHL64" s="349"/>
      <c r="NHM64" s="349"/>
      <c r="NHN64" s="349"/>
      <c r="NHO64" s="349"/>
      <c r="NHP64" s="349"/>
      <c r="NHQ64" s="349"/>
      <c r="NHR64" s="349"/>
      <c r="NHS64" s="349"/>
      <c r="NHT64" s="349"/>
      <c r="NHU64" s="349"/>
      <c r="NHV64" s="349"/>
      <c r="NHW64" s="349"/>
      <c r="NHX64" s="349"/>
      <c r="NHY64" s="349"/>
      <c r="NHZ64" s="349"/>
      <c r="NIA64" s="349"/>
      <c r="NIB64" s="349"/>
      <c r="NIC64" s="349"/>
      <c r="NID64" s="349"/>
      <c r="NIE64" s="349"/>
      <c r="NIF64" s="349"/>
      <c r="NIG64" s="349"/>
      <c r="NIH64" s="349"/>
      <c r="NII64" s="349"/>
      <c r="NIJ64" s="349"/>
      <c r="NIK64" s="349"/>
      <c r="NIL64" s="349"/>
      <c r="NIM64" s="349"/>
      <c r="NIN64" s="349"/>
      <c r="NIO64" s="349"/>
      <c r="NIP64" s="349"/>
      <c r="NIQ64" s="349"/>
      <c r="NIR64" s="349"/>
      <c r="NIS64" s="349"/>
      <c r="NIT64" s="349"/>
      <c r="NIU64" s="349"/>
      <c r="NIV64" s="349"/>
      <c r="NIW64" s="349"/>
      <c r="NIX64" s="349"/>
      <c r="NIY64" s="349"/>
      <c r="NIZ64" s="349"/>
      <c r="NJA64" s="349"/>
      <c r="NJB64" s="349"/>
      <c r="NJC64" s="349"/>
      <c r="NJD64" s="349"/>
      <c r="NJE64" s="349"/>
      <c r="NJF64" s="349"/>
      <c r="NJG64" s="349"/>
      <c r="NJH64" s="349"/>
      <c r="NJI64" s="349"/>
      <c r="NJJ64" s="349"/>
      <c r="NJK64" s="349"/>
      <c r="NJL64" s="349"/>
      <c r="NJM64" s="349"/>
      <c r="NJN64" s="349"/>
      <c r="NJO64" s="349"/>
      <c r="NJP64" s="349"/>
      <c r="NJQ64" s="349"/>
      <c r="NJR64" s="349"/>
      <c r="NJS64" s="349"/>
      <c r="NJT64" s="349"/>
      <c r="NJU64" s="349"/>
      <c r="NJV64" s="349"/>
      <c r="NJW64" s="349"/>
      <c r="NJX64" s="349"/>
      <c r="NJY64" s="349"/>
      <c r="NJZ64" s="349"/>
      <c r="NKA64" s="349"/>
      <c r="NKB64" s="349"/>
      <c r="NKC64" s="349"/>
      <c r="NKD64" s="349"/>
      <c r="NKE64" s="349"/>
      <c r="NKF64" s="349"/>
      <c r="NKG64" s="349"/>
      <c r="NKH64" s="349"/>
      <c r="NKI64" s="349"/>
      <c r="NKJ64" s="349"/>
      <c r="NKK64" s="349"/>
      <c r="NKL64" s="349"/>
      <c r="NKM64" s="349"/>
      <c r="NKN64" s="349"/>
      <c r="NKO64" s="349"/>
      <c r="NKP64" s="349"/>
      <c r="NKQ64" s="349"/>
      <c r="NKR64" s="349"/>
      <c r="NKS64" s="349"/>
      <c r="NKT64" s="349"/>
      <c r="NKU64" s="349"/>
      <c r="NKV64" s="349"/>
      <c r="NKW64" s="349"/>
      <c r="NKX64" s="349"/>
      <c r="NKY64" s="349"/>
      <c r="NKZ64" s="349"/>
      <c r="NLA64" s="349"/>
      <c r="NLB64" s="349"/>
      <c r="NLC64" s="349"/>
      <c r="NLD64" s="349"/>
      <c r="NLE64" s="349"/>
      <c r="NLF64" s="349"/>
      <c r="NLG64" s="349"/>
      <c r="NLH64" s="349"/>
      <c r="NLI64" s="349"/>
      <c r="NLJ64" s="349"/>
      <c r="NLK64" s="349"/>
      <c r="NLL64" s="349"/>
      <c r="NLM64" s="349"/>
      <c r="NLN64" s="349"/>
      <c r="NLO64" s="349"/>
      <c r="NLP64" s="349"/>
      <c r="NLQ64" s="349"/>
      <c r="NLR64" s="349"/>
      <c r="NLS64" s="349"/>
      <c r="NLT64" s="349"/>
      <c r="NLU64" s="349"/>
      <c r="NLV64" s="349"/>
      <c r="NLW64" s="349"/>
      <c r="NLX64" s="349"/>
      <c r="NLY64" s="349"/>
      <c r="NLZ64" s="349"/>
      <c r="NMA64" s="349"/>
      <c r="NMB64" s="349"/>
      <c r="NMC64" s="349"/>
      <c r="NMD64" s="349"/>
      <c r="NME64" s="349"/>
      <c r="NMF64" s="349"/>
      <c r="NMG64" s="349"/>
      <c r="NMH64" s="349"/>
      <c r="NMI64" s="349"/>
      <c r="NMJ64" s="349"/>
      <c r="NMK64" s="349"/>
      <c r="NML64" s="349"/>
      <c r="NMM64" s="349"/>
      <c r="NMN64" s="349"/>
      <c r="NMO64" s="349"/>
      <c r="NMP64" s="349"/>
      <c r="NMQ64" s="349"/>
      <c r="NMR64" s="349"/>
      <c r="NMS64" s="349"/>
      <c r="NMT64" s="349"/>
      <c r="NMU64" s="349"/>
      <c r="NMV64" s="349"/>
      <c r="NMW64" s="349"/>
      <c r="NMX64" s="349"/>
      <c r="NMY64" s="349"/>
      <c r="NMZ64" s="349"/>
      <c r="NNA64" s="349"/>
      <c r="NNB64" s="349"/>
      <c r="NNC64" s="349"/>
      <c r="NND64" s="349"/>
      <c r="NNE64" s="349"/>
      <c r="NNF64" s="349"/>
      <c r="NNG64" s="349"/>
      <c r="NNH64" s="349"/>
      <c r="NNI64" s="349"/>
      <c r="NNJ64" s="349"/>
      <c r="NNK64" s="349"/>
      <c r="NNL64" s="349"/>
      <c r="NNM64" s="349"/>
      <c r="NNN64" s="349"/>
      <c r="NNO64" s="349"/>
      <c r="NNP64" s="349"/>
      <c r="NNQ64" s="349"/>
      <c r="NNR64" s="349"/>
      <c r="NNS64" s="349"/>
      <c r="NNT64" s="349"/>
      <c r="NNU64" s="349"/>
      <c r="NNV64" s="349"/>
      <c r="NNW64" s="349"/>
      <c r="NNX64" s="349"/>
      <c r="NNY64" s="349"/>
      <c r="NNZ64" s="349"/>
      <c r="NOA64" s="349"/>
      <c r="NOB64" s="349"/>
      <c r="NOC64" s="349"/>
      <c r="NOD64" s="349"/>
      <c r="NOE64" s="349"/>
      <c r="NOF64" s="349"/>
      <c r="NOG64" s="349"/>
      <c r="NOH64" s="349"/>
      <c r="NOI64" s="349"/>
      <c r="NOJ64" s="349"/>
      <c r="NOK64" s="349"/>
      <c r="NOL64" s="349"/>
      <c r="NOM64" s="349"/>
      <c r="NON64" s="349"/>
      <c r="NOO64" s="349"/>
      <c r="NOP64" s="349"/>
      <c r="NOQ64" s="349"/>
      <c r="NOR64" s="349"/>
      <c r="NOS64" s="349"/>
      <c r="NOT64" s="349"/>
      <c r="NOU64" s="349"/>
      <c r="NOV64" s="349"/>
      <c r="NOW64" s="349"/>
      <c r="NOX64" s="349"/>
      <c r="NOY64" s="349"/>
      <c r="NOZ64" s="349"/>
      <c r="NPA64" s="349"/>
      <c r="NPB64" s="349"/>
      <c r="NPC64" s="349"/>
      <c r="NPD64" s="349"/>
      <c r="NPE64" s="349"/>
      <c r="NPF64" s="349"/>
      <c r="NPG64" s="349"/>
      <c r="NPH64" s="349"/>
      <c r="NPI64" s="349"/>
      <c r="NPJ64" s="349"/>
      <c r="NPK64" s="349"/>
      <c r="NPL64" s="349"/>
      <c r="NPM64" s="349"/>
      <c r="NPN64" s="349"/>
      <c r="NPO64" s="349"/>
      <c r="NPP64" s="349"/>
      <c r="NPQ64" s="349"/>
      <c r="NPR64" s="349"/>
      <c r="NPS64" s="349"/>
      <c r="NPT64" s="349"/>
      <c r="NPU64" s="349"/>
      <c r="NPV64" s="349"/>
      <c r="NPW64" s="349"/>
      <c r="NPX64" s="349"/>
      <c r="NPY64" s="349"/>
      <c r="NPZ64" s="349"/>
      <c r="NQA64" s="349"/>
      <c r="NQB64" s="349"/>
      <c r="NQC64" s="349"/>
      <c r="NQD64" s="349"/>
      <c r="NQE64" s="349"/>
      <c r="NQF64" s="349"/>
      <c r="NQG64" s="349"/>
      <c r="NQH64" s="349"/>
      <c r="NQI64" s="349"/>
      <c r="NQJ64" s="349"/>
      <c r="NQK64" s="349"/>
      <c r="NQL64" s="349"/>
      <c r="NQM64" s="349"/>
      <c r="NQN64" s="349"/>
      <c r="NQO64" s="349"/>
      <c r="NQP64" s="349"/>
      <c r="NQQ64" s="349"/>
      <c r="NQR64" s="349"/>
      <c r="NQS64" s="349"/>
      <c r="NQT64" s="349"/>
      <c r="NQU64" s="349"/>
      <c r="NQV64" s="349"/>
      <c r="NQW64" s="349"/>
      <c r="NQX64" s="349"/>
      <c r="NQY64" s="349"/>
      <c r="NQZ64" s="349"/>
      <c r="NRA64" s="349"/>
      <c r="NRB64" s="349"/>
      <c r="NRC64" s="349"/>
      <c r="NRD64" s="349"/>
      <c r="NRE64" s="349"/>
      <c r="NRF64" s="349"/>
      <c r="NRG64" s="349"/>
      <c r="NRH64" s="349"/>
      <c r="NRI64" s="349"/>
      <c r="NRJ64" s="349"/>
      <c r="NRK64" s="349"/>
      <c r="NRL64" s="349"/>
      <c r="NRM64" s="349"/>
      <c r="NRN64" s="349"/>
      <c r="NRO64" s="349"/>
      <c r="NRP64" s="349"/>
      <c r="NRQ64" s="349"/>
      <c r="NRR64" s="349"/>
      <c r="NRS64" s="349"/>
      <c r="NRT64" s="349"/>
      <c r="NRU64" s="349"/>
      <c r="NRV64" s="349"/>
      <c r="NRW64" s="349"/>
      <c r="NRX64" s="349"/>
      <c r="NRY64" s="349"/>
      <c r="NRZ64" s="349"/>
      <c r="NSA64" s="349"/>
      <c r="NSB64" s="349"/>
      <c r="NSC64" s="349"/>
      <c r="NSD64" s="349"/>
      <c r="NSE64" s="349"/>
      <c r="NSF64" s="349"/>
      <c r="NSG64" s="349"/>
      <c r="NSH64" s="349"/>
      <c r="NSI64" s="349"/>
      <c r="NSJ64" s="349"/>
      <c r="NSK64" s="349"/>
      <c r="NSL64" s="349"/>
      <c r="NSM64" s="349"/>
      <c r="NSN64" s="349"/>
      <c r="NSO64" s="349"/>
      <c r="NSP64" s="349"/>
      <c r="NSQ64" s="349"/>
      <c r="NSR64" s="349"/>
      <c r="NSS64" s="349"/>
      <c r="NST64" s="349"/>
      <c r="NSU64" s="349"/>
      <c r="NSV64" s="349"/>
      <c r="NSW64" s="349"/>
      <c r="NSX64" s="349"/>
      <c r="NSY64" s="349"/>
      <c r="NSZ64" s="349"/>
      <c r="NTA64" s="349"/>
      <c r="NTB64" s="349"/>
      <c r="NTC64" s="349"/>
      <c r="NTD64" s="349"/>
      <c r="NTE64" s="349"/>
      <c r="NTF64" s="349"/>
      <c r="NTG64" s="349"/>
      <c r="NTH64" s="349"/>
      <c r="NTI64" s="349"/>
      <c r="NTJ64" s="349"/>
      <c r="NTK64" s="349"/>
      <c r="NTL64" s="349"/>
      <c r="NTM64" s="349"/>
      <c r="NTN64" s="349"/>
      <c r="NTO64" s="349"/>
      <c r="NTP64" s="349"/>
      <c r="NTQ64" s="349"/>
      <c r="NTR64" s="349"/>
      <c r="NTS64" s="349"/>
      <c r="NTT64" s="349"/>
      <c r="NTU64" s="349"/>
      <c r="NTV64" s="349"/>
      <c r="NTW64" s="349"/>
      <c r="NTX64" s="349"/>
      <c r="NTY64" s="349"/>
      <c r="NTZ64" s="349"/>
      <c r="NUA64" s="349"/>
      <c r="NUB64" s="349"/>
      <c r="NUC64" s="349"/>
      <c r="NUD64" s="349"/>
      <c r="NUE64" s="349"/>
      <c r="NUF64" s="349"/>
      <c r="NUG64" s="349"/>
      <c r="NUH64" s="349"/>
      <c r="NUI64" s="349"/>
      <c r="NUJ64" s="349"/>
      <c r="NUK64" s="349"/>
      <c r="NUL64" s="349"/>
      <c r="NUM64" s="349"/>
      <c r="NUN64" s="349"/>
      <c r="NUO64" s="349"/>
      <c r="NUP64" s="349"/>
      <c r="NUQ64" s="349"/>
      <c r="NUR64" s="349"/>
      <c r="NUS64" s="349"/>
      <c r="NUT64" s="349"/>
      <c r="NUU64" s="349"/>
      <c r="NUV64" s="349"/>
      <c r="NUW64" s="349"/>
      <c r="NUX64" s="349"/>
      <c r="NUY64" s="349"/>
      <c r="NUZ64" s="349"/>
      <c r="NVA64" s="349"/>
      <c r="NVB64" s="349"/>
      <c r="NVC64" s="349"/>
      <c r="NVD64" s="349"/>
      <c r="NVE64" s="349"/>
      <c r="NVF64" s="349"/>
      <c r="NVG64" s="349"/>
      <c r="NVH64" s="349"/>
      <c r="NVI64" s="349"/>
      <c r="NVJ64" s="349"/>
      <c r="NVK64" s="349"/>
      <c r="NVL64" s="349"/>
      <c r="NVM64" s="349"/>
      <c r="NVN64" s="349"/>
      <c r="NVO64" s="349"/>
      <c r="NVP64" s="349"/>
      <c r="NVQ64" s="349"/>
      <c r="NVR64" s="349"/>
      <c r="NVS64" s="349"/>
      <c r="NVT64" s="349"/>
      <c r="NVU64" s="349"/>
      <c r="NVV64" s="349"/>
      <c r="NVW64" s="349"/>
      <c r="NVX64" s="349"/>
      <c r="NVY64" s="349"/>
      <c r="NVZ64" s="349"/>
      <c r="NWA64" s="349"/>
      <c r="NWB64" s="349"/>
      <c r="NWC64" s="349"/>
      <c r="NWD64" s="349"/>
      <c r="NWE64" s="349"/>
      <c r="NWF64" s="349"/>
      <c r="NWG64" s="349"/>
      <c r="NWH64" s="349"/>
      <c r="NWI64" s="349"/>
      <c r="NWJ64" s="349"/>
      <c r="NWK64" s="349"/>
      <c r="NWL64" s="349"/>
      <c r="NWM64" s="349"/>
      <c r="NWN64" s="349"/>
      <c r="NWO64" s="349"/>
      <c r="NWP64" s="349"/>
      <c r="NWQ64" s="349"/>
      <c r="NWR64" s="349"/>
      <c r="NWS64" s="349"/>
      <c r="NWT64" s="349"/>
      <c r="NWU64" s="349"/>
      <c r="NWV64" s="349"/>
      <c r="NWW64" s="349"/>
      <c r="NWX64" s="349"/>
      <c r="NWY64" s="349"/>
      <c r="NWZ64" s="349"/>
      <c r="NXA64" s="349"/>
      <c r="NXB64" s="349"/>
      <c r="NXC64" s="349"/>
      <c r="NXD64" s="349"/>
      <c r="NXE64" s="349"/>
      <c r="NXF64" s="349"/>
      <c r="NXG64" s="349"/>
      <c r="NXH64" s="349"/>
      <c r="NXI64" s="349"/>
      <c r="NXJ64" s="349"/>
      <c r="NXK64" s="349"/>
      <c r="NXL64" s="349"/>
      <c r="NXM64" s="349"/>
      <c r="NXN64" s="349"/>
      <c r="NXO64" s="349"/>
      <c r="NXP64" s="349"/>
      <c r="NXQ64" s="349"/>
      <c r="NXR64" s="349"/>
      <c r="NXS64" s="349"/>
      <c r="NXT64" s="349"/>
      <c r="NXU64" s="349"/>
      <c r="NXV64" s="349"/>
      <c r="NXW64" s="349"/>
      <c r="NXX64" s="349"/>
      <c r="NXY64" s="349"/>
      <c r="NXZ64" s="349"/>
      <c r="NYA64" s="349"/>
      <c r="NYB64" s="349"/>
      <c r="NYC64" s="349"/>
      <c r="NYD64" s="349"/>
      <c r="NYE64" s="349"/>
      <c r="NYF64" s="349"/>
      <c r="NYG64" s="349"/>
      <c r="NYH64" s="349"/>
      <c r="NYI64" s="349"/>
      <c r="NYJ64" s="349"/>
      <c r="NYK64" s="349"/>
      <c r="NYL64" s="349"/>
      <c r="NYM64" s="349"/>
      <c r="NYN64" s="349"/>
      <c r="NYO64" s="349"/>
      <c r="NYP64" s="349"/>
      <c r="NYQ64" s="349"/>
      <c r="NYR64" s="349"/>
      <c r="NYS64" s="349"/>
      <c r="NYT64" s="349"/>
      <c r="NYU64" s="349"/>
      <c r="NYV64" s="349"/>
      <c r="NYW64" s="349"/>
      <c r="NYX64" s="349"/>
      <c r="NYY64" s="349"/>
      <c r="NYZ64" s="349"/>
      <c r="NZA64" s="349"/>
      <c r="NZB64" s="349"/>
      <c r="NZC64" s="349"/>
      <c r="NZD64" s="349"/>
      <c r="NZE64" s="349"/>
      <c r="NZF64" s="349"/>
      <c r="NZG64" s="349"/>
      <c r="NZH64" s="349"/>
      <c r="NZI64" s="349"/>
      <c r="NZJ64" s="349"/>
      <c r="NZK64" s="349"/>
      <c r="NZL64" s="349"/>
      <c r="NZM64" s="349"/>
      <c r="NZN64" s="349"/>
      <c r="NZO64" s="349"/>
      <c r="NZP64" s="349"/>
      <c r="NZQ64" s="349"/>
      <c r="NZR64" s="349"/>
      <c r="NZS64" s="349"/>
      <c r="NZT64" s="349"/>
      <c r="NZU64" s="349"/>
      <c r="NZV64" s="349"/>
      <c r="NZW64" s="349"/>
      <c r="NZX64" s="349"/>
      <c r="NZY64" s="349"/>
      <c r="NZZ64" s="349"/>
      <c r="OAA64" s="349"/>
      <c r="OAB64" s="349"/>
      <c r="OAC64" s="349"/>
      <c r="OAD64" s="349"/>
      <c r="OAE64" s="349"/>
      <c r="OAF64" s="349"/>
      <c r="OAG64" s="349"/>
      <c r="OAH64" s="349"/>
      <c r="OAI64" s="349"/>
      <c r="OAJ64" s="349"/>
      <c r="OAK64" s="349"/>
      <c r="OAL64" s="349"/>
      <c r="OAM64" s="349"/>
      <c r="OAN64" s="349"/>
      <c r="OAO64" s="349"/>
      <c r="OAP64" s="349"/>
      <c r="OAQ64" s="349"/>
      <c r="OAR64" s="349"/>
      <c r="OAS64" s="349"/>
      <c r="OAT64" s="349"/>
      <c r="OAU64" s="349"/>
      <c r="OAV64" s="349"/>
      <c r="OAW64" s="349"/>
      <c r="OAX64" s="349"/>
      <c r="OAY64" s="349"/>
      <c r="OAZ64" s="349"/>
      <c r="OBA64" s="349"/>
      <c r="OBB64" s="349"/>
      <c r="OBC64" s="349"/>
      <c r="OBD64" s="349"/>
      <c r="OBE64" s="349"/>
      <c r="OBF64" s="349"/>
      <c r="OBG64" s="349"/>
      <c r="OBH64" s="349"/>
      <c r="OBI64" s="349"/>
      <c r="OBJ64" s="349"/>
      <c r="OBK64" s="349"/>
      <c r="OBL64" s="349"/>
      <c r="OBM64" s="349"/>
      <c r="OBN64" s="349"/>
      <c r="OBO64" s="349"/>
      <c r="OBP64" s="349"/>
      <c r="OBQ64" s="349"/>
      <c r="OBR64" s="349"/>
      <c r="OBS64" s="349"/>
      <c r="OBT64" s="349"/>
      <c r="OBU64" s="349"/>
      <c r="OBV64" s="349"/>
      <c r="OBW64" s="349"/>
      <c r="OBX64" s="349"/>
      <c r="OBY64" s="349"/>
      <c r="OBZ64" s="349"/>
      <c r="OCA64" s="349"/>
      <c r="OCB64" s="349"/>
      <c r="OCC64" s="349"/>
      <c r="OCD64" s="349"/>
      <c r="OCE64" s="349"/>
      <c r="OCF64" s="349"/>
      <c r="OCG64" s="349"/>
      <c r="OCH64" s="349"/>
      <c r="OCI64" s="349"/>
      <c r="OCJ64" s="349"/>
      <c r="OCK64" s="349"/>
      <c r="OCL64" s="349"/>
      <c r="OCM64" s="349"/>
      <c r="OCN64" s="349"/>
      <c r="OCO64" s="349"/>
      <c r="OCP64" s="349"/>
      <c r="OCQ64" s="349"/>
      <c r="OCR64" s="349"/>
      <c r="OCS64" s="349"/>
      <c r="OCT64" s="349"/>
      <c r="OCU64" s="349"/>
      <c r="OCV64" s="349"/>
      <c r="OCW64" s="349"/>
      <c r="OCX64" s="349"/>
      <c r="OCY64" s="349"/>
      <c r="OCZ64" s="349"/>
      <c r="ODA64" s="349"/>
      <c r="ODB64" s="349"/>
      <c r="ODC64" s="349"/>
      <c r="ODD64" s="349"/>
      <c r="ODE64" s="349"/>
      <c r="ODF64" s="349"/>
      <c r="ODG64" s="349"/>
      <c r="ODH64" s="349"/>
      <c r="ODI64" s="349"/>
      <c r="ODJ64" s="349"/>
      <c r="ODK64" s="349"/>
      <c r="ODL64" s="349"/>
      <c r="ODM64" s="349"/>
      <c r="ODN64" s="349"/>
      <c r="ODO64" s="349"/>
      <c r="ODP64" s="349"/>
      <c r="ODQ64" s="349"/>
      <c r="ODR64" s="349"/>
      <c r="ODS64" s="349"/>
      <c r="ODT64" s="349"/>
      <c r="ODU64" s="349"/>
      <c r="ODV64" s="349"/>
      <c r="ODW64" s="349"/>
      <c r="ODX64" s="349"/>
      <c r="ODY64" s="349"/>
      <c r="ODZ64" s="349"/>
      <c r="OEA64" s="349"/>
      <c r="OEB64" s="349"/>
      <c r="OEC64" s="349"/>
      <c r="OED64" s="349"/>
      <c r="OEE64" s="349"/>
      <c r="OEF64" s="349"/>
      <c r="OEG64" s="349"/>
      <c r="OEH64" s="349"/>
      <c r="OEI64" s="349"/>
      <c r="OEJ64" s="349"/>
      <c r="OEK64" s="349"/>
      <c r="OEL64" s="349"/>
      <c r="OEM64" s="349"/>
      <c r="OEN64" s="349"/>
      <c r="OEO64" s="349"/>
      <c r="OEP64" s="349"/>
      <c r="OEQ64" s="349"/>
      <c r="OER64" s="349"/>
      <c r="OES64" s="349"/>
      <c r="OET64" s="349"/>
      <c r="OEU64" s="349"/>
      <c r="OEV64" s="349"/>
      <c r="OEW64" s="349"/>
      <c r="OEX64" s="349"/>
      <c r="OEY64" s="349"/>
      <c r="OEZ64" s="349"/>
      <c r="OFA64" s="349"/>
      <c r="OFB64" s="349"/>
      <c r="OFC64" s="349"/>
      <c r="OFD64" s="349"/>
      <c r="OFE64" s="349"/>
      <c r="OFF64" s="349"/>
      <c r="OFG64" s="349"/>
      <c r="OFH64" s="349"/>
      <c r="OFI64" s="349"/>
      <c r="OFJ64" s="349"/>
      <c r="OFK64" s="349"/>
      <c r="OFL64" s="349"/>
      <c r="OFM64" s="349"/>
      <c r="OFN64" s="349"/>
      <c r="OFO64" s="349"/>
      <c r="OFP64" s="349"/>
      <c r="OFQ64" s="349"/>
      <c r="OFR64" s="349"/>
      <c r="OFS64" s="349"/>
      <c r="OFT64" s="349"/>
      <c r="OFU64" s="349"/>
      <c r="OFV64" s="349"/>
      <c r="OFW64" s="349"/>
      <c r="OFX64" s="349"/>
      <c r="OFY64" s="349"/>
      <c r="OFZ64" s="349"/>
      <c r="OGA64" s="349"/>
      <c r="OGB64" s="349"/>
      <c r="OGC64" s="349"/>
      <c r="OGD64" s="349"/>
      <c r="OGE64" s="349"/>
      <c r="OGF64" s="349"/>
      <c r="OGG64" s="349"/>
      <c r="OGH64" s="349"/>
      <c r="OGI64" s="349"/>
      <c r="OGJ64" s="349"/>
      <c r="OGK64" s="349"/>
      <c r="OGL64" s="349"/>
      <c r="OGM64" s="349"/>
      <c r="OGN64" s="349"/>
      <c r="OGO64" s="349"/>
      <c r="OGP64" s="349"/>
      <c r="OGQ64" s="349"/>
      <c r="OGR64" s="349"/>
      <c r="OGS64" s="349"/>
      <c r="OGT64" s="349"/>
      <c r="OGU64" s="349"/>
      <c r="OGV64" s="349"/>
      <c r="OGW64" s="349"/>
      <c r="OGX64" s="349"/>
      <c r="OGY64" s="349"/>
      <c r="OGZ64" s="349"/>
      <c r="OHA64" s="349"/>
      <c r="OHB64" s="349"/>
      <c r="OHC64" s="349"/>
      <c r="OHD64" s="349"/>
      <c r="OHE64" s="349"/>
      <c r="OHF64" s="349"/>
      <c r="OHG64" s="349"/>
      <c r="OHH64" s="349"/>
      <c r="OHI64" s="349"/>
      <c r="OHJ64" s="349"/>
      <c r="OHK64" s="349"/>
      <c r="OHL64" s="349"/>
      <c r="OHM64" s="349"/>
      <c r="OHN64" s="349"/>
      <c r="OHO64" s="349"/>
      <c r="OHP64" s="349"/>
      <c r="OHQ64" s="349"/>
      <c r="OHR64" s="349"/>
      <c r="OHS64" s="349"/>
      <c r="OHT64" s="349"/>
      <c r="OHU64" s="349"/>
      <c r="OHV64" s="349"/>
      <c r="OHW64" s="349"/>
      <c r="OHX64" s="349"/>
      <c r="OHY64" s="349"/>
      <c r="OHZ64" s="349"/>
      <c r="OIA64" s="349"/>
      <c r="OIB64" s="349"/>
      <c r="OIC64" s="349"/>
      <c r="OID64" s="349"/>
      <c r="OIE64" s="349"/>
      <c r="OIF64" s="349"/>
      <c r="OIG64" s="349"/>
      <c r="OIH64" s="349"/>
      <c r="OII64" s="349"/>
      <c r="OIJ64" s="349"/>
      <c r="OIK64" s="349"/>
      <c r="OIL64" s="349"/>
      <c r="OIM64" s="349"/>
      <c r="OIN64" s="349"/>
      <c r="OIO64" s="349"/>
      <c r="OIP64" s="349"/>
      <c r="OIQ64" s="349"/>
      <c r="OIR64" s="349"/>
      <c r="OIS64" s="349"/>
      <c r="OIT64" s="349"/>
      <c r="OIU64" s="349"/>
      <c r="OIV64" s="349"/>
      <c r="OIW64" s="349"/>
      <c r="OIX64" s="349"/>
      <c r="OIY64" s="349"/>
      <c r="OIZ64" s="349"/>
      <c r="OJA64" s="349"/>
      <c r="OJB64" s="349"/>
      <c r="OJC64" s="349"/>
      <c r="OJD64" s="349"/>
      <c r="OJE64" s="349"/>
      <c r="OJF64" s="349"/>
      <c r="OJG64" s="349"/>
      <c r="OJH64" s="349"/>
      <c r="OJI64" s="349"/>
      <c r="OJJ64" s="349"/>
      <c r="OJK64" s="349"/>
      <c r="OJL64" s="349"/>
      <c r="OJM64" s="349"/>
      <c r="OJN64" s="349"/>
      <c r="OJO64" s="349"/>
      <c r="OJP64" s="349"/>
      <c r="OJQ64" s="349"/>
      <c r="OJR64" s="349"/>
      <c r="OJS64" s="349"/>
      <c r="OJT64" s="349"/>
      <c r="OJU64" s="349"/>
      <c r="OJV64" s="349"/>
      <c r="OJW64" s="349"/>
      <c r="OJX64" s="349"/>
      <c r="OJY64" s="349"/>
      <c r="OJZ64" s="349"/>
      <c r="OKA64" s="349"/>
      <c r="OKB64" s="349"/>
      <c r="OKC64" s="349"/>
      <c r="OKD64" s="349"/>
      <c r="OKE64" s="349"/>
      <c r="OKF64" s="349"/>
      <c r="OKG64" s="349"/>
      <c r="OKH64" s="349"/>
      <c r="OKI64" s="349"/>
      <c r="OKJ64" s="349"/>
      <c r="OKK64" s="349"/>
      <c r="OKL64" s="349"/>
      <c r="OKM64" s="349"/>
      <c r="OKN64" s="349"/>
      <c r="OKO64" s="349"/>
      <c r="OKP64" s="349"/>
      <c r="OKQ64" s="349"/>
      <c r="OKR64" s="349"/>
      <c r="OKS64" s="349"/>
      <c r="OKT64" s="349"/>
      <c r="OKU64" s="349"/>
      <c r="OKV64" s="349"/>
      <c r="OKW64" s="349"/>
      <c r="OKX64" s="349"/>
      <c r="OKY64" s="349"/>
      <c r="OKZ64" s="349"/>
      <c r="OLA64" s="349"/>
      <c r="OLB64" s="349"/>
      <c r="OLC64" s="349"/>
      <c r="OLD64" s="349"/>
      <c r="OLE64" s="349"/>
      <c r="OLF64" s="349"/>
      <c r="OLG64" s="349"/>
      <c r="OLH64" s="349"/>
      <c r="OLI64" s="349"/>
      <c r="OLJ64" s="349"/>
      <c r="OLK64" s="349"/>
      <c r="OLL64" s="349"/>
      <c r="OLM64" s="349"/>
      <c r="OLN64" s="349"/>
      <c r="OLO64" s="349"/>
      <c r="OLP64" s="349"/>
      <c r="OLQ64" s="349"/>
      <c r="OLR64" s="349"/>
      <c r="OLS64" s="349"/>
      <c r="OLT64" s="349"/>
      <c r="OLU64" s="349"/>
      <c r="OLV64" s="349"/>
      <c r="OLW64" s="349"/>
      <c r="OLX64" s="349"/>
      <c r="OLY64" s="349"/>
      <c r="OLZ64" s="349"/>
      <c r="OMA64" s="349"/>
      <c r="OMB64" s="349"/>
      <c r="OMC64" s="349"/>
      <c r="OMD64" s="349"/>
      <c r="OME64" s="349"/>
      <c r="OMF64" s="349"/>
      <c r="OMG64" s="349"/>
      <c r="OMH64" s="349"/>
      <c r="OMI64" s="349"/>
      <c r="OMJ64" s="349"/>
      <c r="OMK64" s="349"/>
      <c r="OML64" s="349"/>
      <c r="OMM64" s="349"/>
      <c r="OMN64" s="349"/>
      <c r="OMO64" s="349"/>
      <c r="OMP64" s="349"/>
      <c r="OMQ64" s="349"/>
      <c r="OMR64" s="349"/>
      <c r="OMS64" s="349"/>
      <c r="OMT64" s="349"/>
      <c r="OMU64" s="349"/>
      <c r="OMV64" s="349"/>
      <c r="OMW64" s="349"/>
      <c r="OMX64" s="349"/>
      <c r="OMY64" s="349"/>
      <c r="OMZ64" s="349"/>
      <c r="ONA64" s="349"/>
      <c r="ONB64" s="349"/>
      <c r="ONC64" s="349"/>
      <c r="OND64" s="349"/>
      <c r="ONE64" s="349"/>
      <c r="ONF64" s="349"/>
      <c r="ONG64" s="349"/>
      <c r="ONH64" s="349"/>
      <c r="ONI64" s="349"/>
      <c r="ONJ64" s="349"/>
      <c r="ONK64" s="349"/>
      <c r="ONL64" s="349"/>
      <c r="ONM64" s="349"/>
      <c r="ONN64" s="349"/>
      <c r="ONO64" s="349"/>
      <c r="ONP64" s="349"/>
      <c r="ONQ64" s="349"/>
      <c r="ONR64" s="349"/>
      <c r="ONS64" s="349"/>
      <c r="ONT64" s="349"/>
      <c r="ONU64" s="349"/>
      <c r="ONV64" s="349"/>
      <c r="ONW64" s="349"/>
      <c r="ONX64" s="349"/>
      <c r="ONY64" s="349"/>
      <c r="ONZ64" s="349"/>
      <c r="OOA64" s="349"/>
      <c r="OOB64" s="349"/>
      <c r="OOC64" s="349"/>
      <c r="OOD64" s="349"/>
      <c r="OOE64" s="349"/>
      <c r="OOF64" s="349"/>
      <c r="OOG64" s="349"/>
      <c r="OOH64" s="349"/>
      <c r="OOI64" s="349"/>
      <c r="OOJ64" s="349"/>
      <c r="OOK64" s="349"/>
      <c r="OOL64" s="349"/>
      <c r="OOM64" s="349"/>
      <c r="OON64" s="349"/>
      <c r="OOO64" s="349"/>
      <c r="OOP64" s="349"/>
      <c r="OOQ64" s="349"/>
      <c r="OOR64" s="349"/>
      <c r="OOS64" s="349"/>
      <c r="OOT64" s="349"/>
      <c r="OOU64" s="349"/>
      <c r="OOV64" s="349"/>
      <c r="OOW64" s="349"/>
      <c r="OOX64" s="349"/>
      <c r="OOY64" s="349"/>
      <c r="OOZ64" s="349"/>
      <c r="OPA64" s="349"/>
      <c r="OPB64" s="349"/>
      <c r="OPC64" s="349"/>
      <c r="OPD64" s="349"/>
      <c r="OPE64" s="349"/>
      <c r="OPF64" s="349"/>
      <c r="OPG64" s="349"/>
      <c r="OPH64" s="349"/>
      <c r="OPI64" s="349"/>
      <c r="OPJ64" s="349"/>
      <c r="OPK64" s="349"/>
      <c r="OPL64" s="349"/>
      <c r="OPM64" s="349"/>
      <c r="OPN64" s="349"/>
      <c r="OPO64" s="349"/>
      <c r="OPP64" s="349"/>
      <c r="OPQ64" s="349"/>
      <c r="OPR64" s="349"/>
      <c r="OPS64" s="349"/>
      <c r="OPT64" s="349"/>
      <c r="OPU64" s="349"/>
      <c r="OPV64" s="349"/>
      <c r="OPW64" s="349"/>
      <c r="OPX64" s="349"/>
      <c r="OPY64" s="349"/>
      <c r="OPZ64" s="349"/>
      <c r="OQA64" s="349"/>
      <c r="OQB64" s="349"/>
      <c r="OQC64" s="349"/>
      <c r="OQD64" s="349"/>
      <c r="OQE64" s="349"/>
      <c r="OQF64" s="349"/>
      <c r="OQG64" s="349"/>
      <c r="OQH64" s="349"/>
      <c r="OQI64" s="349"/>
      <c r="OQJ64" s="349"/>
      <c r="OQK64" s="349"/>
      <c r="OQL64" s="349"/>
      <c r="OQM64" s="349"/>
      <c r="OQN64" s="349"/>
      <c r="OQO64" s="349"/>
      <c r="OQP64" s="349"/>
      <c r="OQQ64" s="349"/>
      <c r="OQR64" s="349"/>
      <c r="OQS64" s="349"/>
      <c r="OQT64" s="349"/>
      <c r="OQU64" s="349"/>
      <c r="OQV64" s="349"/>
      <c r="OQW64" s="349"/>
      <c r="OQX64" s="349"/>
      <c r="OQY64" s="349"/>
      <c r="OQZ64" s="349"/>
      <c r="ORA64" s="349"/>
      <c r="ORB64" s="349"/>
      <c r="ORC64" s="349"/>
      <c r="ORD64" s="349"/>
      <c r="ORE64" s="349"/>
      <c r="ORF64" s="349"/>
      <c r="ORG64" s="349"/>
      <c r="ORH64" s="349"/>
      <c r="ORI64" s="349"/>
      <c r="ORJ64" s="349"/>
      <c r="ORK64" s="349"/>
      <c r="ORL64" s="349"/>
      <c r="ORM64" s="349"/>
      <c r="ORN64" s="349"/>
      <c r="ORO64" s="349"/>
      <c r="ORP64" s="349"/>
      <c r="ORQ64" s="349"/>
      <c r="ORR64" s="349"/>
      <c r="ORS64" s="349"/>
      <c r="ORT64" s="349"/>
      <c r="ORU64" s="349"/>
      <c r="ORV64" s="349"/>
      <c r="ORW64" s="349"/>
      <c r="ORX64" s="349"/>
      <c r="ORY64" s="349"/>
      <c r="ORZ64" s="349"/>
      <c r="OSA64" s="349"/>
      <c r="OSB64" s="349"/>
      <c r="OSC64" s="349"/>
      <c r="OSD64" s="349"/>
      <c r="OSE64" s="349"/>
      <c r="OSF64" s="349"/>
      <c r="OSG64" s="349"/>
      <c r="OSH64" s="349"/>
      <c r="OSI64" s="349"/>
      <c r="OSJ64" s="349"/>
      <c r="OSK64" s="349"/>
      <c r="OSL64" s="349"/>
      <c r="OSM64" s="349"/>
      <c r="OSN64" s="349"/>
      <c r="OSO64" s="349"/>
      <c r="OSP64" s="349"/>
      <c r="OSQ64" s="349"/>
      <c r="OSR64" s="349"/>
      <c r="OSS64" s="349"/>
      <c r="OST64" s="349"/>
      <c r="OSU64" s="349"/>
      <c r="OSV64" s="349"/>
      <c r="OSW64" s="349"/>
      <c r="OSX64" s="349"/>
      <c r="OSY64" s="349"/>
      <c r="OSZ64" s="349"/>
      <c r="OTA64" s="349"/>
      <c r="OTB64" s="349"/>
      <c r="OTC64" s="349"/>
      <c r="OTD64" s="349"/>
      <c r="OTE64" s="349"/>
      <c r="OTF64" s="349"/>
      <c r="OTG64" s="349"/>
      <c r="OTH64" s="349"/>
      <c r="OTI64" s="349"/>
      <c r="OTJ64" s="349"/>
      <c r="OTK64" s="349"/>
      <c r="OTL64" s="349"/>
      <c r="OTM64" s="349"/>
      <c r="OTN64" s="349"/>
      <c r="OTO64" s="349"/>
      <c r="OTP64" s="349"/>
      <c r="OTQ64" s="349"/>
      <c r="OTR64" s="349"/>
      <c r="OTS64" s="349"/>
      <c r="OTT64" s="349"/>
      <c r="OTU64" s="349"/>
      <c r="OTV64" s="349"/>
      <c r="OTW64" s="349"/>
      <c r="OTX64" s="349"/>
      <c r="OTY64" s="349"/>
      <c r="OTZ64" s="349"/>
      <c r="OUA64" s="349"/>
      <c r="OUB64" s="349"/>
      <c r="OUC64" s="349"/>
      <c r="OUD64" s="349"/>
      <c r="OUE64" s="349"/>
      <c r="OUF64" s="349"/>
      <c r="OUG64" s="349"/>
      <c r="OUH64" s="349"/>
      <c r="OUI64" s="349"/>
      <c r="OUJ64" s="349"/>
      <c r="OUK64" s="349"/>
      <c r="OUL64" s="349"/>
      <c r="OUM64" s="349"/>
      <c r="OUN64" s="349"/>
      <c r="OUO64" s="349"/>
      <c r="OUP64" s="349"/>
      <c r="OUQ64" s="349"/>
      <c r="OUR64" s="349"/>
      <c r="OUS64" s="349"/>
      <c r="OUT64" s="349"/>
      <c r="OUU64" s="349"/>
      <c r="OUV64" s="349"/>
      <c r="OUW64" s="349"/>
      <c r="OUX64" s="349"/>
      <c r="OUY64" s="349"/>
      <c r="OUZ64" s="349"/>
      <c r="OVA64" s="349"/>
      <c r="OVB64" s="349"/>
      <c r="OVC64" s="349"/>
      <c r="OVD64" s="349"/>
      <c r="OVE64" s="349"/>
      <c r="OVF64" s="349"/>
      <c r="OVG64" s="349"/>
      <c r="OVH64" s="349"/>
      <c r="OVI64" s="349"/>
      <c r="OVJ64" s="349"/>
      <c r="OVK64" s="349"/>
      <c r="OVL64" s="349"/>
      <c r="OVM64" s="349"/>
      <c r="OVN64" s="349"/>
      <c r="OVO64" s="349"/>
      <c r="OVP64" s="349"/>
      <c r="OVQ64" s="349"/>
      <c r="OVR64" s="349"/>
      <c r="OVS64" s="349"/>
      <c r="OVT64" s="349"/>
      <c r="OVU64" s="349"/>
      <c r="OVV64" s="349"/>
      <c r="OVW64" s="349"/>
      <c r="OVX64" s="349"/>
      <c r="OVY64" s="349"/>
      <c r="OVZ64" s="349"/>
      <c r="OWA64" s="349"/>
      <c r="OWB64" s="349"/>
      <c r="OWC64" s="349"/>
      <c r="OWD64" s="349"/>
      <c r="OWE64" s="349"/>
      <c r="OWF64" s="349"/>
      <c r="OWG64" s="349"/>
      <c r="OWH64" s="349"/>
      <c r="OWI64" s="349"/>
      <c r="OWJ64" s="349"/>
      <c r="OWK64" s="349"/>
      <c r="OWL64" s="349"/>
      <c r="OWM64" s="349"/>
      <c r="OWN64" s="349"/>
      <c r="OWO64" s="349"/>
      <c r="OWP64" s="349"/>
      <c r="OWQ64" s="349"/>
      <c r="OWR64" s="349"/>
      <c r="OWS64" s="349"/>
      <c r="OWT64" s="349"/>
      <c r="OWU64" s="349"/>
      <c r="OWV64" s="349"/>
      <c r="OWW64" s="349"/>
      <c r="OWX64" s="349"/>
      <c r="OWY64" s="349"/>
      <c r="OWZ64" s="349"/>
      <c r="OXA64" s="349"/>
      <c r="OXB64" s="349"/>
      <c r="OXC64" s="349"/>
      <c r="OXD64" s="349"/>
      <c r="OXE64" s="349"/>
      <c r="OXF64" s="349"/>
      <c r="OXG64" s="349"/>
      <c r="OXH64" s="349"/>
      <c r="OXI64" s="349"/>
      <c r="OXJ64" s="349"/>
      <c r="OXK64" s="349"/>
      <c r="OXL64" s="349"/>
      <c r="OXM64" s="349"/>
      <c r="OXN64" s="349"/>
      <c r="OXO64" s="349"/>
      <c r="OXP64" s="349"/>
      <c r="OXQ64" s="349"/>
      <c r="OXR64" s="349"/>
      <c r="OXS64" s="349"/>
      <c r="OXT64" s="349"/>
      <c r="OXU64" s="349"/>
      <c r="OXV64" s="349"/>
      <c r="OXW64" s="349"/>
      <c r="OXX64" s="349"/>
      <c r="OXY64" s="349"/>
      <c r="OXZ64" s="349"/>
      <c r="OYA64" s="349"/>
      <c r="OYB64" s="349"/>
      <c r="OYC64" s="349"/>
      <c r="OYD64" s="349"/>
      <c r="OYE64" s="349"/>
      <c r="OYF64" s="349"/>
      <c r="OYG64" s="349"/>
      <c r="OYH64" s="349"/>
      <c r="OYI64" s="349"/>
      <c r="OYJ64" s="349"/>
      <c r="OYK64" s="349"/>
      <c r="OYL64" s="349"/>
      <c r="OYM64" s="349"/>
      <c r="OYN64" s="349"/>
      <c r="OYO64" s="349"/>
      <c r="OYP64" s="349"/>
      <c r="OYQ64" s="349"/>
      <c r="OYR64" s="349"/>
      <c r="OYS64" s="349"/>
      <c r="OYT64" s="349"/>
      <c r="OYU64" s="349"/>
      <c r="OYV64" s="349"/>
      <c r="OYW64" s="349"/>
      <c r="OYX64" s="349"/>
      <c r="OYY64" s="349"/>
      <c r="OYZ64" s="349"/>
      <c r="OZA64" s="349"/>
      <c r="OZB64" s="349"/>
      <c r="OZC64" s="349"/>
      <c r="OZD64" s="349"/>
      <c r="OZE64" s="349"/>
      <c r="OZF64" s="349"/>
      <c r="OZG64" s="349"/>
      <c r="OZH64" s="349"/>
      <c r="OZI64" s="349"/>
      <c r="OZJ64" s="349"/>
      <c r="OZK64" s="349"/>
      <c r="OZL64" s="349"/>
      <c r="OZM64" s="349"/>
      <c r="OZN64" s="349"/>
      <c r="OZO64" s="349"/>
      <c r="OZP64" s="349"/>
      <c r="OZQ64" s="349"/>
      <c r="OZR64" s="349"/>
      <c r="OZS64" s="349"/>
      <c r="OZT64" s="349"/>
      <c r="OZU64" s="349"/>
      <c r="OZV64" s="349"/>
      <c r="OZW64" s="349"/>
      <c r="OZX64" s="349"/>
      <c r="OZY64" s="349"/>
      <c r="OZZ64" s="349"/>
      <c r="PAA64" s="349"/>
      <c r="PAB64" s="349"/>
      <c r="PAC64" s="349"/>
      <c r="PAD64" s="349"/>
      <c r="PAE64" s="349"/>
      <c r="PAF64" s="349"/>
      <c r="PAG64" s="349"/>
      <c r="PAH64" s="349"/>
      <c r="PAI64" s="349"/>
      <c r="PAJ64" s="349"/>
      <c r="PAK64" s="349"/>
      <c r="PAL64" s="349"/>
      <c r="PAM64" s="349"/>
      <c r="PAN64" s="349"/>
      <c r="PAO64" s="349"/>
      <c r="PAP64" s="349"/>
      <c r="PAQ64" s="349"/>
      <c r="PAR64" s="349"/>
      <c r="PAS64" s="349"/>
      <c r="PAT64" s="349"/>
      <c r="PAU64" s="349"/>
      <c r="PAV64" s="349"/>
      <c r="PAW64" s="349"/>
      <c r="PAX64" s="349"/>
      <c r="PAY64" s="349"/>
      <c r="PAZ64" s="349"/>
      <c r="PBA64" s="349"/>
      <c r="PBB64" s="349"/>
      <c r="PBC64" s="349"/>
      <c r="PBD64" s="349"/>
      <c r="PBE64" s="349"/>
      <c r="PBF64" s="349"/>
      <c r="PBG64" s="349"/>
      <c r="PBH64" s="349"/>
      <c r="PBI64" s="349"/>
      <c r="PBJ64" s="349"/>
      <c r="PBK64" s="349"/>
      <c r="PBL64" s="349"/>
      <c r="PBM64" s="349"/>
      <c r="PBN64" s="349"/>
      <c r="PBO64" s="349"/>
      <c r="PBP64" s="349"/>
      <c r="PBQ64" s="349"/>
      <c r="PBR64" s="349"/>
      <c r="PBS64" s="349"/>
      <c r="PBT64" s="349"/>
      <c r="PBU64" s="349"/>
      <c r="PBV64" s="349"/>
      <c r="PBW64" s="349"/>
      <c r="PBX64" s="349"/>
      <c r="PBY64" s="349"/>
      <c r="PBZ64" s="349"/>
      <c r="PCA64" s="349"/>
      <c r="PCB64" s="349"/>
      <c r="PCC64" s="349"/>
      <c r="PCD64" s="349"/>
      <c r="PCE64" s="349"/>
      <c r="PCF64" s="349"/>
      <c r="PCG64" s="349"/>
      <c r="PCH64" s="349"/>
      <c r="PCI64" s="349"/>
      <c r="PCJ64" s="349"/>
      <c r="PCK64" s="349"/>
      <c r="PCL64" s="349"/>
      <c r="PCM64" s="349"/>
      <c r="PCN64" s="349"/>
      <c r="PCO64" s="349"/>
      <c r="PCP64" s="349"/>
      <c r="PCQ64" s="349"/>
      <c r="PCR64" s="349"/>
      <c r="PCS64" s="349"/>
      <c r="PCT64" s="349"/>
      <c r="PCU64" s="349"/>
      <c r="PCV64" s="349"/>
      <c r="PCW64" s="349"/>
      <c r="PCX64" s="349"/>
      <c r="PCY64" s="349"/>
      <c r="PCZ64" s="349"/>
      <c r="PDA64" s="349"/>
      <c r="PDB64" s="349"/>
      <c r="PDC64" s="349"/>
      <c r="PDD64" s="349"/>
      <c r="PDE64" s="349"/>
      <c r="PDF64" s="349"/>
      <c r="PDG64" s="349"/>
      <c r="PDH64" s="349"/>
      <c r="PDI64" s="349"/>
      <c r="PDJ64" s="349"/>
      <c r="PDK64" s="349"/>
      <c r="PDL64" s="349"/>
      <c r="PDM64" s="349"/>
      <c r="PDN64" s="349"/>
      <c r="PDO64" s="349"/>
      <c r="PDP64" s="349"/>
      <c r="PDQ64" s="349"/>
      <c r="PDR64" s="349"/>
      <c r="PDS64" s="349"/>
      <c r="PDT64" s="349"/>
      <c r="PDU64" s="349"/>
      <c r="PDV64" s="349"/>
      <c r="PDW64" s="349"/>
      <c r="PDX64" s="349"/>
      <c r="PDY64" s="349"/>
      <c r="PDZ64" s="349"/>
      <c r="PEA64" s="349"/>
      <c r="PEB64" s="349"/>
      <c r="PEC64" s="349"/>
      <c r="PED64" s="349"/>
      <c r="PEE64" s="349"/>
      <c r="PEF64" s="349"/>
      <c r="PEG64" s="349"/>
      <c r="PEH64" s="349"/>
      <c r="PEI64" s="349"/>
      <c r="PEJ64" s="349"/>
      <c r="PEK64" s="349"/>
      <c r="PEL64" s="349"/>
      <c r="PEM64" s="349"/>
      <c r="PEN64" s="349"/>
      <c r="PEO64" s="349"/>
      <c r="PEP64" s="349"/>
      <c r="PEQ64" s="349"/>
      <c r="PER64" s="349"/>
      <c r="PES64" s="349"/>
      <c r="PET64" s="349"/>
      <c r="PEU64" s="349"/>
      <c r="PEV64" s="349"/>
      <c r="PEW64" s="349"/>
      <c r="PEX64" s="349"/>
      <c r="PEY64" s="349"/>
      <c r="PEZ64" s="349"/>
      <c r="PFA64" s="349"/>
      <c r="PFB64" s="349"/>
      <c r="PFC64" s="349"/>
      <c r="PFD64" s="349"/>
      <c r="PFE64" s="349"/>
      <c r="PFF64" s="349"/>
      <c r="PFG64" s="349"/>
      <c r="PFH64" s="349"/>
      <c r="PFI64" s="349"/>
      <c r="PFJ64" s="349"/>
      <c r="PFK64" s="349"/>
      <c r="PFL64" s="349"/>
      <c r="PFM64" s="349"/>
      <c r="PFN64" s="349"/>
      <c r="PFO64" s="349"/>
      <c r="PFP64" s="349"/>
      <c r="PFQ64" s="349"/>
      <c r="PFR64" s="349"/>
      <c r="PFS64" s="349"/>
      <c r="PFT64" s="349"/>
      <c r="PFU64" s="349"/>
      <c r="PFV64" s="349"/>
      <c r="PFW64" s="349"/>
      <c r="PFX64" s="349"/>
      <c r="PFY64" s="349"/>
      <c r="PFZ64" s="349"/>
      <c r="PGA64" s="349"/>
      <c r="PGB64" s="349"/>
      <c r="PGC64" s="349"/>
      <c r="PGD64" s="349"/>
      <c r="PGE64" s="349"/>
      <c r="PGF64" s="349"/>
      <c r="PGG64" s="349"/>
      <c r="PGH64" s="349"/>
      <c r="PGI64" s="349"/>
      <c r="PGJ64" s="349"/>
      <c r="PGK64" s="349"/>
      <c r="PGL64" s="349"/>
      <c r="PGM64" s="349"/>
      <c r="PGN64" s="349"/>
      <c r="PGO64" s="349"/>
      <c r="PGP64" s="349"/>
      <c r="PGQ64" s="349"/>
      <c r="PGR64" s="349"/>
      <c r="PGS64" s="349"/>
      <c r="PGT64" s="349"/>
      <c r="PGU64" s="349"/>
      <c r="PGV64" s="349"/>
      <c r="PGW64" s="349"/>
      <c r="PGX64" s="349"/>
      <c r="PGY64" s="349"/>
      <c r="PGZ64" s="349"/>
      <c r="PHA64" s="349"/>
      <c r="PHB64" s="349"/>
      <c r="PHC64" s="349"/>
      <c r="PHD64" s="349"/>
      <c r="PHE64" s="349"/>
      <c r="PHF64" s="349"/>
      <c r="PHG64" s="349"/>
      <c r="PHH64" s="349"/>
      <c r="PHI64" s="349"/>
      <c r="PHJ64" s="349"/>
      <c r="PHK64" s="349"/>
      <c r="PHL64" s="349"/>
      <c r="PHM64" s="349"/>
      <c r="PHN64" s="349"/>
      <c r="PHO64" s="349"/>
      <c r="PHP64" s="349"/>
      <c r="PHQ64" s="349"/>
      <c r="PHR64" s="349"/>
      <c r="PHS64" s="349"/>
      <c r="PHT64" s="349"/>
      <c r="PHU64" s="349"/>
      <c r="PHV64" s="349"/>
      <c r="PHW64" s="349"/>
      <c r="PHX64" s="349"/>
      <c r="PHY64" s="349"/>
      <c r="PHZ64" s="349"/>
      <c r="PIA64" s="349"/>
      <c r="PIB64" s="349"/>
      <c r="PIC64" s="349"/>
      <c r="PID64" s="349"/>
      <c r="PIE64" s="349"/>
      <c r="PIF64" s="349"/>
      <c r="PIG64" s="349"/>
      <c r="PIH64" s="349"/>
      <c r="PII64" s="349"/>
      <c r="PIJ64" s="349"/>
      <c r="PIK64" s="349"/>
      <c r="PIL64" s="349"/>
      <c r="PIM64" s="349"/>
      <c r="PIN64" s="349"/>
      <c r="PIO64" s="349"/>
      <c r="PIP64" s="349"/>
      <c r="PIQ64" s="349"/>
      <c r="PIR64" s="349"/>
      <c r="PIS64" s="349"/>
      <c r="PIT64" s="349"/>
      <c r="PIU64" s="349"/>
      <c r="PIV64" s="349"/>
      <c r="PIW64" s="349"/>
      <c r="PIX64" s="349"/>
      <c r="PIY64" s="349"/>
      <c r="PIZ64" s="349"/>
      <c r="PJA64" s="349"/>
      <c r="PJB64" s="349"/>
      <c r="PJC64" s="349"/>
      <c r="PJD64" s="349"/>
      <c r="PJE64" s="349"/>
      <c r="PJF64" s="349"/>
      <c r="PJG64" s="349"/>
      <c r="PJH64" s="349"/>
      <c r="PJI64" s="349"/>
      <c r="PJJ64" s="349"/>
      <c r="PJK64" s="349"/>
      <c r="PJL64" s="349"/>
      <c r="PJM64" s="349"/>
      <c r="PJN64" s="349"/>
      <c r="PJO64" s="349"/>
      <c r="PJP64" s="349"/>
      <c r="PJQ64" s="349"/>
      <c r="PJR64" s="349"/>
      <c r="PJS64" s="349"/>
      <c r="PJT64" s="349"/>
      <c r="PJU64" s="349"/>
      <c r="PJV64" s="349"/>
      <c r="PJW64" s="349"/>
      <c r="PJX64" s="349"/>
      <c r="PJY64" s="349"/>
      <c r="PJZ64" s="349"/>
      <c r="PKA64" s="349"/>
      <c r="PKB64" s="349"/>
      <c r="PKC64" s="349"/>
      <c r="PKD64" s="349"/>
      <c r="PKE64" s="349"/>
      <c r="PKF64" s="349"/>
      <c r="PKG64" s="349"/>
      <c r="PKH64" s="349"/>
      <c r="PKI64" s="349"/>
      <c r="PKJ64" s="349"/>
      <c r="PKK64" s="349"/>
      <c r="PKL64" s="349"/>
      <c r="PKM64" s="349"/>
      <c r="PKN64" s="349"/>
      <c r="PKO64" s="349"/>
      <c r="PKP64" s="349"/>
      <c r="PKQ64" s="349"/>
      <c r="PKR64" s="349"/>
      <c r="PKS64" s="349"/>
      <c r="PKT64" s="349"/>
      <c r="PKU64" s="349"/>
      <c r="PKV64" s="349"/>
      <c r="PKW64" s="349"/>
      <c r="PKX64" s="349"/>
      <c r="PKY64" s="349"/>
      <c r="PKZ64" s="349"/>
      <c r="PLA64" s="349"/>
      <c r="PLB64" s="349"/>
      <c r="PLC64" s="349"/>
      <c r="PLD64" s="349"/>
      <c r="PLE64" s="349"/>
      <c r="PLF64" s="349"/>
      <c r="PLG64" s="349"/>
      <c r="PLH64" s="349"/>
      <c r="PLI64" s="349"/>
      <c r="PLJ64" s="349"/>
      <c r="PLK64" s="349"/>
      <c r="PLL64" s="349"/>
      <c r="PLM64" s="349"/>
      <c r="PLN64" s="349"/>
      <c r="PLO64" s="349"/>
      <c r="PLP64" s="349"/>
      <c r="PLQ64" s="349"/>
      <c r="PLR64" s="349"/>
      <c r="PLS64" s="349"/>
      <c r="PLT64" s="349"/>
      <c r="PLU64" s="349"/>
      <c r="PLV64" s="349"/>
      <c r="PLW64" s="349"/>
      <c r="PLX64" s="349"/>
      <c r="PLY64" s="349"/>
      <c r="PLZ64" s="349"/>
      <c r="PMA64" s="349"/>
      <c r="PMB64" s="349"/>
      <c r="PMC64" s="349"/>
      <c r="PMD64" s="349"/>
      <c r="PME64" s="349"/>
      <c r="PMF64" s="349"/>
      <c r="PMG64" s="349"/>
      <c r="PMH64" s="349"/>
      <c r="PMI64" s="349"/>
      <c r="PMJ64" s="349"/>
      <c r="PMK64" s="349"/>
      <c r="PML64" s="349"/>
      <c r="PMM64" s="349"/>
      <c r="PMN64" s="349"/>
      <c r="PMO64" s="349"/>
      <c r="PMP64" s="349"/>
      <c r="PMQ64" s="349"/>
      <c r="PMR64" s="349"/>
      <c r="PMS64" s="349"/>
      <c r="PMT64" s="349"/>
      <c r="PMU64" s="349"/>
      <c r="PMV64" s="349"/>
      <c r="PMW64" s="349"/>
      <c r="PMX64" s="349"/>
      <c r="PMY64" s="349"/>
      <c r="PMZ64" s="349"/>
      <c r="PNA64" s="349"/>
      <c r="PNB64" s="349"/>
      <c r="PNC64" s="349"/>
      <c r="PND64" s="349"/>
      <c r="PNE64" s="349"/>
      <c r="PNF64" s="349"/>
      <c r="PNG64" s="349"/>
      <c r="PNH64" s="349"/>
      <c r="PNI64" s="349"/>
      <c r="PNJ64" s="349"/>
      <c r="PNK64" s="349"/>
      <c r="PNL64" s="349"/>
      <c r="PNM64" s="349"/>
      <c r="PNN64" s="349"/>
      <c r="PNO64" s="349"/>
      <c r="PNP64" s="349"/>
      <c r="PNQ64" s="349"/>
      <c r="PNR64" s="349"/>
      <c r="PNS64" s="349"/>
      <c r="PNT64" s="349"/>
      <c r="PNU64" s="349"/>
      <c r="PNV64" s="349"/>
      <c r="PNW64" s="349"/>
      <c r="PNX64" s="349"/>
      <c r="PNY64" s="349"/>
      <c r="PNZ64" s="349"/>
      <c r="POA64" s="349"/>
      <c r="POB64" s="349"/>
      <c r="POC64" s="349"/>
      <c r="POD64" s="349"/>
      <c r="POE64" s="349"/>
      <c r="POF64" s="349"/>
      <c r="POG64" s="349"/>
      <c r="POH64" s="349"/>
      <c r="POI64" s="349"/>
      <c r="POJ64" s="349"/>
      <c r="POK64" s="349"/>
      <c r="POL64" s="349"/>
      <c r="POM64" s="349"/>
      <c r="PON64" s="349"/>
      <c r="POO64" s="349"/>
      <c r="POP64" s="349"/>
      <c r="POQ64" s="349"/>
      <c r="POR64" s="349"/>
      <c r="POS64" s="349"/>
      <c r="POT64" s="349"/>
      <c r="POU64" s="349"/>
      <c r="POV64" s="349"/>
      <c r="POW64" s="349"/>
      <c r="POX64" s="349"/>
      <c r="POY64" s="349"/>
      <c r="POZ64" s="349"/>
      <c r="PPA64" s="349"/>
      <c r="PPB64" s="349"/>
      <c r="PPC64" s="349"/>
      <c r="PPD64" s="349"/>
      <c r="PPE64" s="349"/>
      <c r="PPF64" s="349"/>
      <c r="PPG64" s="349"/>
      <c r="PPH64" s="349"/>
      <c r="PPI64" s="349"/>
      <c r="PPJ64" s="349"/>
      <c r="PPK64" s="349"/>
      <c r="PPL64" s="349"/>
      <c r="PPM64" s="349"/>
      <c r="PPN64" s="349"/>
      <c r="PPO64" s="349"/>
      <c r="PPP64" s="349"/>
      <c r="PPQ64" s="349"/>
      <c r="PPR64" s="349"/>
      <c r="PPS64" s="349"/>
      <c r="PPT64" s="349"/>
      <c r="PPU64" s="349"/>
      <c r="PPV64" s="349"/>
      <c r="PPW64" s="349"/>
      <c r="PPX64" s="349"/>
      <c r="PPY64" s="349"/>
      <c r="PPZ64" s="349"/>
      <c r="PQA64" s="349"/>
      <c r="PQB64" s="349"/>
      <c r="PQC64" s="349"/>
      <c r="PQD64" s="349"/>
      <c r="PQE64" s="349"/>
      <c r="PQF64" s="349"/>
      <c r="PQG64" s="349"/>
      <c r="PQH64" s="349"/>
      <c r="PQI64" s="349"/>
      <c r="PQJ64" s="349"/>
      <c r="PQK64" s="349"/>
      <c r="PQL64" s="349"/>
      <c r="PQM64" s="349"/>
      <c r="PQN64" s="349"/>
      <c r="PQO64" s="349"/>
      <c r="PQP64" s="349"/>
      <c r="PQQ64" s="349"/>
      <c r="PQR64" s="349"/>
      <c r="PQS64" s="349"/>
      <c r="PQT64" s="349"/>
      <c r="PQU64" s="349"/>
      <c r="PQV64" s="349"/>
      <c r="PQW64" s="349"/>
      <c r="PQX64" s="349"/>
      <c r="PQY64" s="349"/>
      <c r="PQZ64" s="349"/>
      <c r="PRA64" s="349"/>
      <c r="PRB64" s="349"/>
      <c r="PRC64" s="349"/>
      <c r="PRD64" s="349"/>
      <c r="PRE64" s="349"/>
      <c r="PRF64" s="349"/>
      <c r="PRG64" s="349"/>
      <c r="PRH64" s="349"/>
      <c r="PRI64" s="349"/>
      <c r="PRJ64" s="349"/>
      <c r="PRK64" s="349"/>
      <c r="PRL64" s="349"/>
      <c r="PRM64" s="349"/>
      <c r="PRN64" s="349"/>
      <c r="PRO64" s="349"/>
      <c r="PRP64" s="349"/>
      <c r="PRQ64" s="349"/>
      <c r="PRR64" s="349"/>
      <c r="PRS64" s="349"/>
      <c r="PRT64" s="349"/>
      <c r="PRU64" s="349"/>
      <c r="PRV64" s="349"/>
      <c r="PRW64" s="349"/>
      <c r="PRX64" s="349"/>
      <c r="PRY64" s="349"/>
      <c r="PRZ64" s="349"/>
      <c r="PSA64" s="349"/>
      <c r="PSB64" s="349"/>
      <c r="PSC64" s="349"/>
      <c r="PSD64" s="349"/>
      <c r="PSE64" s="349"/>
      <c r="PSF64" s="349"/>
      <c r="PSG64" s="349"/>
      <c r="PSH64" s="349"/>
      <c r="PSI64" s="349"/>
      <c r="PSJ64" s="349"/>
      <c r="PSK64" s="349"/>
      <c r="PSL64" s="349"/>
      <c r="PSM64" s="349"/>
      <c r="PSN64" s="349"/>
      <c r="PSO64" s="349"/>
      <c r="PSP64" s="349"/>
      <c r="PSQ64" s="349"/>
      <c r="PSR64" s="349"/>
      <c r="PSS64" s="349"/>
      <c r="PST64" s="349"/>
      <c r="PSU64" s="349"/>
      <c r="PSV64" s="349"/>
      <c r="PSW64" s="349"/>
      <c r="PSX64" s="349"/>
      <c r="PSY64" s="349"/>
      <c r="PSZ64" s="349"/>
      <c r="PTA64" s="349"/>
      <c r="PTB64" s="349"/>
      <c r="PTC64" s="349"/>
      <c r="PTD64" s="349"/>
      <c r="PTE64" s="349"/>
      <c r="PTF64" s="349"/>
      <c r="PTG64" s="349"/>
      <c r="PTH64" s="349"/>
      <c r="PTI64" s="349"/>
      <c r="PTJ64" s="349"/>
      <c r="PTK64" s="349"/>
      <c r="PTL64" s="349"/>
      <c r="PTM64" s="349"/>
      <c r="PTN64" s="349"/>
      <c r="PTO64" s="349"/>
      <c r="PTP64" s="349"/>
      <c r="PTQ64" s="349"/>
      <c r="PTR64" s="349"/>
      <c r="PTS64" s="349"/>
      <c r="PTT64" s="349"/>
      <c r="PTU64" s="349"/>
      <c r="PTV64" s="349"/>
      <c r="PTW64" s="349"/>
      <c r="PTX64" s="349"/>
      <c r="PTY64" s="349"/>
      <c r="PTZ64" s="349"/>
      <c r="PUA64" s="349"/>
      <c r="PUB64" s="349"/>
      <c r="PUC64" s="349"/>
      <c r="PUD64" s="349"/>
      <c r="PUE64" s="349"/>
      <c r="PUF64" s="349"/>
      <c r="PUG64" s="349"/>
      <c r="PUH64" s="349"/>
      <c r="PUI64" s="349"/>
      <c r="PUJ64" s="349"/>
      <c r="PUK64" s="349"/>
      <c r="PUL64" s="349"/>
      <c r="PUM64" s="349"/>
      <c r="PUN64" s="349"/>
      <c r="PUO64" s="349"/>
      <c r="PUP64" s="349"/>
      <c r="PUQ64" s="349"/>
      <c r="PUR64" s="349"/>
      <c r="PUS64" s="349"/>
      <c r="PUT64" s="349"/>
      <c r="PUU64" s="349"/>
      <c r="PUV64" s="349"/>
      <c r="PUW64" s="349"/>
      <c r="PUX64" s="349"/>
      <c r="PUY64" s="349"/>
      <c r="PUZ64" s="349"/>
      <c r="PVA64" s="349"/>
      <c r="PVB64" s="349"/>
      <c r="PVC64" s="349"/>
      <c r="PVD64" s="349"/>
      <c r="PVE64" s="349"/>
      <c r="PVF64" s="349"/>
      <c r="PVG64" s="349"/>
      <c r="PVH64" s="349"/>
      <c r="PVI64" s="349"/>
      <c r="PVJ64" s="349"/>
      <c r="PVK64" s="349"/>
      <c r="PVL64" s="349"/>
      <c r="PVM64" s="349"/>
      <c r="PVN64" s="349"/>
      <c r="PVO64" s="349"/>
      <c r="PVP64" s="349"/>
      <c r="PVQ64" s="349"/>
      <c r="PVR64" s="349"/>
      <c r="PVS64" s="349"/>
      <c r="PVT64" s="349"/>
      <c r="PVU64" s="349"/>
      <c r="PVV64" s="349"/>
      <c r="PVW64" s="349"/>
      <c r="PVX64" s="349"/>
      <c r="PVY64" s="349"/>
      <c r="PVZ64" s="349"/>
      <c r="PWA64" s="349"/>
      <c r="PWB64" s="349"/>
      <c r="PWC64" s="349"/>
      <c r="PWD64" s="349"/>
      <c r="PWE64" s="349"/>
      <c r="PWF64" s="349"/>
      <c r="PWG64" s="349"/>
      <c r="PWH64" s="349"/>
      <c r="PWI64" s="349"/>
      <c r="PWJ64" s="349"/>
      <c r="PWK64" s="349"/>
      <c r="PWL64" s="349"/>
      <c r="PWM64" s="349"/>
      <c r="PWN64" s="349"/>
      <c r="PWO64" s="349"/>
      <c r="PWP64" s="349"/>
      <c r="PWQ64" s="349"/>
      <c r="PWR64" s="349"/>
      <c r="PWS64" s="349"/>
      <c r="PWT64" s="349"/>
      <c r="PWU64" s="349"/>
      <c r="PWV64" s="349"/>
      <c r="PWW64" s="349"/>
      <c r="PWX64" s="349"/>
      <c r="PWY64" s="349"/>
      <c r="PWZ64" s="349"/>
      <c r="PXA64" s="349"/>
      <c r="PXB64" s="349"/>
      <c r="PXC64" s="349"/>
      <c r="PXD64" s="349"/>
      <c r="PXE64" s="349"/>
      <c r="PXF64" s="349"/>
      <c r="PXG64" s="349"/>
      <c r="PXH64" s="349"/>
      <c r="PXI64" s="349"/>
      <c r="PXJ64" s="349"/>
      <c r="PXK64" s="349"/>
      <c r="PXL64" s="349"/>
      <c r="PXM64" s="349"/>
      <c r="PXN64" s="349"/>
      <c r="PXO64" s="349"/>
      <c r="PXP64" s="349"/>
      <c r="PXQ64" s="349"/>
      <c r="PXR64" s="349"/>
      <c r="PXS64" s="349"/>
      <c r="PXT64" s="349"/>
      <c r="PXU64" s="349"/>
      <c r="PXV64" s="349"/>
      <c r="PXW64" s="349"/>
      <c r="PXX64" s="349"/>
      <c r="PXY64" s="349"/>
      <c r="PXZ64" s="349"/>
      <c r="PYA64" s="349"/>
      <c r="PYB64" s="349"/>
      <c r="PYC64" s="349"/>
      <c r="PYD64" s="349"/>
      <c r="PYE64" s="349"/>
      <c r="PYF64" s="349"/>
      <c r="PYG64" s="349"/>
      <c r="PYH64" s="349"/>
      <c r="PYI64" s="349"/>
      <c r="PYJ64" s="349"/>
      <c r="PYK64" s="349"/>
      <c r="PYL64" s="349"/>
      <c r="PYM64" s="349"/>
      <c r="PYN64" s="349"/>
      <c r="PYO64" s="349"/>
      <c r="PYP64" s="349"/>
      <c r="PYQ64" s="349"/>
      <c r="PYR64" s="349"/>
      <c r="PYS64" s="349"/>
      <c r="PYT64" s="349"/>
      <c r="PYU64" s="349"/>
      <c r="PYV64" s="349"/>
      <c r="PYW64" s="349"/>
      <c r="PYX64" s="349"/>
      <c r="PYY64" s="349"/>
      <c r="PYZ64" s="349"/>
      <c r="PZA64" s="349"/>
      <c r="PZB64" s="349"/>
      <c r="PZC64" s="349"/>
      <c r="PZD64" s="349"/>
      <c r="PZE64" s="349"/>
      <c r="PZF64" s="349"/>
      <c r="PZG64" s="349"/>
      <c r="PZH64" s="349"/>
      <c r="PZI64" s="349"/>
      <c r="PZJ64" s="349"/>
      <c r="PZK64" s="349"/>
      <c r="PZL64" s="349"/>
      <c r="PZM64" s="349"/>
      <c r="PZN64" s="349"/>
      <c r="PZO64" s="349"/>
      <c r="PZP64" s="349"/>
      <c r="PZQ64" s="349"/>
      <c r="PZR64" s="349"/>
      <c r="PZS64" s="349"/>
      <c r="PZT64" s="349"/>
      <c r="PZU64" s="349"/>
      <c r="PZV64" s="349"/>
      <c r="PZW64" s="349"/>
      <c r="PZX64" s="349"/>
      <c r="PZY64" s="349"/>
      <c r="PZZ64" s="349"/>
      <c r="QAA64" s="349"/>
      <c r="QAB64" s="349"/>
      <c r="QAC64" s="349"/>
      <c r="QAD64" s="349"/>
      <c r="QAE64" s="349"/>
      <c r="QAF64" s="349"/>
      <c r="QAG64" s="349"/>
      <c r="QAH64" s="349"/>
      <c r="QAI64" s="349"/>
      <c r="QAJ64" s="349"/>
      <c r="QAK64" s="349"/>
      <c r="QAL64" s="349"/>
      <c r="QAM64" s="349"/>
      <c r="QAN64" s="349"/>
      <c r="QAO64" s="349"/>
      <c r="QAP64" s="349"/>
      <c r="QAQ64" s="349"/>
      <c r="QAR64" s="349"/>
      <c r="QAS64" s="349"/>
      <c r="QAT64" s="349"/>
      <c r="QAU64" s="349"/>
      <c r="QAV64" s="349"/>
      <c r="QAW64" s="349"/>
      <c r="QAX64" s="349"/>
      <c r="QAY64" s="349"/>
      <c r="QAZ64" s="349"/>
      <c r="QBA64" s="349"/>
      <c r="QBB64" s="349"/>
      <c r="QBC64" s="349"/>
      <c r="QBD64" s="349"/>
      <c r="QBE64" s="349"/>
      <c r="QBF64" s="349"/>
      <c r="QBG64" s="349"/>
      <c r="QBH64" s="349"/>
      <c r="QBI64" s="349"/>
      <c r="QBJ64" s="349"/>
      <c r="QBK64" s="349"/>
      <c r="QBL64" s="349"/>
      <c r="QBM64" s="349"/>
      <c r="QBN64" s="349"/>
      <c r="QBO64" s="349"/>
      <c r="QBP64" s="349"/>
      <c r="QBQ64" s="349"/>
      <c r="QBR64" s="349"/>
      <c r="QBS64" s="349"/>
      <c r="QBT64" s="349"/>
      <c r="QBU64" s="349"/>
      <c r="QBV64" s="349"/>
      <c r="QBW64" s="349"/>
      <c r="QBX64" s="349"/>
      <c r="QBY64" s="349"/>
      <c r="QBZ64" s="349"/>
      <c r="QCA64" s="349"/>
      <c r="QCB64" s="349"/>
      <c r="QCC64" s="349"/>
      <c r="QCD64" s="349"/>
      <c r="QCE64" s="349"/>
      <c r="QCF64" s="349"/>
      <c r="QCG64" s="349"/>
      <c r="QCH64" s="349"/>
      <c r="QCI64" s="349"/>
      <c r="QCJ64" s="349"/>
      <c r="QCK64" s="349"/>
      <c r="QCL64" s="349"/>
      <c r="QCM64" s="349"/>
      <c r="QCN64" s="349"/>
      <c r="QCO64" s="349"/>
      <c r="QCP64" s="349"/>
      <c r="QCQ64" s="349"/>
      <c r="QCR64" s="349"/>
      <c r="QCS64" s="349"/>
      <c r="QCT64" s="349"/>
      <c r="QCU64" s="349"/>
      <c r="QCV64" s="349"/>
      <c r="QCW64" s="349"/>
      <c r="QCX64" s="349"/>
      <c r="QCY64" s="349"/>
      <c r="QCZ64" s="349"/>
      <c r="QDA64" s="349"/>
      <c r="QDB64" s="349"/>
      <c r="QDC64" s="349"/>
      <c r="QDD64" s="349"/>
      <c r="QDE64" s="349"/>
      <c r="QDF64" s="349"/>
      <c r="QDG64" s="349"/>
      <c r="QDH64" s="349"/>
      <c r="QDI64" s="349"/>
      <c r="QDJ64" s="349"/>
      <c r="QDK64" s="349"/>
      <c r="QDL64" s="349"/>
      <c r="QDM64" s="349"/>
      <c r="QDN64" s="349"/>
      <c r="QDO64" s="349"/>
      <c r="QDP64" s="349"/>
      <c r="QDQ64" s="349"/>
      <c r="QDR64" s="349"/>
      <c r="QDS64" s="349"/>
      <c r="QDT64" s="349"/>
      <c r="QDU64" s="349"/>
      <c r="QDV64" s="349"/>
      <c r="QDW64" s="349"/>
      <c r="QDX64" s="349"/>
      <c r="QDY64" s="349"/>
      <c r="QDZ64" s="349"/>
      <c r="QEA64" s="349"/>
      <c r="QEB64" s="349"/>
      <c r="QEC64" s="349"/>
      <c r="QED64" s="349"/>
      <c r="QEE64" s="349"/>
      <c r="QEF64" s="349"/>
      <c r="QEG64" s="349"/>
      <c r="QEH64" s="349"/>
      <c r="QEI64" s="349"/>
      <c r="QEJ64" s="349"/>
      <c r="QEK64" s="349"/>
      <c r="QEL64" s="349"/>
      <c r="QEM64" s="349"/>
      <c r="QEN64" s="349"/>
      <c r="QEO64" s="349"/>
      <c r="QEP64" s="349"/>
      <c r="QEQ64" s="349"/>
      <c r="QER64" s="349"/>
      <c r="QES64" s="349"/>
      <c r="QET64" s="349"/>
      <c r="QEU64" s="349"/>
      <c r="QEV64" s="349"/>
      <c r="QEW64" s="349"/>
      <c r="QEX64" s="349"/>
      <c r="QEY64" s="349"/>
      <c r="QEZ64" s="349"/>
      <c r="QFA64" s="349"/>
      <c r="QFB64" s="349"/>
      <c r="QFC64" s="349"/>
      <c r="QFD64" s="349"/>
      <c r="QFE64" s="349"/>
      <c r="QFF64" s="349"/>
      <c r="QFG64" s="349"/>
      <c r="QFH64" s="349"/>
      <c r="QFI64" s="349"/>
      <c r="QFJ64" s="349"/>
      <c r="QFK64" s="349"/>
      <c r="QFL64" s="349"/>
      <c r="QFM64" s="349"/>
      <c r="QFN64" s="349"/>
      <c r="QFO64" s="349"/>
      <c r="QFP64" s="349"/>
      <c r="QFQ64" s="349"/>
      <c r="QFR64" s="349"/>
      <c r="QFS64" s="349"/>
      <c r="QFT64" s="349"/>
      <c r="QFU64" s="349"/>
      <c r="QFV64" s="349"/>
      <c r="QFW64" s="349"/>
      <c r="QFX64" s="349"/>
      <c r="QFY64" s="349"/>
      <c r="QFZ64" s="349"/>
      <c r="QGA64" s="349"/>
      <c r="QGB64" s="349"/>
      <c r="QGC64" s="349"/>
      <c r="QGD64" s="349"/>
      <c r="QGE64" s="349"/>
      <c r="QGF64" s="349"/>
      <c r="QGG64" s="349"/>
      <c r="QGH64" s="349"/>
      <c r="QGI64" s="349"/>
      <c r="QGJ64" s="349"/>
      <c r="QGK64" s="349"/>
      <c r="QGL64" s="349"/>
      <c r="QGM64" s="349"/>
      <c r="QGN64" s="349"/>
      <c r="QGO64" s="349"/>
      <c r="QGP64" s="349"/>
      <c r="QGQ64" s="349"/>
      <c r="QGR64" s="349"/>
      <c r="QGS64" s="349"/>
      <c r="QGT64" s="349"/>
      <c r="QGU64" s="349"/>
      <c r="QGV64" s="349"/>
      <c r="QGW64" s="349"/>
      <c r="QGX64" s="349"/>
      <c r="QGY64" s="349"/>
      <c r="QGZ64" s="349"/>
      <c r="QHA64" s="349"/>
      <c r="QHB64" s="349"/>
      <c r="QHC64" s="349"/>
      <c r="QHD64" s="349"/>
      <c r="QHE64" s="349"/>
      <c r="QHF64" s="349"/>
      <c r="QHG64" s="349"/>
      <c r="QHH64" s="349"/>
      <c r="QHI64" s="349"/>
      <c r="QHJ64" s="349"/>
      <c r="QHK64" s="349"/>
      <c r="QHL64" s="349"/>
      <c r="QHM64" s="349"/>
      <c r="QHN64" s="349"/>
      <c r="QHO64" s="349"/>
      <c r="QHP64" s="349"/>
      <c r="QHQ64" s="349"/>
      <c r="QHR64" s="349"/>
      <c r="QHS64" s="349"/>
      <c r="QHT64" s="349"/>
      <c r="QHU64" s="349"/>
      <c r="QHV64" s="349"/>
      <c r="QHW64" s="349"/>
      <c r="QHX64" s="349"/>
      <c r="QHY64" s="349"/>
      <c r="QHZ64" s="349"/>
      <c r="QIA64" s="349"/>
      <c r="QIB64" s="349"/>
      <c r="QIC64" s="349"/>
      <c r="QID64" s="349"/>
      <c r="QIE64" s="349"/>
      <c r="QIF64" s="349"/>
      <c r="QIG64" s="349"/>
      <c r="QIH64" s="349"/>
      <c r="QII64" s="349"/>
      <c r="QIJ64" s="349"/>
      <c r="QIK64" s="349"/>
      <c r="QIL64" s="349"/>
      <c r="QIM64" s="349"/>
      <c r="QIN64" s="349"/>
      <c r="QIO64" s="349"/>
      <c r="QIP64" s="349"/>
      <c r="QIQ64" s="349"/>
      <c r="QIR64" s="349"/>
      <c r="QIS64" s="349"/>
      <c r="QIT64" s="349"/>
      <c r="QIU64" s="349"/>
      <c r="QIV64" s="349"/>
      <c r="QIW64" s="349"/>
      <c r="QIX64" s="349"/>
      <c r="QIY64" s="349"/>
      <c r="QIZ64" s="349"/>
      <c r="QJA64" s="349"/>
      <c r="QJB64" s="349"/>
      <c r="QJC64" s="349"/>
      <c r="QJD64" s="349"/>
      <c r="QJE64" s="349"/>
      <c r="QJF64" s="349"/>
      <c r="QJG64" s="349"/>
      <c r="QJH64" s="349"/>
      <c r="QJI64" s="349"/>
      <c r="QJJ64" s="349"/>
      <c r="QJK64" s="349"/>
      <c r="QJL64" s="349"/>
      <c r="QJM64" s="349"/>
      <c r="QJN64" s="349"/>
      <c r="QJO64" s="349"/>
      <c r="QJP64" s="349"/>
      <c r="QJQ64" s="349"/>
      <c r="QJR64" s="349"/>
      <c r="QJS64" s="349"/>
      <c r="QJT64" s="349"/>
      <c r="QJU64" s="349"/>
      <c r="QJV64" s="349"/>
      <c r="QJW64" s="349"/>
      <c r="QJX64" s="349"/>
      <c r="QJY64" s="349"/>
      <c r="QJZ64" s="349"/>
      <c r="QKA64" s="349"/>
      <c r="QKB64" s="349"/>
      <c r="QKC64" s="349"/>
      <c r="QKD64" s="349"/>
      <c r="QKE64" s="349"/>
      <c r="QKF64" s="349"/>
      <c r="QKG64" s="349"/>
      <c r="QKH64" s="349"/>
      <c r="QKI64" s="349"/>
      <c r="QKJ64" s="349"/>
      <c r="QKK64" s="349"/>
      <c r="QKL64" s="349"/>
      <c r="QKM64" s="349"/>
      <c r="QKN64" s="349"/>
      <c r="QKO64" s="349"/>
      <c r="QKP64" s="349"/>
      <c r="QKQ64" s="349"/>
      <c r="QKR64" s="349"/>
      <c r="QKS64" s="349"/>
      <c r="QKT64" s="349"/>
      <c r="QKU64" s="349"/>
      <c r="QKV64" s="349"/>
      <c r="QKW64" s="349"/>
      <c r="QKX64" s="349"/>
      <c r="QKY64" s="349"/>
      <c r="QKZ64" s="349"/>
      <c r="QLA64" s="349"/>
      <c r="QLB64" s="349"/>
      <c r="QLC64" s="349"/>
      <c r="QLD64" s="349"/>
      <c r="QLE64" s="349"/>
      <c r="QLF64" s="349"/>
      <c r="QLG64" s="349"/>
      <c r="QLH64" s="349"/>
      <c r="QLI64" s="349"/>
      <c r="QLJ64" s="349"/>
      <c r="QLK64" s="349"/>
      <c r="QLL64" s="349"/>
      <c r="QLM64" s="349"/>
      <c r="QLN64" s="349"/>
      <c r="QLO64" s="349"/>
      <c r="QLP64" s="349"/>
      <c r="QLQ64" s="349"/>
      <c r="QLR64" s="349"/>
      <c r="QLS64" s="349"/>
      <c r="QLT64" s="349"/>
      <c r="QLU64" s="349"/>
      <c r="QLV64" s="349"/>
      <c r="QLW64" s="349"/>
      <c r="QLX64" s="349"/>
      <c r="QLY64" s="349"/>
      <c r="QLZ64" s="349"/>
      <c r="QMA64" s="349"/>
      <c r="QMB64" s="349"/>
      <c r="QMC64" s="349"/>
      <c r="QMD64" s="349"/>
      <c r="QME64" s="349"/>
      <c r="QMF64" s="349"/>
      <c r="QMG64" s="349"/>
      <c r="QMH64" s="349"/>
      <c r="QMI64" s="349"/>
      <c r="QMJ64" s="349"/>
      <c r="QMK64" s="349"/>
      <c r="QML64" s="349"/>
      <c r="QMM64" s="349"/>
      <c r="QMN64" s="349"/>
      <c r="QMO64" s="349"/>
      <c r="QMP64" s="349"/>
      <c r="QMQ64" s="349"/>
      <c r="QMR64" s="349"/>
      <c r="QMS64" s="349"/>
      <c r="QMT64" s="349"/>
      <c r="QMU64" s="349"/>
      <c r="QMV64" s="349"/>
      <c r="QMW64" s="349"/>
      <c r="QMX64" s="349"/>
      <c r="QMY64" s="349"/>
      <c r="QMZ64" s="349"/>
      <c r="QNA64" s="349"/>
      <c r="QNB64" s="349"/>
      <c r="QNC64" s="349"/>
      <c r="QND64" s="349"/>
      <c r="QNE64" s="349"/>
      <c r="QNF64" s="349"/>
      <c r="QNG64" s="349"/>
      <c r="QNH64" s="349"/>
      <c r="QNI64" s="349"/>
      <c r="QNJ64" s="349"/>
      <c r="QNK64" s="349"/>
      <c r="QNL64" s="349"/>
      <c r="QNM64" s="349"/>
      <c r="QNN64" s="349"/>
      <c r="QNO64" s="349"/>
      <c r="QNP64" s="349"/>
      <c r="QNQ64" s="349"/>
      <c r="QNR64" s="349"/>
      <c r="QNS64" s="349"/>
      <c r="QNT64" s="349"/>
      <c r="QNU64" s="349"/>
      <c r="QNV64" s="349"/>
      <c r="QNW64" s="349"/>
      <c r="QNX64" s="349"/>
      <c r="QNY64" s="349"/>
      <c r="QNZ64" s="349"/>
      <c r="QOA64" s="349"/>
      <c r="QOB64" s="349"/>
      <c r="QOC64" s="349"/>
      <c r="QOD64" s="349"/>
      <c r="QOE64" s="349"/>
      <c r="QOF64" s="349"/>
      <c r="QOG64" s="349"/>
      <c r="QOH64" s="349"/>
      <c r="QOI64" s="349"/>
      <c r="QOJ64" s="349"/>
      <c r="QOK64" s="349"/>
      <c r="QOL64" s="349"/>
      <c r="QOM64" s="349"/>
      <c r="QON64" s="349"/>
      <c r="QOO64" s="349"/>
      <c r="QOP64" s="349"/>
      <c r="QOQ64" s="349"/>
      <c r="QOR64" s="349"/>
      <c r="QOS64" s="349"/>
      <c r="QOT64" s="349"/>
      <c r="QOU64" s="349"/>
      <c r="QOV64" s="349"/>
      <c r="QOW64" s="349"/>
      <c r="QOX64" s="349"/>
      <c r="QOY64" s="349"/>
      <c r="QOZ64" s="349"/>
      <c r="QPA64" s="349"/>
      <c r="QPB64" s="349"/>
      <c r="QPC64" s="349"/>
      <c r="QPD64" s="349"/>
      <c r="QPE64" s="349"/>
      <c r="QPF64" s="349"/>
      <c r="QPG64" s="349"/>
      <c r="QPH64" s="349"/>
      <c r="QPI64" s="349"/>
      <c r="QPJ64" s="349"/>
      <c r="QPK64" s="349"/>
      <c r="QPL64" s="349"/>
      <c r="QPM64" s="349"/>
      <c r="QPN64" s="349"/>
      <c r="QPO64" s="349"/>
      <c r="QPP64" s="349"/>
      <c r="QPQ64" s="349"/>
      <c r="QPR64" s="349"/>
      <c r="QPS64" s="349"/>
      <c r="QPT64" s="349"/>
      <c r="QPU64" s="349"/>
      <c r="QPV64" s="349"/>
      <c r="QPW64" s="349"/>
      <c r="QPX64" s="349"/>
      <c r="QPY64" s="349"/>
      <c r="QPZ64" s="349"/>
      <c r="QQA64" s="349"/>
      <c r="QQB64" s="349"/>
      <c r="QQC64" s="349"/>
      <c r="QQD64" s="349"/>
      <c r="QQE64" s="349"/>
      <c r="QQF64" s="349"/>
      <c r="QQG64" s="349"/>
      <c r="QQH64" s="349"/>
      <c r="QQI64" s="349"/>
      <c r="QQJ64" s="349"/>
      <c r="QQK64" s="349"/>
      <c r="QQL64" s="349"/>
      <c r="QQM64" s="349"/>
      <c r="QQN64" s="349"/>
      <c r="QQO64" s="349"/>
      <c r="QQP64" s="349"/>
      <c r="QQQ64" s="349"/>
      <c r="QQR64" s="349"/>
      <c r="QQS64" s="349"/>
      <c r="QQT64" s="349"/>
      <c r="QQU64" s="349"/>
      <c r="QQV64" s="349"/>
      <c r="QQW64" s="349"/>
      <c r="QQX64" s="349"/>
      <c r="QQY64" s="349"/>
      <c r="QQZ64" s="349"/>
      <c r="QRA64" s="349"/>
      <c r="QRB64" s="349"/>
      <c r="QRC64" s="349"/>
      <c r="QRD64" s="349"/>
      <c r="QRE64" s="349"/>
      <c r="QRF64" s="349"/>
      <c r="QRG64" s="349"/>
      <c r="QRH64" s="349"/>
      <c r="QRI64" s="349"/>
      <c r="QRJ64" s="349"/>
      <c r="QRK64" s="349"/>
      <c r="QRL64" s="349"/>
      <c r="QRM64" s="349"/>
      <c r="QRN64" s="349"/>
      <c r="QRO64" s="349"/>
      <c r="QRP64" s="349"/>
      <c r="QRQ64" s="349"/>
      <c r="QRR64" s="349"/>
      <c r="QRS64" s="349"/>
      <c r="QRT64" s="349"/>
      <c r="QRU64" s="349"/>
      <c r="QRV64" s="349"/>
      <c r="QRW64" s="349"/>
      <c r="QRX64" s="349"/>
      <c r="QRY64" s="349"/>
      <c r="QRZ64" s="349"/>
      <c r="QSA64" s="349"/>
      <c r="QSB64" s="349"/>
      <c r="QSC64" s="349"/>
      <c r="QSD64" s="349"/>
      <c r="QSE64" s="349"/>
      <c r="QSF64" s="349"/>
      <c r="QSG64" s="349"/>
      <c r="QSH64" s="349"/>
      <c r="QSI64" s="349"/>
      <c r="QSJ64" s="349"/>
      <c r="QSK64" s="349"/>
      <c r="QSL64" s="349"/>
      <c r="QSM64" s="349"/>
      <c r="QSN64" s="349"/>
      <c r="QSO64" s="349"/>
      <c r="QSP64" s="349"/>
      <c r="QSQ64" s="349"/>
      <c r="QSR64" s="349"/>
      <c r="QSS64" s="349"/>
      <c r="QST64" s="349"/>
      <c r="QSU64" s="349"/>
      <c r="QSV64" s="349"/>
      <c r="QSW64" s="349"/>
      <c r="QSX64" s="349"/>
      <c r="QSY64" s="349"/>
      <c r="QSZ64" s="349"/>
      <c r="QTA64" s="349"/>
      <c r="QTB64" s="349"/>
      <c r="QTC64" s="349"/>
      <c r="QTD64" s="349"/>
      <c r="QTE64" s="349"/>
      <c r="QTF64" s="349"/>
      <c r="QTG64" s="349"/>
      <c r="QTH64" s="349"/>
      <c r="QTI64" s="349"/>
      <c r="QTJ64" s="349"/>
      <c r="QTK64" s="349"/>
      <c r="QTL64" s="349"/>
      <c r="QTM64" s="349"/>
      <c r="QTN64" s="349"/>
      <c r="QTO64" s="349"/>
      <c r="QTP64" s="349"/>
      <c r="QTQ64" s="349"/>
      <c r="QTR64" s="349"/>
      <c r="QTS64" s="349"/>
      <c r="QTT64" s="349"/>
      <c r="QTU64" s="349"/>
      <c r="QTV64" s="349"/>
      <c r="QTW64" s="349"/>
      <c r="QTX64" s="349"/>
      <c r="QTY64" s="349"/>
      <c r="QTZ64" s="349"/>
      <c r="QUA64" s="349"/>
      <c r="QUB64" s="349"/>
      <c r="QUC64" s="349"/>
      <c r="QUD64" s="349"/>
      <c r="QUE64" s="349"/>
      <c r="QUF64" s="349"/>
      <c r="QUG64" s="349"/>
      <c r="QUH64" s="349"/>
      <c r="QUI64" s="349"/>
      <c r="QUJ64" s="349"/>
      <c r="QUK64" s="349"/>
      <c r="QUL64" s="349"/>
      <c r="QUM64" s="349"/>
      <c r="QUN64" s="349"/>
      <c r="QUO64" s="349"/>
      <c r="QUP64" s="349"/>
      <c r="QUQ64" s="349"/>
      <c r="QUR64" s="349"/>
      <c r="QUS64" s="349"/>
      <c r="QUT64" s="349"/>
      <c r="QUU64" s="349"/>
      <c r="QUV64" s="349"/>
      <c r="QUW64" s="349"/>
      <c r="QUX64" s="349"/>
      <c r="QUY64" s="349"/>
      <c r="QUZ64" s="349"/>
      <c r="QVA64" s="349"/>
      <c r="QVB64" s="349"/>
      <c r="QVC64" s="349"/>
      <c r="QVD64" s="349"/>
      <c r="QVE64" s="349"/>
      <c r="QVF64" s="349"/>
      <c r="QVG64" s="349"/>
      <c r="QVH64" s="349"/>
      <c r="QVI64" s="349"/>
      <c r="QVJ64" s="349"/>
      <c r="QVK64" s="349"/>
      <c r="QVL64" s="349"/>
      <c r="QVM64" s="349"/>
      <c r="QVN64" s="349"/>
      <c r="QVO64" s="349"/>
      <c r="QVP64" s="349"/>
      <c r="QVQ64" s="349"/>
      <c r="QVR64" s="349"/>
      <c r="QVS64" s="349"/>
      <c r="QVT64" s="349"/>
      <c r="QVU64" s="349"/>
      <c r="QVV64" s="349"/>
      <c r="QVW64" s="349"/>
      <c r="QVX64" s="349"/>
      <c r="QVY64" s="349"/>
      <c r="QVZ64" s="349"/>
      <c r="QWA64" s="349"/>
      <c r="QWB64" s="349"/>
      <c r="QWC64" s="349"/>
      <c r="QWD64" s="349"/>
      <c r="QWE64" s="349"/>
      <c r="QWF64" s="349"/>
      <c r="QWG64" s="349"/>
      <c r="QWH64" s="349"/>
      <c r="QWI64" s="349"/>
      <c r="QWJ64" s="349"/>
      <c r="QWK64" s="349"/>
      <c r="QWL64" s="349"/>
      <c r="QWM64" s="349"/>
      <c r="QWN64" s="349"/>
      <c r="QWO64" s="349"/>
      <c r="QWP64" s="349"/>
      <c r="QWQ64" s="349"/>
      <c r="QWR64" s="349"/>
      <c r="QWS64" s="349"/>
      <c r="QWT64" s="349"/>
      <c r="QWU64" s="349"/>
      <c r="QWV64" s="349"/>
      <c r="QWW64" s="349"/>
      <c r="QWX64" s="349"/>
      <c r="QWY64" s="349"/>
      <c r="QWZ64" s="349"/>
      <c r="QXA64" s="349"/>
      <c r="QXB64" s="349"/>
      <c r="QXC64" s="349"/>
      <c r="QXD64" s="349"/>
      <c r="QXE64" s="349"/>
      <c r="QXF64" s="349"/>
      <c r="QXG64" s="349"/>
      <c r="QXH64" s="349"/>
      <c r="QXI64" s="349"/>
      <c r="QXJ64" s="349"/>
      <c r="QXK64" s="349"/>
      <c r="QXL64" s="349"/>
      <c r="QXM64" s="349"/>
      <c r="QXN64" s="349"/>
      <c r="QXO64" s="349"/>
      <c r="QXP64" s="349"/>
      <c r="QXQ64" s="349"/>
      <c r="QXR64" s="349"/>
      <c r="QXS64" s="349"/>
      <c r="QXT64" s="349"/>
      <c r="QXU64" s="349"/>
      <c r="QXV64" s="349"/>
      <c r="QXW64" s="349"/>
      <c r="QXX64" s="349"/>
      <c r="QXY64" s="349"/>
      <c r="QXZ64" s="349"/>
      <c r="QYA64" s="349"/>
      <c r="QYB64" s="349"/>
      <c r="QYC64" s="349"/>
      <c r="QYD64" s="349"/>
      <c r="QYE64" s="349"/>
      <c r="QYF64" s="349"/>
      <c r="QYG64" s="349"/>
      <c r="QYH64" s="349"/>
      <c r="QYI64" s="349"/>
      <c r="QYJ64" s="349"/>
      <c r="QYK64" s="349"/>
      <c r="QYL64" s="349"/>
      <c r="QYM64" s="349"/>
      <c r="QYN64" s="349"/>
      <c r="QYO64" s="349"/>
      <c r="QYP64" s="349"/>
      <c r="QYQ64" s="349"/>
      <c r="QYR64" s="349"/>
      <c r="QYS64" s="349"/>
      <c r="QYT64" s="349"/>
      <c r="QYU64" s="349"/>
      <c r="QYV64" s="349"/>
      <c r="QYW64" s="349"/>
      <c r="QYX64" s="349"/>
      <c r="QYY64" s="349"/>
      <c r="QYZ64" s="349"/>
      <c r="QZA64" s="349"/>
      <c r="QZB64" s="349"/>
      <c r="QZC64" s="349"/>
      <c r="QZD64" s="349"/>
      <c r="QZE64" s="349"/>
      <c r="QZF64" s="349"/>
      <c r="QZG64" s="349"/>
      <c r="QZH64" s="349"/>
      <c r="QZI64" s="349"/>
      <c r="QZJ64" s="349"/>
      <c r="QZK64" s="349"/>
      <c r="QZL64" s="349"/>
      <c r="QZM64" s="349"/>
      <c r="QZN64" s="349"/>
      <c r="QZO64" s="349"/>
      <c r="QZP64" s="349"/>
      <c r="QZQ64" s="349"/>
      <c r="QZR64" s="349"/>
      <c r="QZS64" s="349"/>
      <c r="QZT64" s="349"/>
      <c r="QZU64" s="349"/>
      <c r="QZV64" s="349"/>
      <c r="QZW64" s="349"/>
      <c r="QZX64" s="349"/>
      <c r="QZY64" s="349"/>
      <c r="QZZ64" s="349"/>
      <c r="RAA64" s="349"/>
      <c r="RAB64" s="349"/>
      <c r="RAC64" s="349"/>
      <c r="RAD64" s="349"/>
      <c r="RAE64" s="349"/>
      <c r="RAF64" s="349"/>
      <c r="RAG64" s="349"/>
      <c r="RAH64" s="349"/>
      <c r="RAI64" s="349"/>
      <c r="RAJ64" s="349"/>
      <c r="RAK64" s="349"/>
      <c r="RAL64" s="349"/>
      <c r="RAM64" s="349"/>
      <c r="RAN64" s="349"/>
      <c r="RAO64" s="349"/>
      <c r="RAP64" s="349"/>
      <c r="RAQ64" s="349"/>
      <c r="RAR64" s="349"/>
      <c r="RAS64" s="349"/>
      <c r="RAT64" s="349"/>
      <c r="RAU64" s="349"/>
      <c r="RAV64" s="349"/>
      <c r="RAW64" s="349"/>
      <c r="RAX64" s="349"/>
      <c r="RAY64" s="349"/>
      <c r="RAZ64" s="349"/>
      <c r="RBA64" s="349"/>
      <c r="RBB64" s="349"/>
      <c r="RBC64" s="349"/>
      <c r="RBD64" s="349"/>
      <c r="RBE64" s="349"/>
      <c r="RBF64" s="349"/>
      <c r="RBG64" s="349"/>
      <c r="RBH64" s="349"/>
      <c r="RBI64" s="349"/>
      <c r="RBJ64" s="349"/>
      <c r="RBK64" s="349"/>
      <c r="RBL64" s="349"/>
      <c r="RBM64" s="349"/>
      <c r="RBN64" s="349"/>
      <c r="RBO64" s="349"/>
      <c r="RBP64" s="349"/>
      <c r="RBQ64" s="349"/>
      <c r="RBR64" s="349"/>
      <c r="RBS64" s="349"/>
      <c r="RBT64" s="349"/>
      <c r="RBU64" s="349"/>
      <c r="RBV64" s="349"/>
      <c r="RBW64" s="349"/>
      <c r="RBX64" s="349"/>
      <c r="RBY64" s="349"/>
      <c r="RBZ64" s="349"/>
      <c r="RCA64" s="349"/>
      <c r="RCB64" s="349"/>
      <c r="RCC64" s="349"/>
      <c r="RCD64" s="349"/>
      <c r="RCE64" s="349"/>
      <c r="RCF64" s="349"/>
      <c r="RCG64" s="349"/>
      <c r="RCH64" s="349"/>
      <c r="RCI64" s="349"/>
      <c r="RCJ64" s="349"/>
      <c r="RCK64" s="349"/>
      <c r="RCL64" s="349"/>
      <c r="RCM64" s="349"/>
      <c r="RCN64" s="349"/>
      <c r="RCO64" s="349"/>
      <c r="RCP64" s="349"/>
      <c r="RCQ64" s="349"/>
      <c r="RCR64" s="349"/>
      <c r="RCS64" s="349"/>
      <c r="RCT64" s="349"/>
      <c r="RCU64" s="349"/>
      <c r="RCV64" s="349"/>
      <c r="RCW64" s="349"/>
      <c r="RCX64" s="349"/>
      <c r="RCY64" s="349"/>
      <c r="RCZ64" s="349"/>
      <c r="RDA64" s="349"/>
      <c r="RDB64" s="349"/>
      <c r="RDC64" s="349"/>
      <c r="RDD64" s="349"/>
      <c r="RDE64" s="349"/>
      <c r="RDF64" s="349"/>
      <c r="RDG64" s="349"/>
      <c r="RDH64" s="349"/>
      <c r="RDI64" s="349"/>
      <c r="RDJ64" s="349"/>
      <c r="RDK64" s="349"/>
      <c r="RDL64" s="349"/>
      <c r="RDM64" s="349"/>
      <c r="RDN64" s="349"/>
      <c r="RDO64" s="349"/>
      <c r="RDP64" s="349"/>
      <c r="RDQ64" s="349"/>
      <c r="RDR64" s="349"/>
      <c r="RDS64" s="349"/>
      <c r="RDT64" s="349"/>
      <c r="RDU64" s="349"/>
      <c r="RDV64" s="349"/>
      <c r="RDW64" s="349"/>
      <c r="RDX64" s="349"/>
      <c r="RDY64" s="349"/>
      <c r="RDZ64" s="349"/>
      <c r="REA64" s="349"/>
      <c r="REB64" s="349"/>
      <c r="REC64" s="349"/>
      <c r="RED64" s="349"/>
      <c r="REE64" s="349"/>
      <c r="REF64" s="349"/>
      <c r="REG64" s="349"/>
      <c r="REH64" s="349"/>
      <c r="REI64" s="349"/>
      <c r="REJ64" s="349"/>
      <c r="REK64" s="349"/>
      <c r="REL64" s="349"/>
      <c r="REM64" s="349"/>
      <c r="REN64" s="349"/>
      <c r="REO64" s="349"/>
      <c r="REP64" s="349"/>
      <c r="REQ64" s="349"/>
      <c r="RER64" s="349"/>
      <c r="RES64" s="349"/>
      <c r="RET64" s="349"/>
      <c r="REU64" s="349"/>
      <c r="REV64" s="349"/>
      <c r="REW64" s="349"/>
      <c r="REX64" s="349"/>
      <c r="REY64" s="349"/>
      <c r="REZ64" s="349"/>
      <c r="RFA64" s="349"/>
      <c r="RFB64" s="349"/>
      <c r="RFC64" s="349"/>
      <c r="RFD64" s="349"/>
      <c r="RFE64" s="349"/>
      <c r="RFF64" s="349"/>
      <c r="RFG64" s="349"/>
      <c r="RFH64" s="349"/>
      <c r="RFI64" s="349"/>
      <c r="RFJ64" s="349"/>
      <c r="RFK64" s="349"/>
      <c r="RFL64" s="349"/>
      <c r="RFM64" s="349"/>
      <c r="RFN64" s="349"/>
      <c r="RFO64" s="349"/>
      <c r="RFP64" s="349"/>
      <c r="RFQ64" s="349"/>
      <c r="RFR64" s="349"/>
      <c r="RFS64" s="349"/>
      <c r="RFT64" s="349"/>
      <c r="RFU64" s="349"/>
      <c r="RFV64" s="349"/>
      <c r="RFW64" s="349"/>
      <c r="RFX64" s="349"/>
      <c r="RFY64" s="349"/>
      <c r="RFZ64" s="349"/>
      <c r="RGA64" s="349"/>
      <c r="RGB64" s="349"/>
      <c r="RGC64" s="349"/>
      <c r="RGD64" s="349"/>
      <c r="RGE64" s="349"/>
      <c r="RGF64" s="349"/>
      <c r="RGG64" s="349"/>
      <c r="RGH64" s="349"/>
      <c r="RGI64" s="349"/>
      <c r="RGJ64" s="349"/>
      <c r="RGK64" s="349"/>
      <c r="RGL64" s="349"/>
      <c r="RGM64" s="349"/>
      <c r="RGN64" s="349"/>
      <c r="RGO64" s="349"/>
      <c r="RGP64" s="349"/>
      <c r="RGQ64" s="349"/>
      <c r="RGR64" s="349"/>
      <c r="RGS64" s="349"/>
      <c r="RGT64" s="349"/>
      <c r="RGU64" s="349"/>
      <c r="RGV64" s="349"/>
      <c r="RGW64" s="349"/>
      <c r="RGX64" s="349"/>
      <c r="RGY64" s="349"/>
      <c r="RGZ64" s="349"/>
      <c r="RHA64" s="349"/>
      <c r="RHB64" s="349"/>
      <c r="RHC64" s="349"/>
      <c r="RHD64" s="349"/>
      <c r="RHE64" s="349"/>
      <c r="RHF64" s="349"/>
      <c r="RHG64" s="349"/>
      <c r="RHH64" s="349"/>
      <c r="RHI64" s="349"/>
      <c r="RHJ64" s="349"/>
      <c r="RHK64" s="349"/>
      <c r="RHL64" s="349"/>
      <c r="RHM64" s="349"/>
      <c r="RHN64" s="349"/>
      <c r="RHO64" s="349"/>
      <c r="RHP64" s="349"/>
      <c r="RHQ64" s="349"/>
      <c r="RHR64" s="349"/>
      <c r="RHS64" s="349"/>
      <c r="RHT64" s="349"/>
      <c r="RHU64" s="349"/>
      <c r="RHV64" s="349"/>
      <c r="RHW64" s="349"/>
      <c r="RHX64" s="349"/>
      <c r="RHY64" s="349"/>
      <c r="RHZ64" s="349"/>
      <c r="RIA64" s="349"/>
      <c r="RIB64" s="349"/>
      <c r="RIC64" s="349"/>
      <c r="RID64" s="349"/>
      <c r="RIE64" s="349"/>
      <c r="RIF64" s="349"/>
      <c r="RIG64" s="349"/>
      <c r="RIH64" s="349"/>
      <c r="RII64" s="349"/>
      <c r="RIJ64" s="349"/>
      <c r="RIK64" s="349"/>
      <c r="RIL64" s="349"/>
      <c r="RIM64" s="349"/>
      <c r="RIN64" s="349"/>
      <c r="RIO64" s="349"/>
      <c r="RIP64" s="349"/>
      <c r="RIQ64" s="349"/>
      <c r="RIR64" s="349"/>
      <c r="RIS64" s="349"/>
      <c r="RIT64" s="349"/>
      <c r="RIU64" s="349"/>
      <c r="RIV64" s="349"/>
      <c r="RIW64" s="349"/>
      <c r="RIX64" s="349"/>
      <c r="RIY64" s="349"/>
      <c r="RIZ64" s="349"/>
      <c r="RJA64" s="349"/>
      <c r="RJB64" s="349"/>
      <c r="RJC64" s="349"/>
      <c r="RJD64" s="349"/>
      <c r="RJE64" s="349"/>
      <c r="RJF64" s="349"/>
      <c r="RJG64" s="349"/>
      <c r="RJH64" s="349"/>
      <c r="RJI64" s="349"/>
      <c r="RJJ64" s="349"/>
      <c r="RJK64" s="349"/>
      <c r="RJL64" s="349"/>
      <c r="RJM64" s="349"/>
      <c r="RJN64" s="349"/>
      <c r="RJO64" s="349"/>
      <c r="RJP64" s="349"/>
      <c r="RJQ64" s="349"/>
      <c r="RJR64" s="349"/>
      <c r="RJS64" s="349"/>
      <c r="RJT64" s="349"/>
      <c r="RJU64" s="349"/>
      <c r="RJV64" s="349"/>
      <c r="RJW64" s="349"/>
      <c r="RJX64" s="349"/>
      <c r="RJY64" s="349"/>
      <c r="RJZ64" s="349"/>
      <c r="RKA64" s="349"/>
      <c r="RKB64" s="349"/>
      <c r="RKC64" s="349"/>
      <c r="RKD64" s="349"/>
      <c r="RKE64" s="349"/>
      <c r="RKF64" s="349"/>
      <c r="RKG64" s="349"/>
      <c r="RKH64" s="349"/>
      <c r="RKI64" s="349"/>
      <c r="RKJ64" s="349"/>
      <c r="RKK64" s="349"/>
      <c r="RKL64" s="349"/>
      <c r="RKM64" s="349"/>
      <c r="RKN64" s="349"/>
      <c r="RKO64" s="349"/>
      <c r="RKP64" s="349"/>
      <c r="RKQ64" s="349"/>
      <c r="RKR64" s="349"/>
      <c r="RKS64" s="349"/>
      <c r="RKT64" s="349"/>
      <c r="RKU64" s="349"/>
      <c r="RKV64" s="349"/>
      <c r="RKW64" s="349"/>
      <c r="RKX64" s="349"/>
      <c r="RKY64" s="349"/>
      <c r="RKZ64" s="349"/>
      <c r="RLA64" s="349"/>
      <c r="RLB64" s="349"/>
      <c r="RLC64" s="349"/>
      <c r="RLD64" s="349"/>
      <c r="RLE64" s="349"/>
      <c r="RLF64" s="349"/>
      <c r="RLG64" s="349"/>
      <c r="RLH64" s="349"/>
      <c r="RLI64" s="349"/>
      <c r="RLJ64" s="349"/>
      <c r="RLK64" s="349"/>
      <c r="RLL64" s="349"/>
      <c r="RLM64" s="349"/>
      <c r="RLN64" s="349"/>
      <c r="RLO64" s="349"/>
      <c r="RLP64" s="349"/>
      <c r="RLQ64" s="349"/>
      <c r="RLR64" s="349"/>
      <c r="RLS64" s="349"/>
      <c r="RLT64" s="349"/>
      <c r="RLU64" s="349"/>
      <c r="RLV64" s="349"/>
      <c r="RLW64" s="349"/>
      <c r="RLX64" s="349"/>
      <c r="RLY64" s="349"/>
      <c r="RLZ64" s="349"/>
      <c r="RMA64" s="349"/>
      <c r="RMB64" s="349"/>
      <c r="RMC64" s="349"/>
      <c r="RMD64" s="349"/>
      <c r="RME64" s="349"/>
      <c r="RMF64" s="349"/>
      <c r="RMG64" s="349"/>
      <c r="RMH64" s="349"/>
      <c r="RMI64" s="349"/>
      <c r="RMJ64" s="349"/>
      <c r="RMK64" s="349"/>
      <c r="RML64" s="349"/>
      <c r="RMM64" s="349"/>
      <c r="RMN64" s="349"/>
      <c r="RMO64" s="349"/>
      <c r="RMP64" s="349"/>
      <c r="RMQ64" s="349"/>
      <c r="RMR64" s="349"/>
      <c r="RMS64" s="349"/>
      <c r="RMT64" s="349"/>
      <c r="RMU64" s="349"/>
      <c r="RMV64" s="349"/>
      <c r="RMW64" s="349"/>
      <c r="RMX64" s="349"/>
      <c r="RMY64" s="349"/>
      <c r="RMZ64" s="349"/>
      <c r="RNA64" s="349"/>
      <c r="RNB64" s="349"/>
      <c r="RNC64" s="349"/>
      <c r="RND64" s="349"/>
      <c r="RNE64" s="349"/>
      <c r="RNF64" s="349"/>
      <c r="RNG64" s="349"/>
      <c r="RNH64" s="349"/>
      <c r="RNI64" s="349"/>
      <c r="RNJ64" s="349"/>
      <c r="RNK64" s="349"/>
      <c r="RNL64" s="349"/>
      <c r="RNM64" s="349"/>
      <c r="RNN64" s="349"/>
      <c r="RNO64" s="349"/>
      <c r="RNP64" s="349"/>
      <c r="RNQ64" s="349"/>
      <c r="RNR64" s="349"/>
      <c r="RNS64" s="349"/>
      <c r="RNT64" s="349"/>
      <c r="RNU64" s="349"/>
      <c r="RNV64" s="349"/>
      <c r="RNW64" s="349"/>
      <c r="RNX64" s="349"/>
      <c r="RNY64" s="349"/>
      <c r="RNZ64" s="349"/>
      <c r="ROA64" s="349"/>
      <c r="ROB64" s="349"/>
      <c r="ROC64" s="349"/>
      <c r="ROD64" s="349"/>
      <c r="ROE64" s="349"/>
      <c r="ROF64" s="349"/>
      <c r="ROG64" s="349"/>
      <c r="ROH64" s="349"/>
      <c r="ROI64" s="349"/>
      <c r="ROJ64" s="349"/>
      <c r="ROK64" s="349"/>
      <c r="ROL64" s="349"/>
      <c r="ROM64" s="349"/>
      <c r="RON64" s="349"/>
      <c r="ROO64" s="349"/>
      <c r="ROP64" s="349"/>
      <c r="ROQ64" s="349"/>
      <c r="ROR64" s="349"/>
      <c r="ROS64" s="349"/>
      <c r="ROT64" s="349"/>
      <c r="ROU64" s="349"/>
      <c r="ROV64" s="349"/>
      <c r="ROW64" s="349"/>
      <c r="ROX64" s="349"/>
      <c r="ROY64" s="349"/>
      <c r="ROZ64" s="349"/>
      <c r="RPA64" s="349"/>
      <c r="RPB64" s="349"/>
      <c r="RPC64" s="349"/>
      <c r="RPD64" s="349"/>
      <c r="RPE64" s="349"/>
      <c r="RPF64" s="349"/>
      <c r="RPG64" s="349"/>
      <c r="RPH64" s="349"/>
      <c r="RPI64" s="349"/>
      <c r="RPJ64" s="349"/>
      <c r="RPK64" s="349"/>
      <c r="RPL64" s="349"/>
      <c r="RPM64" s="349"/>
      <c r="RPN64" s="349"/>
      <c r="RPO64" s="349"/>
      <c r="RPP64" s="349"/>
      <c r="RPQ64" s="349"/>
      <c r="RPR64" s="349"/>
      <c r="RPS64" s="349"/>
      <c r="RPT64" s="349"/>
      <c r="RPU64" s="349"/>
      <c r="RPV64" s="349"/>
      <c r="RPW64" s="349"/>
      <c r="RPX64" s="349"/>
      <c r="RPY64" s="349"/>
      <c r="RPZ64" s="349"/>
      <c r="RQA64" s="349"/>
      <c r="RQB64" s="349"/>
      <c r="RQC64" s="349"/>
      <c r="RQD64" s="349"/>
      <c r="RQE64" s="349"/>
      <c r="RQF64" s="349"/>
      <c r="RQG64" s="349"/>
      <c r="RQH64" s="349"/>
      <c r="RQI64" s="349"/>
      <c r="RQJ64" s="349"/>
      <c r="RQK64" s="349"/>
      <c r="RQL64" s="349"/>
      <c r="RQM64" s="349"/>
      <c r="RQN64" s="349"/>
      <c r="RQO64" s="349"/>
      <c r="RQP64" s="349"/>
      <c r="RQQ64" s="349"/>
      <c r="RQR64" s="349"/>
      <c r="RQS64" s="349"/>
      <c r="RQT64" s="349"/>
      <c r="RQU64" s="349"/>
      <c r="RQV64" s="349"/>
      <c r="RQW64" s="349"/>
      <c r="RQX64" s="349"/>
      <c r="RQY64" s="349"/>
      <c r="RQZ64" s="349"/>
      <c r="RRA64" s="349"/>
      <c r="RRB64" s="349"/>
      <c r="RRC64" s="349"/>
      <c r="RRD64" s="349"/>
      <c r="RRE64" s="349"/>
      <c r="RRF64" s="349"/>
      <c r="RRG64" s="349"/>
      <c r="RRH64" s="349"/>
      <c r="RRI64" s="349"/>
      <c r="RRJ64" s="349"/>
      <c r="RRK64" s="349"/>
      <c r="RRL64" s="349"/>
      <c r="RRM64" s="349"/>
      <c r="RRN64" s="349"/>
      <c r="RRO64" s="349"/>
      <c r="RRP64" s="349"/>
      <c r="RRQ64" s="349"/>
      <c r="RRR64" s="349"/>
      <c r="RRS64" s="349"/>
      <c r="RRT64" s="349"/>
      <c r="RRU64" s="349"/>
      <c r="RRV64" s="349"/>
      <c r="RRW64" s="349"/>
      <c r="RRX64" s="349"/>
      <c r="RRY64" s="349"/>
      <c r="RRZ64" s="349"/>
      <c r="RSA64" s="349"/>
      <c r="RSB64" s="349"/>
      <c r="RSC64" s="349"/>
      <c r="RSD64" s="349"/>
      <c r="RSE64" s="349"/>
      <c r="RSF64" s="349"/>
      <c r="RSG64" s="349"/>
      <c r="RSH64" s="349"/>
      <c r="RSI64" s="349"/>
      <c r="RSJ64" s="349"/>
      <c r="RSK64" s="349"/>
      <c r="RSL64" s="349"/>
      <c r="RSM64" s="349"/>
      <c r="RSN64" s="349"/>
      <c r="RSO64" s="349"/>
      <c r="RSP64" s="349"/>
      <c r="RSQ64" s="349"/>
      <c r="RSR64" s="349"/>
      <c r="RSS64" s="349"/>
      <c r="RST64" s="349"/>
      <c r="RSU64" s="349"/>
      <c r="RSV64" s="349"/>
      <c r="RSW64" s="349"/>
      <c r="RSX64" s="349"/>
      <c r="RSY64" s="349"/>
      <c r="RSZ64" s="349"/>
      <c r="RTA64" s="349"/>
      <c r="RTB64" s="349"/>
      <c r="RTC64" s="349"/>
      <c r="RTD64" s="349"/>
      <c r="RTE64" s="349"/>
      <c r="RTF64" s="349"/>
      <c r="RTG64" s="349"/>
      <c r="RTH64" s="349"/>
      <c r="RTI64" s="349"/>
      <c r="RTJ64" s="349"/>
      <c r="RTK64" s="349"/>
      <c r="RTL64" s="349"/>
      <c r="RTM64" s="349"/>
      <c r="RTN64" s="349"/>
      <c r="RTO64" s="349"/>
      <c r="RTP64" s="349"/>
      <c r="RTQ64" s="349"/>
      <c r="RTR64" s="349"/>
      <c r="RTS64" s="349"/>
      <c r="RTT64" s="349"/>
      <c r="RTU64" s="349"/>
      <c r="RTV64" s="349"/>
      <c r="RTW64" s="349"/>
      <c r="RTX64" s="349"/>
      <c r="RTY64" s="349"/>
      <c r="RTZ64" s="349"/>
      <c r="RUA64" s="349"/>
      <c r="RUB64" s="349"/>
      <c r="RUC64" s="349"/>
      <c r="RUD64" s="349"/>
      <c r="RUE64" s="349"/>
      <c r="RUF64" s="349"/>
      <c r="RUG64" s="349"/>
      <c r="RUH64" s="349"/>
      <c r="RUI64" s="349"/>
      <c r="RUJ64" s="349"/>
      <c r="RUK64" s="349"/>
      <c r="RUL64" s="349"/>
      <c r="RUM64" s="349"/>
      <c r="RUN64" s="349"/>
      <c r="RUO64" s="349"/>
      <c r="RUP64" s="349"/>
      <c r="RUQ64" s="349"/>
      <c r="RUR64" s="349"/>
      <c r="RUS64" s="349"/>
      <c r="RUT64" s="349"/>
      <c r="RUU64" s="349"/>
      <c r="RUV64" s="349"/>
      <c r="RUW64" s="349"/>
      <c r="RUX64" s="349"/>
      <c r="RUY64" s="349"/>
      <c r="RUZ64" s="349"/>
      <c r="RVA64" s="349"/>
      <c r="RVB64" s="349"/>
      <c r="RVC64" s="349"/>
      <c r="RVD64" s="349"/>
      <c r="RVE64" s="349"/>
      <c r="RVF64" s="349"/>
      <c r="RVG64" s="349"/>
      <c r="RVH64" s="349"/>
      <c r="RVI64" s="349"/>
      <c r="RVJ64" s="349"/>
      <c r="RVK64" s="349"/>
      <c r="RVL64" s="349"/>
      <c r="RVM64" s="349"/>
      <c r="RVN64" s="349"/>
      <c r="RVO64" s="349"/>
      <c r="RVP64" s="349"/>
      <c r="RVQ64" s="349"/>
      <c r="RVR64" s="349"/>
      <c r="RVS64" s="349"/>
      <c r="RVT64" s="349"/>
      <c r="RVU64" s="349"/>
      <c r="RVV64" s="349"/>
      <c r="RVW64" s="349"/>
      <c r="RVX64" s="349"/>
      <c r="RVY64" s="349"/>
      <c r="RVZ64" s="349"/>
      <c r="RWA64" s="349"/>
      <c r="RWB64" s="349"/>
      <c r="RWC64" s="349"/>
      <c r="RWD64" s="349"/>
      <c r="RWE64" s="349"/>
      <c r="RWF64" s="349"/>
      <c r="RWG64" s="349"/>
      <c r="RWH64" s="349"/>
      <c r="RWI64" s="349"/>
      <c r="RWJ64" s="349"/>
      <c r="RWK64" s="349"/>
      <c r="RWL64" s="349"/>
      <c r="RWM64" s="349"/>
      <c r="RWN64" s="349"/>
      <c r="RWO64" s="349"/>
      <c r="RWP64" s="349"/>
      <c r="RWQ64" s="349"/>
      <c r="RWR64" s="349"/>
      <c r="RWS64" s="349"/>
      <c r="RWT64" s="349"/>
      <c r="RWU64" s="349"/>
      <c r="RWV64" s="349"/>
      <c r="RWW64" s="349"/>
      <c r="RWX64" s="349"/>
      <c r="RWY64" s="349"/>
      <c r="RWZ64" s="349"/>
      <c r="RXA64" s="349"/>
      <c r="RXB64" s="349"/>
      <c r="RXC64" s="349"/>
      <c r="RXD64" s="349"/>
      <c r="RXE64" s="349"/>
      <c r="RXF64" s="349"/>
      <c r="RXG64" s="349"/>
      <c r="RXH64" s="349"/>
      <c r="RXI64" s="349"/>
      <c r="RXJ64" s="349"/>
      <c r="RXK64" s="349"/>
      <c r="RXL64" s="349"/>
      <c r="RXM64" s="349"/>
      <c r="RXN64" s="349"/>
      <c r="RXO64" s="349"/>
      <c r="RXP64" s="349"/>
      <c r="RXQ64" s="349"/>
      <c r="RXR64" s="349"/>
      <c r="RXS64" s="349"/>
      <c r="RXT64" s="349"/>
      <c r="RXU64" s="349"/>
      <c r="RXV64" s="349"/>
      <c r="RXW64" s="349"/>
      <c r="RXX64" s="349"/>
      <c r="RXY64" s="349"/>
      <c r="RXZ64" s="349"/>
      <c r="RYA64" s="349"/>
      <c r="RYB64" s="349"/>
      <c r="RYC64" s="349"/>
      <c r="RYD64" s="349"/>
      <c r="RYE64" s="349"/>
      <c r="RYF64" s="349"/>
      <c r="RYG64" s="349"/>
      <c r="RYH64" s="349"/>
      <c r="RYI64" s="349"/>
      <c r="RYJ64" s="349"/>
      <c r="RYK64" s="349"/>
      <c r="RYL64" s="349"/>
      <c r="RYM64" s="349"/>
      <c r="RYN64" s="349"/>
      <c r="RYO64" s="349"/>
      <c r="RYP64" s="349"/>
      <c r="RYQ64" s="349"/>
      <c r="RYR64" s="349"/>
      <c r="RYS64" s="349"/>
      <c r="RYT64" s="349"/>
      <c r="RYU64" s="349"/>
      <c r="RYV64" s="349"/>
      <c r="RYW64" s="349"/>
      <c r="RYX64" s="349"/>
      <c r="RYY64" s="349"/>
      <c r="RYZ64" s="349"/>
      <c r="RZA64" s="349"/>
      <c r="RZB64" s="349"/>
      <c r="RZC64" s="349"/>
      <c r="RZD64" s="349"/>
      <c r="RZE64" s="349"/>
      <c r="RZF64" s="349"/>
      <c r="RZG64" s="349"/>
      <c r="RZH64" s="349"/>
      <c r="RZI64" s="349"/>
      <c r="RZJ64" s="349"/>
      <c r="RZK64" s="349"/>
      <c r="RZL64" s="349"/>
      <c r="RZM64" s="349"/>
      <c r="RZN64" s="349"/>
      <c r="RZO64" s="349"/>
      <c r="RZP64" s="349"/>
      <c r="RZQ64" s="349"/>
      <c r="RZR64" s="349"/>
      <c r="RZS64" s="349"/>
      <c r="RZT64" s="349"/>
      <c r="RZU64" s="349"/>
      <c r="RZV64" s="349"/>
      <c r="RZW64" s="349"/>
      <c r="RZX64" s="349"/>
      <c r="RZY64" s="349"/>
      <c r="RZZ64" s="349"/>
      <c r="SAA64" s="349"/>
      <c r="SAB64" s="349"/>
      <c r="SAC64" s="349"/>
      <c r="SAD64" s="349"/>
      <c r="SAE64" s="349"/>
      <c r="SAF64" s="349"/>
      <c r="SAG64" s="349"/>
      <c r="SAH64" s="349"/>
      <c r="SAI64" s="349"/>
      <c r="SAJ64" s="349"/>
      <c r="SAK64" s="349"/>
      <c r="SAL64" s="349"/>
      <c r="SAM64" s="349"/>
      <c r="SAN64" s="349"/>
      <c r="SAO64" s="349"/>
      <c r="SAP64" s="349"/>
      <c r="SAQ64" s="349"/>
      <c r="SAR64" s="349"/>
      <c r="SAS64" s="349"/>
      <c r="SAT64" s="349"/>
      <c r="SAU64" s="349"/>
      <c r="SAV64" s="349"/>
      <c r="SAW64" s="349"/>
      <c r="SAX64" s="349"/>
      <c r="SAY64" s="349"/>
      <c r="SAZ64" s="349"/>
      <c r="SBA64" s="349"/>
      <c r="SBB64" s="349"/>
      <c r="SBC64" s="349"/>
      <c r="SBD64" s="349"/>
      <c r="SBE64" s="349"/>
      <c r="SBF64" s="349"/>
      <c r="SBG64" s="349"/>
      <c r="SBH64" s="349"/>
      <c r="SBI64" s="349"/>
      <c r="SBJ64" s="349"/>
      <c r="SBK64" s="349"/>
      <c r="SBL64" s="349"/>
      <c r="SBM64" s="349"/>
      <c r="SBN64" s="349"/>
      <c r="SBO64" s="349"/>
      <c r="SBP64" s="349"/>
      <c r="SBQ64" s="349"/>
      <c r="SBR64" s="349"/>
      <c r="SBS64" s="349"/>
      <c r="SBT64" s="349"/>
      <c r="SBU64" s="349"/>
      <c r="SBV64" s="349"/>
      <c r="SBW64" s="349"/>
      <c r="SBX64" s="349"/>
      <c r="SBY64" s="349"/>
      <c r="SBZ64" s="349"/>
      <c r="SCA64" s="349"/>
      <c r="SCB64" s="349"/>
      <c r="SCC64" s="349"/>
      <c r="SCD64" s="349"/>
      <c r="SCE64" s="349"/>
      <c r="SCF64" s="349"/>
      <c r="SCG64" s="349"/>
      <c r="SCH64" s="349"/>
      <c r="SCI64" s="349"/>
      <c r="SCJ64" s="349"/>
      <c r="SCK64" s="349"/>
      <c r="SCL64" s="349"/>
      <c r="SCM64" s="349"/>
      <c r="SCN64" s="349"/>
      <c r="SCO64" s="349"/>
      <c r="SCP64" s="349"/>
      <c r="SCQ64" s="349"/>
      <c r="SCR64" s="349"/>
      <c r="SCS64" s="349"/>
      <c r="SCT64" s="349"/>
      <c r="SCU64" s="349"/>
      <c r="SCV64" s="349"/>
      <c r="SCW64" s="349"/>
      <c r="SCX64" s="349"/>
      <c r="SCY64" s="349"/>
      <c r="SCZ64" s="349"/>
      <c r="SDA64" s="349"/>
      <c r="SDB64" s="349"/>
      <c r="SDC64" s="349"/>
      <c r="SDD64" s="349"/>
      <c r="SDE64" s="349"/>
      <c r="SDF64" s="349"/>
      <c r="SDG64" s="349"/>
      <c r="SDH64" s="349"/>
      <c r="SDI64" s="349"/>
      <c r="SDJ64" s="349"/>
      <c r="SDK64" s="349"/>
      <c r="SDL64" s="349"/>
      <c r="SDM64" s="349"/>
      <c r="SDN64" s="349"/>
      <c r="SDO64" s="349"/>
      <c r="SDP64" s="349"/>
      <c r="SDQ64" s="349"/>
      <c r="SDR64" s="349"/>
      <c r="SDS64" s="349"/>
      <c r="SDT64" s="349"/>
      <c r="SDU64" s="349"/>
      <c r="SDV64" s="349"/>
      <c r="SDW64" s="349"/>
      <c r="SDX64" s="349"/>
      <c r="SDY64" s="349"/>
      <c r="SDZ64" s="349"/>
      <c r="SEA64" s="349"/>
      <c r="SEB64" s="349"/>
      <c r="SEC64" s="349"/>
      <c r="SED64" s="349"/>
      <c r="SEE64" s="349"/>
      <c r="SEF64" s="349"/>
      <c r="SEG64" s="349"/>
      <c r="SEH64" s="349"/>
      <c r="SEI64" s="349"/>
      <c r="SEJ64" s="349"/>
      <c r="SEK64" s="349"/>
      <c r="SEL64" s="349"/>
      <c r="SEM64" s="349"/>
      <c r="SEN64" s="349"/>
      <c r="SEO64" s="349"/>
      <c r="SEP64" s="349"/>
      <c r="SEQ64" s="349"/>
      <c r="SER64" s="349"/>
      <c r="SES64" s="349"/>
      <c r="SET64" s="349"/>
      <c r="SEU64" s="349"/>
      <c r="SEV64" s="349"/>
      <c r="SEW64" s="349"/>
      <c r="SEX64" s="349"/>
      <c r="SEY64" s="349"/>
      <c r="SEZ64" s="349"/>
      <c r="SFA64" s="349"/>
      <c r="SFB64" s="349"/>
      <c r="SFC64" s="349"/>
      <c r="SFD64" s="349"/>
      <c r="SFE64" s="349"/>
      <c r="SFF64" s="349"/>
      <c r="SFG64" s="349"/>
      <c r="SFH64" s="349"/>
      <c r="SFI64" s="349"/>
      <c r="SFJ64" s="349"/>
      <c r="SFK64" s="349"/>
      <c r="SFL64" s="349"/>
      <c r="SFM64" s="349"/>
      <c r="SFN64" s="349"/>
      <c r="SFO64" s="349"/>
      <c r="SFP64" s="349"/>
      <c r="SFQ64" s="349"/>
      <c r="SFR64" s="349"/>
      <c r="SFS64" s="349"/>
      <c r="SFT64" s="349"/>
      <c r="SFU64" s="349"/>
      <c r="SFV64" s="349"/>
      <c r="SFW64" s="349"/>
      <c r="SFX64" s="349"/>
      <c r="SFY64" s="349"/>
      <c r="SFZ64" s="349"/>
      <c r="SGA64" s="349"/>
      <c r="SGB64" s="349"/>
      <c r="SGC64" s="349"/>
      <c r="SGD64" s="349"/>
      <c r="SGE64" s="349"/>
      <c r="SGF64" s="349"/>
      <c r="SGG64" s="349"/>
      <c r="SGH64" s="349"/>
      <c r="SGI64" s="349"/>
      <c r="SGJ64" s="349"/>
      <c r="SGK64" s="349"/>
      <c r="SGL64" s="349"/>
      <c r="SGM64" s="349"/>
      <c r="SGN64" s="349"/>
      <c r="SGO64" s="349"/>
      <c r="SGP64" s="349"/>
      <c r="SGQ64" s="349"/>
      <c r="SGR64" s="349"/>
      <c r="SGS64" s="349"/>
      <c r="SGT64" s="349"/>
      <c r="SGU64" s="349"/>
      <c r="SGV64" s="349"/>
      <c r="SGW64" s="349"/>
      <c r="SGX64" s="349"/>
      <c r="SGY64" s="349"/>
      <c r="SGZ64" s="349"/>
      <c r="SHA64" s="349"/>
      <c r="SHB64" s="349"/>
      <c r="SHC64" s="349"/>
      <c r="SHD64" s="349"/>
      <c r="SHE64" s="349"/>
      <c r="SHF64" s="349"/>
      <c r="SHG64" s="349"/>
      <c r="SHH64" s="349"/>
      <c r="SHI64" s="349"/>
      <c r="SHJ64" s="349"/>
      <c r="SHK64" s="349"/>
      <c r="SHL64" s="349"/>
      <c r="SHM64" s="349"/>
      <c r="SHN64" s="349"/>
      <c r="SHO64" s="349"/>
      <c r="SHP64" s="349"/>
      <c r="SHQ64" s="349"/>
      <c r="SHR64" s="349"/>
      <c r="SHS64" s="349"/>
      <c r="SHT64" s="349"/>
      <c r="SHU64" s="349"/>
      <c r="SHV64" s="349"/>
      <c r="SHW64" s="349"/>
      <c r="SHX64" s="349"/>
      <c r="SHY64" s="349"/>
      <c r="SHZ64" s="349"/>
      <c r="SIA64" s="349"/>
      <c r="SIB64" s="349"/>
      <c r="SIC64" s="349"/>
      <c r="SID64" s="349"/>
      <c r="SIE64" s="349"/>
      <c r="SIF64" s="349"/>
      <c r="SIG64" s="349"/>
      <c r="SIH64" s="349"/>
      <c r="SII64" s="349"/>
      <c r="SIJ64" s="349"/>
      <c r="SIK64" s="349"/>
      <c r="SIL64" s="349"/>
      <c r="SIM64" s="349"/>
      <c r="SIN64" s="349"/>
      <c r="SIO64" s="349"/>
      <c r="SIP64" s="349"/>
      <c r="SIQ64" s="349"/>
      <c r="SIR64" s="349"/>
      <c r="SIS64" s="349"/>
      <c r="SIT64" s="349"/>
      <c r="SIU64" s="349"/>
      <c r="SIV64" s="349"/>
      <c r="SIW64" s="349"/>
      <c r="SIX64" s="349"/>
      <c r="SIY64" s="349"/>
      <c r="SIZ64" s="349"/>
      <c r="SJA64" s="349"/>
      <c r="SJB64" s="349"/>
      <c r="SJC64" s="349"/>
      <c r="SJD64" s="349"/>
      <c r="SJE64" s="349"/>
      <c r="SJF64" s="349"/>
      <c r="SJG64" s="349"/>
      <c r="SJH64" s="349"/>
      <c r="SJI64" s="349"/>
      <c r="SJJ64" s="349"/>
      <c r="SJK64" s="349"/>
      <c r="SJL64" s="349"/>
      <c r="SJM64" s="349"/>
      <c r="SJN64" s="349"/>
      <c r="SJO64" s="349"/>
      <c r="SJP64" s="349"/>
      <c r="SJQ64" s="349"/>
      <c r="SJR64" s="349"/>
      <c r="SJS64" s="349"/>
      <c r="SJT64" s="349"/>
      <c r="SJU64" s="349"/>
      <c r="SJV64" s="349"/>
      <c r="SJW64" s="349"/>
      <c r="SJX64" s="349"/>
      <c r="SJY64" s="349"/>
      <c r="SJZ64" s="349"/>
      <c r="SKA64" s="349"/>
      <c r="SKB64" s="349"/>
      <c r="SKC64" s="349"/>
      <c r="SKD64" s="349"/>
      <c r="SKE64" s="349"/>
      <c r="SKF64" s="349"/>
      <c r="SKG64" s="349"/>
      <c r="SKH64" s="349"/>
      <c r="SKI64" s="349"/>
      <c r="SKJ64" s="349"/>
      <c r="SKK64" s="349"/>
      <c r="SKL64" s="349"/>
      <c r="SKM64" s="349"/>
      <c r="SKN64" s="349"/>
      <c r="SKO64" s="349"/>
      <c r="SKP64" s="349"/>
      <c r="SKQ64" s="349"/>
      <c r="SKR64" s="349"/>
      <c r="SKS64" s="349"/>
      <c r="SKT64" s="349"/>
      <c r="SKU64" s="349"/>
      <c r="SKV64" s="349"/>
      <c r="SKW64" s="349"/>
      <c r="SKX64" s="349"/>
      <c r="SKY64" s="349"/>
      <c r="SKZ64" s="349"/>
      <c r="SLA64" s="349"/>
      <c r="SLB64" s="349"/>
      <c r="SLC64" s="349"/>
      <c r="SLD64" s="349"/>
      <c r="SLE64" s="349"/>
      <c r="SLF64" s="349"/>
      <c r="SLG64" s="349"/>
      <c r="SLH64" s="349"/>
      <c r="SLI64" s="349"/>
      <c r="SLJ64" s="349"/>
      <c r="SLK64" s="349"/>
      <c r="SLL64" s="349"/>
      <c r="SLM64" s="349"/>
      <c r="SLN64" s="349"/>
      <c r="SLO64" s="349"/>
      <c r="SLP64" s="349"/>
      <c r="SLQ64" s="349"/>
      <c r="SLR64" s="349"/>
      <c r="SLS64" s="349"/>
      <c r="SLT64" s="349"/>
      <c r="SLU64" s="349"/>
      <c r="SLV64" s="349"/>
      <c r="SLW64" s="349"/>
      <c r="SLX64" s="349"/>
      <c r="SLY64" s="349"/>
      <c r="SLZ64" s="349"/>
      <c r="SMA64" s="349"/>
      <c r="SMB64" s="349"/>
      <c r="SMC64" s="349"/>
      <c r="SMD64" s="349"/>
      <c r="SME64" s="349"/>
      <c r="SMF64" s="349"/>
      <c r="SMG64" s="349"/>
      <c r="SMH64" s="349"/>
      <c r="SMI64" s="349"/>
      <c r="SMJ64" s="349"/>
      <c r="SMK64" s="349"/>
      <c r="SML64" s="349"/>
      <c r="SMM64" s="349"/>
      <c r="SMN64" s="349"/>
      <c r="SMO64" s="349"/>
      <c r="SMP64" s="349"/>
      <c r="SMQ64" s="349"/>
      <c r="SMR64" s="349"/>
      <c r="SMS64" s="349"/>
      <c r="SMT64" s="349"/>
      <c r="SMU64" s="349"/>
      <c r="SMV64" s="349"/>
      <c r="SMW64" s="349"/>
      <c r="SMX64" s="349"/>
      <c r="SMY64" s="349"/>
      <c r="SMZ64" s="349"/>
      <c r="SNA64" s="349"/>
      <c r="SNB64" s="349"/>
      <c r="SNC64" s="349"/>
      <c r="SND64" s="349"/>
      <c r="SNE64" s="349"/>
      <c r="SNF64" s="349"/>
      <c r="SNG64" s="349"/>
      <c r="SNH64" s="349"/>
      <c r="SNI64" s="349"/>
      <c r="SNJ64" s="349"/>
      <c r="SNK64" s="349"/>
      <c r="SNL64" s="349"/>
      <c r="SNM64" s="349"/>
      <c r="SNN64" s="349"/>
      <c r="SNO64" s="349"/>
      <c r="SNP64" s="349"/>
      <c r="SNQ64" s="349"/>
      <c r="SNR64" s="349"/>
      <c r="SNS64" s="349"/>
      <c r="SNT64" s="349"/>
      <c r="SNU64" s="349"/>
      <c r="SNV64" s="349"/>
      <c r="SNW64" s="349"/>
      <c r="SNX64" s="349"/>
      <c r="SNY64" s="349"/>
      <c r="SNZ64" s="349"/>
      <c r="SOA64" s="349"/>
      <c r="SOB64" s="349"/>
      <c r="SOC64" s="349"/>
      <c r="SOD64" s="349"/>
      <c r="SOE64" s="349"/>
      <c r="SOF64" s="349"/>
      <c r="SOG64" s="349"/>
      <c r="SOH64" s="349"/>
      <c r="SOI64" s="349"/>
      <c r="SOJ64" s="349"/>
      <c r="SOK64" s="349"/>
      <c r="SOL64" s="349"/>
      <c r="SOM64" s="349"/>
      <c r="SON64" s="349"/>
      <c r="SOO64" s="349"/>
      <c r="SOP64" s="349"/>
      <c r="SOQ64" s="349"/>
      <c r="SOR64" s="349"/>
      <c r="SOS64" s="349"/>
      <c r="SOT64" s="349"/>
      <c r="SOU64" s="349"/>
      <c r="SOV64" s="349"/>
      <c r="SOW64" s="349"/>
      <c r="SOX64" s="349"/>
      <c r="SOY64" s="349"/>
      <c r="SOZ64" s="349"/>
      <c r="SPA64" s="349"/>
      <c r="SPB64" s="349"/>
      <c r="SPC64" s="349"/>
      <c r="SPD64" s="349"/>
      <c r="SPE64" s="349"/>
      <c r="SPF64" s="349"/>
      <c r="SPG64" s="349"/>
      <c r="SPH64" s="349"/>
      <c r="SPI64" s="349"/>
      <c r="SPJ64" s="349"/>
      <c r="SPK64" s="349"/>
      <c r="SPL64" s="349"/>
      <c r="SPM64" s="349"/>
      <c r="SPN64" s="349"/>
      <c r="SPO64" s="349"/>
      <c r="SPP64" s="349"/>
      <c r="SPQ64" s="349"/>
      <c r="SPR64" s="349"/>
      <c r="SPS64" s="349"/>
      <c r="SPT64" s="349"/>
      <c r="SPU64" s="349"/>
      <c r="SPV64" s="349"/>
      <c r="SPW64" s="349"/>
      <c r="SPX64" s="349"/>
      <c r="SPY64" s="349"/>
      <c r="SPZ64" s="349"/>
      <c r="SQA64" s="349"/>
      <c r="SQB64" s="349"/>
      <c r="SQC64" s="349"/>
      <c r="SQD64" s="349"/>
      <c r="SQE64" s="349"/>
      <c r="SQF64" s="349"/>
      <c r="SQG64" s="349"/>
      <c r="SQH64" s="349"/>
      <c r="SQI64" s="349"/>
      <c r="SQJ64" s="349"/>
      <c r="SQK64" s="349"/>
      <c r="SQL64" s="349"/>
      <c r="SQM64" s="349"/>
      <c r="SQN64" s="349"/>
      <c r="SQO64" s="349"/>
      <c r="SQP64" s="349"/>
      <c r="SQQ64" s="349"/>
      <c r="SQR64" s="349"/>
      <c r="SQS64" s="349"/>
      <c r="SQT64" s="349"/>
      <c r="SQU64" s="349"/>
      <c r="SQV64" s="349"/>
      <c r="SQW64" s="349"/>
      <c r="SQX64" s="349"/>
      <c r="SQY64" s="349"/>
      <c r="SQZ64" s="349"/>
      <c r="SRA64" s="349"/>
      <c r="SRB64" s="349"/>
      <c r="SRC64" s="349"/>
      <c r="SRD64" s="349"/>
      <c r="SRE64" s="349"/>
      <c r="SRF64" s="349"/>
      <c r="SRG64" s="349"/>
      <c r="SRH64" s="349"/>
      <c r="SRI64" s="349"/>
      <c r="SRJ64" s="349"/>
      <c r="SRK64" s="349"/>
      <c r="SRL64" s="349"/>
      <c r="SRM64" s="349"/>
      <c r="SRN64" s="349"/>
      <c r="SRO64" s="349"/>
      <c r="SRP64" s="349"/>
      <c r="SRQ64" s="349"/>
      <c r="SRR64" s="349"/>
      <c r="SRS64" s="349"/>
      <c r="SRT64" s="349"/>
      <c r="SRU64" s="349"/>
      <c r="SRV64" s="349"/>
      <c r="SRW64" s="349"/>
      <c r="SRX64" s="349"/>
      <c r="SRY64" s="349"/>
      <c r="SRZ64" s="349"/>
      <c r="SSA64" s="349"/>
      <c r="SSB64" s="349"/>
      <c r="SSC64" s="349"/>
      <c r="SSD64" s="349"/>
      <c r="SSE64" s="349"/>
      <c r="SSF64" s="349"/>
      <c r="SSG64" s="349"/>
      <c r="SSH64" s="349"/>
      <c r="SSI64" s="349"/>
      <c r="SSJ64" s="349"/>
      <c r="SSK64" s="349"/>
      <c r="SSL64" s="349"/>
      <c r="SSM64" s="349"/>
      <c r="SSN64" s="349"/>
      <c r="SSO64" s="349"/>
      <c r="SSP64" s="349"/>
      <c r="SSQ64" s="349"/>
      <c r="SSR64" s="349"/>
      <c r="SSS64" s="349"/>
      <c r="SST64" s="349"/>
      <c r="SSU64" s="349"/>
      <c r="SSV64" s="349"/>
      <c r="SSW64" s="349"/>
      <c r="SSX64" s="349"/>
      <c r="SSY64" s="349"/>
      <c r="SSZ64" s="349"/>
      <c r="STA64" s="349"/>
      <c r="STB64" s="349"/>
      <c r="STC64" s="349"/>
      <c r="STD64" s="349"/>
      <c r="STE64" s="349"/>
      <c r="STF64" s="349"/>
      <c r="STG64" s="349"/>
      <c r="STH64" s="349"/>
      <c r="STI64" s="349"/>
      <c r="STJ64" s="349"/>
      <c r="STK64" s="349"/>
      <c r="STL64" s="349"/>
      <c r="STM64" s="349"/>
      <c r="STN64" s="349"/>
      <c r="STO64" s="349"/>
      <c r="STP64" s="349"/>
      <c r="STQ64" s="349"/>
      <c r="STR64" s="349"/>
      <c r="STS64" s="349"/>
      <c r="STT64" s="349"/>
      <c r="STU64" s="349"/>
      <c r="STV64" s="349"/>
      <c r="STW64" s="349"/>
      <c r="STX64" s="349"/>
      <c r="STY64" s="349"/>
      <c r="STZ64" s="349"/>
      <c r="SUA64" s="349"/>
      <c r="SUB64" s="349"/>
      <c r="SUC64" s="349"/>
      <c r="SUD64" s="349"/>
      <c r="SUE64" s="349"/>
      <c r="SUF64" s="349"/>
      <c r="SUG64" s="349"/>
      <c r="SUH64" s="349"/>
      <c r="SUI64" s="349"/>
      <c r="SUJ64" s="349"/>
      <c r="SUK64" s="349"/>
      <c r="SUL64" s="349"/>
      <c r="SUM64" s="349"/>
      <c r="SUN64" s="349"/>
      <c r="SUO64" s="349"/>
      <c r="SUP64" s="349"/>
      <c r="SUQ64" s="349"/>
      <c r="SUR64" s="349"/>
      <c r="SUS64" s="349"/>
      <c r="SUT64" s="349"/>
      <c r="SUU64" s="349"/>
      <c r="SUV64" s="349"/>
      <c r="SUW64" s="349"/>
      <c r="SUX64" s="349"/>
      <c r="SUY64" s="349"/>
      <c r="SUZ64" s="349"/>
      <c r="SVA64" s="349"/>
      <c r="SVB64" s="349"/>
      <c r="SVC64" s="349"/>
      <c r="SVD64" s="349"/>
      <c r="SVE64" s="349"/>
      <c r="SVF64" s="349"/>
      <c r="SVG64" s="349"/>
      <c r="SVH64" s="349"/>
      <c r="SVI64" s="349"/>
      <c r="SVJ64" s="349"/>
      <c r="SVK64" s="349"/>
      <c r="SVL64" s="349"/>
      <c r="SVM64" s="349"/>
      <c r="SVN64" s="349"/>
      <c r="SVO64" s="349"/>
      <c r="SVP64" s="349"/>
      <c r="SVQ64" s="349"/>
      <c r="SVR64" s="349"/>
      <c r="SVS64" s="349"/>
      <c r="SVT64" s="349"/>
      <c r="SVU64" s="349"/>
      <c r="SVV64" s="349"/>
      <c r="SVW64" s="349"/>
      <c r="SVX64" s="349"/>
      <c r="SVY64" s="349"/>
      <c r="SVZ64" s="349"/>
      <c r="SWA64" s="349"/>
      <c r="SWB64" s="349"/>
      <c r="SWC64" s="349"/>
      <c r="SWD64" s="349"/>
      <c r="SWE64" s="349"/>
      <c r="SWF64" s="349"/>
      <c r="SWG64" s="349"/>
      <c r="SWH64" s="349"/>
      <c r="SWI64" s="349"/>
      <c r="SWJ64" s="349"/>
      <c r="SWK64" s="349"/>
      <c r="SWL64" s="349"/>
      <c r="SWM64" s="349"/>
      <c r="SWN64" s="349"/>
      <c r="SWO64" s="349"/>
      <c r="SWP64" s="349"/>
      <c r="SWQ64" s="349"/>
      <c r="SWR64" s="349"/>
      <c r="SWS64" s="349"/>
      <c r="SWT64" s="349"/>
      <c r="SWU64" s="349"/>
      <c r="SWV64" s="349"/>
      <c r="SWW64" s="349"/>
      <c r="SWX64" s="349"/>
      <c r="SWY64" s="349"/>
      <c r="SWZ64" s="349"/>
      <c r="SXA64" s="349"/>
      <c r="SXB64" s="349"/>
      <c r="SXC64" s="349"/>
      <c r="SXD64" s="349"/>
      <c r="SXE64" s="349"/>
      <c r="SXF64" s="349"/>
      <c r="SXG64" s="349"/>
      <c r="SXH64" s="349"/>
      <c r="SXI64" s="349"/>
      <c r="SXJ64" s="349"/>
      <c r="SXK64" s="349"/>
      <c r="SXL64" s="349"/>
      <c r="SXM64" s="349"/>
      <c r="SXN64" s="349"/>
      <c r="SXO64" s="349"/>
      <c r="SXP64" s="349"/>
      <c r="SXQ64" s="349"/>
      <c r="SXR64" s="349"/>
      <c r="SXS64" s="349"/>
      <c r="SXT64" s="349"/>
      <c r="SXU64" s="349"/>
      <c r="SXV64" s="349"/>
      <c r="SXW64" s="349"/>
      <c r="SXX64" s="349"/>
      <c r="SXY64" s="349"/>
      <c r="SXZ64" s="349"/>
      <c r="SYA64" s="349"/>
      <c r="SYB64" s="349"/>
      <c r="SYC64" s="349"/>
      <c r="SYD64" s="349"/>
      <c r="SYE64" s="349"/>
      <c r="SYF64" s="349"/>
      <c r="SYG64" s="349"/>
      <c r="SYH64" s="349"/>
      <c r="SYI64" s="349"/>
      <c r="SYJ64" s="349"/>
      <c r="SYK64" s="349"/>
      <c r="SYL64" s="349"/>
      <c r="SYM64" s="349"/>
      <c r="SYN64" s="349"/>
      <c r="SYO64" s="349"/>
      <c r="SYP64" s="349"/>
      <c r="SYQ64" s="349"/>
      <c r="SYR64" s="349"/>
      <c r="SYS64" s="349"/>
      <c r="SYT64" s="349"/>
      <c r="SYU64" s="349"/>
      <c r="SYV64" s="349"/>
      <c r="SYW64" s="349"/>
      <c r="SYX64" s="349"/>
      <c r="SYY64" s="349"/>
      <c r="SYZ64" s="349"/>
      <c r="SZA64" s="349"/>
      <c r="SZB64" s="349"/>
      <c r="SZC64" s="349"/>
      <c r="SZD64" s="349"/>
      <c r="SZE64" s="349"/>
      <c r="SZF64" s="349"/>
      <c r="SZG64" s="349"/>
      <c r="SZH64" s="349"/>
      <c r="SZI64" s="349"/>
      <c r="SZJ64" s="349"/>
      <c r="SZK64" s="349"/>
      <c r="SZL64" s="349"/>
      <c r="SZM64" s="349"/>
      <c r="SZN64" s="349"/>
      <c r="SZO64" s="349"/>
      <c r="SZP64" s="349"/>
      <c r="SZQ64" s="349"/>
      <c r="SZR64" s="349"/>
      <c r="SZS64" s="349"/>
      <c r="SZT64" s="349"/>
      <c r="SZU64" s="349"/>
      <c r="SZV64" s="349"/>
      <c r="SZW64" s="349"/>
      <c r="SZX64" s="349"/>
      <c r="SZY64" s="349"/>
      <c r="SZZ64" s="349"/>
      <c r="TAA64" s="349"/>
      <c r="TAB64" s="349"/>
      <c r="TAC64" s="349"/>
      <c r="TAD64" s="349"/>
      <c r="TAE64" s="349"/>
      <c r="TAF64" s="349"/>
      <c r="TAG64" s="349"/>
      <c r="TAH64" s="349"/>
      <c r="TAI64" s="349"/>
      <c r="TAJ64" s="349"/>
      <c r="TAK64" s="349"/>
      <c r="TAL64" s="349"/>
      <c r="TAM64" s="349"/>
      <c r="TAN64" s="349"/>
      <c r="TAO64" s="349"/>
      <c r="TAP64" s="349"/>
      <c r="TAQ64" s="349"/>
      <c r="TAR64" s="349"/>
      <c r="TAS64" s="349"/>
      <c r="TAT64" s="349"/>
      <c r="TAU64" s="349"/>
      <c r="TAV64" s="349"/>
      <c r="TAW64" s="349"/>
      <c r="TAX64" s="349"/>
      <c r="TAY64" s="349"/>
      <c r="TAZ64" s="349"/>
      <c r="TBA64" s="349"/>
      <c r="TBB64" s="349"/>
      <c r="TBC64" s="349"/>
      <c r="TBD64" s="349"/>
      <c r="TBE64" s="349"/>
      <c r="TBF64" s="349"/>
      <c r="TBG64" s="349"/>
      <c r="TBH64" s="349"/>
      <c r="TBI64" s="349"/>
      <c r="TBJ64" s="349"/>
      <c r="TBK64" s="349"/>
      <c r="TBL64" s="349"/>
      <c r="TBM64" s="349"/>
      <c r="TBN64" s="349"/>
      <c r="TBO64" s="349"/>
      <c r="TBP64" s="349"/>
      <c r="TBQ64" s="349"/>
      <c r="TBR64" s="349"/>
      <c r="TBS64" s="349"/>
      <c r="TBT64" s="349"/>
      <c r="TBU64" s="349"/>
      <c r="TBV64" s="349"/>
      <c r="TBW64" s="349"/>
      <c r="TBX64" s="349"/>
      <c r="TBY64" s="349"/>
      <c r="TBZ64" s="349"/>
      <c r="TCA64" s="349"/>
      <c r="TCB64" s="349"/>
      <c r="TCC64" s="349"/>
      <c r="TCD64" s="349"/>
      <c r="TCE64" s="349"/>
      <c r="TCF64" s="349"/>
      <c r="TCG64" s="349"/>
      <c r="TCH64" s="349"/>
      <c r="TCI64" s="349"/>
      <c r="TCJ64" s="349"/>
      <c r="TCK64" s="349"/>
      <c r="TCL64" s="349"/>
      <c r="TCM64" s="349"/>
      <c r="TCN64" s="349"/>
      <c r="TCO64" s="349"/>
      <c r="TCP64" s="349"/>
      <c r="TCQ64" s="349"/>
      <c r="TCR64" s="349"/>
      <c r="TCS64" s="349"/>
      <c r="TCT64" s="349"/>
      <c r="TCU64" s="349"/>
      <c r="TCV64" s="349"/>
      <c r="TCW64" s="349"/>
      <c r="TCX64" s="349"/>
      <c r="TCY64" s="349"/>
      <c r="TCZ64" s="349"/>
      <c r="TDA64" s="349"/>
      <c r="TDB64" s="349"/>
      <c r="TDC64" s="349"/>
      <c r="TDD64" s="349"/>
      <c r="TDE64" s="349"/>
      <c r="TDF64" s="349"/>
      <c r="TDG64" s="349"/>
      <c r="TDH64" s="349"/>
      <c r="TDI64" s="349"/>
      <c r="TDJ64" s="349"/>
      <c r="TDK64" s="349"/>
      <c r="TDL64" s="349"/>
      <c r="TDM64" s="349"/>
      <c r="TDN64" s="349"/>
      <c r="TDO64" s="349"/>
      <c r="TDP64" s="349"/>
      <c r="TDQ64" s="349"/>
      <c r="TDR64" s="349"/>
      <c r="TDS64" s="349"/>
      <c r="TDT64" s="349"/>
      <c r="TDU64" s="349"/>
      <c r="TDV64" s="349"/>
      <c r="TDW64" s="349"/>
      <c r="TDX64" s="349"/>
      <c r="TDY64" s="349"/>
      <c r="TDZ64" s="349"/>
      <c r="TEA64" s="349"/>
      <c r="TEB64" s="349"/>
      <c r="TEC64" s="349"/>
      <c r="TED64" s="349"/>
      <c r="TEE64" s="349"/>
      <c r="TEF64" s="349"/>
      <c r="TEG64" s="349"/>
      <c r="TEH64" s="349"/>
      <c r="TEI64" s="349"/>
      <c r="TEJ64" s="349"/>
      <c r="TEK64" s="349"/>
      <c r="TEL64" s="349"/>
      <c r="TEM64" s="349"/>
      <c r="TEN64" s="349"/>
      <c r="TEO64" s="349"/>
      <c r="TEP64" s="349"/>
      <c r="TEQ64" s="349"/>
      <c r="TER64" s="349"/>
      <c r="TES64" s="349"/>
      <c r="TET64" s="349"/>
      <c r="TEU64" s="349"/>
      <c r="TEV64" s="349"/>
      <c r="TEW64" s="349"/>
      <c r="TEX64" s="349"/>
      <c r="TEY64" s="349"/>
      <c r="TEZ64" s="349"/>
      <c r="TFA64" s="349"/>
      <c r="TFB64" s="349"/>
      <c r="TFC64" s="349"/>
      <c r="TFD64" s="349"/>
      <c r="TFE64" s="349"/>
      <c r="TFF64" s="349"/>
      <c r="TFG64" s="349"/>
      <c r="TFH64" s="349"/>
      <c r="TFI64" s="349"/>
      <c r="TFJ64" s="349"/>
      <c r="TFK64" s="349"/>
      <c r="TFL64" s="349"/>
      <c r="TFM64" s="349"/>
      <c r="TFN64" s="349"/>
      <c r="TFO64" s="349"/>
      <c r="TFP64" s="349"/>
      <c r="TFQ64" s="349"/>
      <c r="TFR64" s="349"/>
      <c r="TFS64" s="349"/>
      <c r="TFT64" s="349"/>
      <c r="TFU64" s="349"/>
      <c r="TFV64" s="349"/>
      <c r="TFW64" s="349"/>
      <c r="TFX64" s="349"/>
      <c r="TFY64" s="349"/>
      <c r="TFZ64" s="349"/>
      <c r="TGA64" s="349"/>
      <c r="TGB64" s="349"/>
      <c r="TGC64" s="349"/>
      <c r="TGD64" s="349"/>
      <c r="TGE64" s="349"/>
      <c r="TGF64" s="349"/>
      <c r="TGG64" s="349"/>
      <c r="TGH64" s="349"/>
      <c r="TGI64" s="349"/>
      <c r="TGJ64" s="349"/>
      <c r="TGK64" s="349"/>
      <c r="TGL64" s="349"/>
      <c r="TGM64" s="349"/>
      <c r="TGN64" s="349"/>
      <c r="TGO64" s="349"/>
      <c r="TGP64" s="349"/>
      <c r="TGQ64" s="349"/>
      <c r="TGR64" s="349"/>
      <c r="TGS64" s="349"/>
      <c r="TGT64" s="349"/>
      <c r="TGU64" s="349"/>
      <c r="TGV64" s="349"/>
      <c r="TGW64" s="349"/>
      <c r="TGX64" s="349"/>
      <c r="TGY64" s="349"/>
      <c r="TGZ64" s="349"/>
      <c r="THA64" s="349"/>
      <c r="THB64" s="349"/>
      <c r="THC64" s="349"/>
      <c r="THD64" s="349"/>
      <c r="THE64" s="349"/>
      <c r="THF64" s="349"/>
      <c r="THG64" s="349"/>
      <c r="THH64" s="349"/>
      <c r="THI64" s="349"/>
      <c r="THJ64" s="349"/>
      <c r="THK64" s="349"/>
      <c r="THL64" s="349"/>
      <c r="THM64" s="349"/>
      <c r="THN64" s="349"/>
      <c r="THO64" s="349"/>
      <c r="THP64" s="349"/>
      <c r="THQ64" s="349"/>
      <c r="THR64" s="349"/>
      <c r="THS64" s="349"/>
      <c r="THT64" s="349"/>
      <c r="THU64" s="349"/>
      <c r="THV64" s="349"/>
      <c r="THW64" s="349"/>
      <c r="THX64" s="349"/>
      <c r="THY64" s="349"/>
      <c r="THZ64" s="349"/>
      <c r="TIA64" s="349"/>
      <c r="TIB64" s="349"/>
      <c r="TIC64" s="349"/>
      <c r="TID64" s="349"/>
      <c r="TIE64" s="349"/>
      <c r="TIF64" s="349"/>
      <c r="TIG64" s="349"/>
      <c r="TIH64" s="349"/>
      <c r="TII64" s="349"/>
      <c r="TIJ64" s="349"/>
      <c r="TIK64" s="349"/>
      <c r="TIL64" s="349"/>
      <c r="TIM64" s="349"/>
      <c r="TIN64" s="349"/>
      <c r="TIO64" s="349"/>
      <c r="TIP64" s="349"/>
      <c r="TIQ64" s="349"/>
      <c r="TIR64" s="349"/>
      <c r="TIS64" s="349"/>
      <c r="TIT64" s="349"/>
      <c r="TIU64" s="349"/>
      <c r="TIV64" s="349"/>
      <c r="TIW64" s="349"/>
      <c r="TIX64" s="349"/>
      <c r="TIY64" s="349"/>
      <c r="TIZ64" s="349"/>
      <c r="TJA64" s="349"/>
      <c r="TJB64" s="349"/>
      <c r="TJC64" s="349"/>
      <c r="TJD64" s="349"/>
      <c r="TJE64" s="349"/>
      <c r="TJF64" s="349"/>
      <c r="TJG64" s="349"/>
      <c r="TJH64" s="349"/>
      <c r="TJI64" s="349"/>
      <c r="TJJ64" s="349"/>
      <c r="TJK64" s="349"/>
      <c r="TJL64" s="349"/>
      <c r="TJM64" s="349"/>
      <c r="TJN64" s="349"/>
      <c r="TJO64" s="349"/>
      <c r="TJP64" s="349"/>
      <c r="TJQ64" s="349"/>
      <c r="TJR64" s="349"/>
      <c r="TJS64" s="349"/>
      <c r="TJT64" s="349"/>
      <c r="TJU64" s="349"/>
      <c r="TJV64" s="349"/>
      <c r="TJW64" s="349"/>
      <c r="TJX64" s="349"/>
      <c r="TJY64" s="349"/>
      <c r="TJZ64" s="349"/>
      <c r="TKA64" s="349"/>
      <c r="TKB64" s="349"/>
      <c r="TKC64" s="349"/>
      <c r="TKD64" s="349"/>
      <c r="TKE64" s="349"/>
      <c r="TKF64" s="349"/>
      <c r="TKG64" s="349"/>
      <c r="TKH64" s="349"/>
      <c r="TKI64" s="349"/>
      <c r="TKJ64" s="349"/>
      <c r="TKK64" s="349"/>
      <c r="TKL64" s="349"/>
      <c r="TKM64" s="349"/>
      <c r="TKN64" s="349"/>
      <c r="TKO64" s="349"/>
      <c r="TKP64" s="349"/>
      <c r="TKQ64" s="349"/>
      <c r="TKR64" s="349"/>
      <c r="TKS64" s="349"/>
      <c r="TKT64" s="349"/>
      <c r="TKU64" s="349"/>
      <c r="TKV64" s="349"/>
      <c r="TKW64" s="349"/>
      <c r="TKX64" s="349"/>
      <c r="TKY64" s="349"/>
      <c r="TKZ64" s="349"/>
      <c r="TLA64" s="349"/>
      <c r="TLB64" s="349"/>
      <c r="TLC64" s="349"/>
      <c r="TLD64" s="349"/>
      <c r="TLE64" s="349"/>
      <c r="TLF64" s="349"/>
      <c r="TLG64" s="349"/>
      <c r="TLH64" s="349"/>
      <c r="TLI64" s="349"/>
      <c r="TLJ64" s="349"/>
      <c r="TLK64" s="349"/>
      <c r="TLL64" s="349"/>
      <c r="TLM64" s="349"/>
      <c r="TLN64" s="349"/>
      <c r="TLO64" s="349"/>
      <c r="TLP64" s="349"/>
      <c r="TLQ64" s="349"/>
      <c r="TLR64" s="349"/>
      <c r="TLS64" s="349"/>
      <c r="TLT64" s="349"/>
      <c r="TLU64" s="349"/>
      <c r="TLV64" s="349"/>
      <c r="TLW64" s="349"/>
      <c r="TLX64" s="349"/>
      <c r="TLY64" s="349"/>
      <c r="TLZ64" s="349"/>
      <c r="TMA64" s="349"/>
      <c r="TMB64" s="349"/>
      <c r="TMC64" s="349"/>
      <c r="TMD64" s="349"/>
      <c r="TME64" s="349"/>
      <c r="TMF64" s="349"/>
      <c r="TMG64" s="349"/>
      <c r="TMH64" s="349"/>
      <c r="TMI64" s="349"/>
      <c r="TMJ64" s="349"/>
      <c r="TMK64" s="349"/>
      <c r="TML64" s="349"/>
      <c r="TMM64" s="349"/>
      <c r="TMN64" s="349"/>
      <c r="TMO64" s="349"/>
      <c r="TMP64" s="349"/>
      <c r="TMQ64" s="349"/>
      <c r="TMR64" s="349"/>
      <c r="TMS64" s="349"/>
      <c r="TMT64" s="349"/>
      <c r="TMU64" s="349"/>
      <c r="TMV64" s="349"/>
      <c r="TMW64" s="349"/>
      <c r="TMX64" s="349"/>
      <c r="TMY64" s="349"/>
      <c r="TMZ64" s="349"/>
      <c r="TNA64" s="349"/>
      <c r="TNB64" s="349"/>
      <c r="TNC64" s="349"/>
      <c r="TND64" s="349"/>
      <c r="TNE64" s="349"/>
      <c r="TNF64" s="349"/>
      <c r="TNG64" s="349"/>
      <c r="TNH64" s="349"/>
      <c r="TNI64" s="349"/>
      <c r="TNJ64" s="349"/>
      <c r="TNK64" s="349"/>
      <c r="TNL64" s="349"/>
      <c r="TNM64" s="349"/>
      <c r="TNN64" s="349"/>
      <c r="TNO64" s="349"/>
      <c r="TNP64" s="349"/>
      <c r="TNQ64" s="349"/>
      <c r="TNR64" s="349"/>
      <c r="TNS64" s="349"/>
      <c r="TNT64" s="349"/>
      <c r="TNU64" s="349"/>
      <c r="TNV64" s="349"/>
      <c r="TNW64" s="349"/>
      <c r="TNX64" s="349"/>
      <c r="TNY64" s="349"/>
      <c r="TNZ64" s="349"/>
      <c r="TOA64" s="349"/>
      <c r="TOB64" s="349"/>
      <c r="TOC64" s="349"/>
      <c r="TOD64" s="349"/>
      <c r="TOE64" s="349"/>
      <c r="TOF64" s="349"/>
      <c r="TOG64" s="349"/>
      <c r="TOH64" s="349"/>
      <c r="TOI64" s="349"/>
      <c r="TOJ64" s="349"/>
      <c r="TOK64" s="349"/>
      <c r="TOL64" s="349"/>
      <c r="TOM64" s="349"/>
      <c r="TON64" s="349"/>
      <c r="TOO64" s="349"/>
      <c r="TOP64" s="349"/>
      <c r="TOQ64" s="349"/>
      <c r="TOR64" s="349"/>
      <c r="TOS64" s="349"/>
      <c r="TOT64" s="349"/>
      <c r="TOU64" s="349"/>
      <c r="TOV64" s="349"/>
      <c r="TOW64" s="349"/>
      <c r="TOX64" s="349"/>
      <c r="TOY64" s="349"/>
      <c r="TOZ64" s="349"/>
      <c r="TPA64" s="349"/>
      <c r="TPB64" s="349"/>
      <c r="TPC64" s="349"/>
      <c r="TPD64" s="349"/>
      <c r="TPE64" s="349"/>
      <c r="TPF64" s="349"/>
      <c r="TPG64" s="349"/>
      <c r="TPH64" s="349"/>
      <c r="TPI64" s="349"/>
      <c r="TPJ64" s="349"/>
      <c r="TPK64" s="349"/>
      <c r="TPL64" s="349"/>
      <c r="TPM64" s="349"/>
      <c r="TPN64" s="349"/>
      <c r="TPO64" s="349"/>
      <c r="TPP64" s="349"/>
      <c r="TPQ64" s="349"/>
      <c r="TPR64" s="349"/>
      <c r="TPS64" s="349"/>
      <c r="TPT64" s="349"/>
      <c r="TPU64" s="349"/>
      <c r="TPV64" s="349"/>
      <c r="TPW64" s="349"/>
      <c r="TPX64" s="349"/>
      <c r="TPY64" s="349"/>
      <c r="TPZ64" s="349"/>
      <c r="TQA64" s="349"/>
      <c r="TQB64" s="349"/>
      <c r="TQC64" s="349"/>
      <c r="TQD64" s="349"/>
      <c r="TQE64" s="349"/>
      <c r="TQF64" s="349"/>
      <c r="TQG64" s="349"/>
      <c r="TQH64" s="349"/>
      <c r="TQI64" s="349"/>
      <c r="TQJ64" s="349"/>
      <c r="TQK64" s="349"/>
      <c r="TQL64" s="349"/>
      <c r="TQM64" s="349"/>
      <c r="TQN64" s="349"/>
      <c r="TQO64" s="349"/>
      <c r="TQP64" s="349"/>
      <c r="TQQ64" s="349"/>
      <c r="TQR64" s="349"/>
      <c r="TQS64" s="349"/>
      <c r="TQT64" s="349"/>
      <c r="TQU64" s="349"/>
      <c r="TQV64" s="349"/>
      <c r="TQW64" s="349"/>
      <c r="TQX64" s="349"/>
      <c r="TQY64" s="349"/>
      <c r="TQZ64" s="349"/>
      <c r="TRA64" s="349"/>
      <c r="TRB64" s="349"/>
      <c r="TRC64" s="349"/>
      <c r="TRD64" s="349"/>
      <c r="TRE64" s="349"/>
      <c r="TRF64" s="349"/>
      <c r="TRG64" s="349"/>
      <c r="TRH64" s="349"/>
      <c r="TRI64" s="349"/>
      <c r="TRJ64" s="349"/>
      <c r="TRK64" s="349"/>
      <c r="TRL64" s="349"/>
      <c r="TRM64" s="349"/>
      <c r="TRN64" s="349"/>
      <c r="TRO64" s="349"/>
      <c r="TRP64" s="349"/>
      <c r="TRQ64" s="349"/>
      <c r="TRR64" s="349"/>
      <c r="TRS64" s="349"/>
      <c r="TRT64" s="349"/>
      <c r="TRU64" s="349"/>
      <c r="TRV64" s="349"/>
      <c r="TRW64" s="349"/>
      <c r="TRX64" s="349"/>
      <c r="TRY64" s="349"/>
      <c r="TRZ64" s="349"/>
      <c r="TSA64" s="349"/>
      <c r="TSB64" s="349"/>
      <c r="TSC64" s="349"/>
      <c r="TSD64" s="349"/>
      <c r="TSE64" s="349"/>
      <c r="TSF64" s="349"/>
      <c r="TSG64" s="349"/>
      <c r="TSH64" s="349"/>
      <c r="TSI64" s="349"/>
      <c r="TSJ64" s="349"/>
      <c r="TSK64" s="349"/>
      <c r="TSL64" s="349"/>
      <c r="TSM64" s="349"/>
      <c r="TSN64" s="349"/>
      <c r="TSO64" s="349"/>
      <c r="TSP64" s="349"/>
      <c r="TSQ64" s="349"/>
      <c r="TSR64" s="349"/>
      <c r="TSS64" s="349"/>
      <c r="TST64" s="349"/>
      <c r="TSU64" s="349"/>
      <c r="TSV64" s="349"/>
      <c r="TSW64" s="349"/>
      <c r="TSX64" s="349"/>
      <c r="TSY64" s="349"/>
      <c r="TSZ64" s="349"/>
      <c r="TTA64" s="349"/>
      <c r="TTB64" s="349"/>
      <c r="TTC64" s="349"/>
      <c r="TTD64" s="349"/>
      <c r="TTE64" s="349"/>
      <c r="TTF64" s="349"/>
      <c r="TTG64" s="349"/>
      <c r="TTH64" s="349"/>
      <c r="TTI64" s="349"/>
      <c r="TTJ64" s="349"/>
      <c r="TTK64" s="349"/>
      <c r="TTL64" s="349"/>
      <c r="TTM64" s="349"/>
      <c r="TTN64" s="349"/>
      <c r="TTO64" s="349"/>
      <c r="TTP64" s="349"/>
      <c r="TTQ64" s="349"/>
      <c r="TTR64" s="349"/>
      <c r="TTS64" s="349"/>
      <c r="TTT64" s="349"/>
      <c r="TTU64" s="349"/>
      <c r="TTV64" s="349"/>
      <c r="TTW64" s="349"/>
      <c r="TTX64" s="349"/>
      <c r="TTY64" s="349"/>
      <c r="TTZ64" s="349"/>
      <c r="TUA64" s="349"/>
      <c r="TUB64" s="349"/>
      <c r="TUC64" s="349"/>
      <c r="TUD64" s="349"/>
      <c r="TUE64" s="349"/>
      <c r="TUF64" s="349"/>
      <c r="TUG64" s="349"/>
      <c r="TUH64" s="349"/>
      <c r="TUI64" s="349"/>
      <c r="TUJ64" s="349"/>
      <c r="TUK64" s="349"/>
      <c r="TUL64" s="349"/>
      <c r="TUM64" s="349"/>
      <c r="TUN64" s="349"/>
      <c r="TUO64" s="349"/>
      <c r="TUP64" s="349"/>
      <c r="TUQ64" s="349"/>
      <c r="TUR64" s="349"/>
      <c r="TUS64" s="349"/>
      <c r="TUT64" s="349"/>
      <c r="TUU64" s="349"/>
      <c r="TUV64" s="349"/>
      <c r="TUW64" s="349"/>
      <c r="TUX64" s="349"/>
      <c r="TUY64" s="349"/>
      <c r="TUZ64" s="349"/>
      <c r="TVA64" s="349"/>
      <c r="TVB64" s="349"/>
      <c r="TVC64" s="349"/>
      <c r="TVD64" s="349"/>
      <c r="TVE64" s="349"/>
      <c r="TVF64" s="349"/>
      <c r="TVG64" s="349"/>
      <c r="TVH64" s="349"/>
      <c r="TVI64" s="349"/>
      <c r="TVJ64" s="349"/>
      <c r="TVK64" s="349"/>
      <c r="TVL64" s="349"/>
      <c r="TVM64" s="349"/>
      <c r="TVN64" s="349"/>
      <c r="TVO64" s="349"/>
      <c r="TVP64" s="349"/>
      <c r="TVQ64" s="349"/>
      <c r="TVR64" s="349"/>
      <c r="TVS64" s="349"/>
      <c r="TVT64" s="349"/>
      <c r="TVU64" s="349"/>
      <c r="TVV64" s="349"/>
      <c r="TVW64" s="349"/>
      <c r="TVX64" s="349"/>
      <c r="TVY64" s="349"/>
      <c r="TVZ64" s="349"/>
      <c r="TWA64" s="349"/>
      <c r="TWB64" s="349"/>
      <c r="TWC64" s="349"/>
      <c r="TWD64" s="349"/>
      <c r="TWE64" s="349"/>
      <c r="TWF64" s="349"/>
      <c r="TWG64" s="349"/>
      <c r="TWH64" s="349"/>
      <c r="TWI64" s="349"/>
      <c r="TWJ64" s="349"/>
      <c r="TWK64" s="349"/>
      <c r="TWL64" s="349"/>
      <c r="TWM64" s="349"/>
      <c r="TWN64" s="349"/>
      <c r="TWO64" s="349"/>
      <c r="TWP64" s="349"/>
      <c r="TWQ64" s="349"/>
      <c r="TWR64" s="349"/>
      <c r="TWS64" s="349"/>
      <c r="TWT64" s="349"/>
      <c r="TWU64" s="349"/>
      <c r="TWV64" s="349"/>
      <c r="TWW64" s="349"/>
      <c r="TWX64" s="349"/>
      <c r="TWY64" s="349"/>
      <c r="TWZ64" s="349"/>
      <c r="TXA64" s="349"/>
      <c r="TXB64" s="349"/>
      <c r="TXC64" s="349"/>
      <c r="TXD64" s="349"/>
      <c r="TXE64" s="349"/>
      <c r="TXF64" s="349"/>
      <c r="TXG64" s="349"/>
      <c r="TXH64" s="349"/>
      <c r="TXI64" s="349"/>
      <c r="TXJ64" s="349"/>
      <c r="TXK64" s="349"/>
      <c r="TXL64" s="349"/>
      <c r="TXM64" s="349"/>
      <c r="TXN64" s="349"/>
      <c r="TXO64" s="349"/>
      <c r="TXP64" s="349"/>
      <c r="TXQ64" s="349"/>
      <c r="TXR64" s="349"/>
      <c r="TXS64" s="349"/>
      <c r="TXT64" s="349"/>
      <c r="TXU64" s="349"/>
      <c r="TXV64" s="349"/>
      <c r="TXW64" s="349"/>
      <c r="TXX64" s="349"/>
      <c r="TXY64" s="349"/>
      <c r="TXZ64" s="349"/>
      <c r="TYA64" s="349"/>
      <c r="TYB64" s="349"/>
      <c r="TYC64" s="349"/>
      <c r="TYD64" s="349"/>
      <c r="TYE64" s="349"/>
      <c r="TYF64" s="349"/>
      <c r="TYG64" s="349"/>
      <c r="TYH64" s="349"/>
      <c r="TYI64" s="349"/>
      <c r="TYJ64" s="349"/>
      <c r="TYK64" s="349"/>
      <c r="TYL64" s="349"/>
      <c r="TYM64" s="349"/>
      <c r="TYN64" s="349"/>
      <c r="TYO64" s="349"/>
      <c r="TYP64" s="349"/>
      <c r="TYQ64" s="349"/>
      <c r="TYR64" s="349"/>
      <c r="TYS64" s="349"/>
      <c r="TYT64" s="349"/>
      <c r="TYU64" s="349"/>
      <c r="TYV64" s="349"/>
      <c r="TYW64" s="349"/>
      <c r="TYX64" s="349"/>
      <c r="TYY64" s="349"/>
      <c r="TYZ64" s="349"/>
      <c r="TZA64" s="349"/>
      <c r="TZB64" s="349"/>
      <c r="TZC64" s="349"/>
      <c r="TZD64" s="349"/>
      <c r="TZE64" s="349"/>
      <c r="TZF64" s="349"/>
      <c r="TZG64" s="349"/>
      <c r="TZH64" s="349"/>
      <c r="TZI64" s="349"/>
      <c r="TZJ64" s="349"/>
      <c r="TZK64" s="349"/>
      <c r="TZL64" s="349"/>
      <c r="TZM64" s="349"/>
      <c r="TZN64" s="349"/>
      <c r="TZO64" s="349"/>
      <c r="TZP64" s="349"/>
      <c r="TZQ64" s="349"/>
      <c r="TZR64" s="349"/>
      <c r="TZS64" s="349"/>
      <c r="TZT64" s="349"/>
      <c r="TZU64" s="349"/>
      <c r="TZV64" s="349"/>
      <c r="TZW64" s="349"/>
      <c r="TZX64" s="349"/>
      <c r="TZY64" s="349"/>
      <c r="TZZ64" s="349"/>
      <c r="UAA64" s="349"/>
      <c r="UAB64" s="349"/>
      <c r="UAC64" s="349"/>
      <c r="UAD64" s="349"/>
      <c r="UAE64" s="349"/>
      <c r="UAF64" s="349"/>
      <c r="UAG64" s="349"/>
      <c r="UAH64" s="349"/>
      <c r="UAI64" s="349"/>
      <c r="UAJ64" s="349"/>
      <c r="UAK64" s="349"/>
      <c r="UAL64" s="349"/>
      <c r="UAM64" s="349"/>
      <c r="UAN64" s="349"/>
      <c r="UAO64" s="349"/>
      <c r="UAP64" s="349"/>
      <c r="UAQ64" s="349"/>
      <c r="UAR64" s="349"/>
      <c r="UAS64" s="349"/>
      <c r="UAT64" s="349"/>
      <c r="UAU64" s="349"/>
      <c r="UAV64" s="349"/>
      <c r="UAW64" s="349"/>
      <c r="UAX64" s="349"/>
      <c r="UAY64" s="349"/>
      <c r="UAZ64" s="349"/>
      <c r="UBA64" s="349"/>
      <c r="UBB64" s="349"/>
      <c r="UBC64" s="349"/>
      <c r="UBD64" s="349"/>
      <c r="UBE64" s="349"/>
      <c r="UBF64" s="349"/>
      <c r="UBG64" s="349"/>
      <c r="UBH64" s="349"/>
      <c r="UBI64" s="349"/>
      <c r="UBJ64" s="349"/>
      <c r="UBK64" s="349"/>
      <c r="UBL64" s="349"/>
      <c r="UBM64" s="349"/>
      <c r="UBN64" s="349"/>
      <c r="UBO64" s="349"/>
      <c r="UBP64" s="349"/>
      <c r="UBQ64" s="349"/>
      <c r="UBR64" s="349"/>
      <c r="UBS64" s="349"/>
      <c r="UBT64" s="349"/>
      <c r="UBU64" s="349"/>
      <c r="UBV64" s="349"/>
      <c r="UBW64" s="349"/>
      <c r="UBX64" s="349"/>
      <c r="UBY64" s="349"/>
      <c r="UBZ64" s="349"/>
      <c r="UCA64" s="349"/>
      <c r="UCB64" s="349"/>
      <c r="UCC64" s="349"/>
      <c r="UCD64" s="349"/>
      <c r="UCE64" s="349"/>
      <c r="UCF64" s="349"/>
      <c r="UCG64" s="349"/>
      <c r="UCH64" s="349"/>
      <c r="UCI64" s="349"/>
      <c r="UCJ64" s="349"/>
      <c r="UCK64" s="349"/>
      <c r="UCL64" s="349"/>
      <c r="UCM64" s="349"/>
      <c r="UCN64" s="349"/>
      <c r="UCO64" s="349"/>
      <c r="UCP64" s="349"/>
      <c r="UCQ64" s="349"/>
      <c r="UCR64" s="349"/>
      <c r="UCS64" s="349"/>
      <c r="UCT64" s="349"/>
      <c r="UCU64" s="349"/>
      <c r="UCV64" s="349"/>
      <c r="UCW64" s="349"/>
      <c r="UCX64" s="349"/>
      <c r="UCY64" s="349"/>
      <c r="UCZ64" s="349"/>
      <c r="UDA64" s="349"/>
      <c r="UDB64" s="349"/>
      <c r="UDC64" s="349"/>
      <c r="UDD64" s="349"/>
      <c r="UDE64" s="349"/>
      <c r="UDF64" s="349"/>
      <c r="UDG64" s="349"/>
      <c r="UDH64" s="349"/>
      <c r="UDI64" s="349"/>
      <c r="UDJ64" s="349"/>
      <c r="UDK64" s="349"/>
      <c r="UDL64" s="349"/>
      <c r="UDM64" s="349"/>
      <c r="UDN64" s="349"/>
      <c r="UDO64" s="349"/>
      <c r="UDP64" s="349"/>
      <c r="UDQ64" s="349"/>
      <c r="UDR64" s="349"/>
      <c r="UDS64" s="349"/>
      <c r="UDT64" s="349"/>
      <c r="UDU64" s="349"/>
      <c r="UDV64" s="349"/>
      <c r="UDW64" s="349"/>
      <c r="UDX64" s="349"/>
      <c r="UDY64" s="349"/>
      <c r="UDZ64" s="349"/>
      <c r="UEA64" s="349"/>
      <c r="UEB64" s="349"/>
      <c r="UEC64" s="349"/>
      <c r="UED64" s="349"/>
      <c r="UEE64" s="349"/>
      <c r="UEF64" s="349"/>
      <c r="UEG64" s="349"/>
      <c r="UEH64" s="349"/>
      <c r="UEI64" s="349"/>
      <c r="UEJ64" s="349"/>
      <c r="UEK64" s="349"/>
      <c r="UEL64" s="349"/>
      <c r="UEM64" s="349"/>
      <c r="UEN64" s="349"/>
      <c r="UEO64" s="349"/>
      <c r="UEP64" s="349"/>
      <c r="UEQ64" s="349"/>
      <c r="UER64" s="349"/>
      <c r="UES64" s="349"/>
      <c r="UET64" s="349"/>
      <c r="UEU64" s="349"/>
      <c r="UEV64" s="349"/>
      <c r="UEW64" s="349"/>
      <c r="UEX64" s="349"/>
      <c r="UEY64" s="349"/>
      <c r="UEZ64" s="349"/>
      <c r="UFA64" s="349"/>
      <c r="UFB64" s="349"/>
      <c r="UFC64" s="349"/>
      <c r="UFD64" s="349"/>
      <c r="UFE64" s="349"/>
      <c r="UFF64" s="349"/>
      <c r="UFG64" s="349"/>
      <c r="UFH64" s="349"/>
      <c r="UFI64" s="349"/>
      <c r="UFJ64" s="349"/>
      <c r="UFK64" s="349"/>
      <c r="UFL64" s="349"/>
      <c r="UFM64" s="349"/>
      <c r="UFN64" s="349"/>
      <c r="UFO64" s="349"/>
      <c r="UFP64" s="349"/>
      <c r="UFQ64" s="349"/>
      <c r="UFR64" s="349"/>
      <c r="UFS64" s="349"/>
      <c r="UFT64" s="349"/>
      <c r="UFU64" s="349"/>
      <c r="UFV64" s="349"/>
      <c r="UFW64" s="349"/>
      <c r="UFX64" s="349"/>
      <c r="UFY64" s="349"/>
      <c r="UFZ64" s="349"/>
      <c r="UGA64" s="349"/>
      <c r="UGB64" s="349"/>
      <c r="UGC64" s="349"/>
      <c r="UGD64" s="349"/>
      <c r="UGE64" s="349"/>
      <c r="UGF64" s="349"/>
      <c r="UGG64" s="349"/>
      <c r="UGH64" s="349"/>
      <c r="UGI64" s="349"/>
      <c r="UGJ64" s="349"/>
      <c r="UGK64" s="349"/>
      <c r="UGL64" s="349"/>
      <c r="UGM64" s="349"/>
      <c r="UGN64" s="349"/>
      <c r="UGO64" s="349"/>
      <c r="UGP64" s="349"/>
      <c r="UGQ64" s="349"/>
      <c r="UGR64" s="349"/>
      <c r="UGS64" s="349"/>
      <c r="UGT64" s="349"/>
      <c r="UGU64" s="349"/>
      <c r="UGV64" s="349"/>
      <c r="UGW64" s="349"/>
      <c r="UGX64" s="349"/>
      <c r="UGY64" s="349"/>
      <c r="UGZ64" s="349"/>
      <c r="UHA64" s="349"/>
      <c r="UHB64" s="349"/>
      <c r="UHC64" s="349"/>
      <c r="UHD64" s="349"/>
      <c r="UHE64" s="349"/>
      <c r="UHF64" s="349"/>
      <c r="UHG64" s="349"/>
      <c r="UHH64" s="349"/>
      <c r="UHI64" s="349"/>
      <c r="UHJ64" s="349"/>
      <c r="UHK64" s="349"/>
      <c r="UHL64" s="349"/>
      <c r="UHM64" s="349"/>
      <c r="UHN64" s="349"/>
      <c r="UHO64" s="349"/>
      <c r="UHP64" s="349"/>
      <c r="UHQ64" s="349"/>
      <c r="UHR64" s="349"/>
      <c r="UHS64" s="349"/>
      <c r="UHT64" s="349"/>
      <c r="UHU64" s="349"/>
      <c r="UHV64" s="349"/>
      <c r="UHW64" s="349"/>
      <c r="UHX64" s="349"/>
      <c r="UHY64" s="349"/>
      <c r="UHZ64" s="349"/>
      <c r="UIA64" s="349"/>
      <c r="UIB64" s="349"/>
      <c r="UIC64" s="349"/>
      <c r="UID64" s="349"/>
      <c r="UIE64" s="349"/>
      <c r="UIF64" s="349"/>
      <c r="UIG64" s="349"/>
      <c r="UIH64" s="349"/>
      <c r="UII64" s="349"/>
      <c r="UIJ64" s="349"/>
      <c r="UIK64" s="349"/>
      <c r="UIL64" s="349"/>
      <c r="UIM64" s="349"/>
      <c r="UIN64" s="349"/>
      <c r="UIO64" s="349"/>
      <c r="UIP64" s="349"/>
      <c r="UIQ64" s="349"/>
      <c r="UIR64" s="349"/>
      <c r="UIS64" s="349"/>
      <c r="UIT64" s="349"/>
      <c r="UIU64" s="349"/>
      <c r="UIV64" s="349"/>
      <c r="UIW64" s="349"/>
      <c r="UIX64" s="349"/>
      <c r="UIY64" s="349"/>
      <c r="UIZ64" s="349"/>
      <c r="UJA64" s="349"/>
      <c r="UJB64" s="349"/>
      <c r="UJC64" s="349"/>
      <c r="UJD64" s="349"/>
      <c r="UJE64" s="349"/>
      <c r="UJF64" s="349"/>
      <c r="UJG64" s="349"/>
      <c r="UJH64" s="349"/>
      <c r="UJI64" s="349"/>
      <c r="UJJ64" s="349"/>
      <c r="UJK64" s="349"/>
      <c r="UJL64" s="349"/>
      <c r="UJM64" s="349"/>
      <c r="UJN64" s="349"/>
      <c r="UJO64" s="349"/>
      <c r="UJP64" s="349"/>
      <c r="UJQ64" s="349"/>
      <c r="UJR64" s="349"/>
      <c r="UJS64" s="349"/>
      <c r="UJT64" s="349"/>
      <c r="UJU64" s="349"/>
      <c r="UJV64" s="349"/>
      <c r="UJW64" s="349"/>
      <c r="UJX64" s="349"/>
      <c r="UJY64" s="349"/>
      <c r="UJZ64" s="349"/>
      <c r="UKA64" s="349"/>
      <c r="UKB64" s="349"/>
      <c r="UKC64" s="349"/>
      <c r="UKD64" s="349"/>
      <c r="UKE64" s="349"/>
      <c r="UKF64" s="349"/>
      <c r="UKG64" s="349"/>
      <c r="UKH64" s="349"/>
      <c r="UKI64" s="349"/>
      <c r="UKJ64" s="349"/>
      <c r="UKK64" s="349"/>
      <c r="UKL64" s="349"/>
      <c r="UKM64" s="349"/>
      <c r="UKN64" s="349"/>
      <c r="UKO64" s="349"/>
      <c r="UKP64" s="349"/>
      <c r="UKQ64" s="349"/>
      <c r="UKR64" s="349"/>
      <c r="UKS64" s="349"/>
      <c r="UKT64" s="349"/>
      <c r="UKU64" s="349"/>
      <c r="UKV64" s="349"/>
      <c r="UKW64" s="349"/>
      <c r="UKX64" s="349"/>
      <c r="UKY64" s="349"/>
      <c r="UKZ64" s="349"/>
      <c r="ULA64" s="349"/>
      <c r="ULB64" s="349"/>
      <c r="ULC64" s="349"/>
      <c r="ULD64" s="349"/>
      <c r="ULE64" s="349"/>
      <c r="ULF64" s="349"/>
      <c r="ULG64" s="349"/>
      <c r="ULH64" s="349"/>
      <c r="ULI64" s="349"/>
      <c r="ULJ64" s="349"/>
      <c r="ULK64" s="349"/>
      <c r="ULL64" s="349"/>
      <c r="ULM64" s="349"/>
      <c r="ULN64" s="349"/>
      <c r="ULO64" s="349"/>
      <c r="ULP64" s="349"/>
      <c r="ULQ64" s="349"/>
      <c r="ULR64" s="349"/>
      <c r="ULS64" s="349"/>
      <c r="ULT64" s="349"/>
      <c r="ULU64" s="349"/>
      <c r="ULV64" s="349"/>
      <c r="ULW64" s="349"/>
      <c r="ULX64" s="349"/>
      <c r="ULY64" s="349"/>
      <c r="ULZ64" s="349"/>
      <c r="UMA64" s="349"/>
      <c r="UMB64" s="349"/>
      <c r="UMC64" s="349"/>
      <c r="UMD64" s="349"/>
      <c r="UME64" s="349"/>
      <c r="UMF64" s="349"/>
      <c r="UMG64" s="349"/>
      <c r="UMH64" s="349"/>
      <c r="UMI64" s="349"/>
      <c r="UMJ64" s="349"/>
      <c r="UMK64" s="349"/>
      <c r="UML64" s="349"/>
      <c r="UMM64" s="349"/>
      <c r="UMN64" s="349"/>
      <c r="UMO64" s="349"/>
      <c r="UMP64" s="349"/>
      <c r="UMQ64" s="349"/>
      <c r="UMR64" s="349"/>
      <c r="UMS64" s="349"/>
      <c r="UMT64" s="349"/>
      <c r="UMU64" s="349"/>
      <c r="UMV64" s="349"/>
      <c r="UMW64" s="349"/>
      <c r="UMX64" s="349"/>
      <c r="UMY64" s="349"/>
      <c r="UMZ64" s="349"/>
      <c r="UNA64" s="349"/>
      <c r="UNB64" s="349"/>
      <c r="UNC64" s="349"/>
      <c r="UND64" s="349"/>
      <c r="UNE64" s="349"/>
      <c r="UNF64" s="349"/>
      <c r="UNG64" s="349"/>
      <c r="UNH64" s="349"/>
      <c r="UNI64" s="349"/>
      <c r="UNJ64" s="349"/>
      <c r="UNK64" s="349"/>
      <c r="UNL64" s="349"/>
      <c r="UNM64" s="349"/>
      <c r="UNN64" s="349"/>
      <c r="UNO64" s="349"/>
      <c r="UNP64" s="349"/>
      <c r="UNQ64" s="349"/>
      <c r="UNR64" s="349"/>
      <c r="UNS64" s="349"/>
      <c r="UNT64" s="349"/>
      <c r="UNU64" s="349"/>
      <c r="UNV64" s="349"/>
      <c r="UNW64" s="349"/>
      <c r="UNX64" s="349"/>
      <c r="UNY64" s="349"/>
      <c r="UNZ64" s="349"/>
      <c r="UOA64" s="349"/>
      <c r="UOB64" s="349"/>
      <c r="UOC64" s="349"/>
      <c r="UOD64" s="349"/>
      <c r="UOE64" s="349"/>
      <c r="UOF64" s="349"/>
      <c r="UOG64" s="349"/>
      <c r="UOH64" s="349"/>
      <c r="UOI64" s="349"/>
      <c r="UOJ64" s="349"/>
      <c r="UOK64" s="349"/>
      <c r="UOL64" s="349"/>
      <c r="UOM64" s="349"/>
      <c r="UON64" s="349"/>
      <c r="UOO64" s="349"/>
      <c r="UOP64" s="349"/>
      <c r="UOQ64" s="349"/>
      <c r="UOR64" s="349"/>
      <c r="UOS64" s="349"/>
      <c r="UOT64" s="349"/>
      <c r="UOU64" s="349"/>
      <c r="UOV64" s="349"/>
      <c r="UOW64" s="349"/>
      <c r="UOX64" s="349"/>
      <c r="UOY64" s="349"/>
      <c r="UOZ64" s="349"/>
      <c r="UPA64" s="349"/>
      <c r="UPB64" s="349"/>
      <c r="UPC64" s="349"/>
      <c r="UPD64" s="349"/>
      <c r="UPE64" s="349"/>
      <c r="UPF64" s="349"/>
      <c r="UPG64" s="349"/>
      <c r="UPH64" s="349"/>
      <c r="UPI64" s="349"/>
      <c r="UPJ64" s="349"/>
      <c r="UPK64" s="349"/>
      <c r="UPL64" s="349"/>
      <c r="UPM64" s="349"/>
      <c r="UPN64" s="349"/>
      <c r="UPO64" s="349"/>
      <c r="UPP64" s="349"/>
      <c r="UPQ64" s="349"/>
      <c r="UPR64" s="349"/>
      <c r="UPS64" s="349"/>
      <c r="UPT64" s="349"/>
      <c r="UPU64" s="349"/>
      <c r="UPV64" s="349"/>
      <c r="UPW64" s="349"/>
      <c r="UPX64" s="349"/>
      <c r="UPY64" s="349"/>
      <c r="UPZ64" s="349"/>
      <c r="UQA64" s="349"/>
      <c r="UQB64" s="349"/>
      <c r="UQC64" s="349"/>
      <c r="UQD64" s="349"/>
      <c r="UQE64" s="349"/>
      <c r="UQF64" s="349"/>
      <c r="UQG64" s="349"/>
      <c r="UQH64" s="349"/>
      <c r="UQI64" s="349"/>
      <c r="UQJ64" s="349"/>
      <c r="UQK64" s="349"/>
      <c r="UQL64" s="349"/>
      <c r="UQM64" s="349"/>
      <c r="UQN64" s="349"/>
      <c r="UQO64" s="349"/>
      <c r="UQP64" s="349"/>
      <c r="UQQ64" s="349"/>
      <c r="UQR64" s="349"/>
      <c r="UQS64" s="349"/>
      <c r="UQT64" s="349"/>
      <c r="UQU64" s="349"/>
      <c r="UQV64" s="349"/>
      <c r="UQW64" s="349"/>
      <c r="UQX64" s="349"/>
      <c r="UQY64" s="349"/>
      <c r="UQZ64" s="349"/>
      <c r="URA64" s="349"/>
      <c r="URB64" s="349"/>
      <c r="URC64" s="349"/>
      <c r="URD64" s="349"/>
      <c r="URE64" s="349"/>
      <c r="URF64" s="349"/>
      <c r="URG64" s="349"/>
      <c r="URH64" s="349"/>
      <c r="URI64" s="349"/>
      <c r="URJ64" s="349"/>
      <c r="URK64" s="349"/>
      <c r="URL64" s="349"/>
      <c r="URM64" s="349"/>
      <c r="URN64" s="349"/>
      <c r="URO64" s="349"/>
      <c r="URP64" s="349"/>
      <c r="URQ64" s="349"/>
      <c r="URR64" s="349"/>
      <c r="URS64" s="349"/>
      <c r="URT64" s="349"/>
      <c r="URU64" s="349"/>
      <c r="URV64" s="349"/>
      <c r="URW64" s="349"/>
      <c r="URX64" s="349"/>
      <c r="URY64" s="349"/>
      <c r="URZ64" s="349"/>
      <c r="USA64" s="349"/>
      <c r="USB64" s="349"/>
      <c r="USC64" s="349"/>
      <c r="USD64" s="349"/>
      <c r="USE64" s="349"/>
      <c r="USF64" s="349"/>
      <c r="USG64" s="349"/>
      <c r="USH64" s="349"/>
      <c r="USI64" s="349"/>
      <c r="USJ64" s="349"/>
      <c r="USK64" s="349"/>
      <c r="USL64" s="349"/>
      <c r="USM64" s="349"/>
      <c r="USN64" s="349"/>
      <c r="USO64" s="349"/>
      <c r="USP64" s="349"/>
      <c r="USQ64" s="349"/>
      <c r="USR64" s="349"/>
      <c r="USS64" s="349"/>
      <c r="UST64" s="349"/>
      <c r="USU64" s="349"/>
      <c r="USV64" s="349"/>
      <c r="USW64" s="349"/>
      <c r="USX64" s="349"/>
      <c r="USY64" s="349"/>
      <c r="USZ64" s="349"/>
      <c r="UTA64" s="349"/>
      <c r="UTB64" s="349"/>
      <c r="UTC64" s="349"/>
      <c r="UTD64" s="349"/>
      <c r="UTE64" s="349"/>
      <c r="UTF64" s="349"/>
      <c r="UTG64" s="349"/>
      <c r="UTH64" s="349"/>
      <c r="UTI64" s="349"/>
      <c r="UTJ64" s="349"/>
      <c r="UTK64" s="349"/>
      <c r="UTL64" s="349"/>
      <c r="UTM64" s="349"/>
      <c r="UTN64" s="349"/>
      <c r="UTO64" s="349"/>
      <c r="UTP64" s="349"/>
      <c r="UTQ64" s="349"/>
      <c r="UTR64" s="349"/>
      <c r="UTS64" s="349"/>
      <c r="UTT64" s="349"/>
      <c r="UTU64" s="349"/>
      <c r="UTV64" s="349"/>
      <c r="UTW64" s="349"/>
      <c r="UTX64" s="349"/>
      <c r="UTY64" s="349"/>
      <c r="UTZ64" s="349"/>
      <c r="UUA64" s="349"/>
      <c r="UUB64" s="349"/>
      <c r="UUC64" s="349"/>
      <c r="UUD64" s="349"/>
      <c r="UUE64" s="349"/>
      <c r="UUF64" s="349"/>
      <c r="UUG64" s="349"/>
      <c r="UUH64" s="349"/>
      <c r="UUI64" s="349"/>
      <c r="UUJ64" s="349"/>
      <c r="UUK64" s="349"/>
      <c r="UUL64" s="349"/>
      <c r="UUM64" s="349"/>
      <c r="UUN64" s="349"/>
      <c r="UUO64" s="349"/>
      <c r="UUP64" s="349"/>
      <c r="UUQ64" s="349"/>
      <c r="UUR64" s="349"/>
      <c r="UUS64" s="349"/>
      <c r="UUT64" s="349"/>
      <c r="UUU64" s="349"/>
      <c r="UUV64" s="349"/>
      <c r="UUW64" s="349"/>
      <c r="UUX64" s="349"/>
      <c r="UUY64" s="349"/>
      <c r="UUZ64" s="349"/>
      <c r="UVA64" s="349"/>
      <c r="UVB64" s="349"/>
      <c r="UVC64" s="349"/>
      <c r="UVD64" s="349"/>
      <c r="UVE64" s="349"/>
      <c r="UVF64" s="349"/>
      <c r="UVG64" s="349"/>
      <c r="UVH64" s="349"/>
      <c r="UVI64" s="349"/>
      <c r="UVJ64" s="349"/>
      <c r="UVK64" s="349"/>
      <c r="UVL64" s="349"/>
      <c r="UVM64" s="349"/>
      <c r="UVN64" s="349"/>
      <c r="UVO64" s="349"/>
      <c r="UVP64" s="349"/>
      <c r="UVQ64" s="349"/>
      <c r="UVR64" s="349"/>
      <c r="UVS64" s="349"/>
      <c r="UVT64" s="349"/>
      <c r="UVU64" s="349"/>
      <c r="UVV64" s="349"/>
      <c r="UVW64" s="349"/>
      <c r="UVX64" s="349"/>
      <c r="UVY64" s="349"/>
      <c r="UVZ64" s="349"/>
      <c r="UWA64" s="349"/>
      <c r="UWB64" s="349"/>
      <c r="UWC64" s="349"/>
      <c r="UWD64" s="349"/>
      <c r="UWE64" s="349"/>
      <c r="UWF64" s="349"/>
      <c r="UWG64" s="349"/>
      <c r="UWH64" s="349"/>
      <c r="UWI64" s="349"/>
      <c r="UWJ64" s="349"/>
      <c r="UWK64" s="349"/>
      <c r="UWL64" s="349"/>
      <c r="UWM64" s="349"/>
      <c r="UWN64" s="349"/>
      <c r="UWO64" s="349"/>
      <c r="UWP64" s="349"/>
      <c r="UWQ64" s="349"/>
      <c r="UWR64" s="349"/>
      <c r="UWS64" s="349"/>
      <c r="UWT64" s="349"/>
      <c r="UWU64" s="349"/>
      <c r="UWV64" s="349"/>
      <c r="UWW64" s="349"/>
      <c r="UWX64" s="349"/>
      <c r="UWY64" s="349"/>
      <c r="UWZ64" s="349"/>
      <c r="UXA64" s="349"/>
      <c r="UXB64" s="349"/>
      <c r="UXC64" s="349"/>
      <c r="UXD64" s="349"/>
      <c r="UXE64" s="349"/>
      <c r="UXF64" s="349"/>
      <c r="UXG64" s="349"/>
      <c r="UXH64" s="349"/>
      <c r="UXI64" s="349"/>
      <c r="UXJ64" s="349"/>
      <c r="UXK64" s="349"/>
      <c r="UXL64" s="349"/>
      <c r="UXM64" s="349"/>
      <c r="UXN64" s="349"/>
      <c r="UXO64" s="349"/>
      <c r="UXP64" s="349"/>
      <c r="UXQ64" s="349"/>
      <c r="UXR64" s="349"/>
      <c r="UXS64" s="349"/>
      <c r="UXT64" s="349"/>
      <c r="UXU64" s="349"/>
      <c r="UXV64" s="349"/>
      <c r="UXW64" s="349"/>
      <c r="UXX64" s="349"/>
      <c r="UXY64" s="349"/>
      <c r="UXZ64" s="349"/>
      <c r="UYA64" s="349"/>
      <c r="UYB64" s="349"/>
      <c r="UYC64" s="349"/>
      <c r="UYD64" s="349"/>
      <c r="UYE64" s="349"/>
      <c r="UYF64" s="349"/>
      <c r="UYG64" s="349"/>
      <c r="UYH64" s="349"/>
      <c r="UYI64" s="349"/>
      <c r="UYJ64" s="349"/>
      <c r="UYK64" s="349"/>
      <c r="UYL64" s="349"/>
      <c r="UYM64" s="349"/>
      <c r="UYN64" s="349"/>
      <c r="UYO64" s="349"/>
      <c r="UYP64" s="349"/>
      <c r="UYQ64" s="349"/>
      <c r="UYR64" s="349"/>
      <c r="UYS64" s="349"/>
      <c r="UYT64" s="349"/>
      <c r="UYU64" s="349"/>
      <c r="UYV64" s="349"/>
      <c r="UYW64" s="349"/>
      <c r="UYX64" s="349"/>
      <c r="UYY64" s="349"/>
      <c r="UYZ64" s="349"/>
      <c r="UZA64" s="349"/>
      <c r="UZB64" s="349"/>
      <c r="UZC64" s="349"/>
      <c r="UZD64" s="349"/>
      <c r="UZE64" s="349"/>
      <c r="UZF64" s="349"/>
      <c r="UZG64" s="349"/>
      <c r="UZH64" s="349"/>
      <c r="UZI64" s="349"/>
      <c r="UZJ64" s="349"/>
      <c r="UZK64" s="349"/>
      <c r="UZL64" s="349"/>
      <c r="UZM64" s="349"/>
      <c r="UZN64" s="349"/>
      <c r="UZO64" s="349"/>
      <c r="UZP64" s="349"/>
      <c r="UZQ64" s="349"/>
      <c r="UZR64" s="349"/>
      <c r="UZS64" s="349"/>
      <c r="UZT64" s="349"/>
      <c r="UZU64" s="349"/>
      <c r="UZV64" s="349"/>
      <c r="UZW64" s="349"/>
      <c r="UZX64" s="349"/>
      <c r="UZY64" s="349"/>
      <c r="UZZ64" s="349"/>
      <c r="VAA64" s="349"/>
      <c r="VAB64" s="349"/>
      <c r="VAC64" s="349"/>
      <c r="VAD64" s="349"/>
      <c r="VAE64" s="349"/>
      <c r="VAF64" s="349"/>
      <c r="VAG64" s="349"/>
      <c r="VAH64" s="349"/>
      <c r="VAI64" s="349"/>
      <c r="VAJ64" s="349"/>
      <c r="VAK64" s="349"/>
      <c r="VAL64" s="349"/>
      <c r="VAM64" s="349"/>
      <c r="VAN64" s="349"/>
      <c r="VAO64" s="349"/>
      <c r="VAP64" s="349"/>
      <c r="VAQ64" s="349"/>
      <c r="VAR64" s="349"/>
      <c r="VAS64" s="349"/>
      <c r="VAT64" s="349"/>
      <c r="VAU64" s="349"/>
      <c r="VAV64" s="349"/>
      <c r="VAW64" s="349"/>
      <c r="VAX64" s="349"/>
      <c r="VAY64" s="349"/>
      <c r="VAZ64" s="349"/>
      <c r="VBA64" s="349"/>
      <c r="VBB64" s="349"/>
      <c r="VBC64" s="349"/>
      <c r="VBD64" s="349"/>
      <c r="VBE64" s="349"/>
      <c r="VBF64" s="349"/>
      <c r="VBG64" s="349"/>
      <c r="VBH64" s="349"/>
      <c r="VBI64" s="349"/>
      <c r="VBJ64" s="349"/>
      <c r="VBK64" s="349"/>
      <c r="VBL64" s="349"/>
      <c r="VBM64" s="349"/>
      <c r="VBN64" s="349"/>
      <c r="VBO64" s="349"/>
      <c r="VBP64" s="349"/>
      <c r="VBQ64" s="349"/>
      <c r="VBR64" s="349"/>
      <c r="VBS64" s="349"/>
      <c r="VBT64" s="349"/>
      <c r="VBU64" s="349"/>
      <c r="VBV64" s="349"/>
      <c r="VBW64" s="349"/>
      <c r="VBX64" s="349"/>
      <c r="VBY64" s="349"/>
      <c r="VBZ64" s="349"/>
      <c r="VCA64" s="349"/>
      <c r="VCB64" s="349"/>
      <c r="VCC64" s="349"/>
      <c r="VCD64" s="349"/>
      <c r="VCE64" s="349"/>
      <c r="VCF64" s="349"/>
      <c r="VCG64" s="349"/>
      <c r="VCH64" s="349"/>
      <c r="VCI64" s="349"/>
      <c r="VCJ64" s="349"/>
      <c r="VCK64" s="349"/>
      <c r="VCL64" s="349"/>
      <c r="VCM64" s="349"/>
      <c r="VCN64" s="349"/>
      <c r="VCO64" s="349"/>
      <c r="VCP64" s="349"/>
      <c r="VCQ64" s="349"/>
      <c r="VCR64" s="349"/>
      <c r="VCS64" s="349"/>
      <c r="VCT64" s="349"/>
      <c r="VCU64" s="349"/>
      <c r="VCV64" s="349"/>
      <c r="VCW64" s="349"/>
      <c r="VCX64" s="349"/>
      <c r="VCY64" s="349"/>
      <c r="VCZ64" s="349"/>
      <c r="VDA64" s="349"/>
      <c r="VDB64" s="349"/>
      <c r="VDC64" s="349"/>
      <c r="VDD64" s="349"/>
      <c r="VDE64" s="349"/>
      <c r="VDF64" s="349"/>
      <c r="VDG64" s="349"/>
      <c r="VDH64" s="349"/>
      <c r="VDI64" s="349"/>
      <c r="VDJ64" s="349"/>
      <c r="VDK64" s="349"/>
      <c r="VDL64" s="349"/>
      <c r="VDM64" s="349"/>
      <c r="VDN64" s="349"/>
      <c r="VDO64" s="349"/>
      <c r="VDP64" s="349"/>
      <c r="VDQ64" s="349"/>
      <c r="VDR64" s="349"/>
      <c r="VDS64" s="349"/>
      <c r="VDT64" s="349"/>
      <c r="VDU64" s="349"/>
      <c r="VDV64" s="349"/>
      <c r="VDW64" s="349"/>
      <c r="VDX64" s="349"/>
      <c r="VDY64" s="349"/>
      <c r="VDZ64" s="349"/>
      <c r="VEA64" s="349"/>
      <c r="VEB64" s="349"/>
      <c r="VEC64" s="349"/>
      <c r="VED64" s="349"/>
      <c r="VEE64" s="349"/>
      <c r="VEF64" s="349"/>
      <c r="VEG64" s="349"/>
      <c r="VEH64" s="349"/>
      <c r="VEI64" s="349"/>
      <c r="VEJ64" s="349"/>
      <c r="VEK64" s="349"/>
      <c r="VEL64" s="349"/>
      <c r="VEM64" s="349"/>
      <c r="VEN64" s="349"/>
      <c r="VEO64" s="349"/>
      <c r="VEP64" s="349"/>
      <c r="VEQ64" s="349"/>
      <c r="VER64" s="349"/>
      <c r="VES64" s="349"/>
      <c r="VET64" s="349"/>
      <c r="VEU64" s="349"/>
      <c r="VEV64" s="349"/>
      <c r="VEW64" s="349"/>
      <c r="VEX64" s="349"/>
      <c r="VEY64" s="349"/>
      <c r="VEZ64" s="349"/>
      <c r="VFA64" s="349"/>
      <c r="VFB64" s="349"/>
      <c r="VFC64" s="349"/>
      <c r="VFD64" s="349"/>
      <c r="VFE64" s="349"/>
      <c r="VFF64" s="349"/>
      <c r="VFG64" s="349"/>
      <c r="VFH64" s="349"/>
      <c r="VFI64" s="349"/>
      <c r="VFJ64" s="349"/>
      <c r="VFK64" s="349"/>
      <c r="VFL64" s="349"/>
      <c r="VFM64" s="349"/>
      <c r="VFN64" s="349"/>
      <c r="VFO64" s="349"/>
      <c r="VFP64" s="349"/>
      <c r="VFQ64" s="349"/>
      <c r="VFR64" s="349"/>
      <c r="VFS64" s="349"/>
      <c r="VFT64" s="349"/>
      <c r="VFU64" s="349"/>
      <c r="VFV64" s="349"/>
      <c r="VFW64" s="349"/>
      <c r="VFX64" s="349"/>
      <c r="VFY64" s="349"/>
      <c r="VFZ64" s="349"/>
      <c r="VGA64" s="349"/>
      <c r="VGB64" s="349"/>
      <c r="VGC64" s="349"/>
      <c r="VGD64" s="349"/>
      <c r="VGE64" s="349"/>
      <c r="VGF64" s="349"/>
      <c r="VGG64" s="349"/>
      <c r="VGH64" s="349"/>
      <c r="VGI64" s="349"/>
      <c r="VGJ64" s="349"/>
      <c r="VGK64" s="349"/>
      <c r="VGL64" s="349"/>
      <c r="VGM64" s="349"/>
      <c r="VGN64" s="349"/>
      <c r="VGO64" s="349"/>
      <c r="VGP64" s="349"/>
      <c r="VGQ64" s="349"/>
      <c r="VGR64" s="349"/>
      <c r="VGS64" s="349"/>
      <c r="VGT64" s="349"/>
      <c r="VGU64" s="349"/>
      <c r="VGV64" s="349"/>
      <c r="VGW64" s="349"/>
      <c r="VGX64" s="349"/>
      <c r="VGY64" s="349"/>
      <c r="VGZ64" s="349"/>
      <c r="VHA64" s="349"/>
      <c r="VHB64" s="349"/>
      <c r="VHC64" s="349"/>
      <c r="VHD64" s="349"/>
      <c r="VHE64" s="349"/>
      <c r="VHF64" s="349"/>
      <c r="VHG64" s="349"/>
      <c r="VHH64" s="349"/>
      <c r="VHI64" s="349"/>
      <c r="VHJ64" s="349"/>
      <c r="VHK64" s="349"/>
      <c r="VHL64" s="349"/>
      <c r="VHM64" s="349"/>
      <c r="VHN64" s="349"/>
      <c r="VHO64" s="349"/>
      <c r="VHP64" s="349"/>
      <c r="VHQ64" s="349"/>
      <c r="VHR64" s="349"/>
      <c r="VHS64" s="349"/>
      <c r="VHT64" s="349"/>
      <c r="VHU64" s="349"/>
      <c r="VHV64" s="349"/>
      <c r="VHW64" s="349"/>
      <c r="VHX64" s="349"/>
      <c r="VHY64" s="349"/>
      <c r="VHZ64" s="349"/>
      <c r="VIA64" s="349"/>
      <c r="VIB64" s="349"/>
      <c r="VIC64" s="349"/>
      <c r="VID64" s="349"/>
      <c r="VIE64" s="349"/>
      <c r="VIF64" s="349"/>
      <c r="VIG64" s="349"/>
      <c r="VIH64" s="349"/>
      <c r="VII64" s="349"/>
      <c r="VIJ64" s="349"/>
      <c r="VIK64" s="349"/>
      <c r="VIL64" s="349"/>
      <c r="VIM64" s="349"/>
      <c r="VIN64" s="349"/>
      <c r="VIO64" s="349"/>
      <c r="VIP64" s="349"/>
      <c r="VIQ64" s="349"/>
      <c r="VIR64" s="349"/>
      <c r="VIS64" s="349"/>
      <c r="VIT64" s="349"/>
      <c r="VIU64" s="349"/>
      <c r="VIV64" s="349"/>
      <c r="VIW64" s="349"/>
      <c r="VIX64" s="349"/>
      <c r="VIY64" s="349"/>
      <c r="VIZ64" s="349"/>
      <c r="VJA64" s="349"/>
      <c r="VJB64" s="349"/>
      <c r="VJC64" s="349"/>
      <c r="VJD64" s="349"/>
      <c r="VJE64" s="349"/>
      <c r="VJF64" s="349"/>
      <c r="VJG64" s="349"/>
      <c r="VJH64" s="349"/>
      <c r="VJI64" s="349"/>
      <c r="VJJ64" s="349"/>
      <c r="VJK64" s="349"/>
      <c r="VJL64" s="349"/>
      <c r="VJM64" s="349"/>
      <c r="VJN64" s="349"/>
      <c r="VJO64" s="349"/>
      <c r="VJP64" s="349"/>
      <c r="VJQ64" s="349"/>
      <c r="VJR64" s="349"/>
      <c r="VJS64" s="349"/>
      <c r="VJT64" s="349"/>
      <c r="VJU64" s="349"/>
      <c r="VJV64" s="349"/>
      <c r="VJW64" s="349"/>
      <c r="VJX64" s="349"/>
      <c r="VJY64" s="349"/>
      <c r="VJZ64" s="349"/>
      <c r="VKA64" s="349"/>
      <c r="VKB64" s="349"/>
      <c r="VKC64" s="349"/>
      <c r="VKD64" s="349"/>
      <c r="VKE64" s="349"/>
      <c r="VKF64" s="349"/>
      <c r="VKG64" s="349"/>
      <c r="VKH64" s="349"/>
      <c r="VKI64" s="349"/>
      <c r="VKJ64" s="349"/>
      <c r="VKK64" s="349"/>
      <c r="VKL64" s="349"/>
      <c r="VKM64" s="349"/>
      <c r="VKN64" s="349"/>
      <c r="VKO64" s="349"/>
      <c r="VKP64" s="349"/>
      <c r="VKQ64" s="349"/>
      <c r="VKR64" s="349"/>
      <c r="VKS64" s="349"/>
      <c r="VKT64" s="349"/>
      <c r="VKU64" s="349"/>
      <c r="VKV64" s="349"/>
      <c r="VKW64" s="349"/>
      <c r="VKX64" s="349"/>
      <c r="VKY64" s="349"/>
      <c r="VKZ64" s="349"/>
      <c r="VLA64" s="349"/>
      <c r="VLB64" s="349"/>
      <c r="VLC64" s="349"/>
      <c r="VLD64" s="349"/>
      <c r="VLE64" s="349"/>
      <c r="VLF64" s="349"/>
      <c r="VLG64" s="349"/>
      <c r="VLH64" s="349"/>
      <c r="VLI64" s="349"/>
      <c r="VLJ64" s="349"/>
      <c r="VLK64" s="349"/>
      <c r="VLL64" s="349"/>
      <c r="VLM64" s="349"/>
      <c r="VLN64" s="349"/>
      <c r="VLO64" s="349"/>
      <c r="VLP64" s="349"/>
      <c r="VLQ64" s="349"/>
      <c r="VLR64" s="349"/>
      <c r="VLS64" s="349"/>
      <c r="VLT64" s="349"/>
      <c r="VLU64" s="349"/>
      <c r="VLV64" s="349"/>
      <c r="VLW64" s="349"/>
      <c r="VLX64" s="349"/>
      <c r="VLY64" s="349"/>
      <c r="VLZ64" s="349"/>
      <c r="VMA64" s="349"/>
      <c r="VMB64" s="349"/>
      <c r="VMC64" s="349"/>
      <c r="VMD64" s="349"/>
      <c r="VME64" s="349"/>
      <c r="VMF64" s="349"/>
      <c r="VMG64" s="349"/>
      <c r="VMH64" s="349"/>
      <c r="VMI64" s="349"/>
      <c r="VMJ64" s="349"/>
      <c r="VMK64" s="349"/>
      <c r="VML64" s="349"/>
      <c r="VMM64" s="349"/>
      <c r="VMN64" s="349"/>
      <c r="VMO64" s="349"/>
      <c r="VMP64" s="349"/>
      <c r="VMQ64" s="349"/>
      <c r="VMR64" s="349"/>
      <c r="VMS64" s="349"/>
      <c r="VMT64" s="349"/>
      <c r="VMU64" s="349"/>
      <c r="VMV64" s="349"/>
      <c r="VMW64" s="349"/>
      <c r="VMX64" s="349"/>
      <c r="VMY64" s="349"/>
      <c r="VMZ64" s="349"/>
      <c r="VNA64" s="349"/>
      <c r="VNB64" s="349"/>
      <c r="VNC64" s="349"/>
      <c r="VND64" s="349"/>
      <c r="VNE64" s="349"/>
      <c r="VNF64" s="349"/>
      <c r="VNG64" s="349"/>
      <c r="VNH64" s="349"/>
      <c r="VNI64" s="349"/>
      <c r="VNJ64" s="349"/>
      <c r="VNK64" s="349"/>
      <c r="VNL64" s="349"/>
      <c r="VNM64" s="349"/>
      <c r="VNN64" s="349"/>
      <c r="VNO64" s="349"/>
      <c r="VNP64" s="349"/>
      <c r="VNQ64" s="349"/>
      <c r="VNR64" s="349"/>
      <c r="VNS64" s="349"/>
      <c r="VNT64" s="349"/>
      <c r="VNU64" s="349"/>
      <c r="VNV64" s="349"/>
      <c r="VNW64" s="349"/>
      <c r="VNX64" s="349"/>
      <c r="VNY64" s="349"/>
      <c r="VNZ64" s="349"/>
      <c r="VOA64" s="349"/>
      <c r="VOB64" s="349"/>
      <c r="VOC64" s="349"/>
      <c r="VOD64" s="349"/>
      <c r="VOE64" s="349"/>
      <c r="VOF64" s="349"/>
      <c r="VOG64" s="349"/>
      <c r="VOH64" s="349"/>
      <c r="VOI64" s="349"/>
      <c r="VOJ64" s="349"/>
      <c r="VOK64" s="349"/>
      <c r="VOL64" s="349"/>
      <c r="VOM64" s="349"/>
      <c r="VON64" s="349"/>
      <c r="VOO64" s="349"/>
      <c r="VOP64" s="349"/>
      <c r="VOQ64" s="349"/>
      <c r="VOR64" s="349"/>
      <c r="VOS64" s="349"/>
      <c r="VOT64" s="349"/>
      <c r="VOU64" s="349"/>
      <c r="VOV64" s="349"/>
      <c r="VOW64" s="349"/>
      <c r="VOX64" s="349"/>
      <c r="VOY64" s="349"/>
      <c r="VOZ64" s="349"/>
      <c r="VPA64" s="349"/>
      <c r="VPB64" s="349"/>
      <c r="VPC64" s="349"/>
      <c r="VPD64" s="349"/>
      <c r="VPE64" s="349"/>
      <c r="VPF64" s="349"/>
      <c r="VPG64" s="349"/>
      <c r="VPH64" s="349"/>
      <c r="VPI64" s="349"/>
      <c r="VPJ64" s="349"/>
      <c r="VPK64" s="349"/>
      <c r="VPL64" s="349"/>
      <c r="VPM64" s="349"/>
      <c r="VPN64" s="349"/>
      <c r="VPO64" s="349"/>
      <c r="VPP64" s="349"/>
      <c r="VPQ64" s="349"/>
      <c r="VPR64" s="349"/>
      <c r="VPS64" s="349"/>
      <c r="VPT64" s="349"/>
      <c r="VPU64" s="349"/>
      <c r="VPV64" s="349"/>
      <c r="VPW64" s="349"/>
      <c r="VPX64" s="349"/>
      <c r="VPY64" s="349"/>
      <c r="VPZ64" s="349"/>
      <c r="VQA64" s="349"/>
      <c r="VQB64" s="349"/>
      <c r="VQC64" s="349"/>
      <c r="VQD64" s="349"/>
      <c r="VQE64" s="349"/>
      <c r="VQF64" s="349"/>
      <c r="VQG64" s="349"/>
      <c r="VQH64" s="349"/>
      <c r="VQI64" s="349"/>
      <c r="VQJ64" s="349"/>
      <c r="VQK64" s="349"/>
      <c r="VQL64" s="349"/>
      <c r="VQM64" s="349"/>
      <c r="VQN64" s="349"/>
      <c r="VQO64" s="349"/>
      <c r="VQP64" s="349"/>
      <c r="VQQ64" s="349"/>
      <c r="VQR64" s="349"/>
      <c r="VQS64" s="349"/>
      <c r="VQT64" s="349"/>
      <c r="VQU64" s="349"/>
      <c r="VQV64" s="349"/>
      <c r="VQW64" s="349"/>
      <c r="VQX64" s="349"/>
      <c r="VQY64" s="349"/>
      <c r="VQZ64" s="349"/>
      <c r="VRA64" s="349"/>
      <c r="VRB64" s="349"/>
      <c r="VRC64" s="349"/>
      <c r="VRD64" s="349"/>
      <c r="VRE64" s="349"/>
      <c r="VRF64" s="349"/>
      <c r="VRG64" s="349"/>
      <c r="VRH64" s="349"/>
      <c r="VRI64" s="349"/>
      <c r="VRJ64" s="349"/>
      <c r="VRK64" s="349"/>
      <c r="VRL64" s="349"/>
      <c r="VRM64" s="349"/>
      <c r="VRN64" s="349"/>
      <c r="VRO64" s="349"/>
      <c r="VRP64" s="349"/>
      <c r="VRQ64" s="349"/>
      <c r="VRR64" s="349"/>
      <c r="VRS64" s="349"/>
      <c r="VRT64" s="349"/>
      <c r="VRU64" s="349"/>
      <c r="VRV64" s="349"/>
      <c r="VRW64" s="349"/>
      <c r="VRX64" s="349"/>
      <c r="VRY64" s="349"/>
      <c r="VRZ64" s="349"/>
      <c r="VSA64" s="349"/>
      <c r="VSB64" s="349"/>
      <c r="VSC64" s="349"/>
      <c r="VSD64" s="349"/>
      <c r="VSE64" s="349"/>
      <c r="VSF64" s="349"/>
      <c r="VSG64" s="349"/>
      <c r="VSH64" s="349"/>
      <c r="VSI64" s="349"/>
      <c r="VSJ64" s="349"/>
      <c r="VSK64" s="349"/>
      <c r="VSL64" s="349"/>
      <c r="VSM64" s="349"/>
      <c r="VSN64" s="349"/>
      <c r="VSO64" s="349"/>
      <c r="VSP64" s="349"/>
      <c r="VSQ64" s="349"/>
      <c r="VSR64" s="349"/>
      <c r="VSS64" s="349"/>
      <c r="VST64" s="349"/>
      <c r="VSU64" s="349"/>
      <c r="VSV64" s="349"/>
      <c r="VSW64" s="349"/>
      <c r="VSX64" s="349"/>
      <c r="VSY64" s="349"/>
      <c r="VSZ64" s="349"/>
      <c r="VTA64" s="349"/>
      <c r="VTB64" s="349"/>
      <c r="VTC64" s="349"/>
      <c r="VTD64" s="349"/>
      <c r="VTE64" s="349"/>
      <c r="VTF64" s="349"/>
      <c r="VTG64" s="349"/>
      <c r="VTH64" s="349"/>
      <c r="VTI64" s="349"/>
      <c r="VTJ64" s="349"/>
      <c r="VTK64" s="349"/>
      <c r="VTL64" s="349"/>
      <c r="VTM64" s="349"/>
      <c r="VTN64" s="349"/>
      <c r="VTO64" s="349"/>
      <c r="VTP64" s="349"/>
      <c r="VTQ64" s="349"/>
      <c r="VTR64" s="349"/>
      <c r="VTS64" s="349"/>
      <c r="VTT64" s="349"/>
      <c r="VTU64" s="349"/>
      <c r="VTV64" s="349"/>
      <c r="VTW64" s="349"/>
      <c r="VTX64" s="349"/>
      <c r="VTY64" s="349"/>
      <c r="VTZ64" s="349"/>
      <c r="VUA64" s="349"/>
      <c r="VUB64" s="349"/>
      <c r="VUC64" s="349"/>
      <c r="VUD64" s="349"/>
      <c r="VUE64" s="349"/>
      <c r="VUF64" s="349"/>
      <c r="VUG64" s="349"/>
      <c r="VUH64" s="349"/>
      <c r="VUI64" s="349"/>
      <c r="VUJ64" s="349"/>
      <c r="VUK64" s="349"/>
      <c r="VUL64" s="349"/>
      <c r="VUM64" s="349"/>
      <c r="VUN64" s="349"/>
      <c r="VUO64" s="349"/>
      <c r="VUP64" s="349"/>
      <c r="VUQ64" s="349"/>
      <c r="VUR64" s="349"/>
      <c r="VUS64" s="349"/>
      <c r="VUT64" s="349"/>
      <c r="VUU64" s="349"/>
      <c r="VUV64" s="349"/>
      <c r="VUW64" s="349"/>
      <c r="VUX64" s="349"/>
      <c r="VUY64" s="349"/>
      <c r="VUZ64" s="349"/>
      <c r="VVA64" s="349"/>
      <c r="VVB64" s="349"/>
      <c r="VVC64" s="349"/>
      <c r="VVD64" s="349"/>
      <c r="VVE64" s="349"/>
      <c r="VVF64" s="349"/>
      <c r="VVG64" s="349"/>
      <c r="VVH64" s="349"/>
      <c r="VVI64" s="349"/>
      <c r="VVJ64" s="349"/>
      <c r="VVK64" s="349"/>
      <c r="VVL64" s="349"/>
      <c r="VVM64" s="349"/>
      <c r="VVN64" s="349"/>
      <c r="VVO64" s="349"/>
      <c r="VVP64" s="349"/>
      <c r="VVQ64" s="349"/>
      <c r="VVR64" s="349"/>
      <c r="VVS64" s="349"/>
      <c r="VVT64" s="349"/>
      <c r="VVU64" s="349"/>
      <c r="VVV64" s="349"/>
      <c r="VVW64" s="349"/>
      <c r="VVX64" s="349"/>
      <c r="VVY64" s="349"/>
      <c r="VVZ64" s="349"/>
      <c r="VWA64" s="349"/>
      <c r="VWB64" s="349"/>
      <c r="VWC64" s="349"/>
      <c r="VWD64" s="349"/>
      <c r="VWE64" s="349"/>
      <c r="VWF64" s="349"/>
      <c r="VWG64" s="349"/>
      <c r="VWH64" s="349"/>
      <c r="VWI64" s="349"/>
      <c r="VWJ64" s="349"/>
      <c r="VWK64" s="349"/>
      <c r="VWL64" s="349"/>
      <c r="VWM64" s="349"/>
      <c r="VWN64" s="349"/>
      <c r="VWO64" s="349"/>
      <c r="VWP64" s="349"/>
      <c r="VWQ64" s="349"/>
      <c r="VWR64" s="349"/>
      <c r="VWS64" s="349"/>
      <c r="VWT64" s="349"/>
      <c r="VWU64" s="349"/>
      <c r="VWV64" s="349"/>
      <c r="VWW64" s="349"/>
      <c r="VWX64" s="349"/>
      <c r="VWY64" s="349"/>
      <c r="VWZ64" s="349"/>
      <c r="VXA64" s="349"/>
      <c r="VXB64" s="349"/>
      <c r="VXC64" s="349"/>
      <c r="VXD64" s="349"/>
      <c r="VXE64" s="349"/>
      <c r="VXF64" s="349"/>
      <c r="VXG64" s="349"/>
      <c r="VXH64" s="349"/>
      <c r="VXI64" s="349"/>
      <c r="VXJ64" s="349"/>
      <c r="VXK64" s="349"/>
      <c r="VXL64" s="349"/>
      <c r="VXM64" s="349"/>
      <c r="VXN64" s="349"/>
      <c r="VXO64" s="349"/>
      <c r="VXP64" s="349"/>
      <c r="VXQ64" s="349"/>
      <c r="VXR64" s="349"/>
      <c r="VXS64" s="349"/>
      <c r="VXT64" s="349"/>
      <c r="VXU64" s="349"/>
      <c r="VXV64" s="349"/>
      <c r="VXW64" s="349"/>
      <c r="VXX64" s="349"/>
      <c r="VXY64" s="349"/>
      <c r="VXZ64" s="349"/>
      <c r="VYA64" s="349"/>
      <c r="VYB64" s="349"/>
      <c r="VYC64" s="349"/>
      <c r="VYD64" s="349"/>
      <c r="VYE64" s="349"/>
      <c r="VYF64" s="349"/>
      <c r="VYG64" s="349"/>
      <c r="VYH64" s="349"/>
      <c r="VYI64" s="349"/>
      <c r="VYJ64" s="349"/>
      <c r="VYK64" s="349"/>
      <c r="VYL64" s="349"/>
      <c r="VYM64" s="349"/>
      <c r="VYN64" s="349"/>
      <c r="VYO64" s="349"/>
      <c r="VYP64" s="349"/>
      <c r="VYQ64" s="349"/>
      <c r="VYR64" s="349"/>
      <c r="VYS64" s="349"/>
      <c r="VYT64" s="349"/>
      <c r="VYU64" s="349"/>
      <c r="VYV64" s="349"/>
      <c r="VYW64" s="349"/>
      <c r="VYX64" s="349"/>
      <c r="VYY64" s="349"/>
      <c r="VYZ64" s="349"/>
      <c r="VZA64" s="349"/>
      <c r="VZB64" s="349"/>
      <c r="VZC64" s="349"/>
      <c r="VZD64" s="349"/>
      <c r="VZE64" s="349"/>
      <c r="VZF64" s="349"/>
      <c r="VZG64" s="349"/>
      <c r="VZH64" s="349"/>
      <c r="VZI64" s="349"/>
      <c r="VZJ64" s="349"/>
      <c r="VZK64" s="349"/>
      <c r="VZL64" s="349"/>
      <c r="VZM64" s="349"/>
      <c r="VZN64" s="349"/>
      <c r="VZO64" s="349"/>
      <c r="VZP64" s="349"/>
      <c r="VZQ64" s="349"/>
      <c r="VZR64" s="349"/>
      <c r="VZS64" s="349"/>
      <c r="VZT64" s="349"/>
      <c r="VZU64" s="349"/>
      <c r="VZV64" s="349"/>
      <c r="VZW64" s="349"/>
      <c r="VZX64" s="349"/>
      <c r="VZY64" s="349"/>
      <c r="VZZ64" s="349"/>
      <c r="WAA64" s="349"/>
      <c r="WAB64" s="349"/>
      <c r="WAC64" s="349"/>
      <c r="WAD64" s="349"/>
      <c r="WAE64" s="349"/>
      <c r="WAF64" s="349"/>
      <c r="WAG64" s="349"/>
      <c r="WAH64" s="349"/>
      <c r="WAI64" s="349"/>
      <c r="WAJ64" s="349"/>
      <c r="WAK64" s="349"/>
      <c r="WAL64" s="349"/>
      <c r="WAM64" s="349"/>
      <c r="WAN64" s="349"/>
      <c r="WAO64" s="349"/>
      <c r="WAP64" s="349"/>
      <c r="WAQ64" s="349"/>
      <c r="WAR64" s="349"/>
      <c r="WAS64" s="349"/>
      <c r="WAT64" s="349"/>
      <c r="WAU64" s="349"/>
      <c r="WAV64" s="349"/>
      <c r="WAW64" s="349"/>
      <c r="WAX64" s="349"/>
      <c r="WAY64" s="349"/>
      <c r="WAZ64" s="349"/>
      <c r="WBA64" s="349"/>
      <c r="WBB64" s="349"/>
      <c r="WBC64" s="349"/>
      <c r="WBD64" s="349"/>
      <c r="WBE64" s="349"/>
      <c r="WBF64" s="349"/>
      <c r="WBG64" s="349"/>
      <c r="WBH64" s="349"/>
      <c r="WBI64" s="349"/>
      <c r="WBJ64" s="349"/>
      <c r="WBK64" s="349"/>
      <c r="WBL64" s="349"/>
      <c r="WBM64" s="349"/>
      <c r="WBN64" s="349"/>
      <c r="WBO64" s="349"/>
      <c r="WBP64" s="349"/>
      <c r="WBQ64" s="349"/>
      <c r="WBR64" s="349"/>
      <c r="WBS64" s="349"/>
      <c r="WBT64" s="349"/>
      <c r="WBU64" s="349"/>
      <c r="WBV64" s="349"/>
      <c r="WBW64" s="349"/>
      <c r="WBX64" s="349"/>
      <c r="WBY64" s="349"/>
      <c r="WBZ64" s="349"/>
      <c r="WCA64" s="349"/>
      <c r="WCB64" s="349"/>
      <c r="WCC64" s="349"/>
      <c r="WCD64" s="349"/>
      <c r="WCE64" s="349"/>
      <c r="WCF64" s="349"/>
      <c r="WCG64" s="349"/>
      <c r="WCH64" s="349"/>
      <c r="WCI64" s="349"/>
      <c r="WCJ64" s="349"/>
      <c r="WCK64" s="349"/>
      <c r="WCL64" s="349"/>
      <c r="WCM64" s="349"/>
      <c r="WCN64" s="349"/>
      <c r="WCO64" s="349"/>
      <c r="WCP64" s="349"/>
      <c r="WCQ64" s="349"/>
      <c r="WCR64" s="349"/>
      <c r="WCS64" s="349"/>
      <c r="WCT64" s="349"/>
      <c r="WCU64" s="349"/>
      <c r="WCV64" s="349"/>
      <c r="WCW64" s="349"/>
      <c r="WCX64" s="349"/>
      <c r="WCY64" s="349"/>
      <c r="WCZ64" s="349"/>
      <c r="WDA64" s="349"/>
      <c r="WDB64" s="349"/>
      <c r="WDC64" s="349"/>
      <c r="WDD64" s="349"/>
      <c r="WDE64" s="349"/>
      <c r="WDF64" s="349"/>
      <c r="WDG64" s="349"/>
      <c r="WDH64" s="349"/>
      <c r="WDI64" s="349"/>
      <c r="WDJ64" s="349"/>
      <c r="WDK64" s="349"/>
      <c r="WDL64" s="349"/>
      <c r="WDM64" s="349"/>
      <c r="WDN64" s="349"/>
      <c r="WDO64" s="349"/>
      <c r="WDP64" s="349"/>
      <c r="WDQ64" s="349"/>
      <c r="WDR64" s="349"/>
      <c r="WDS64" s="349"/>
      <c r="WDT64" s="349"/>
      <c r="WDU64" s="349"/>
      <c r="WDV64" s="349"/>
      <c r="WDW64" s="349"/>
      <c r="WDX64" s="349"/>
      <c r="WDY64" s="349"/>
      <c r="WDZ64" s="349"/>
      <c r="WEA64" s="349"/>
      <c r="WEB64" s="349"/>
      <c r="WEC64" s="349"/>
      <c r="WED64" s="349"/>
      <c r="WEE64" s="349"/>
      <c r="WEF64" s="349"/>
      <c r="WEG64" s="349"/>
      <c r="WEH64" s="349"/>
      <c r="WEI64" s="349"/>
      <c r="WEJ64" s="349"/>
      <c r="WEK64" s="349"/>
      <c r="WEL64" s="349"/>
      <c r="WEM64" s="349"/>
      <c r="WEN64" s="349"/>
      <c r="WEO64" s="349"/>
      <c r="WEP64" s="349"/>
      <c r="WEQ64" s="349"/>
      <c r="WER64" s="349"/>
      <c r="WES64" s="349"/>
      <c r="WET64" s="349"/>
      <c r="WEU64" s="349"/>
      <c r="WEV64" s="349"/>
      <c r="WEW64" s="349"/>
      <c r="WEX64" s="349"/>
      <c r="WEY64" s="349"/>
      <c r="WEZ64" s="349"/>
      <c r="WFA64" s="349"/>
      <c r="WFB64" s="349"/>
      <c r="WFC64" s="349"/>
      <c r="WFD64" s="349"/>
      <c r="WFE64" s="349"/>
      <c r="WFF64" s="349"/>
      <c r="WFG64" s="349"/>
      <c r="WFH64" s="349"/>
      <c r="WFI64" s="349"/>
      <c r="WFJ64" s="349"/>
      <c r="WFK64" s="349"/>
      <c r="WFL64" s="349"/>
      <c r="WFM64" s="349"/>
      <c r="WFN64" s="349"/>
      <c r="WFO64" s="349"/>
      <c r="WFP64" s="349"/>
      <c r="WFQ64" s="349"/>
      <c r="WFR64" s="349"/>
      <c r="WFS64" s="349"/>
      <c r="WFT64" s="349"/>
      <c r="WFU64" s="349"/>
      <c r="WFV64" s="349"/>
      <c r="WFW64" s="349"/>
      <c r="WFX64" s="349"/>
      <c r="WFY64" s="349"/>
      <c r="WFZ64" s="349"/>
      <c r="WGA64" s="349"/>
      <c r="WGB64" s="349"/>
      <c r="WGC64" s="349"/>
      <c r="WGD64" s="349"/>
      <c r="WGE64" s="349"/>
      <c r="WGF64" s="349"/>
      <c r="WGG64" s="349"/>
      <c r="WGH64" s="349"/>
      <c r="WGI64" s="349"/>
      <c r="WGJ64" s="349"/>
      <c r="WGK64" s="349"/>
      <c r="WGL64" s="349"/>
      <c r="WGM64" s="349"/>
      <c r="WGN64" s="349"/>
      <c r="WGO64" s="349"/>
      <c r="WGP64" s="349"/>
      <c r="WGQ64" s="349"/>
      <c r="WGR64" s="349"/>
      <c r="WGS64" s="349"/>
      <c r="WGT64" s="349"/>
      <c r="WGU64" s="349"/>
      <c r="WGV64" s="349"/>
      <c r="WGW64" s="349"/>
      <c r="WGX64" s="349"/>
      <c r="WGY64" s="349"/>
      <c r="WGZ64" s="349"/>
      <c r="WHA64" s="349"/>
      <c r="WHB64" s="349"/>
      <c r="WHC64" s="349"/>
      <c r="WHD64" s="349"/>
      <c r="WHE64" s="349"/>
      <c r="WHF64" s="349"/>
      <c r="WHG64" s="349"/>
      <c r="WHH64" s="349"/>
      <c r="WHI64" s="349"/>
      <c r="WHJ64" s="349"/>
      <c r="WHK64" s="349"/>
      <c r="WHL64" s="349"/>
      <c r="WHM64" s="349"/>
      <c r="WHN64" s="349"/>
      <c r="WHO64" s="349"/>
      <c r="WHP64" s="349"/>
      <c r="WHQ64" s="349"/>
      <c r="WHR64" s="349"/>
      <c r="WHS64" s="349"/>
      <c r="WHT64" s="349"/>
      <c r="WHU64" s="349"/>
      <c r="WHV64" s="349"/>
      <c r="WHW64" s="349"/>
      <c r="WHX64" s="349"/>
      <c r="WHY64" s="349"/>
      <c r="WHZ64" s="349"/>
      <c r="WIA64" s="349"/>
      <c r="WIB64" s="349"/>
      <c r="WIC64" s="349"/>
      <c r="WID64" s="349"/>
      <c r="WIE64" s="349"/>
      <c r="WIF64" s="349"/>
      <c r="WIG64" s="349"/>
      <c r="WIH64" s="349"/>
      <c r="WII64" s="349"/>
      <c r="WIJ64" s="349"/>
      <c r="WIK64" s="349"/>
      <c r="WIL64" s="349"/>
      <c r="WIM64" s="349"/>
      <c r="WIN64" s="349"/>
      <c r="WIO64" s="349"/>
      <c r="WIP64" s="349"/>
      <c r="WIQ64" s="349"/>
      <c r="WIR64" s="349"/>
      <c r="WIS64" s="349"/>
      <c r="WIT64" s="349"/>
      <c r="WIU64" s="349"/>
      <c r="WIV64" s="349"/>
      <c r="WIW64" s="349"/>
      <c r="WIX64" s="349"/>
      <c r="WIY64" s="349"/>
      <c r="WIZ64" s="349"/>
      <c r="WJA64" s="349"/>
      <c r="WJB64" s="349"/>
      <c r="WJC64" s="349"/>
      <c r="WJD64" s="349"/>
      <c r="WJE64" s="349"/>
      <c r="WJF64" s="349"/>
      <c r="WJG64" s="349"/>
      <c r="WJH64" s="349"/>
      <c r="WJI64" s="349"/>
      <c r="WJJ64" s="349"/>
      <c r="WJK64" s="349"/>
      <c r="WJL64" s="349"/>
      <c r="WJM64" s="349"/>
      <c r="WJN64" s="349"/>
      <c r="WJO64" s="349"/>
      <c r="WJP64" s="349"/>
      <c r="WJQ64" s="349"/>
      <c r="WJR64" s="349"/>
      <c r="WJS64" s="349"/>
      <c r="WJT64" s="349"/>
      <c r="WJU64" s="349"/>
      <c r="WJV64" s="349"/>
      <c r="WJW64" s="349"/>
      <c r="WJX64" s="349"/>
      <c r="WJY64" s="349"/>
      <c r="WJZ64" s="349"/>
      <c r="WKA64" s="349"/>
      <c r="WKB64" s="349"/>
      <c r="WKC64" s="349"/>
      <c r="WKD64" s="349"/>
      <c r="WKE64" s="349"/>
      <c r="WKF64" s="349"/>
      <c r="WKG64" s="349"/>
      <c r="WKH64" s="349"/>
      <c r="WKI64" s="349"/>
      <c r="WKJ64" s="349"/>
      <c r="WKK64" s="349"/>
      <c r="WKL64" s="349"/>
      <c r="WKM64" s="349"/>
      <c r="WKN64" s="349"/>
      <c r="WKO64" s="349"/>
      <c r="WKP64" s="349"/>
      <c r="WKQ64" s="349"/>
      <c r="WKR64" s="349"/>
      <c r="WKS64" s="349"/>
      <c r="WKT64" s="349"/>
      <c r="WKU64" s="349"/>
      <c r="WKV64" s="349"/>
      <c r="WKW64" s="349"/>
      <c r="WKX64" s="349"/>
      <c r="WKY64" s="349"/>
      <c r="WKZ64" s="349"/>
      <c r="WLA64" s="349"/>
      <c r="WLB64" s="349"/>
      <c r="WLC64" s="349"/>
      <c r="WLD64" s="349"/>
      <c r="WLE64" s="349"/>
      <c r="WLF64" s="349"/>
      <c r="WLG64" s="349"/>
      <c r="WLH64" s="349"/>
      <c r="WLI64" s="349"/>
      <c r="WLJ64" s="349"/>
      <c r="WLK64" s="349"/>
      <c r="WLL64" s="349"/>
      <c r="WLM64" s="349"/>
      <c r="WLN64" s="349"/>
      <c r="WLO64" s="349"/>
      <c r="WLP64" s="349"/>
      <c r="WLQ64" s="349"/>
      <c r="WLR64" s="349"/>
      <c r="WLS64" s="349"/>
      <c r="WLT64" s="349"/>
      <c r="WLU64" s="349"/>
      <c r="WLV64" s="349"/>
      <c r="WLW64" s="349"/>
      <c r="WLX64" s="349"/>
      <c r="WLY64" s="349"/>
      <c r="WLZ64" s="349"/>
      <c r="WMA64" s="349"/>
      <c r="WMB64" s="349"/>
      <c r="WMC64" s="349"/>
      <c r="WMD64" s="349"/>
      <c r="WME64" s="349"/>
      <c r="WMF64" s="349"/>
      <c r="WMG64" s="349"/>
      <c r="WMH64" s="349"/>
      <c r="WMI64" s="349"/>
      <c r="WMJ64" s="349"/>
      <c r="WMK64" s="349"/>
      <c r="WML64" s="349"/>
      <c r="WMM64" s="349"/>
      <c r="WMN64" s="349"/>
      <c r="WMO64" s="349"/>
      <c r="WMP64" s="349"/>
      <c r="WMQ64" s="349"/>
      <c r="WMR64" s="349"/>
      <c r="WMS64" s="349"/>
      <c r="WMT64" s="349"/>
      <c r="WMU64" s="349"/>
      <c r="WMV64" s="349"/>
      <c r="WMW64" s="349"/>
      <c r="WMX64" s="349"/>
      <c r="WMY64" s="349"/>
      <c r="WMZ64" s="349"/>
      <c r="WNA64" s="349"/>
      <c r="WNB64" s="349"/>
      <c r="WNC64" s="349"/>
      <c r="WND64" s="349"/>
      <c r="WNE64" s="349"/>
      <c r="WNF64" s="349"/>
      <c r="WNG64" s="349"/>
      <c r="WNH64" s="349"/>
      <c r="WNI64" s="349"/>
      <c r="WNJ64" s="349"/>
      <c r="WNK64" s="349"/>
      <c r="WNL64" s="349"/>
      <c r="WNM64" s="349"/>
      <c r="WNN64" s="349"/>
      <c r="WNO64" s="349"/>
      <c r="WNP64" s="349"/>
      <c r="WNQ64" s="349"/>
      <c r="WNR64" s="349"/>
      <c r="WNS64" s="349"/>
      <c r="WNT64" s="349"/>
      <c r="WNU64" s="349"/>
      <c r="WNV64" s="349"/>
      <c r="WNW64" s="349"/>
      <c r="WNX64" s="349"/>
      <c r="WNY64" s="349"/>
      <c r="WNZ64" s="349"/>
      <c r="WOA64" s="349"/>
      <c r="WOB64" s="349"/>
      <c r="WOC64" s="349"/>
      <c r="WOD64" s="349"/>
      <c r="WOE64" s="349"/>
      <c r="WOF64" s="349"/>
      <c r="WOG64" s="349"/>
      <c r="WOH64" s="349"/>
      <c r="WOI64" s="349"/>
      <c r="WOJ64" s="349"/>
      <c r="WOK64" s="349"/>
      <c r="WOL64" s="349"/>
      <c r="WOM64" s="349"/>
      <c r="WON64" s="349"/>
      <c r="WOO64" s="349"/>
      <c r="WOP64" s="349"/>
      <c r="WOQ64" s="349"/>
      <c r="WOR64" s="349"/>
      <c r="WOS64" s="349"/>
      <c r="WOT64" s="349"/>
      <c r="WOU64" s="349"/>
      <c r="WOV64" s="349"/>
      <c r="WOW64" s="349"/>
      <c r="WOX64" s="349"/>
      <c r="WOY64" s="349"/>
      <c r="WOZ64" s="349"/>
      <c r="WPA64" s="349"/>
      <c r="WPB64" s="349"/>
      <c r="WPC64" s="349"/>
      <c r="WPD64" s="349"/>
      <c r="WPE64" s="349"/>
      <c r="WPF64" s="349"/>
      <c r="WPG64" s="349"/>
      <c r="WPH64" s="349"/>
      <c r="WPI64" s="349"/>
      <c r="WPJ64" s="349"/>
      <c r="WPK64" s="349"/>
      <c r="WPL64" s="349"/>
      <c r="WPM64" s="349"/>
      <c r="WPN64" s="349"/>
      <c r="WPO64" s="349"/>
      <c r="WPP64" s="349"/>
      <c r="WPQ64" s="349"/>
      <c r="WPR64" s="349"/>
      <c r="WPS64" s="349"/>
      <c r="WPT64" s="349"/>
      <c r="WPU64" s="349"/>
      <c r="WPV64" s="349"/>
      <c r="WPW64" s="349"/>
      <c r="WPX64" s="349"/>
      <c r="WPY64" s="349"/>
      <c r="WPZ64" s="349"/>
      <c r="WQA64" s="349"/>
      <c r="WQB64" s="349"/>
      <c r="WQC64" s="349"/>
      <c r="WQD64" s="349"/>
      <c r="WQE64" s="349"/>
      <c r="WQF64" s="349"/>
      <c r="WQG64" s="349"/>
      <c r="WQH64" s="349"/>
      <c r="WQI64" s="349"/>
      <c r="WQJ64" s="349"/>
      <c r="WQK64" s="349"/>
      <c r="WQL64" s="349"/>
      <c r="WQM64" s="349"/>
      <c r="WQN64" s="349"/>
      <c r="WQO64" s="349"/>
      <c r="WQP64" s="349"/>
      <c r="WQQ64" s="349"/>
      <c r="WQR64" s="349"/>
      <c r="WQS64" s="349"/>
      <c r="WQT64" s="349"/>
      <c r="WQU64" s="349"/>
      <c r="WQV64" s="349"/>
      <c r="WQW64" s="349"/>
      <c r="WQX64" s="349"/>
      <c r="WQY64" s="349"/>
      <c r="WQZ64" s="349"/>
      <c r="WRA64" s="349"/>
      <c r="WRB64" s="349"/>
      <c r="WRC64" s="349"/>
      <c r="WRD64" s="349"/>
      <c r="WRE64" s="349"/>
      <c r="WRF64" s="349"/>
      <c r="WRG64" s="349"/>
      <c r="WRH64" s="349"/>
      <c r="WRI64" s="349"/>
      <c r="WRJ64" s="349"/>
      <c r="WRK64" s="349"/>
      <c r="WRL64" s="349"/>
      <c r="WRM64" s="349"/>
      <c r="WRN64" s="349"/>
      <c r="WRO64" s="349"/>
      <c r="WRP64" s="349"/>
      <c r="WRQ64" s="349"/>
      <c r="WRR64" s="349"/>
      <c r="WRS64" s="349"/>
      <c r="WRT64" s="349"/>
      <c r="WRU64" s="349"/>
      <c r="WRV64" s="349"/>
      <c r="WRW64" s="349"/>
      <c r="WRX64" s="349"/>
      <c r="WRY64" s="349"/>
      <c r="WRZ64" s="349"/>
      <c r="WSA64" s="349"/>
      <c r="WSB64" s="349"/>
      <c r="WSC64" s="349"/>
      <c r="WSD64" s="349"/>
      <c r="WSE64" s="349"/>
      <c r="WSF64" s="349"/>
      <c r="WSG64" s="349"/>
      <c r="WSH64" s="349"/>
      <c r="WSI64" s="349"/>
      <c r="WSJ64" s="349"/>
      <c r="WSK64" s="349"/>
      <c r="WSL64" s="349"/>
      <c r="WSM64" s="349"/>
      <c r="WSN64" s="349"/>
      <c r="WSO64" s="349"/>
      <c r="WSP64" s="349"/>
      <c r="WSQ64" s="349"/>
      <c r="WSR64" s="349"/>
      <c r="WSS64" s="349"/>
      <c r="WST64" s="349"/>
      <c r="WSU64" s="349"/>
      <c r="WSV64" s="349"/>
      <c r="WSW64" s="349"/>
      <c r="WSX64" s="349"/>
      <c r="WSY64" s="349"/>
      <c r="WSZ64" s="349"/>
      <c r="WTA64" s="349"/>
      <c r="WTB64" s="349"/>
      <c r="WTC64" s="349"/>
      <c r="WTD64" s="349"/>
      <c r="WTE64" s="349"/>
      <c r="WTF64" s="349"/>
      <c r="WTG64" s="349"/>
      <c r="WTH64" s="349"/>
      <c r="WTI64" s="349"/>
      <c r="WTJ64" s="349"/>
      <c r="WTK64" s="349"/>
      <c r="WTL64" s="349"/>
      <c r="WTM64" s="349"/>
      <c r="WTN64" s="349"/>
      <c r="WTO64" s="349"/>
      <c r="WTP64" s="349"/>
      <c r="WTQ64" s="349"/>
      <c r="WTR64" s="349"/>
      <c r="WTS64" s="349"/>
      <c r="WTT64" s="349"/>
      <c r="WTU64" s="349"/>
      <c r="WTV64" s="349"/>
      <c r="WTW64" s="349"/>
      <c r="WTX64" s="349"/>
      <c r="WTY64" s="349"/>
      <c r="WTZ64" s="349"/>
      <c r="WUA64" s="349"/>
      <c r="WUB64" s="349"/>
      <c r="WUC64" s="349"/>
      <c r="WUD64" s="349"/>
      <c r="WUE64" s="349"/>
      <c r="WUF64" s="349"/>
      <c r="WUG64" s="349"/>
      <c r="WUH64" s="349"/>
      <c r="WUI64" s="349"/>
      <c r="WUJ64" s="349"/>
      <c r="WUK64" s="349"/>
      <c r="WUL64" s="349"/>
      <c r="WUM64" s="349"/>
      <c r="WUN64" s="349"/>
      <c r="WUO64" s="349"/>
      <c r="WUP64" s="349"/>
      <c r="WUQ64" s="349"/>
      <c r="WUR64" s="349"/>
      <c r="WUS64" s="349"/>
      <c r="WUT64" s="349"/>
      <c r="WUU64" s="349"/>
      <c r="WUV64" s="349"/>
      <c r="WUW64" s="349"/>
      <c r="WUX64" s="349"/>
      <c r="WUY64" s="349"/>
      <c r="WUZ64" s="349"/>
      <c r="WVA64" s="349"/>
      <c r="WVB64" s="349"/>
      <c r="WVC64" s="349"/>
      <c r="WVD64" s="349"/>
      <c r="WVE64" s="349"/>
      <c r="WVF64" s="349"/>
      <c r="WVG64" s="349"/>
      <c r="WVH64" s="349"/>
      <c r="WVI64" s="349"/>
      <c r="WVJ64" s="349"/>
      <c r="WVK64" s="349"/>
      <c r="WVL64" s="349"/>
      <c r="WVM64" s="349"/>
      <c r="WVN64" s="349"/>
      <c r="WVO64" s="349"/>
      <c r="WVP64" s="349"/>
      <c r="WVQ64" s="349"/>
      <c r="WVR64" s="349"/>
      <c r="WVS64" s="349"/>
      <c r="WVT64" s="349"/>
      <c r="WVU64" s="349"/>
      <c r="WVV64" s="349"/>
      <c r="WVW64" s="349"/>
      <c r="WVX64" s="349"/>
      <c r="WVY64" s="349"/>
      <c r="WVZ64" s="349"/>
      <c r="WWA64" s="349"/>
      <c r="WWB64" s="349"/>
      <c r="WWC64" s="349"/>
      <c r="WWD64" s="349"/>
      <c r="WWE64" s="349"/>
      <c r="WWF64" s="349"/>
      <c r="WWG64" s="349"/>
      <c r="WWH64" s="349"/>
      <c r="WWI64" s="349"/>
      <c r="WWJ64" s="349"/>
      <c r="WWK64" s="349"/>
      <c r="WWL64" s="349"/>
      <c r="WWM64" s="349"/>
      <c r="WWN64" s="349"/>
      <c r="WWO64" s="349"/>
      <c r="WWP64" s="349"/>
      <c r="WWQ64" s="349"/>
      <c r="WWR64" s="349"/>
      <c r="WWS64" s="349"/>
      <c r="WWT64" s="349"/>
      <c r="WWU64" s="349"/>
      <c r="WWV64" s="349"/>
      <c r="WWW64" s="349"/>
      <c r="WWX64" s="349"/>
      <c r="WWY64" s="349"/>
      <c r="WWZ64" s="349"/>
      <c r="WXA64" s="349"/>
      <c r="WXB64" s="349"/>
      <c r="WXC64" s="349"/>
      <c r="WXD64" s="349"/>
      <c r="WXE64" s="349"/>
      <c r="WXF64" s="349"/>
      <c r="WXG64" s="349"/>
      <c r="WXH64" s="349"/>
      <c r="WXI64" s="349"/>
      <c r="WXJ64" s="349"/>
      <c r="WXK64" s="349"/>
      <c r="WXL64" s="349"/>
      <c r="WXM64" s="349"/>
      <c r="WXN64" s="349"/>
      <c r="WXO64" s="349"/>
      <c r="WXP64" s="349"/>
      <c r="WXQ64" s="349"/>
      <c r="WXR64" s="349"/>
      <c r="WXS64" s="349"/>
      <c r="WXT64" s="349"/>
      <c r="WXU64" s="349"/>
      <c r="WXV64" s="349"/>
      <c r="WXW64" s="349"/>
      <c r="WXX64" s="349"/>
      <c r="WXY64" s="349"/>
      <c r="WXZ64" s="349"/>
      <c r="WYA64" s="349"/>
      <c r="WYB64" s="349"/>
      <c r="WYC64" s="349"/>
      <c r="WYD64" s="349"/>
      <c r="WYE64" s="349"/>
      <c r="WYF64" s="349"/>
      <c r="WYG64" s="349"/>
      <c r="WYH64" s="349"/>
      <c r="WYI64" s="349"/>
      <c r="WYJ64" s="349"/>
      <c r="WYK64" s="349"/>
      <c r="WYL64" s="349"/>
      <c r="WYM64" s="349"/>
      <c r="WYN64" s="349"/>
      <c r="WYO64" s="349"/>
      <c r="WYP64" s="349"/>
      <c r="WYQ64" s="349"/>
      <c r="WYR64" s="349"/>
      <c r="WYS64" s="349"/>
      <c r="WYT64" s="349"/>
      <c r="WYU64" s="349"/>
      <c r="WYV64" s="349"/>
      <c r="WYW64" s="349"/>
      <c r="WYX64" s="349"/>
      <c r="WYY64" s="349"/>
      <c r="WYZ64" s="349"/>
      <c r="WZA64" s="349"/>
      <c r="WZB64" s="349"/>
      <c r="WZC64" s="349"/>
      <c r="WZD64" s="349"/>
      <c r="WZE64" s="349"/>
      <c r="WZF64" s="349"/>
      <c r="WZG64" s="349"/>
      <c r="WZH64" s="349"/>
      <c r="WZI64" s="349"/>
      <c r="WZJ64" s="349"/>
      <c r="WZK64" s="349"/>
      <c r="WZL64" s="349"/>
      <c r="WZM64" s="349"/>
      <c r="WZN64" s="349"/>
      <c r="WZO64" s="349"/>
      <c r="WZP64" s="349"/>
      <c r="WZQ64" s="349"/>
      <c r="WZR64" s="349"/>
      <c r="WZS64" s="349"/>
      <c r="WZT64" s="349"/>
      <c r="WZU64" s="349"/>
      <c r="WZV64" s="349"/>
      <c r="WZW64" s="349"/>
      <c r="WZX64" s="349"/>
      <c r="WZY64" s="349"/>
      <c r="WZZ64" s="349"/>
      <c r="XAA64" s="349"/>
      <c r="XAB64" s="349"/>
      <c r="XAC64" s="349"/>
      <c r="XAD64" s="349"/>
      <c r="XAE64" s="349"/>
      <c r="XAF64" s="349"/>
      <c r="XAG64" s="349"/>
      <c r="XAH64" s="349"/>
      <c r="XAI64" s="349"/>
      <c r="XAJ64" s="349"/>
      <c r="XAK64" s="349"/>
      <c r="XAL64" s="349"/>
      <c r="XAM64" s="349"/>
      <c r="XAN64" s="349"/>
      <c r="XAO64" s="349"/>
      <c r="XAP64" s="349"/>
      <c r="XAQ64" s="349"/>
      <c r="XAR64" s="349"/>
      <c r="XAS64" s="349"/>
      <c r="XAT64" s="349"/>
      <c r="XAU64" s="349"/>
      <c r="XAV64" s="349"/>
      <c r="XAW64" s="349"/>
      <c r="XAX64" s="349"/>
      <c r="XAY64" s="349"/>
      <c r="XAZ64" s="349"/>
      <c r="XBA64" s="349"/>
      <c r="XBB64" s="349"/>
      <c r="XBC64" s="349"/>
      <c r="XBD64" s="349"/>
      <c r="XBE64" s="349"/>
      <c r="XBF64" s="349"/>
      <c r="XBG64" s="349"/>
      <c r="XBH64" s="349"/>
      <c r="XBI64" s="349"/>
      <c r="XBJ64" s="349"/>
      <c r="XBK64" s="349"/>
      <c r="XBL64" s="349"/>
      <c r="XBM64" s="349"/>
      <c r="XBN64" s="349"/>
      <c r="XBO64" s="349"/>
      <c r="XBP64" s="349"/>
      <c r="XBQ64" s="349"/>
      <c r="XBR64" s="349"/>
      <c r="XBS64" s="349"/>
      <c r="XBT64" s="349"/>
      <c r="XBU64" s="349"/>
      <c r="XBV64" s="349"/>
      <c r="XBW64" s="349"/>
      <c r="XBX64" s="349"/>
      <c r="XBY64" s="349"/>
      <c r="XBZ64" s="349"/>
      <c r="XCA64" s="349"/>
      <c r="XCB64" s="349"/>
      <c r="XCC64" s="349"/>
      <c r="XCD64" s="349"/>
      <c r="XCE64" s="349"/>
      <c r="XCF64" s="349"/>
      <c r="XCG64" s="349"/>
      <c r="XCH64" s="349"/>
      <c r="XCI64" s="349"/>
      <c r="XCJ64" s="349"/>
      <c r="XCK64" s="349"/>
      <c r="XCL64" s="349"/>
      <c r="XCM64" s="349"/>
      <c r="XCN64" s="349"/>
      <c r="XCO64" s="349"/>
      <c r="XCP64" s="349"/>
      <c r="XCQ64" s="349"/>
      <c r="XCR64" s="349"/>
      <c r="XCS64" s="349"/>
      <c r="XCT64" s="349"/>
      <c r="XCU64" s="349"/>
      <c r="XCV64" s="349"/>
      <c r="XCW64" s="349"/>
      <c r="XCX64" s="349"/>
      <c r="XCY64" s="349"/>
      <c r="XCZ64" s="349"/>
      <c r="XDA64" s="349"/>
      <c r="XDB64" s="349"/>
      <c r="XDC64" s="349"/>
      <c r="XDD64" s="349"/>
      <c r="XDE64" s="349"/>
      <c r="XDF64" s="349"/>
      <c r="XDG64" s="349"/>
      <c r="XDH64" s="349"/>
      <c r="XDI64" s="349"/>
      <c r="XDJ64" s="349"/>
      <c r="XDK64" s="349"/>
      <c r="XDL64" s="349"/>
      <c r="XDM64" s="349"/>
      <c r="XDN64" s="349"/>
      <c r="XDO64" s="349"/>
      <c r="XDP64" s="349"/>
      <c r="XDQ64" s="349"/>
      <c r="XDR64" s="349"/>
      <c r="XDS64" s="349"/>
      <c r="XDT64" s="349"/>
      <c r="XDU64" s="349"/>
      <c r="XDV64" s="349"/>
      <c r="XDW64" s="349"/>
      <c r="XDX64" s="349"/>
      <c r="XDY64" s="349"/>
      <c r="XDZ64" s="349"/>
      <c r="XEA64" s="349"/>
      <c r="XEB64" s="349"/>
      <c r="XEC64" s="349"/>
      <c r="XED64" s="349"/>
      <c r="XEE64" s="349"/>
      <c r="XEF64" s="349"/>
      <c r="XEG64" s="349"/>
      <c r="XEH64" s="349"/>
      <c r="XEI64" s="349"/>
      <c r="XEJ64" s="349"/>
      <c r="XEK64" s="349"/>
      <c r="XEL64" s="349"/>
      <c r="XEM64" s="349"/>
      <c r="XEN64" s="349"/>
      <c r="XEO64" s="349"/>
      <c r="XEP64" s="349"/>
      <c r="XEQ64" s="349"/>
    </row>
    <row r="65" spans="1:16371" ht="15" customHeight="1" thickTop="1">
      <c r="A65" s="44"/>
      <c r="B65" s="349"/>
      <c r="C65" s="349"/>
      <c r="D65" s="349"/>
      <c r="F65" s="23"/>
      <c r="G65" s="349"/>
      <c r="H65" s="349"/>
      <c r="I65"/>
      <c r="M65" s="349"/>
      <c r="Q65" s="2131"/>
      <c r="R65" s="2192"/>
      <c r="S65" s="349"/>
      <c r="T65" s="349"/>
      <c r="U65" s="349"/>
      <c r="V65" s="349"/>
      <c r="W65" s="349"/>
      <c r="X65" s="349"/>
      <c r="Y65" s="349"/>
      <c r="Z65" s="349"/>
      <c r="AA65" s="349"/>
      <c r="AB65" s="349"/>
      <c r="AC65" s="349"/>
      <c r="AD65" s="349"/>
      <c r="AE65" s="349"/>
      <c r="AF65" s="349"/>
      <c r="AG65" s="349"/>
      <c r="AH65" s="349"/>
      <c r="AI65" s="349"/>
      <c r="AJ65" s="349"/>
      <c r="AK65" s="349"/>
      <c r="AL65" s="349"/>
      <c r="AM65" s="349"/>
      <c r="AN65" s="349"/>
      <c r="AO65" s="349"/>
      <c r="AP65" s="349"/>
      <c r="AQ65" s="349"/>
      <c r="AR65" s="349"/>
      <c r="AS65" s="349"/>
      <c r="AT65" s="349"/>
      <c r="AU65" s="349"/>
      <c r="AV65" s="349"/>
      <c r="AW65" s="349"/>
      <c r="AX65" s="349"/>
      <c r="AY65" s="349"/>
      <c r="AZ65" s="349"/>
      <c r="BA65" s="349"/>
      <c r="BB65" s="349"/>
      <c r="BC65" s="349"/>
      <c r="BD65" s="349"/>
      <c r="BE65" s="349"/>
      <c r="BF65" s="349"/>
      <c r="BG65" s="349"/>
      <c r="BH65" s="349"/>
      <c r="BI65" s="349"/>
      <c r="BJ65" s="349"/>
      <c r="BK65" s="349"/>
      <c r="BL65" s="349"/>
      <c r="BM65" s="349"/>
      <c r="BN65" s="349"/>
      <c r="BO65" s="349"/>
      <c r="BP65" s="349"/>
      <c r="BQ65" s="349"/>
      <c r="BR65" s="349"/>
      <c r="BS65" s="349"/>
      <c r="BT65" s="349"/>
      <c r="BU65" s="349"/>
      <c r="BV65" s="349"/>
      <c r="BW65" s="349"/>
      <c r="BX65" s="349"/>
      <c r="BY65" s="349"/>
      <c r="BZ65" s="349"/>
      <c r="CA65" s="349"/>
      <c r="CB65" s="349"/>
      <c r="CC65" s="349"/>
      <c r="CD65" s="349"/>
      <c r="CE65" s="349"/>
      <c r="CF65" s="349"/>
      <c r="CG65" s="349"/>
      <c r="CH65" s="349"/>
      <c r="CI65" s="349"/>
      <c r="CJ65" s="349"/>
      <c r="CK65" s="349"/>
      <c r="CL65" s="349"/>
      <c r="CM65" s="349"/>
      <c r="CN65" s="349"/>
      <c r="CO65" s="349"/>
      <c r="CP65" s="349"/>
      <c r="CQ65" s="349"/>
      <c r="CR65" s="349"/>
      <c r="CS65" s="349"/>
      <c r="CT65" s="349"/>
      <c r="CU65" s="349"/>
      <c r="CV65" s="349"/>
      <c r="CW65" s="349"/>
      <c r="CX65" s="349"/>
      <c r="CY65" s="349"/>
      <c r="CZ65" s="349"/>
      <c r="DA65" s="349"/>
      <c r="DB65" s="349"/>
      <c r="DC65" s="349"/>
      <c r="DD65" s="349"/>
      <c r="DE65" s="349"/>
      <c r="DF65" s="349"/>
      <c r="DG65" s="349"/>
      <c r="DH65" s="349"/>
      <c r="DI65" s="349"/>
      <c r="DJ65" s="349"/>
      <c r="DK65" s="349"/>
      <c r="DL65" s="349"/>
      <c r="DM65" s="349"/>
      <c r="DN65" s="349"/>
      <c r="DO65" s="349"/>
      <c r="DP65" s="349"/>
      <c r="DQ65" s="349"/>
      <c r="DR65" s="349"/>
      <c r="DS65" s="349"/>
      <c r="DT65" s="349"/>
      <c r="DU65" s="349"/>
      <c r="DV65" s="349"/>
      <c r="DW65" s="349"/>
      <c r="DX65" s="349"/>
      <c r="DY65" s="349"/>
      <c r="DZ65" s="349"/>
      <c r="EA65" s="349"/>
      <c r="EB65" s="349"/>
      <c r="EC65" s="349"/>
      <c r="ED65" s="349"/>
      <c r="EE65" s="349"/>
      <c r="EF65" s="349"/>
      <c r="EG65" s="349"/>
      <c r="EH65" s="349"/>
      <c r="EI65" s="349"/>
      <c r="EJ65" s="349"/>
      <c r="EK65" s="349"/>
      <c r="EL65" s="349"/>
      <c r="EM65" s="349"/>
      <c r="EN65" s="349"/>
      <c r="EO65" s="349"/>
      <c r="EP65" s="349"/>
      <c r="EQ65" s="349"/>
      <c r="ER65" s="349"/>
      <c r="ES65" s="349"/>
      <c r="ET65" s="349"/>
      <c r="EU65" s="349"/>
      <c r="EV65" s="349"/>
      <c r="EW65" s="349"/>
      <c r="EX65" s="349"/>
      <c r="EY65" s="349"/>
      <c r="EZ65" s="349"/>
      <c r="FA65" s="349"/>
      <c r="FB65" s="349"/>
      <c r="FC65" s="349"/>
      <c r="FD65" s="349"/>
      <c r="FE65" s="349"/>
      <c r="FF65" s="349"/>
      <c r="FG65" s="349"/>
      <c r="FH65" s="349"/>
      <c r="FI65" s="349"/>
      <c r="FJ65" s="349"/>
      <c r="FK65" s="349"/>
      <c r="FL65" s="349"/>
      <c r="FM65" s="349"/>
      <c r="FN65" s="349"/>
      <c r="FO65" s="349"/>
      <c r="FP65" s="349"/>
      <c r="FQ65" s="349"/>
      <c r="FR65" s="349"/>
      <c r="FS65" s="349"/>
      <c r="FT65" s="349"/>
      <c r="FU65" s="349"/>
      <c r="FV65" s="349"/>
      <c r="FW65" s="349"/>
      <c r="FX65" s="349"/>
      <c r="FY65" s="349"/>
      <c r="FZ65" s="349"/>
      <c r="GA65" s="349"/>
      <c r="GB65" s="349"/>
      <c r="GC65" s="349"/>
      <c r="GD65" s="349"/>
      <c r="GE65" s="349"/>
      <c r="GF65" s="349"/>
      <c r="GG65" s="349"/>
      <c r="GH65" s="349"/>
      <c r="GI65" s="349"/>
      <c r="GJ65" s="349"/>
      <c r="GK65" s="349"/>
      <c r="GL65" s="349"/>
      <c r="GM65" s="349"/>
      <c r="GN65" s="349"/>
      <c r="GO65" s="349"/>
      <c r="GP65" s="349"/>
      <c r="GQ65" s="349"/>
      <c r="GR65" s="349"/>
      <c r="GS65" s="349"/>
      <c r="GT65" s="349"/>
      <c r="GU65" s="349"/>
      <c r="GV65" s="349"/>
      <c r="GW65" s="349"/>
      <c r="GX65" s="349"/>
      <c r="GY65" s="349"/>
      <c r="GZ65" s="349"/>
      <c r="HA65" s="349"/>
      <c r="HB65" s="349"/>
      <c r="HC65" s="349"/>
      <c r="HD65" s="349"/>
      <c r="HE65" s="349"/>
      <c r="HF65" s="349"/>
      <c r="HG65" s="349"/>
      <c r="HH65" s="349"/>
      <c r="HI65" s="349"/>
      <c r="HJ65" s="349"/>
      <c r="HK65" s="349"/>
      <c r="HL65" s="349"/>
      <c r="HM65" s="349"/>
      <c r="HN65" s="349"/>
      <c r="HO65" s="349"/>
      <c r="HP65" s="349"/>
      <c r="HQ65" s="349"/>
      <c r="HR65" s="349"/>
      <c r="HS65" s="349"/>
      <c r="HT65" s="349"/>
      <c r="HU65" s="349"/>
      <c r="HV65" s="349"/>
      <c r="HW65" s="349"/>
      <c r="HX65" s="349"/>
      <c r="HY65" s="349"/>
      <c r="HZ65" s="349"/>
      <c r="IA65" s="349"/>
      <c r="IB65" s="349"/>
      <c r="IC65" s="349"/>
      <c r="ID65" s="349"/>
      <c r="IE65" s="349"/>
      <c r="IF65" s="349"/>
      <c r="IG65" s="349"/>
      <c r="IH65" s="349"/>
      <c r="II65" s="349"/>
      <c r="IJ65" s="349"/>
      <c r="IK65" s="349"/>
      <c r="IL65" s="349"/>
      <c r="IM65" s="349"/>
      <c r="IN65" s="349"/>
      <c r="IO65" s="349"/>
      <c r="IP65" s="349"/>
      <c r="IQ65" s="349"/>
      <c r="IR65" s="349"/>
      <c r="IS65" s="349"/>
      <c r="IT65" s="349"/>
      <c r="IU65" s="349"/>
      <c r="IV65" s="349"/>
      <c r="IW65" s="349"/>
      <c r="IX65" s="349"/>
      <c r="IY65" s="349"/>
      <c r="IZ65" s="349"/>
      <c r="JA65" s="349"/>
      <c r="JB65" s="349"/>
      <c r="JC65" s="349"/>
      <c r="JD65" s="349"/>
      <c r="JE65" s="349"/>
      <c r="JF65" s="349"/>
      <c r="JG65" s="349"/>
      <c r="JH65" s="349"/>
      <c r="JI65" s="349"/>
      <c r="JJ65" s="349"/>
      <c r="JK65" s="349"/>
      <c r="JL65" s="349"/>
      <c r="JM65" s="349"/>
      <c r="JN65" s="349"/>
      <c r="JO65" s="349"/>
      <c r="JP65" s="349"/>
      <c r="JQ65" s="349"/>
      <c r="JR65" s="349"/>
      <c r="JS65" s="349"/>
      <c r="JT65" s="349"/>
      <c r="JU65" s="349"/>
      <c r="JV65" s="349"/>
      <c r="JW65" s="349"/>
      <c r="JX65" s="349"/>
      <c r="JY65" s="349"/>
      <c r="JZ65" s="349"/>
      <c r="KA65" s="349"/>
      <c r="KB65" s="349"/>
      <c r="KC65" s="349"/>
      <c r="KD65" s="349"/>
      <c r="KE65" s="349"/>
      <c r="KF65" s="349"/>
      <c r="KG65" s="349"/>
      <c r="KH65" s="349"/>
      <c r="KI65" s="349"/>
      <c r="KJ65" s="349"/>
      <c r="KK65" s="349"/>
      <c r="KL65" s="349"/>
      <c r="KM65" s="349"/>
      <c r="KN65" s="349"/>
      <c r="KO65" s="349"/>
      <c r="KP65" s="349"/>
      <c r="KQ65" s="349"/>
      <c r="KR65" s="349"/>
      <c r="KS65" s="349"/>
      <c r="KT65" s="349"/>
      <c r="KU65" s="349"/>
      <c r="KV65" s="349"/>
      <c r="KW65" s="349"/>
      <c r="KX65" s="349"/>
      <c r="KY65" s="349"/>
      <c r="KZ65" s="349"/>
      <c r="LA65" s="349"/>
      <c r="LB65" s="349"/>
      <c r="LC65" s="349"/>
      <c r="LD65" s="349"/>
      <c r="LE65" s="349"/>
      <c r="LF65" s="349"/>
      <c r="LG65" s="349"/>
      <c r="LH65" s="349"/>
      <c r="LI65" s="349"/>
      <c r="LJ65" s="349"/>
      <c r="LK65" s="349"/>
      <c r="LL65" s="349"/>
      <c r="LM65" s="349"/>
      <c r="LN65" s="349"/>
      <c r="LO65" s="349"/>
      <c r="LP65" s="349"/>
      <c r="LQ65" s="349"/>
      <c r="LR65" s="349"/>
      <c r="LS65" s="349"/>
      <c r="LT65" s="349"/>
      <c r="LU65" s="349"/>
      <c r="LV65" s="349"/>
      <c r="LW65" s="349"/>
      <c r="LX65" s="349"/>
      <c r="LY65" s="349"/>
      <c r="LZ65" s="349"/>
      <c r="MA65" s="349"/>
      <c r="MB65" s="349"/>
      <c r="MC65" s="349"/>
      <c r="MD65" s="349"/>
      <c r="ME65" s="349"/>
      <c r="MF65" s="349"/>
      <c r="MG65" s="349"/>
      <c r="MH65" s="349"/>
      <c r="MI65" s="349"/>
      <c r="MJ65" s="349"/>
      <c r="MK65" s="349"/>
      <c r="ML65" s="349"/>
      <c r="MM65" s="349"/>
      <c r="MN65" s="349"/>
      <c r="MO65" s="349"/>
      <c r="MP65" s="349"/>
      <c r="MQ65" s="349"/>
      <c r="MR65" s="349"/>
      <c r="MS65" s="349"/>
      <c r="MT65" s="349"/>
      <c r="MU65" s="349"/>
      <c r="MV65" s="349"/>
      <c r="MW65" s="349"/>
      <c r="MX65" s="349"/>
      <c r="MY65" s="349"/>
      <c r="MZ65" s="349"/>
      <c r="NA65" s="349"/>
      <c r="NB65" s="349"/>
      <c r="NC65" s="349"/>
      <c r="ND65" s="349"/>
      <c r="NE65" s="349"/>
      <c r="NF65" s="349"/>
      <c r="NG65" s="349"/>
      <c r="NH65" s="349"/>
      <c r="NI65" s="349"/>
      <c r="NJ65" s="349"/>
      <c r="NK65" s="349"/>
      <c r="NL65" s="349"/>
      <c r="NM65" s="349"/>
      <c r="NN65" s="349"/>
      <c r="NO65" s="349"/>
      <c r="NP65" s="349"/>
      <c r="NQ65" s="349"/>
      <c r="NR65" s="349"/>
      <c r="NS65" s="349"/>
      <c r="NT65" s="349"/>
      <c r="NU65" s="349"/>
      <c r="NV65" s="349"/>
      <c r="NW65" s="349"/>
      <c r="NX65" s="349"/>
      <c r="NY65" s="349"/>
      <c r="NZ65" s="349"/>
      <c r="OA65" s="349"/>
      <c r="OB65" s="349"/>
      <c r="OC65" s="349"/>
      <c r="OD65" s="349"/>
      <c r="OE65" s="349"/>
      <c r="OF65" s="349"/>
      <c r="OG65" s="349"/>
      <c r="OH65" s="349"/>
      <c r="OI65" s="349"/>
      <c r="OJ65" s="349"/>
      <c r="OK65" s="349"/>
      <c r="OL65" s="349"/>
      <c r="OM65" s="349"/>
      <c r="ON65" s="349"/>
      <c r="OO65" s="349"/>
      <c r="OP65" s="349"/>
      <c r="OQ65" s="349"/>
      <c r="OR65" s="349"/>
      <c r="OS65" s="349"/>
      <c r="OT65" s="349"/>
      <c r="OU65" s="349"/>
      <c r="OV65" s="349"/>
      <c r="OW65" s="349"/>
      <c r="OX65" s="349"/>
      <c r="OY65" s="349"/>
      <c r="OZ65" s="349"/>
      <c r="PA65" s="349"/>
      <c r="PB65" s="349"/>
      <c r="PC65" s="349"/>
      <c r="PD65" s="349"/>
      <c r="PE65" s="349"/>
      <c r="PF65" s="349"/>
      <c r="PG65" s="349"/>
      <c r="PH65" s="349"/>
      <c r="PI65" s="349"/>
      <c r="PJ65" s="349"/>
      <c r="PK65" s="349"/>
      <c r="PL65" s="349"/>
      <c r="PM65" s="349"/>
      <c r="PN65" s="349"/>
      <c r="PO65" s="349"/>
      <c r="PP65" s="349"/>
      <c r="PQ65" s="349"/>
      <c r="PR65" s="349"/>
      <c r="PS65" s="349"/>
      <c r="PT65" s="349"/>
      <c r="PU65" s="349"/>
      <c r="PV65" s="349"/>
      <c r="PW65" s="349"/>
      <c r="PX65" s="349"/>
      <c r="PY65" s="349"/>
      <c r="PZ65" s="349"/>
      <c r="QA65" s="349"/>
      <c r="QB65" s="349"/>
      <c r="QC65" s="349"/>
      <c r="QD65" s="349"/>
      <c r="QE65" s="349"/>
      <c r="QF65" s="349"/>
      <c r="QG65" s="349"/>
      <c r="QH65" s="349"/>
      <c r="QI65" s="349"/>
      <c r="QJ65" s="349"/>
      <c r="QK65" s="349"/>
      <c r="QL65" s="349"/>
      <c r="QM65" s="349"/>
      <c r="QN65" s="349"/>
      <c r="QO65" s="349"/>
      <c r="QP65" s="349"/>
      <c r="QQ65" s="349"/>
      <c r="QR65" s="349"/>
      <c r="QS65" s="349"/>
      <c r="QT65" s="349"/>
      <c r="QU65" s="349"/>
      <c r="QV65" s="349"/>
      <c r="QW65" s="349"/>
      <c r="QX65" s="349"/>
      <c r="QY65" s="349"/>
      <c r="QZ65" s="349"/>
      <c r="RA65" s="349"/>
      <c r="RB65" s="349"/>
      <c r="RC65" s="349"/>
      <c r="RD65" s="349"/>
      <c r="RE65" s="349"/>
      <c r="RF65" s="349"/>
      <c r="RG65" s="349"/>
      <c r="RH65" s="349"/>
      <c r="RI65" s="349"/>
      <c r="RJ65" s="349"/>
      <c r="RK65" s="349"/>
      <c r="RL65" s="349"/>
      <c r="RM65" s="349"/>
      <c r="RN65" s="349"/>
      <c r="RO65" s="349"/>
      <c r="RP65" s="349"/>
      <c r="RQ65" s="349"/>
      <c r="RR65" s="349"/>
      <c r="RS65" s="349"/>
      <c r="RT65" s="349"/>
      <c r="RU65" s="349"/>
      <c r="RV65" s="349"/>
      <c r="RW65" s="349"/>
      <c r="RX65" s="349"/>
      <c r="RY65" s="349"/>
      <c r="RZ65" s="349"/>
      <c r="SA65" s="349"/>
      <c r="SB65" s="349"/>
      <c r="SC65" s="349"/>
      <c r="SD65" s="349"/>
      <c r="SE65" s="349"/>
      <c r="SF65" s="349"/>
      <c r="SG65" s="349"/>
      <c r="SH65" s="349"/>
      <c r="SI65" s="349"/>
      <c r="SJ65" s="349"/>
      <c r="SK65" s="349"/>
      <c r="SL65" s="349"/>
      <c r="SM65" s="349"/>
      <c r="SN65" s="349"/>
      <c r="SO65" s="349"/>
      <c r="SP65" s="349"/>
      <c r="SQ65" s="349"/>
      <c r="SR65" s="349"/>
      <c r="SS65" s="349"/>
      <c r="ST65" s="349"/>
      <c r="SU65" s="349"/>
      <c r="SV65" s="349"/>
      <c r="SW65" s="349"/>
      <c r="SX65" s="349"/>
      <c r="SY65" s="349"/>
      <c r="SZ65" s="349"/>
      <c r="TA65" s="349"/>
      <c r="TB65" s="349"/>
      <c r="TC65" s="349"/>
      <c r="TD65" s="349"/>
      <c r="TE65" s="349"/>
      <c r="TF65" s="349"/>
      <c r="TG65" s="349"/>
      <c r="TH65" s="349"/>
      <c r="TI65" s="349"/>
      <c r="TJ65" s="349"/>
      <c r="TK65" s="349"/>
      <c r="TL65" s="349"/>
      <c r="TM65" s="349"/>
      <c r="TN65" s="349"/>
      <c r="TO65" s="349"/>
      <c r="TP65" s="349"/>
      <c r="TQ65" s="349"/>
      <c r="TR65" s="349"/>
      <c r="TS65" s="349"/>
      <c r="TT65" s="349"/>
      <c r="TU65" s="349"/>
      <c r="TV65" s="349"/>
      <c r="TW65" s="349"/>
      <c r="TX65" s="349"/>
      <c r="TY65" s="349"/>
      <c r="TZ65" s="349"/>
      <c r="UA65" s="349"/>
      <c r="UB65" s="349"/>
      <c r="UC65" s="349"/>
      <c r="UD65" s="349"/>
      <c r="UE65" s="349"/>
      <c r="UF65" s="349"/>
      <c r="UG65" s="349"/>
      <c r="UH65" s="349"/>
      <c r="UI65" s="349"/>
      <c r="UJ65" s="349"/>
      <c r="UK65" s="349"/>
      <c r="UL65" s="349"/>
      <c r="UM65" s="349"/>
      <c r="UN65" s="349"/>
      <c r="UO65" s="349"/>
      <c r="UP65" s="349"/>
      <c r="UQ65" s="349"/>
      <c r="UR65" s="349"/>
      <c r="US65" s="349"/>
      <c r="UT65" s="349"/>
      <c r="UU65" s="349"/>
      <c r="UV65" s="349"/>
      <c r="UW65" s="349"/>
      <c r="UX65" s="349"/>
      <c r="UY65" s="349"/>
      <c r="UZ65" s="349"/>
      <c r="VA65" s="349"/>
      <c r="VB65" s="349"/>
      <c r="VC65" s="349"/>
      <c r="VD65" s="349"/>
      <c r="VE65" s="349"/>
      <c r="VF65" s="349"/>
      <c r="VG65" s="349"/>
      <c r="VH65" s="349"/>
      <c r="VI65" s="349"/>
      <c r="VJ65" s="349"/>
      <c r="VK65" s="349"/>
      <c r="VL65" s="349"/>
      <c r="VM65" s="349"/>
      <c r="VN65" s="349"/>
      <c r="VO65" s="349"/>
      <c r="VP65" s="349"/>
      <c r="VQ65" s="349"/>
      <c r="VR65" s="349"/>
      <c r="VS65" s="349"/>
      <c r="VT65" s="349"/>
      <c r="VU65" s="349"/>
      <c r="VV65" s="349"/>
      <c r="VW65" s="349"/>
      <c r="VX65" s="349"/>
      <c r="VY65" s="349"/>
      <c r="VZ65" s="349"/>
      <c r="WA65" s="349"/>
      <c r="WB65" s="349"/>
      <c r="WC65" s="349"/>
      <c r="WD65" s="349"/>
      <c r="WE65" s="349"/>
      <c r="WF65" s="349"/>
      <c r="WG65" s="349"/>
      <c r="WH65" s="349"/>
      <c r="WI65" s="349"/>
      <c r="WJ65" s="349"/>
      <c r="WK65" s="349"/>
      <c r="WL65" s="349"/>
      <c r="WM65" s="349"/>
      <c r="WN65" s="349"/>
      <c r="WO65" s="349"/>
      <c r="WP65" s="349"/>
      <c r="WQ65" s="349"/>
      <c r="WR65" s="349"/>
      <c r="WS65" s="349"/>
      <c r="WT65" s="349"/>
      <c r="WU65" s="349"/>
      <c r="WV65" s="349"/>
      <c r="WW65" s="349"/>
      <c r="WX65" s="349"/>
      <c r="WY65" s="349"/>
      <c r="WZ65" s="349"/>
      <c r="XA65" s="349"/>
      <c r="XB65" s="349"/>
      <c r="XC65" s="349"/>
      <c r="XD65" s="349"/>
      <c r="XE65" s="349"/>
      <c r="XF65" s="349"/>
      <c r="XG65" s="349"/>
      <c r="XH65" s="349"/>
      <c r="XI65" s="349"/>
      <c r="XJ65" s="349"/>
      <c r="XK65" s="349"/>
      <c r="XL65" s="349"/>
      <c r="XM65" s="349"/>
      <c r="XN65" s="349"/>
      <c r="XO65" s="349"/>
      <c r="XP65" s="349"/>
      <c r="XQ65" s="349"/>
      <c r="XR65" s="349"/>
      <c r="XS65" s="349"/>
      <c r="XT65" s="349"/>
      <c r="XU65" s="349"/>
      <c r="XV65" s="349"/>
      <c r="XW65" s="349"/>
      <c r="XX65" s="349"/>
      <c r="XY65" s="349"/>
      <c r="XZ65" s="349"/>
      <c r="YA65" s="349"/>
      <c r="YB65" s="349"/>
      <c r="YC65" s="349"/>
      <c r="YD65" s="349"/>
      <c r="YE65" s="349"/>
      <c r="YF65" s="349"/>
      <c r="YG65" s="349"/>
      <c r="YH65" s="349"/>
      <c r="YI65" s="349"/>
      <c r="YJ65" s="349"/>
      <c r="YK65" s="349"/>
      <c r="YL65" s="349"/>
      <c r="YM65" s="349"/>
      <c r="YN65" s="349"/>
      <c r="YO65" s="349"/>
      <c r="YP65" s="349"/>
      <c r="YQ65" s="349"/>
      <c r="YR65" s="349"/>
      <c r="YS65" s="349"/>
      <c r="YT65" s="349"/>
      <c r="YU65" s="349"/>
      <c r="YV65" s="349"/>
      <c r="YW65" s="349"/>
      <c r="YX65" s="349"/>
      <c r="YY65" s="349"/>
      <c r="YZ65" s="349"/>
      <c r="ZA65" s="349"/>
      <c r="ZB65" s="349"/>
      <c r="ZC65" s="349"/>
      <c r="ZD65" s="349"/>
      <c r="ZE65" s="349"/>
      <c r="ZF65" s="349"/>
      <c r="ZG65" s="349"/>
      <c r="ZH65" s="349"/>
      <c r="ZI65" s="349"/>
      <c r="ZJ65" s="349"/>
      <c r="ZK65" s="349"/>
      <c r="ZL65" s="349"/>
      <c r="ZM65" s="349"/>
      <c r="ZN65" s="349"/>
      <c r="ZO65" s="349"/>
      <c r="ZP65" s="349"/>
      <c r="ZQ65" s="349"/>
      <c r="ZR65" s="349"/>
      <c r="ZS65" s="349"/>
      <c r="ZT65" s="349"/>
      <c r="ZU65" s="349"/>
      <c r="ZV65" s="349"/>
      <c r="ZW65" s="349"/>
      <c r="ZX65" s="349"/>
      <c r="ZY65" s="349"/>
      <c r="ZZ65" s="349"/>
      <c r="AAA65" s="349"/>
      <c r="AAB65" s="349"/>
      <c r="AAC65" s="349"/>
      <c r="AAD65" s="349"/>
      <c r="AAE65" s="349"/>
      <c r="AAF65" s="349"/>
      <c r="AAG65" s="349"/>
      <c r="AAH65" s="349"/>
      <c r="AAI65" s="349"/>
      <c r="AAJ65" s="349"/>
      <c r="AAK65" s="349"/>
      <c r="AAL65" s="349"/>
      <c r="AAM65" s="349"/>
      <c r="AAN65" s="349"/>
      <c r="AAO65" s="349"/>
      <c r="AAP65" s="349"/>
      <c r="AAQ65" s="349"/>
      <c r="AAR65" s="349"/>
      <c r="AAS65" s="349"/>
      <c r="AAT65" s="349"/>
      <c r="AAU65" s="349"/>
      <c r="AAV65" s="349"/>
      <c r="AAW65" s="349"/>
      <c r="AAX65" s="349"/>
      <c r="AAY65" s="349"/>
      <c r="AAZ65" s="349"/>
      <c r="ABA65" s="349"/>
      <c r="ABB65" s="349"/>
      <c r="ABC65" s="349"/>
      <c r="ABD65" s="349"/>
      <c r="ABE65" s="349"/>
      <c r="ABF65" s="349"/>
      <c r="ABG65" s="349"/>
      <c r="ABH65" s="349"/>
      <c r="ABI65" s="349"/>
      <c r="ABJ65" s="349"/>
      <c r="ABK65" s="349"/>
      <c r="ABL65" s="349"/>
      <c r="ABM65" s="349"/>
      <c r="ABN65" s="349"/>
      <c r="ABO65" s="349"/>
      <c r="ABP65" s="349"/>
      <c r="ABQ65" s="349"/>
      <c r="ABR65" s="349"/>
      <c r="ABS65" s="349"/>
      <c r="ABT65" s="349"/>
      <c r="ABU65" s="349"/>
      <c r="ABV65" s="349"/>
      <c r="ABW65" s="349"/>
      <c r="ABX65" s="349"/>
      <c r="ABY65" s="349"/>
      <c r="ABZ65" s="349"/>
      <c r="ACA65" s="349"/>
      <c r="ACB65" s="349"/>
      <c r="ACC65" s="349"/>
      <c r="ACD65" s="349"/>
      <c r="ACE65" s="349"/>
      <c r="ACF65" s="349"/>
      <c r="ACG65" s="349"/>
      <c r="ACH65" s="349"/>
      <c r="ACI65" s="349"/>
      <c r="ACJ65" s="349"/>
      <c r="ACK65" s="349"/>
      <c r="ACL65" s="349"/>
      <c r="ACM65" s="349"/>
      <c r="ACN65" s="349"/>
      <c r="ACO65" s="349"/>
      <c r="ACP65" s="349"/>
      <c r="ACQ65" s="349"/>
      <c r="ACR65" s="349"/>
      <c r="ACS65" s="349"/>
      <c r="ACT65" s="349"/>
      <c r="ACU65" s="349"/>
      <c r="ACV65" s="349"/>
      <c r="ACW65" s="349"/>
      <c r="ACX65" s="349"/>
      <c r="ACY65" s="349"/>
      <c r="ACZ65" s="349"/>
      <c r="ADA65" s="349"/>
      <c r="ADB65" s="349"/>
      <c r="ADC65" s="349"/>
      <c r="ADD65" s="349"/>
      <c r="ADE65" s="349"/>
      <c r="ADF65" s="349"/>
      <c r="ADG65" s="349"/>
      <c r="ADH65" s="349"/>
      <c r="ADI65" s="349"/>
      <c r="ADJ65" s="349"/>
      <c r="ADK65" s="349"/>
      <c r="ADL65" s="349"/>
      <c r="ADM65" s="349"/>
      <c r="ADN65" s="349"/>
      <c r="ADO65" s="349"/>
      <c r="ADP65" s="349"/>
      <c r="ADQ65" s="349"/>
      <c r="ADR65" s="349"/>
      <c r="ADS65" s="349"/>
      <c r="ADT65" s="349"/>
      <c r="ADU65" s="349"/>
      <c r="ADV65" s="349"/>
      <c r="ADW65" s="349"/>
      <c r="ADX65" s="349"/>
      <c r="ADY65" s="349"/>
      <c r="ADZ65" s="349"/>
      <c r="AEA65" s="349"/>
      <c r="AEB65" s="349"/>
      <c r="AEC65" s="349"/>
      <c r="AED65" s="349"/>
      <c r="AEE65" s="349"/>
      <c r="AEF65" s="349"/>
      <c r="AEG65" s="349"/>
      <c r="AEH65" s="349"/>
      <c r="AEI65" s="349"/>
      <c r="AEJ65" s="349"/>
      <c r="AEK65" s="349"/>
      <c r="AEL65" s="349"/>
      <c r="AEM65" s="349"/>
      <c r="AEN65" s="349"/>
      <c r="AEO65" s="349"/>
      <c r="AEP65" s="349"/>
      <c r="AEQ65" s="349"/>
      <c r="AER65" s="349"/>
      <c r="AES65" s="349"/>
      <c r="AET65" s="349"/>
      <c r="AEU65" s="349"/>
      <c r="AEV65" s="349"/>
      <c r="AEW65" s="349"/>
      <c r="AEX65" s="349"/>
      <c r="AEY65" s="349"/>
      <c r="AEZ65" s="349"/>
      <c r="AFA65" s="349"/>
      <c r="AFB65" s="349"/>
      <c r="AFC65" s="349"/>
      <c r="AFD65" s="349"/>
      <c r="AFE65" s="349"/>
      <c r="AFF65" s="349"/>
      <c r="AFG65" s="349"/>
      <c r="AFH65" s="349"/>
      <c r="AFI65" s="349"/>
      <c r="AFJ65" s="349"/>
      <c r="AFK65" s="349"/>
      <c r="AFL65" s="349"/>
      <c r="AFM65" s="349"/>
      <c r="AFN65" s="349"/>
      <c r="AFO65" s="349"/>
      <c r="AFP65" s="349"/>
      <c r="AFQ65" s="349"/>
      <c r="AFR65" s="349"/>
      <c r="AFS65" s="349"/>
      <c r="AFT65" s="349"/>
      <c r="AFU65" s="349"/>
      <c r="AFV65" s="349"/>
      <c r="AFW65" s="349"/>
      <c r="AFX65" s="349"/>
      <c r="AFY65" s="349"/>
      <c r="AFZ65" s="349"/>
      <c r="AGA65" s="349"/>
      <c r="AGB65" s="349"/>
      <c r="AGC65" s="349"/>
      <c r="AGD65" s="349"/>
      <c r="AGE65" s="349"/>
      <c r="AGF65" s="349"/>
      <c r="AGG65" s="349"/>
      <c r="AGH65" s="349"/>
      <c r="AGI65" s="349"/>
      <c r="AGJ65" s="349"/>
      <c r="AGK65" s="349"/>
      <c r="AGL65" s="349"/>
      <c r="AGM65" s="349"/>
      <c r="AGN65" s="349"/>
      <c r="AGO65" s="349"/>
      <c r="AGP65" s="349"/>
      <c r="AGQ65" s="349"/>
      <c r="AGR65" s="349"/>
      <c r="AGS65" s="349"/>
      <c r="AGT65" s="349"/>
      <c r="AGU65" s="349"/>
      <c r="AGV65" s="349"/>
      <c r="AGW65" s="349"/>
      <c r="AGX65" s="349"/>
      <c r="AGY65" s="349"/>
      <c r="AGZ65" s="349"/>
      <c r="AHA65" s="349"/>
      <c r="AHB65" s="349"/>
      <c r="AHC65" s="349"/>
      <c r="AHD65" s="349"/>
      <c r="AHE65" s="349"/>
      <c r="AHF65" s="349"/>
      <c r="AHG65" s="349"/>
      <c r="AHH65" s="349"/>
      <c r="AHI65" s="349"/>
      <c r="AHJ65" s="349"/>
      <c r="AHK65" s="349"/>
      <c r="AHL65" s="349"/>
      <c r="AHM65" s="349"/>
      <c r="AHN65" s="349"/>
      <c r="AHO65" s="349"/>
      <c r="AHP65" s="349"/>
      <c r="AHQ65" s="349"/>
      <c r="AHR65" s="349"/>
      <c r="AHS65" s="349"/>
      <c r="AHT65" s="349"/>
      <c r="AHU65" s="349"/>
      <c r="AHV65" s="349"/>
      <c r="AHW65" s="349"/>
      <c r="AHX65" s="349"/>
      <c r="AHY65" s="349"/>
      <c r="AHZ65" s="349"/>
      <c r="AIA65" s="349"/>
      <c r="AIB65" s="349"/>
      <c r="AIC65" s="349"/>
      <c r="AID65" s="349"/>
      <c r="AIE65" s="349"/>
      <c r="AIF65" s="349"/>
      <c r="AIG65" s="349"/>
      <c r="AIH65" s="349"/>
      <c r="AII65" s="349"/>
      <c r="AIJ65" s="349"/>
      <c r="AIK65" s="349"/>
      <c r="AIL65" s="349"/>
      <c r="AIM65" s="349"/>
      <c r="AIN65" s="349"/>
      <c r="AIO65" s="349"/>
      <c r="AIP65" s="349"/>
      <c r="AIQ65" s="349"/>
      <c r="AIR65" s="349"/>
      <c r="AIS65" s="349"/>
      <c r="AIT65" s="349"/>
      <c r="AIU65" s="349"/>
      <c r="AIV65" s="349"/>
      <c r="AIW65" s="349"/>
      <c r="AIX65" s="349"/>
      <c r="AIY65" s="349"/>
      <c r="AIZ65" s="349"/>
      <c r="AJA65" s="349"/>
      <c r="AJB65" s="349"/>
      <c r="AJC65" s="349"/>
      <c r="AJD65" s="349"/>
      <c r="AJE65" s="349"/>
      <c r="AJF65" s="349"/>
      <c r="AJG65" s="349"/>
      <c r="AJH65" s="349"/>
      <c r="AJI65" s="349"/>
      <c r="AJJ65" s="349"/>
      <c r="AJK65" s="349"/>
      <c r="AJL65" s="349"/>
      <c r="AJM65" s="349"/>
      <c r="AJN65" s="349"/>
      <c r="AJO65" s="349"/>
      <c r="AJP65" s="349"/>
      <c r="AJQ65" s="349"/>
      <c r="AJR65" s="349"/>
      <c r="AJS65" s="349"/>
      <c r="AJT65" s="349"/>
      <c r="AJU65" s="349"/>
      <c r="AJV65" s="349"/>
      <c r="AJW65" s="349"/>
      <c r="AJX65" s="349"/>
      <c r="AJY65" s="349"/>
      <c r="AJZ65" s="349"/>
      <c r="AKA65" s="349"/>
      <c r="AKB65" s="349"/>
      <c r="AKC65" s="349"/>
      <c r="AKD65" s="349"/>
      <c r="AKE65" s="349"/>
      <c r="AKF65" s="349"/>
      <c r="AKG65" s="349"/>
      <c r="AKH65" s="349"/>
      <c r="AKI65" s="349"/>
      <c r="AKJ65" s="349"/>
      <c r="AKK65" s="349"/>
      <c r="AKL65" s="349"/>
      <c r="AKM65" s="349"/>
      <c r="AKN65" s="349"/>
      <c r="AKO65" s="349"/>
      <c r="AKP65" s="349"/>
      <c r="AKQ65" s="349"/>
      <c r="AKR65" s="349"/>
      <c r="AKS65" s="349"/>
      <c r="AKT65" s="349"/>
      <c r="AKU65" s="349"/>
      <c r="AKV65" s="349"/>
      <c r="AKW65" s="349"/>
      <c r="AKX65" s="349"/>
      <c r="AKY65" s="349"/>
      <c r="AKZ65" s="349"/>
      <c r="ALA65" s="349"/>
      <c r="ALB65" s="349"/>
      <c r="ALC65" s="349"/>
      <c r="ALD65" s="349"/>
      <c r="ALE65" s="349"/>
      <c r="ALF65" s="349"/>
      <c r="ALG65" s="349"/>
      <c r="ALH65" s="349"/>
      <c r="ALI65" s="349"/>
      <c r="ALJ65" s="349"/>
      <c r="ALK65" s="349"/>
      <c r="ALL65" s="349"/>
      <c r="ALM65" s="349"/>
      <c r="ALN65" s="349"/>
      <c r="ALO65" s="349"/>
      <c r="ALP65" s="349"/>
      <c r="ALQ65" s="349"/>
      <c r="ALR65" s="349"/>
      <c r="ALS65" s="349"/>
      <c r="ALT65" s="349"/>
      <c r="ALU65" s="349"/>
      <c r="ALV65" s="349"/>
      <c r="ALW65" s="349"/>
      <c r="ALX65" s="349"/>
      <c r="ALY65" s="349"/>
      <c r="ALZ65" s="349"/>
      <c r="AMA65" s="349"/>
      <c r="AMB65" s="349"/>
      <c r="AMC65" s="349"/>
      <c r="AMD65" s="349"/>
      <c r="AME65" s="349"/>
      <c r="AMF65" s="349"/>
      <c r="AMG65" s="349"/>
      <c r="AMH65" s="349"/>
      <c r="AMI65" s="349"/>
      <c r="AMJ65" s="349"/>
      <c r="AMK65" s="349"/>
      <c r="AML65" s="349"/>
      <c r="AMM65" s="349"/>
      <c r="AMN65" s="349"/>
      <c r="AMO65" s="349"/>
      <c r="AMP65" s="349"/>
      <c r="AMQ65" s="349"/>
      <c r="AMR65" s="349"/>
      <c r="AMS65" s="349"/>
      <c r="AMT65" s="349"/>
      <c r="AMU65" s="349"/>
      <c r="AMV65" s="349"/>
      <c r="AMW65" s="349"/>
      <c r="AMX65" s="349"/>
      <c r="AMY65" s="349"/>
      <c r="AMZ65" s="349"/>
      <c r="ANA65" s="349"/>
      <c r="ANB65" s="349"/>
      <c r="ANC65" s="349"/>
      <c r="AND65" s="349"/>
      <c r="ANE65" s="349"/>
      <c r="ANF65" s="349"/>
      <c r="ANG65" s="349"/>
      <c r="ANH65" s="349"/>
      <c r="ANI65" s="349"/>
      <c r="ANJ65" s="349"/>
      <c r="ANK65" s="349"/>
      <c r="ANL65" s="349"/>
      <c r="ANM65" s="349"/>
      <c r="ANN65" s="349"/>
      <c r="ANO65" s="349"/>
      <c r="ANP65" s="349"/>
      <c r="ANQ65" s="349"/>
      <c r="ANR65" s="349"/>
      <c r="ANS65" s="349"/>
      <c r="ANT65" s="349"/>
      <c r="ANU65" s="349"/>
      <c r="ANV65" s="349"/>
      <c r="ANW65" s="349"/>
      <c r="ANX65" s="349"/>
      <c r="ANY65" s="349"/>
      <c r="ANZ65" s="349"/>
      <c r="AOA65" s="349"/>
      <c r="AOB65" s="349"/>
      <c r="AOC65" s="349"/>
      <c r="AOD65" s="349"/>
      <c r="AOE65" s="349"/>
      <c r="AOF65" s="349"/>
      <c r="AOG65" s="349"/>
      <c r="AOH65" s="349"/>
      <c r="AOI65" s="349"/>
      <c r="AOJ65" s="349"/>
      <c r="AOK65" s="349"/>
      <c r="AOL65" s="349"/>
      <c r="AOM65" s="349"/>
      <c r="AON65" s="349"/>
      <c r="AOO65" s="349"/>
      <c r="AOP65" s="349"/>
      <c r="AOQ65" s="349"/>
      <c r="AOR65" s="349"/>
      <c r="AOS65" s="349"/>
      <c r="AOT65" s="349"/>
      <c r="AOU65" s="349"/>
      <c r="AOV65" s="349"/>
      <c r="AOW65" s="349"/>
      <c r="AOX65" s="349"/>
      <c r="AOY65" s="349"/>
      <c r="AOZ65" s="349"/>
      <c r="APA65" s="349"/>
      <c r="APB65" s="349"/>
      <c r="APC65" s="349"/>
      <c r="APD65" s="349"/>
      <c r="APE65" s="349"/>
      <c r="APF65" s="349"/>
      <c r="APG65" s="349"/>
      <c r="APH65" s="349"/>
      <c r="API65" s="349"/>
      <c r="APJ65" s="349"/>
      <c r="APK65" s="349"/>
      <c r="APL65" s="349"/>
      <c r="APM65" s="349"/>
      <c r="APN65" s="349"/>
      <c r="APO65" s="349"/>
      <c r="APP65" s="349"/>
      <c r="APQ65" s="349"/>
      <c r="APR65" s="349"/>
      <c r="APS65" s="349"/>
      <c r="APT65" s="349"/>
      <c r="APU65" s="349"/>
      <c r="APV65" s="349"/>
      <c r="APW65" s="349"/>
      <c r="APX65" s="349"/>
      <c r="APY65" s="349"/>
      <c r="APZ65" s="349"/>
      <c r="AQA65" s="349"/>
      <c r="AQB65" s="349"/>
      <c r="AQC65" s="349"/>
      <c r="AQD65" s="349"/>
      <c r="AQE65" s="349"/>
      <c r="AQF65" s="349"/>
      <c r="AQG65" s="349"/>
      <c r="AQH65" s="349"/>
      <c r="AQI65" s="349"/>
      <c r="AQJ65" s="349"/>
      <c r="AQK65" s="349"/>
      <c r="AQL65" s="349"/>
      <c r="AQM65" s="349"/>
      <c r="AQN65" s="349"/>
      <c r="AQO65" s="349"/>
      <c r="AQP65" s="349"/>
      <c r="AQQ65" s="349"/>
      <c r="AQR65" s="349"/>
      <c r="AQS65" s="349"/>
      <c r="AQT65" s="349"/>
      <c r="AQU65" s="349"/>
      <c r="AQV65" s="349"/>
      <c r="AQW65" s="349"/>
      <c r="AQX65" s="349"/>
      <c r="AQY65" s="349"/>
      <c r="AQZ65" s="349"/>
      <c r="ARA65" s="349"/>
      <c r="ARB65" s="349"/>
      <c r="ARC65" s="349"/>
      <c r="ARD65" s="349"/>
      <c r="ARE65" s="349"/>
      <c r="ARF65" s="349"/>
      <c r="ARG65" s="349"/>
      <c r="ARH65" s="349"/>
      <c r="ARI65" s="349"/>
      <c r="ARJ65" s="349"/>
      <c r="ARK65" s="349"/>
      <c r="ARL65" s="349"/>
      <c r="ARM65" s="349"/>
      <c r="ARN65" s="349"/>
      <c r="ARO65" s="349"/>
      <c r="ARP65" s="349"/>
      <c r="ARQ65" s="349"/>
      <c r="ARR65" s="349"/>
      <c r="ARS65" s="349"/>
      <c r="ART65" s="349"/>
      <c r="ARU65" s="349"/>
      <c r="ARV65" s="349"/>
      <c r="ARW65" s="349"/>
      <c r="ARX65" s="349"/>
      <c r="ARY65" s="349"/>
      <c r="ARZ65" s="349"/>
      <c r="ASA65" s="349"/>
      <c r="ASB65" s="349"/>
      <c r="ASC65" s="349"/>
      <c r="ASD65" s="349"/>
      <c r="ASE65" s="349"/>
      <c r="ASF65" s="349"/>
      <c r="ASG65" s="349"/>
      <c r="ASH65" s="349"/>
      <c r="ASI65" s="349"/>
      <c r="ASJ65" s="349"/>
      <c r="ASK65" s="349"/>
      <c r="ASL65" s="349"/>
      <c r="ASM65" s="349"/>
      <c r="ASN65" s="349"/>
      <c r="ASO65" s="349"/>
      <c r="ASP65" s="349"/>
      <c r="ASQ65" s="349"/>
      <c r="ASR65" s="349"/>
      <c r="ASS65" s="349"/>
      <c r="AST65" s="349"/>
      <c r="ASU65" s="349"/>
      <c r="ASV65" s="349"/>
      <c r="ASW65" s="349"/>
      <c r="ASX65" s="349"/>
      <c r="ASY65" s="349"/>
      <c r="ASZ65" s="349"/>
      <c r="ATA65" s="349"/>
      <c r="ATB65" s="349"/>
      <c r="ATC65" s="349"/>
      <c r="ATD65" s="349"/>
      <c r="ATE65" s="349"/>
      <c r="ATF65" s="349"/>
      <c r="ATG65" s="349"/>
      <c r="ATH65" s="349"/>
      <c r="ATI65" s="349"/>
      <c r="ATJ65" s="349"/>
      <c r="ATK65" s="349"/>
      <c r="ATL65" s="349"/>
      <c r="ATM65" s="349"/>
      <c r="ATN65" s="349"/>
      <c r="ATO65" s="349"/>
      <c r="ATP65" s="349"/>
      <c r="ATQ65" s="349"/>
      <c r="ATR65" s="349"/>
      <c r="ATS65" s="349"/>
      <c r="ATT65" s="349"/>
      <c r="ATU65" s="349"/>
      <c r="ATV65" s="349"/>
      <c r="ATW65" s="349"/>
      <c r="ATX65" s="349"/>
      <c r="ATY65" s="349"/>
      <c r="ATZ65" s="349"/>
      <c r="AUA65" s="349"/>
      <c r="AUB65" s="349"/>
      <c r="AUC65" s="349"/>
      <c r="AUD65" s="349"/>
      <c r="AUE65" s="349"/>
      <c r="AUF65" s="349"/>
      <c r="AUG65" s="349"/>
      <c r="AUH65" s="349"/>
      <c r="AUI65" s="349"/>
      <c r="AUJ65" s="349"/>
      <c r="AUK65" s="349"/>
      <c r="AUL65" s="349"/>
      <c r="AUM65" s="349"/>
      <c r="AUN65" s="349"/>
      <c r="AUO65" s="349"/>
      <c r="AUP65" s="349"/>
      <c r="AUQ65" s="349"/>
      <c r="AUR65" s="349"/>
      <c r="AUS65" s="349"/>
      <c r="AUT65" s="349"/>
      <c r="AUU65" s="349"/>
      <c r="AUV65" s="349"/>
      <c r="AUW65" s="349"/>
      <c r="AUX65" s="349"/>
      <c r="AUY65" s="349"/>
      <c r="AUZ65" s="349"/>
      <c r="AVA65" s="349"/>
      <c r="AVB65" s="349"/>
      <c r="AVC65" s="349"/>
      <c r="AVD65" s="349"/>
      <c r="AVE65" s="349"/>
      <c r="AVF65" s="349"/>
      <c r="AVG65" s="349"/>
      <c r="AVH65" s="349"/>
      <c r="AVI65" s="349"/>
      <c r="AVJ65" s="349"/>
      <c r="AVK65" s="349"/>
      <c r="AVL65" s="349"/>
      <c r="AVM65" s="349"/>
      <c r="AVN65" s="349"/>
      <c r="AVO65" s="349"/>
      <c r="AVP65" s="349"/>
      <c r="AVQ65" s="349"/>
      <c r="AVR65" s="349"/>
      <c r="AVS65" s="349"/>
      <c r="AVT65" s="349"/>
      <c r="AVU65" s="349"/>
      <c r="AVV65" s="349"/>
      <c r="AVW65" s="349"/>
      <c r="AVX65" s="349"/>
      <c r="AVY65" s="349"/>
      <c r="AVZ65" s="349"/>
      <c r="AWA65" s="349"/>
      <c r="AWB65" s="349"/>
      <c r="AWC65" s="349"/>
      <c r="AWD65" s="349"/>
      <c r="AWE65" s="349"/>
      <c r="AWF65" s="349"/>
      <c r="AWG65" s="349"/>
      <c r="AWH65" s="349"/>
      <c r="AWI65" s="349"/>
      <c r="AWJ65" s="349"/>
      <c r="AWK65" s="349"/>
      <c r="AWL65" s="349"/>
      <c r="AWM65" s="349"/>
      <c r="AWN65" s="349"/>
      <c r="AWO65" s="349"/>
      <c r="AWP65" s="349"/>
      <c r="AWQ65" s="349"/>
      <c r="AWR65" s="349"/>
      <c r="AWS65" s="349"/>
      <c r="AWT65" s="349"/>
      <c r="AWU65" s="349"/>
      <c r="AWV65" s="349"/>
      <c r="AWW65" s="349"/>
      <c r="AWX65" s="349"/>
      <c r="AWY65" s="349"/>
      <c r="AWZ65" s="349"/>
      <c r="AXA65" s="349"/>
      <c r="AXB65" s="349"/>
      <c r="AXC65" s="349"/>
      <c r="AXD65" s="349"/>
      <c r="AXE65" s="349"/>
      <c r="AXF65" s="349"/>
      <c r="AXG65" s="349"/>
      <c r="AXH65" s="349"/>
      <c r="AXI65" s="349"/>
      <c r="AXJ65" s="349"/>
      <c r="AXK65" s="349"/>
      <c r="AXL65" s="349"/>
      <c r="AXM65" s="349"/>
      <c r="AXN65" s="349"/>
      <c r="AXO65" s="349"/>
      <c r="AXP65" s="349"/>
      <c r="AXQ65" s="349"/>
      <c r="AXR65" s="349"/>
      <c r="AXS65" s="349"/>
      <c r="AXT65" s="349"/>
      <c r="AXU65" s="349"/>
      <c r="AXV65" s="349"/>
      <c r="AXW65" s="349"/>
      <c r="AXX65" s="349"/>
      <c r="AXY65" s="349"/>
      <c r="AXZ65" s="349"/>
      <c r="AYA65" s="349"/>
      <c r="AYB65" s="349"/>
      <c r="AYC65" s="349"/>
      <c r="AYD65" s="349"/>
      <c r="AYE65" s="349"/>
      <c r="AYF65" s="349"/>
      <c r="AYG65" s="349"/>
      <c r="AYH65" s="349"/>
      <c r="AYI65" s="349"/>
      <c r="AYJ65" s="349"/>
      <c r="AYK65" s="349"/>
      <c r="AYL65" s="349"/>
      <c r="AYM65" s="349"/>
      <c r="AYN65" s="349"/>
      <c r="AYO65" s="349"/>
      <c r="AYP65" s="349"/>
      <c r="AYQ65" s="349"/>
      <c r="AYR65" s="349"/>
      <c r="AYS65" s="349"/>
      <c r="AYT65" s="349"/>
      <c r="AYU65" s="349"/>
      <c r="AYV65" s="349"/>
      <c r="AYW65" s="349"/>
      <c r="AYX65" s="349"/>
      <c r="AYY65" s="349"/>
      <c r="AYZ65" s="349"/>
      <c r="AZA65" s="349"/>
      <c r="AZB65" s="349"/>
      <c r="AZC65" s="349"/>
      <c r="AZD65" s="349"/>
      <c r="AZE65" s="349"/>
      <c r="AZF65" s="349"/>
      <c r="AZG65" s="349"/>
      <c r="AZH65" s="349"/>
      <c r="AZI65" s="349"/>
      <c r="AZJ65" s="349"/>
      <c r="AZK65" s="349"/>
      <c r="AZL65" s="349"/>
      <c r="AZM65" s="349"/>
      <c r="AZN65" s="349"/>
      <c r="AZO65" s="349"/>
      <c r="AZP65" s="349"/>
      <c r="AZQ65" s="349"/>
      <c r="AZR65" s="349"/>
      <c r="AZS65" s="349"/>
      <c r="AZT65" s="349"/>
      <c r="AZU65" s="349"/>
      <c r="AZV65" s="349"/>
      <c r="AZW65" s="349"/>
      <c r="AZX65" s="349"/>
      <c r="AZY65" s="349"/>
      <c r="AZZ65" s="349"/>
      <c r="BAA65" s="349"/>
      <c r="BAB65" s="349"/>
      <c r="BAC65" s="349"/>
      <c r="BAD65" s="349"/>
      <c r="BAE65" s="349"/>
      <c r="BAF65" s="349"/>
      <c r="BAG65" s="349"/>
      <c r="BAH65" s="349"/>
      <c r="BAI65" s="349"/>
      <c r="BAJ65" s="349"/>
      <c r="BAK65" s="349"/>
      <c r="BAL65" s="349"/>
      <c r="BAM65" s="349"/>
      <c r="BAN65" s="349"/>
      <c r="BAO65" s="349"/>
      <c r="BAP65" s="349"/>
      <c r="BAQ65" s="349"/>
      <c r="BAR65" s="349"/>
      <c r="BAS65" s="349"/>
      <c r="BAT65" s="349"/>
      <c r="BAU65" s="349"/>
      <c r="BAV65" s="349"/>
      <c r="BAW65" s="349"/>
      <c r="BAX65" s="349"/>
      <c r="BAY65" s="349"/>
      <c r="BAZ65" s="349"/>
      <c r="BBA65" s="349"/>
      <c r="BBB65" s="349"/>
      <c r="BBC65" s="349"/>
      <c r="BBD65" s="349"/>
      <c r="BBE65" s="349"/>
      <c r="BBF65" s="349"/>
      <c r="BBG65" s="349"/>
      <c r="BBH65" s="349"/>
      <c r="BBI65" s="349"/>
      <c r="BBJ65" s="349"/>
      <c r="BBK65" s="349"/>
      <c r="BBL65" s="349"/>
      <c r="BBM65" s="349"/>
      <c r="BBN65" s="349"/>
      <c r="BBO65" s="349"/>
      <c r="BBP65" s="349"/>
      <c r="BBQ65" s="349"/>
      <c r="BBR65" s="349"/>
      <c r="BBS65" s="349"/>
      <c r="BBT65" s="349"/>
      <c r="BBU65" s="349"/>
      <c r="BBV65" s="349"/>
      <c r="BBW65" s="349"/>
      <c r="BBX65" s="349"/>
      <c r="BBY65" s="349"/>
      <c r="BBZ65" s="349"/>
      <c r="BCA65" s="349"/>
      <c r="BCB65" s="349"/>
      <c r="BCC65" s="349"/>
      <c r="BCD65" s="349"/>
      <c r="BCE65" s="349"/>
      <c r="BCF65" s="349"/>
      <c r="BCG65" s="349"/>
      <c r="BCH65" s="349"/>
      <c r="BCI65" s="349"/>
      <c r="BCJ65" s="349"/>
      <c r="BCK65" s="349"/>
      <c r="BCL65" s="349"/>
      <c r="BCM65" s="349"/>
      <c r="BCN65" s="349"/>
      <c r="BCO65" s="349"/>
      <c r="BCP65" s="349"/>
      <c r="BCQ65" s="349"/>
      <c r="BCR65" s="349"/>
      <c r="BCS65" s="349"/>
      <c r="BCT65" s="349"/>
      <c r="BCU65" s="349"/>
      <c r="BCV65" s="349"/>
      <c r="BCW65" s="349"/>
      <c r="BCX65" s="349"/>
      <c r="BCY65" s="349"/>
      <c r="BCZ65" s="349"/>
      <c r="BDA65" s="349"/>
      <c r="BDB65" s="349"/>
      <c r="BDC65" s="349"/>
      <c r="BDD65" s="349"/>
      <c r="BDE65" s="349"/>
      <c r="BDF65" s="349"/>
      <c r="BDG65" s="349"/>
      <c r="BDH65" s="349"/>
      <c r="BDI65" s="349"/>
      <c r="BDJ65" s="349"/>
      <c r="BDK65" s="349"/>
      <c r="BDL65" s="349"/>
      <c r="BDM65" s="349"/>
      <c r="BDN65" s="349"/>
      <c r="BDO65" s="349"/>
      <c r="BDP65" s="349"/>
      <c r="BDQ65" s="349"/>
      <c r="BDR65" s="349"/>
      <c r="BDS65" s="349"/>
      <c r="BDT65" s="349"/>
      <c r="BDU65" s="349"/>
      <c r="BDV65" s="349"/>
      <c r="BDW65" s="349"/>
      <c r="BDX65" s="349"/>
      <c r="BDY65" s="349"/>
      <c r="BDZ65" s="349"/>
      <c r="BEA65" s="349"/>
      <c r="BEB65" s="349"/>
      <c r="BEC65" s="349"/>
      <c r="BED65" s="349"/>
      <c r="BEE65" s="349"/>
      <c r="BEF65" s="349"/>
      <c r="BEG65" s="349"/>
      <c r="BEH65" s="349"/>
      <c r="BEI65" s="349"/>
      <c r="BEJ65" s="349"/>
      <c r="BEK65" s="349"/>
      <c r="BEL65" s="349"/>
      <c r="BEM65" s="349"/>
      <c r="BEN65" s="349"/>
      <c r="BEO65" s="349"/>
      <c r="BEP65" s="349"/>
      <c r="BEQ65" s="349"/>
      <c r="BER65" s="349"/>
      <c r="BES65" s="349"/>
      <c r="BET65" s="349"/>
      <c r="BEU65" s="349"/>
      <c r="BEV65" s="349"/>
      <c r="BEW65" s="349"/>
      <c r="BEX65" s="349"/>
      <c r="BEY65" s="349"/>
      <c r="BEZ65" s="349"/>
      <c r="BFA65" s="349"/>
      <c r="BFB65" s="349"/>
      <c r="BFC65" s="349"/>
      <c r="BFD65" s="349"/>
      <c r="BFE65" s="349"/>
      <c r="BFF65" s="349"/>
      <c r="BFG65" s="349"/>
      <c r="BFH65" s="349"/>
      <c r="BFI65" s="349"/>
      <c r="BFJ65" s="349"/>
      <c r="BFK65" s="349"/>
      <c r="BFL65" s="349"/>
      <c r="BFM65" s="349"/>
      <c r="BFN65" s="349"/>
      <c r="BFO65" s="349"/>
      <c r="BFP65" s="349"/>
      <c r="BFQ65" s="349"/>
      <c r="BFR65" s="349"/>
      <c r="BFS65" s="349"/>
      <c r="BFT65" s="349"/>
      <c r="BFU65" s="349"/>
      <c r="BFV65" s="349"/>
      <c r="BFW65" s="349"/>
      <c r="BFX65" s="349"/>
      <c r="BFY65" s="349"/>
      <c r="BFZ65" s="349"/>
      <c r="BGA65" s="349"/>
      <c r="BGB65" s="349"/>
      <c r="BGC65" s="349"/>
      <c r="BGD65" s="349"/>
      <c r="BGE65" s="349"/>
      <c r="BGF65" s="349"/>
      <c r="BGG65" s="349"/>
      <c r="BGH65" s="349"/>
      <c r="BGI65" s="349"/>
      <c r="BGJ65" s="349"/>
      <c r="BGK65" s="349"/>
      <c r="BGL65" s="349"/>
      <c r="BGM65" s="349"/>
      <c r="BGN65" s="349"/>
      <c r="BGO65" s="349"/>
      <c r="BGP65" s="349"/>
      <c r="BGQ65" s="349"/>
      <c r="BGR65" s="349"/>
      <c r="BGS65" s="349"/>
      <c r="BGT65" s="349"/>
      <c r="BGU65" s="349"/>
      <c r="BGV65" s="349"/>
      <c r="BGW65" s="349"/>
      <c r="BGX65" s="349"/>
      <c r="BGY65" s="349"/>
      <c r="BGZ65" s="349"/>
      <c r="BHA65" s="349"/>
      <c r="BHB65" s="349"/>
      <c r="BHC65" s="349"/>
      <c r="BHD65" s="349"/>
      <c r="BHE65" s="349"/>
      <c r="BHF65" s="349"/>
      <c r="BHG65" s="349"/>
      <c r="BHH65" s="349"/>
      <c r="BHI65" s="349"/>
      <c r="BHJ65" s="349"/>
      <c r="BHK65" s="349"/>
      <c r="BHL65" s="349"/>
      <c r="BHM65" s="349"/>
      <c r="BHN65" s="349"/>
      <c r="BHO65" s="349"/>
      <c r="BHP65" s="349"/>
      <c r="BHQ65" s="349"/>
      <c r="BHR65" s="349"/>
      <c r="BHS65" s="349"/>
      <c r="BHT65" s="349"/>
      <c r="BHU65" s="349"/>
      <c r="BHV65" s="349"/>
      <c r="BHW65" s="349"/>
      <c r="BHX65" s="349"/>
      <c r="BHY65" s="349"/>
      <c r="BHZ65" s="349"/>
      <c r="BIA65" s="349"/>
      <c r="BIB65" s="349"/>
      <c r="BIC65" s="349"/>
      <c r="BID65" s="349"/>
      <c r="BIE65" s="349"/>
      <c r="BIF65" s="349"/>
      <c r="BIG65" s="349"/>
      <c r="BIH65" s="349"/>
      <c r="BII65" s="349"/>
      <c r="BIJ65" s="349"/>
      <c r="BIK65" s="349"/>
      <c r="BIL65" s="349"/>
      <c r="BIM65" s="349"/>
      <c r="BIN65" s="349"/>
      <c r="BIO65" s="349"/>
      <c r="BIP65" s="349"/>
      <c r="BIQ65" s="349"/>
      <c r="BIR65" s="349"/>
      <c r="BIS65" s="349"/>
      <c r="BIT65" s="349"/>
      <c r="BIU65" s="349"/>
      <c r="BIV65" s="349"/>
      <c r="BIW65" s="349"/>
      <c r="BIX65" s="349"/>
      <c r="BIY65" s="349"/>
      <c r="BIZ65" s="349"/>
      <c r="BJA65" s="349"/>
      <c r="BJB65" s="349"/>
      <c r="BJC65" s="349"/>
      <c r="BJD65" s="349"/>
      <c r="BJE65" s="349"/>
      <c r="BJF65" s="349"/>
      <c r="BJG65" s="349"/>
      <c r="BJH65" s="349"/>
      <c r="BJI65" s="349"/>
      <c r="BJJ65" s="349"/>
      <c r="BJK65" s="349"/>
      <c r="BJL65" s="349"/>
      <c r="BJM65" s="349"/>
      <c r="BJN65" s="349"/>
      <c r="BJO65" s="349"/>
      <c r="BJP65" s="349"/>
      <c r="BJQ65" s="349"/>
      <c r="BJR65" s="349"/>
      <c r="BJS65" s="349"/>
      <c r="BJT65" s="349"/>
      <c r="BJU65" s="349"/>
      <c r="BJV65" s="349"/>
      <c r="BJW65" s="349"/>
      <c r="BJX65" s="349"/>
      <c r="BJY65" s="349"/>
      <c r="BJZ65" s="349"/>
      <c r="BKA65" s="349"/>
      <c r="BKB65" s="349"/>
      <c r="BKC65" s="349"/>
      <c r="BKD65" s="349"/>
      <c r="BKE65" s="349"/>
      <c r="BKF65" s="349"/>
      <c r="BKG65" s="349"/>
      <c r="BKH65" s="349"/>
      <c r="BKI65" s="349"/>
      <c r="BKJ65" s="349"/>
      <c r="BKK65" s="349"/>
      <c r="BKL65" s="349"/>
      <c r="BKM65" s="349"/>
      <c r="BKN65" s="349"/>
      <c r="BKO65" s="349"/>
      <c r="BKP65" s="349"/>
      <c r="BKQ65" s="349"/>
      <c r="BKR65" s="349"/>
      <c r="BKS65" s="349"/>
      <c r="BKT65" s="349"/>
      <c r="BKU65" s="349"/>
      <c r="BKV65" s="349"/>
      <c r="BKW65" s="349"/>
      <c r="BKX65" s="349"/>
      <c r="BKY65" s="349"/>
      <c r="BKZ65" s="349"/>
      <c r="BLA65" s="349"/>
      <c r="BLB65" s="349"/>
      <c r="BLC65" s="349"/>
      <c r="BLD65" s="349"/>
      <c r="BLE65" s="349"/>
      <c r="BLF65" s="349"/>
      <c r="BLG65" s="349"/>
      <c r="BLH65" s="349"/>
      <c r="BLI65" s="349"/>
      <c r="BLJ65" s="349"/>
      <c r="BLK65" s="349"/>
      <c r="BLL65" s="349"/>
      <c r="BLM65" s="349"/>
      <c r="BLN65" s="349"/>
      <c r="BLO65" s="349"/>
      <c r="BLP65" s="349"/>
      <c r="BLQ65" s="349"/>
      <c r="BLR65" s="349"/>
      <c r="BLS65" s="349"/>
      <c r="BLT65" s="349"/>
      <c r="BLU65" s="349"/>
      <c r="BLV65" s="349"/>
      <c r="BLW65" s="349"/>
      <c r="BLX65" s="349"/>
      <c r="BLY65" s="349"/>
      <c r="BLZ65" s="349"/>
      <c r="BMA65" s="349"/>
      <c r="BMB65" s="349"/>
      <c r="BMC65" s="349"/>
      <c r="BMD65" s="349"/>
      <c r="BME65" s="349"/>
      <c r="BMF65" s="349"/>
      <c r="BMG65" s="349"/>
      <c r="BMH65" s="349"/>
      <c r="BMI65" s="349"/>
      <c r="BMJ65" s="349"/>
      <c r="BMK65" s="349"/>
      <c r="BML65" s="349"/>
      <c r="BMM65" s="349"/>
      <c r="BMN65" s="349"/>
      <c r="BMO65" s="349"/>
      <c r="BMP65" s="349"/>
      <c r="BMQ65" s="349"/>
      <c r="BMR65" s="349"/>
      <c r="BMS65" s="349"/>
      <c r="BMT65" s="349"/>
      <c r="BMU65" s="349"/>
      <c r="BMV65" s="349"/>
      <c r="BMW65" s="349"/>
      <c r="BMX65" s="349"/>
      <c r="BMY65" s="349"/>
      <c r="BMZ65" s="349"/>
      <c r="BNA65" s="349"/>
      <c r="BNB65" s="349"/>
      <c r="BNC65" s="349"/>
      <c r="BND65" s="349"/>
      <c r="BNE65" s="349"/>
      <c r="BNF65" s="349"/>
      <c r="BNG65" s="349"/>
      <c r="BNH65" s="349"/>
      <c r="BNI65" s="349"/>
      <c r="BNJ65" s="349"/>
      <c r="BNK65" s="349"/>
      <c r="BNL65" s="349"/>
      <c r="BNM65" s="349"/>
      <c r="BNN65" s="349"/>
      <c r="BNO65" s="349"/>
      <c r="BNP65" s="349"/>
      <c r="BNQ65" s="349"/>
      <c r="BNR65" s="349"/>
      <c r="BNS65" s="349"/>
      <c r="BNT65" s="349"/>
      <c r="BNU65" s="349"/>
      <c r="BNV65" s="349"/>
      <c r="BNW65" s="349"/>
      <c r="BNX65" s="349"/>
      <c r="BNY65" s="349"/>
      <c r="BNZ65" s="349"/>
      <c r="BOA65" s="349"/>
      <c r="BOB65" s="349"/>
      <c r="BOC65" s="349"/>
      <c r="BOD65" s="349"/>
      <c r="BOE65" s="349"/>
      <c r="BOF65" s="349"/>
      <c r="BOG65" s="349"/>
      <c r="BOH65" s="349"/>
      <c r="BOI65" s="349"/>
      <c r="BOJ65" s="349"/>
      <c r="BOK65" s="349"/>
      <c r="BOL65" s="349"/>
      <c r="BOM65" s="349"/>
      <c r="BON65" s="349"/>
      <c r="BOO65" s="349"/>
      <c r="BOP65" s="349"/>
      <c r="BOQ65" s="349"/>
      <c r="BOR65" s="349"/>
      <c r="BOS65" s="349"/>
      <c r="BOT65" s="349"/>
      <c r="BOU65" s="349"/>
      <c r="BOV65" s="349"/>
      <c r="BOW65" s="349"/>
      <c r="BOX65" s="349"/>
      <c r="BOY65" s="349"/>
      <c r="BOZ65" s="349"/>
      <c r="BPA65" s="349"/>
      <c r="BPB65" s="349"/>
      <c r="BPC65" s="349"/>
      <c r="BPD65" s="349"/>
      <c r="BPE65" s="349"/>
      <c r="BPF65" s="349"/>
      <c r="BPG65" s="349"/>
      <c r="BPH65" s="349"/>
      <c r="BPI65" s="349"/>
      <c r="BPJ65" s="349"/>
      <c r="BPK65" s="349"/>
      <c r="BPL65" s="349"/>
      <c r="BPM65" s="349"/>
      <c r="BPN65" s="349"/>
      <c r="BPO65" s="349"/>
      <c r="BPP65" s="349"/>
      <c r="BPQ65" s="349"/>
      <c r="BPR65" s="349"/>
      <c r="BPS65" s="349"/>
      <c r="BPT65" s="349"/>
      <c r="BPU65" s="349"/>
      <c r="BPV65" s="349"/>
      <c r="BPW65" s="349"/>
      <c r="BPX65" s="349"/>
      <c r="BPY65" s="349"/>
      <c r="BPZ65" s="349"/>
      <c r="BQA65" s="349"/>
      <c r="BQB65" s="349"/>
      <c r="BQC65" s="349"/>
      <c r="BQD65" s="349"/>
      <c r="BQE65" s="349"/>
      <c r="BQF65" s="349"/>
      <c r="BQG65" s="349"/>
      <c r="BQH65" s="349"/>
      <c r="BQI65" s="349"/>
      <c r="BQJ65" s="349"/>
      <c r="BQK65" s="349"/>
      <c r="BQL65" s="349"/>
      <c r="BQM65" s="349"/>
      <c r="BQN65" s="349"/>
      <c r="BQO65" s="349"/>
      <c r="BQP65" s="349"/>
      <c r="BQQ65" s="349"/>
      <c r="BQR65" s="349"/>
      <c r="BQS65" s="349"/>
      <c r="BQT65" s="349"/>
      <c r="BQU65" s="349"/>
      <c r="BQV65" s="349"/>
      <c r="BQW65" s="349"/>
      <c r="BQX65" s="349"/>
      <c r="BQY65" s="349"/>
      <c r="BQZ65" s="349"/>
      <c r="BRA65" s="349"/>
      <c r="BRB65" s="349"/>
      <c r="BRC65" s="349"/>
      <c r="BRD65" s="349"/>
      <c r="BRE65" s="349"/>
      <c r="BRF65" s="349"/>
      <c r="BRG65" s="349"/>
      <c r="BRH65" s="349"/>
      <c r="BRI65" s="349"/>
      <c r="BRJ65" s="349"/>
      <c r="BRK65" s="349"/>
      <c r="BRL65" s="349"/>
      <c r="BRM65" s="349"/>
      <c r="BRN65" s="349"/>
      <c r="BRO65" s="349"/>
      <c r="BRP65" s="349"/>
      <c r="BRQ65" s="349"/>
      <c r="BRR65" s="349"/>
      <c r="BRS65" s="349"/>
      <c r="BRT65" s="349"/>
      <c r="BRU65" s="349"/>
      <c r="BRV65" s="349"/>
      <c r="BRW65" s="349"/>
      <c r="BRX65" s="349"/>
      <c r="BRY65" s="349"/>
      <c r="BRZ65" s="349"/>
      <c r="BSA65" s="349"/>
      <c r="BSB65" s="349"/>
      <c r="BSC65" s="349"/>
      <c r="BSD65" s="349"/>
      <c r="BSE65" s="349"/>
      <c r="BSF65" s="349"/>
      <c r="BSG65" s="349"/>
      <c r="BSH65" s="349"/>
      <c r="BSI65" s="349"/>
      <c r="BSJ65" s="349"/>
      <c r="BSK65" s="349"/>
      <c r="BSL65" s="349"/>
      <c r="BSM65" s="349"/>
      <c r="BSN65" s="349"/>
      <c r="BSO65" s="349"/>
      <c r="BSP65" s="349"/>
      <c r="BSQ65" s="349"/>
      <c r="BSR65" s="349"/>
      <c r="BSS65" s="349"/>
      <c r="BST65" s="349"/>
      <c r="BSU65" s="349"/>
      <c r="BSV65" s="349"/>
      <c r="BSW65" s="349"/>
      <c r="BSX65" s="349"/>
      <c r="BSY65" s="349"/>
      <c r="BSZ65" s="349"/>
      <c r="BTA65" s="349"/>
      <c r="BTB65" s="349"/>
      <c r="BTC65" s="349"/>
      <c r="BTD65" s="349"/>
      <c r="BTE65" s="349"/>
      <c r="BTF65" s="349"/>
      <c r="BTG65" s="349"/>
      <c r="BTH65" s="349"/>
      <c r="BTI65" s="349"/>
      <c r="BTJ65" s="349"/>
      <c r="BTK65" s="349"/>
      <c r="BTL65" s="349"/>
      <c r="BTM65" s="349"/>
      <c r="BTN65" s="349"/>
      <c r="BTO65" s="349"/>
      <c r="BTP65" s="349"/>
      <c r="BTQ65" s="349"/>
      <c r="BTR65" s="349"/>
      <c r="BTS65" s="349"/>
      <c r="BTT65" s="349"/>
      <c r="BTU65" s="349"/>
      <c r="BTV65" s="349"/>
      <c r="BTW65" s="349"/>
      <c r="BTX65" s="349"/>
      <c r="BTY65" s="349"/>
      <c r="BTZ65" s="349"/>
      <c r="BUA65" s="349"/>
      <c r="BUB65" s="349"/>
      <c r="BUC65" s="349"/>
      <c r="BUD65" s="349"/>
      <c r="BUE65" s="349"/>
      <c r="BUF65" s="349"/>
      <c r="BUG65" s="349"/>
      <c r="BUH65" s="349"/>
      <c r="BUI65" s="349"/>
      <c r="BUJ65" s="349"/>
      <c r="BUK65" s="349"/>
      <c r="BUL65" s="349"/>
      <c r="BUM65" s="349"/>
      <c r="BUN65" s="349"/>
      <c r="BUO65" s="349"/>
      <c r="BUP65" s="349"/>
      <c r="BUQ65" s="349"/>
      <c r="BUR65" s="349"/>
      <c r="BUS65" s="349"/>
      <c r="BUT65" s="349"/>
      <c r="BUU65" s="349"/>
      <c r="BUV65" s="349"/>
      <c r="BUW65" s="349"/>
      <c r="BUX65" s="349"/>
      <c r="BUY65" s="349"/>
      <c r="BUZ65" s="349"/>
      <c r="BVA65" s="349"/>
      <c r="BVB65" s="349"/>
      <c r="BVC65" s="349"/>
      <c r="BVD65" s="349"/>
      <c r="BVE65" s="349"/>
      <c r="BVF65" s="349"/>
      <c r="BVG65" s="349"/>
      <c r="BVH65" s="349"/>
      <c r="BVI65" s="349"/>
      <c r="BVJ65" s="349"/>
      <c r="BVK65" s="349"/>
      <c r="BVL65" s="349"/>
      <c r="BVM65" s="349"/>
      <c r="BVN65" s="349"/>
      <c r="BVO65" s="349"/>
      <c r="BVP65" s="349"/>
      <c r="BVQ65" s="349"/>
      <c r="BVR65" s="349"/>
      <c r="BVS65" s="349"/>
      <c r="BVT65" s="349"/>
      <c r="BVU65" s="349"/>
      <c r="BVV65" s="349"/>
      <c r="BVW65" s="349"/>
      <c r="BVX65" s="349"/>
      <c r="BVY65" s="349"/>
      <c r="BVZ65" s="349"/>
      <c r="BWA65" s="349"/>
      <c r="BWB65" s="349"/>
      <c r="BWC65" s="349"/>
      <c r="BWD65" s="349"/>
      <c r="BWE65" s="349"/>
      <c r="BWF65" s="349"/>
      <c r="BWG65" s="349"/>
      <c r="BWH65" s="349"/>
      <c r="BWI65" s="349"/>
      <c r="BWJ65" s="349"/>
      <c r="BWK65" s="349"/>
      <c r="BWL65" s="349"/>
      <c r="BWM65" s="349"/>
      <c r="BWN65" s="349"/>
      <c r="BWO65" s="349"/>
      <c r="BWP65" s="349"/>
      <c r="BWQ65" s="349"/>
      <c r="BWR65" s="349"/>
      <c r="BWS65" s="349"/>
      <c r="BWT65" s="349"/>
      <c r="BWU65" s="349"/>
      <c r="BWV65" s="349"/>
      <c r="BWW65" s="349"/>
      <c r="BWX65" s="349"/>
      <c r="BWY65" s="349"/>
      <c r="BWZ65" s="349"/>
      <c r="BXA65" s="349"/>
      <c r="BXB65" s="349"/>
      <c r="BXC65" s="349"/>
      <c r="BXD65" s="349"/>
      <c r="BXE65" s="349"/>
      <c r="BXF65" s="349"/>
      <c r="BXG65" s="349"/>
      <c r="BXH65" s="349"/>
      <c r="BXI65" s="349"/>
      <c r="BXJ65" s="349"/>
      <c r="BXK65" s="349"/>
      <c r="BXL65" s="349"/>
      <c r="BXM65" s="349"/>
      <c r="BXN65" s="349"/>
      <c r="BXO65" s="349"/>
      <c r="BXP65" s="349"/>
      <c r="BXQ65" s="349"/>
      <c r="BXR65" s="349"/>
      <c r="BXS65" s="349"/>
      <c r="BXT65" s="349"/>
      <c r="BXU65" s="349"/>
      <c r="BXV65" s="349"/>
      <c r="BXW65" s="349"/>
      <c r="BXX65" s="349"/>
      <c r="BXY65" s="349"/>
      <c r="BXZ65" s="349"/>
      <c r="BYA65" s="349"/>
      <c r="BYB65" s="349"/>
      <c r="BYC65" s="349"/>
      <c r="BYD65" s="349"/>
      <c r="BYE65" s="349"/>
      <c r="BYF65" s="349"/>
      <c r="BYG65" s="349"/>
      <c r="BYH65" s="349"/>
      <c r="BYI65" s="349"/>
      <c r="BYJ65" s="349"/>
      <c r="BYK65" s="349"/>
      <c r="BYL65" s="349"/>
      <c r="BYM65" s="349"/>
      <c r="BYN65" s="349"/>
      <c r="BYO65" s="349"/>
      <c r="BYP65" s="349"/>
      <c r="BYQ65" s="349"/>
      <c r="BYR65" s="349"/>
      <c r="BYS65" s="349"/>
      <c r="BYT65" s="349"/>
      <c r="BYU65" s="349"/>
      <c r="BYV65" s="349"/>
      <c r="BYW65" s="349"/>
      <c r="BYX65" s="349"/>
      <c r="BYY65" s="349"/>
      <c r="BYZ65" s="349"/>
      <c r="BZA65" s="349"/>
      <c r="BZB65" s="349"/>
      <c r="BZC65" s="349"/>
      <c r="BZD65" s="349"/>
      <c r="BZE65" s="349"/>
      <c r="BZF65" s="349"/>
      <c r="BZG65" s="349"/>
      <c r="BZH65" s="349"/>
      <c r="BZI65" s="349"/>
      <c r="BZJ65" s="349"/>
      <c r="BZK65" s="349"/>
      <c r="BZL65" s="349"/>
      <c r="BZM65" s="349"/>
      <c r="BZN65" s="349"/>
      <c r="BZO65" s="349"/>
      <c r="BZP65" s="349"/>
      <c r="BZQ65" s="349"/>
      <c r="BZR65" s="349"/>
      <c r="BZS65" s="349"/>
      <c r="BZT65" s="349"/>
      <c r="BZU65" s="349"/>
      <c r="BZV65" s="349"/>
      <c r="BZW65" s="349"/>
      <c r="BZX65" s="349"/>
      <c r="BZY65" s="349"/>
      <c r="BZZ65" s="349"/>
      <c r="CAA65" s="349"/>
      <c r="CAB65" s="349"/>
      <c r="CAC65" s="349"/>
      <c r="CAD65" s="349"/>
      <c r="CAE65" s="349"/>
      <c r="CAF65" s="349"/>
      <c r="CAG65" s="349"/>
      <c r="CAH65" s="349"/>
      <c r="CAI65" s="349"/>
      <c r="CAJ65" s="349"/>
      <c r="CAK65" s="349"/>
      <c r="CAL65" s="349"/>
      <c r="CAM65" s="349"/>
      <c r="CAN65" s="349"/>
      <c r="CAO65" s="349"/>
      <c r="CAP65" s="349"/>
      <c r="CAQ65" s="349"/>
      <c r="CAR65" s="349"/>
      <c r="CAS65" s="349"/>
      <c r="CAT65" s="349"/>
      <c r="CAU65" s="349"/>
      <c r="CAV65" s="349"/>
      <c r="CAW65" s="349"/>
      <c r="CAX65" s="349"/>
      <c r="CAY65" s="349"/>
      <c r="CAZ65" s="349"/>
      <c r="CBA65" s="349"/>
      <c r="CBB65" s="349"/>
      <c r="CBC65" s="349"/>
      <c r="CBD65" s="349"/>
      <c r="CBE65" s="349"/>
      <c r="CBF65" s="349"/>
      <c r="CBG65" s="349"/>
      <c r="CBH65" s="349"/>
      <c r="CBI65" s="349"/>
      <c r="CBJ65" s="349"/>
      <c r="CBK65" s="349"/>
      <c r="CBL65" s="349"/>
      <c r="CBM65" s="349"/>
      <c r="CBN65" s="349"/>
      <c r="CBO65" s="349"/>
      <c r="CBP65" s="349"/>
      <c r="CBQ65" s="349"/>
      <c r="CBR65" s="349"/>
      <c r="CBS65" s="349"/>
      <c r="CBT65" s="349"/>
      <c r="CBU65" s="349"/>
      <c r="CBV65" s="349"/>
      <c r="CBW65" s="349"/>
      <c r="CBX65" s="349"/>
      <c r="CBY65" s="349"/>
      <c r="CBZ65" s="349"/>
      <c r="CCA65" s="349"/>
      <c r="CCB65" s="349"/>
      <c r="CCC65" s="349"/>
      <c r="CCD65" s="349"/>
      <c r="CCE65" s="349"/>
      <c r="CCF65" s="349"/>
      <c r="CCG65" s="349"/>
      <c r="CCH65" s="349"/>
      <c r="CCI65" s="349"/>
      <c r="CCJ65" s="349"/>
      <c r="CCK65" s="349"/>
      <c r="CCL65" s="349"/>
      <c r="CCM65" s="349"/>
      <c r="CCN65" s="349"/>
      <c r="CCO65" s="349"/>
      <c r="CCP65" s="349"/>
      <c r="CCQ65" s="349"/>
      <c r="CCR65" s="349"/>
      <c r="CCS65" s="349"/>
      <c r="CCT65" s="349"/>
      <c r="CCU65" s="349"/>
      <c r="CCV65" s="349"/>
      <c r="CCW65" s="349"/>
      <c r="CCX65" s="349"/>
      <c r="CCY65" s="349"/>
      <c r="CCZ65" s="349"/>
      <c r="CDA65" s="349"/>
      <c r="CDB65" s="349"/>
      <c r="CDC65" s="349"/>
      <c r="CDD65" s="349"/>
      <c r="CDE65" s="349"/>
      <c r="CDF65" s="349"/>
      <c r="CDG65" s="349"/>
      <c r="CDH65" s="349"/>
      <c r="CDI65" s="349"/>
      <c r="CDJ65" s="349"/>
      <c r="CDK65" s="349"/>
      <c r="CDL65" s="349"/>
      <c r="CDM65" s="349"/>
      <c r="CDN65" s="349"/>
      <c r="CDO65" s="349"/>
      <c r="CDP65" s="349"/>
      <c r="CDQ65" s="349"/>
      <c r="CDR65" s="349"/>
      <c r="CDS65" s="349"/>
      <c r="CDT65" s="349"/>
      <c r="CDU65" s="349"/>
      <c r="CDV65" s="349"/>
      <c r="CDW65" s="349"/>
      <c r="CDX65" s="349"/>
      <c r="CDY65" s="349"/>
      <c r="CDZ65" s="349"/>
      <c r="CEA65" s="349"/>
      <c r="CEB65" s="349"/>
      <c r="CEC65" s="349"/>
      <c r="CED65" s="349"/>
      <c r="CEE65" s="349"/>
      <c r="CEF65" s="349"/>
      <c r="CEG65" s="349"/>
      <c r="CEH65" s="349"/>
      <c r="CEI65" s="349"/>
      <c r="CEJ65" s="349"/>
      <c r="CEK65" s="349"/>
      <c r="CEL65" s="349"/>
      <c r="CEM65" s="349"/>
      <c r="CEN65" s="349"/>
      <c r="CEO65" s="349"/>
      <c r="CEP65" s="349"/>
      <c r="CEQ65" s="349"/>
      <c r="CER65" s="349"/>
      <c r="CES65" s="349"/>
      <c r="CET65" s="349"/>
      <c r="CEU65" s="349"/>
      <c r="CEV65" s="349"/>
      <c r="CEW65" s="349"/>
      <c r="CEX65" s="349"/>
      <c r="CEY65" s="349"/>
      <c r="CEZ65" s="349"/>
      <c r="CFA65" s="349"/>
      <c r="CFB65" s="349"/>
      <c r="CFC65" s="349"/>
      <c r="CFD65" s="349"/>
      <c r="CFE65" s="349"/>
      <c r="CFF65" s="349"/>
      <c r="CFG65" s="349"/>
      <c r="CFH65" s="349"/>
      <c r="CFI65" s="349"/>
      <c r="CFJ65" s="349"/>
      <c r="CFK65" s="349"/>
      <c r="CFL65" s="349"/>
      <c r="CFM65" s="349"/>
      <c r="CFN65" s="349"/>
      <c r="CFO65" s="349"/>
      <c r="CFP65" s="349"/>
      <c r="CFQ65" s="349"/>
      <c r="CFR65" s="349"/>
      <c r="CFS65" s="349"/>
      <c r="CFT65" s="349"/>
      <c r="CFU65" s="349"/>
      <c r="CFV65" s="349"/>
      <c r="CFW65" s="349"/>
      <c r="CFX65" s="349"/>
      <c r="CFY65" s="349"/>
      <c r="CFZ65" s="349"/>
      <c r="CGA65" s="349"/>
      <c r="CGB65" s="349"/>
      <c r="CGC65" s="349"/>
      <c r="CGD65" s="349"/>
      <c r="CGE65" s="349"/>
      <c r="CGF65" s="349"/>
      <c r="CGG65" s="349"/>
      <c r="CGH65" s="349"/>
      <c r="CGI65" s="349"/>
      <c r="CGJ65" s="349"/>
      <c r="CGK65" s="349"/>
      <c r="CGL65" s="349"/>
      <c r="CGM65" s="349"/>
      <c r="CGN65" s="349"/>
      <c r="CGO65" s="349"/>
      <c r="CGP65" s="349"/>
      <c r="CGQ65" s="349"/>
      <c r="CGR65" s="349"/>
      <c r="CGS65" s="349"/>
      <c r="CGT65" s="349"/>
      <c r="CGU65" s="349"/>
      <c r="CGV65" s="349"/>
      <c r="CGW65" s="349"/>
      <c r="CGX65" s="349"/>
      <c r="CGY65" s="349"/>
      <c r="CGZ65" s="349"/>
      <c r="CHA65" s="349"/>
      <c r="CHB65" s="349"/>
      <c r="CHC65" s="349"/>
      <c r="CHD65" s="349"/>
      <c r="CHE65" s="349"/>
      <c r="CHF65" s="349"/>
      <c r="CHG65" s="349"/>
      <c r="CHH65" s="349"/>
      <c r="CHI65" s="349"/>
      <c r="CHJ65" s="349"/>
      <c r="CHK65" s="349"/>
      <c r="CHL65" s="349"/>
      <c r="CHM65" s="349"/>
      <c r="CHN65" s="349"/>
      <c r="CHO65" s="349"/>
      <c r="CHP65" s="349"/>
      <c r="CHQ65" s="349"/>
      <c r="CHR65" s="349"/>
      <c r="CHS65" s="349"/>
      <c r="CHT65" s="349"/>
      <c r="CHU65" s="349"/>
      <c r="CHV65" s="349"/>
      <c r="CHW65" s="349"/>
      <c r="CHX65" s="349"/>
      <c r="CHY65" s="349"/>
      <c r="CHZ65" s="349"/>
      <c r="CIA65" s="349"/>
      <c r="CIB65" s="349"/>
      <c r="CIC65" s="349"/>
      <c r="CID65" s="349"/>
      <c r="CIE65" s="349"/>
      <c r="CIF65" s="349"/>
      <c r="CIG65" s="349"/>
      <c r="CIH65" s="349"/>
      <c r="CII65" s="349"/>
      <c r="CIJ65" s="349"/>
      <c r="CIK65" s="349"/>
      <c r="CIL65" s="349"/>
      <c r="CIM65" s="349"/>
      <c r="CIN65" s="349"/>
      <c r="CIO65" s="349"/>
      <c r="CIP65" s="349"/>
      <c r="CIQ65" s="349"/>
      <c r="CIR65" s="349"/>
      <c r="CIS65" s="349"/>
      <c r="CIT65" s="349"/>
      <c r="CIU65" s="349"/>
      <c r="CIV65" s="349"/>
      <c r="CIW65" s="349"/>
      <c r="CIX65" s="349"/>
      <c r="CIY65" s="349"/>
      <c r="CIZ65" s="349"/>
      <c r="CJA65" s="349"/>
      <c r="CJB65" s="349"/>
      <c r="CJC65" s="349"/>
      <c r="CJD65" s="349"/>
      <c r="CJE65" s="349"/>
      <c r="CJF65" s="349"/>
      <c r="CJG65" s="349"/>
      <c r="CJH65" s="349"/>
      <c r="CJI65" s="349"/>
      <c r="CJJ65" s="349"/>
      <c r="CJK65" s="349"/>
      <c r="CJL65" s="349"/>
      <c r="CJM65" s="349"/>
      <c r="CJN65" s="349"/>
      <c r="CJO65" s="349"/>
      <c r="CJP65" s="349"/>
      <c r="CJQ65" s="349"/>
      <c r="CJR65" s="349"/>
      <c r="CJS65" s="349"/>
      <c r="CJT65" s="349"/>
      <c r="CJU65" s="349"/>
      <c r="CJV65" s="349"/>
      <c r="CJW65" s="349"/>
      <c r="CJX65" s="349"/>
      <c r="CJY65" s="349"/>
      <c r="CJZ65" s="349"/>
      <c r="CKA65" s="349"/>
      <c r="CKB65" s="349"/>
      <c r="CKC65" s="349"/>
      <c r="CKD65" s="349"/>
      <c r="CKE65" s="349"/>
      <c r="CKF65" s="349"/>
      <c r="CKG65" s="349"/>
      <c r="CKH65" s="349"/>
      <c r="CKI65" s="349"/>
      <c r="CKJ65" s="349"/>
      <c r="CKK65" s="349"/>
      <c r="CKL65" s="349"/>
      <c r="CKM65" s="349"/>
      <c r="CKN65" s="349"/>
      <c r="CKO65" s="349"/>
      <c r="CKP65" s="349"/>
      <c r="CKQ65" s="349"/>
      <c r="CKR65" s="349"/>
      <c r="CKS65" s="349"/>
      <c r="CKT65" s="349"/>
      <c r="CKU65" s="349"/>
      <c r="CKV65" s="349"/>
      <c r="CKW65" s="349"/>
      <c r="CKX65" s="349"/>
      <c r="CKY65" s="349"/>
      <c r="CKZ65" s="349"/>
      <c r="CLA65" s="349"/>
      <c r="CLB65" s="349"/>
      <c r="CLC65" s="349"/>
      <c r="CLD65" s="349"/>
      <c r="CLE65" s="349"/>
      <c r="CLF65" s="349"/>
      <c r="CLG65" s="349"/>
      <c r="CLH65" s="349"/>
      <c r="CLI65" s="349"/>
      <c r="CLJ65" s="349"/>
      <c r="CLK65" s="349"/>
      <c r="CLL65" s="349"/>
      <c r="CLM65" s="349"/>
      <c r="CLN65" s="349"/>
      <c r="CLO65" s="349"/>
      <c r="CLP65" s="349"/>
      <c r="CLQ65" s="349"/>
      <c r="CLR65" s="349"/>
      <c r="CLS65" s="349"/>
      <c r="CLT65" s="349"/>
      <c r="CLU65" s="349"/>
      <c r="CLV65" s="349"/>
      <c r="CLW65" s="349"/>
      <c r="CLX65" s="349"/>
      <c r="CLY65" s="349"/>
      <c r="CLZ65" s="349"/>
      <c r="CMA65" s="349"/>
      <c r="CMB65" s="349"/>
      <c r="CMC65" s="349"/>
      <c r="CMD65" s="349"/>
      <c r="CME65" s="349"/>
      <c r="CMF65" s="349"/>
      <c r="CMG65" s="349"/>
      <c r="CMH65" s="349"/>
      <c r="CMI65" s="349"/>
      <c r="CMJ65" s="349"/>
      <c r="CMK65" s="349"/>
      <c r="CML65" s="349"/>
      <c r="CMM65" s="349"/>
      <c r="CMN65" s="349"/>
      <c r="CMO65" s="349"/>
      <c r="CMP65" s="349"/>
      <c r="CMQ65" s="349"/>
      <c r="CMR65" s="349"/>
      <c r="CMS65" s="349"/>
      <c r="CMT65" s="349"/>
      <c r="CMU65" s="349"/>
      <c r="CMV65" s="349"/>
      <c r="CMW65" s="349"/>
      <c r="CMX65" s="349"/>
      <c r="CMY65" s="349"/>
      <c r="CMZ65" s="349"/>
      <c r="CNA65" s="349"/>
      <c r="CNB65" s="349"/>
      <c r="CNC65" s="349"/>
      <c r="CND65" s="349"/>
      <c r="CNE65" s="349"/>
      <c r="CNF65" s="349"/>
      <c r="CNG65" s="349"/>
      <c r="CNH65" s="349"/>
      <c r="CNI65" s="349"/>
      <c r="CNJ65" s="349"/>
      <c r="CNK65" s="349"/>
      <c r="CNL65" s="349"/>
      <c r="CNM65" s="349"/>
      <c r="CNN65" s="349"/>
      <c r="CNO65" s="349"/>
      <c r="CNP65" s="349"/>
      <c r="CNQ65" s="349"/>
      <c r="CNR65" s="349"/>
      <c r="CNS65" s="349"/>
      <c r="CNT65" s="349"/>
      <c r="CNU65" s="349"/>
      <c r="CNV65" s="349"/>
      <c r="CNW65" s="349"/>
      <c r="CNX65" s="349"/>
      <c r="CNY65" s="349"/>
      <c r="CNZ65" s="349"/>
      <c r="COA65" s="349"/>
      <c r="COB65" s="349"/>
      <c r="COC65" s="349"/>
      <c r="COD65" s="349"/>
      <c r="COE65" s="349"/>
      <c r="COF65" s="349"/>
      <c r="COG65" s="349"/>
      <c r="COH65" s="349"/>
      <c r="COI65" s="349"/>
      <c r="COJ65" s="349"/>
      <c r="COK65" s="349"/>
      <c r="COL65" s="349"/>
      <c r="COM65" s="349"/>
      <c r="CON65" s="349"/>
      <c r="COO65" s="349"/>
      <c r="COP65" s="349"/>
      <c r="COQ65" s="349"/>
      <c r="COR65" s="349"/>
      <c r="COS65" s="349"/>
      <c r="COT65" s="349"/>
      <c r="COU65" s="349"/>
      <c r="COV65" s="349"/>
      <c r="COW65" s="349"/>
      <c r="COX65" s="349"/>
      <c r="COY65" s="349"/>
      <c r="COZ65" s="349"/>
      <c r="CPA65" s="349"/>
      <c r="CPB65" s="349"/>
      <c r="CPC65" s="349"/>
      <c r="CPD65" s="349"/>
      <c r="CPE65" s="349"/>
      <c r="CPF65" s="349"/>
      <c r="CPG65" s="349"/>
      <c r="CPH65" s="349"/>
      <c r="CPI65" s="349"/>
      <c r="CPJ65" s="349"/>
      <c r="CPK65" s="349"/>
      <c r="CPL65" s="349"/>
      <c r="CPM65" s="349"/>
      <c r="CPN65" s="349"/>
      <c r="CPO65" s="349"/>
      <c r="CPP65" s="349"/>
      <c r="CPQ65" s="349"/>
      <c r="CPR65" s="349"/>
      <c r="CPS65" s="349"/>
      <c r="CPT65" s="349"/>
      <c r="CPU65" s="349"/>
      <c r="CPV65" s="349"/>
      <c r="CPW65" s="349"/>
      <c r="CPX65" s="349"/>
      <c r="CPY65" s="349"/>
      <c r="CPZ65" s="349"/>
      <c r="CQA65" s="349"/>
      <c r="CQB65" s="349"/>
      <c r="CQC65" s="349"/>
      <c r="CQD65" s="349"/>
      <c r="CQE65" s="349"/>
      <c r="CQF65" s="349"/>
      <c r="CQG65" s="349"/>
      <c r="CQH65" s="349"/>
      <c r="CQI65" s="349"/>
      <c r="CQJ65" s="349"/>
      <c r="CQK65" s="349"/>
      <c r="CQL65" s="349"/>
      <c r="CQM65" s="349"/>
      <c r="CQN65" s="349"/>
      <c r="CQO65" s="349"/>
      <c r="CQP65" s="349"/>
      <c r="CQQ65" s="349"/>
      <c r="CQR65" s="349"/>
      <c r="CQS65" s="349"/>
      <c r="CQT65" s="349"/>
      <c r="CQU65" s="349"/>
      <c r="CQV65" s="349"/>
      <c r="CQW65" s="349"/>
      <c r="CQX65" s="349"/>
      <c r="CQY65" s="349"/>
      <c r="CQZ65" s="349"/>
      <c r="CRA65" s="349"/>
      <c r="CRB65" s="349"/>
      <c r="CRC65" s="349"/>
      <c r="CRD65" s="349"/>
      <c r="CRE65" s="349"/>
      <c r="CRF65" s="349"/>
      <c r="CRG65" s="349"/>
      <c r="CRH65" s="349"/>
      <c r="CRI65" s="349"/>
      <c r="CRJ65" s="349"/>
      <c r="CRK65" s="349"/>
      <c r="CRL65" s="349"/>
      <c r="CRM65" s="349"/>
      <c r="CRN65" s="349"/>
      <c r="CRO65" s="349"/>
      <c r="CRP65" s="349"/>
      <c r="CRQ65" s="349"/>
      <c r="CRR65" s="349"/>
      <c r="CRS65" s="349"/>
      <c r="CRT65" s="349"/>
      <c r="CRU65" s="349"/>
      <c r="CRV65" s="349"/>
      <c r="CRW65" s="349"/>
      <c r="CRX65" s="349"/>
      <c r="CRY65" s="349"/>
      <c r="CRZ65" s="349"/>
      <c r="CSA65" s="349"/>
      <c r="CSB65" s="349"/>
      <c r="CSC65" s="349"/>
      <c r="CSD65" s="349"/>
      <c r="CSE65" s="349"/>
      <c r="CSF65" s="349"/>
      <c r="CSG65" s="349"/>
      <c r="CSH65" s="349"/>
      <c r="CSI65" s="349"/>
      <c r="CSJ65" s="349"/>
      <c r="CSK65" s="349"/>
      <c r="CSL65" s="349"/>
      <c r="CSM65" s="349"/>
      <c r="CSN65" s="349"/>
      <c r="CSO65" s="349"/>
      <c r="CSP65" s="349"/>
      <c r="CSQ65" s="349"/>
      <c r="CSR65" s="349"/>
      <c r="CSS65" s="349"/>
      <c r="CST65" s="349"/>
      <c r="CSU65" s="349"/>
      <c r="CSV65" s="349"/>
      <c r="CSW65" s="349"/>
      <c r="CSX65" s="349"/>
      <c r="CSY65" s="349"/>
      <c r="CSZ65" s="349"/>
      <c r="CTA65" s="349"/>
      <c r="CTB65" s="349"/>
      <c r="CTC65" s="349"/>
      <c r="CTD65" s="349"/>
      <c r="CTE65" s="349"/>
      <c r="CTF65" s="349"/>
      <c r="CTG65" s="349"/>
      <c r="CTH65" s="349"/>
      <c r="CTI65" s="349"/>
      <c r="CTJ65" s="349"/>
      <c r="CTK65" s="349"/>
      <c r="CTL65" s="349"/>
      <c r="CTM65" s="349"/>
      <c r="CTN65" s="349"/>
      <c r="CTO65" s="349"/>
      <c r="CTP65" s="349"/>
      <c r="CTQ65" s="349"/>
      <c r="CTR65" s="349"/>
      <c r="CTS65" s="349"/>
      <c r="CTT65" s="349"/>
      <c r="CTU65" s="349"/>
      <c r="CTV65" s="349"/>
      <c r="CTW65" s="349"/>
      <c r="CTX65" s="349"/>
      <c r="CTY65" s="349"/>
      <c r="CTZ65" s="349"/>
      <c r="CUA65" s="349"/>
      <c r="CUB65" s="349"/>
      <c r="CUC65" s="349"/>
      <c r="CUD65" s="349"/>
      <c r="CUE65" s="349"/>
      <c r="CUF65" s="349"/>
      <c r="CUG65" s="349"/>
      <c r="CUH65" s="349"/>
      <c r="CUI65" s="349"/>
      <c r="CUJ65" s="349"/>
      <c r="CUK65" s="349"/>
      <c r="CUL65" s="349"/>
      <c r="CUM65" s="349"/>
      <c r="CUN65" s="349"/>
      <c r="CUO65" s="349"/>
      <c r="CUP65" s="349"/>
      <c r="CUQ65" s="349"/>
      <c r="CUR65" s="349"/>
      <c r="CUS65" s="349"/>
      <c r="CUT65" s="349"/>
      <c r="CUU65" s="349"/>
      <c r="CUV65" s="349"/>
      <c r="CUW65" s="349"/>
      <c r="CUX65" s="349"/>
      <c r="CUY65" s="349"/>
      <c r="CUZ65" s="349"/>
      <c r="CVA65" s="349"/>
      <c r="CVB65" s="349"/>
      <c r="CVC65" s="349"/>
      <c r="CVD65" s="349"/>
      <c r="CVE65" s="349"/>
      <c r="CVF65" s="349"/>
      <c r="CVG65" s="349"/>
      <c r="CVH65" s="349"/>
      <c r="CVI65" s="349"/>
      <c r="CVJ65" s="349"/>
      <c r="CVK65" s="349"/>
      <c r="CVL65" s="349"/>
      <c r="CVM65" s="349"/>
      <c r="CVN65" s="349"/>
      <c r="CVO65" s="349"/>
      <c r="CVP65" s="349"/>
      <c r="CVQ65" s="349"/>
      <c r="CVR65" s="349"/>
      <c r="CVS65" s="349"/>
      <c r="CVT65" s="349"/>
      <c r="CVU65" s="349"/>
      <c r="CVV65" s="349"/>
      <c r="CVW65" s="349"/>
      <c r="CVX65" s="349"/>
      <c r="CVY65" s="349"/>
      <c r="CVZ65" s="349"/>
      <c r="CWA65" s="349"/>
      <c r="CWB65" s="349"/>
      <c r="CWC65" s="349"/>
      <c r="CWD65" s="349"/>
      <c r="CWE65" s="349"/>
      <c r="CWF65" s="349"/>
      <c r="CWG65" s="349"/>
      <c r="CWH65" s="349"/>
      <c r="CWI65" s="349"/>
      <c r="CWJ65" s="349"/>
      <c r="CWK65" s="349"/>
      <c r="CWL65" s="349"/>
      <c r="CWM65" s="349"/>
      <c r="CWN65" s="349"/>
      <c r="CWO65" s="349"/>
      <c r="CWP65" s="349"/>
      <c r="CWQ65" s="349"/>
      <c r="CWR65" s="349"/>
      <c r="CWS65" s="349"/>
      <c r="CWT65" s="349"/>
      <c r="CWU65" s="349"/>
      <c r="CWV65" s="349"/>
      <c r="CWW65" s="349"/>
      <c r="CWX65" s="349"/>
      <c r="CWY65" s="349"/>
      <c r="CWZ65" s="349"/>
      <c r="CXA65" s="349"/>
      <c r="CXB65" s="349"/>
      <c r="CXC65" s="349"/>
      <c r="CXD65" s="349"/>
      <c r="CXE65" s="349"/>
      <c r="CXF65" s="349"/>
      <c r="CXG65" s="349"/>
      <c r="CXH65" s="349"/>
      <c r="CXI65" s="349"/>
      <c r="CXJ65" s="349"/>
      <c r="CXK65" s="349"/>
      <c r="CXL65" s="349"/>
      <c r="CXM65" s="349"/>
      <c r="CXN65" s="349"/>
      <c r="CXO65" s="349"/>
      <c r="CXP65" s="349"/>
      <c r="CXQ65" s="349"/>
      <c r="CXR65" s="349"/>
      <c r="CXS65" s="349"/>
      <c r="CXT65" s="349"/>
      <c r="CXU65" s="349"/>
      <c r="CXV65" s="349"/>
      <c r="CXW65" s="349"/>
      <c r="CXX65" s="349"/>
      <c r="CXY65" s="349"/>
      <c r="CXZ65" s="349"/>
      <c r="CYA65" s="349"/>
      <c r="CYB65" s="349"/>
      <c r="CYC65" s="349"/>
      <c r="CYD65" s="349"/>
      <c r="CYE65" s="349"/>
      <c r="CYF65" s="349"/>
      <c r="CYG65" s="349"/>
      <c r="CYH65" s="349"/>
      <c r="CYI65" s="349"/>
      <c r="CYJ65" s="349"/>
      <c r="CYK65" s="349"/>
      <c r="CYL65" s="349"/>
      <c r="CYM65" s="349"/>
      <c r="CYN65" s="349"/>
      <c r="CYO65" s="349"/>
      <c r="CYP65" s="349"/>
      <c r="CYQ65" s="349"/>
      <c r="CYR65" s="349"/>
      <c r="CYS65" s="349"/>
      <c r="CYT65" s="349"/>
      <c r="CYU65" s="349"/>
      <c r="CYV65" s="349"/>
      <c r="CYW65" s="349"/>
      <c r="CYX65" s="349"/>
      <c r="CYY65" s="349"/>
      <c r="CYZ65" s="349"/>
      <c r="CZA65" s="349"/>
      <c r="CZB65" s="349"/>
      <c r="CZC65" s="349"/>
      <c r="CZD65" s="349"/>
      <c r="CZE65" s="349"/>
      <c r="CZF65" s="349"/>
      <c r="CZG65" s="349"/>
      <c r="CZH65" s="349"/>
      <c r="CZI65" s="349"/>
      <c r="CZJ65" s="349"/>
      <c r="CZK65" s="349"/>
      <c r="CZL65" s="349"/>
      <c r="CZM65" s="349"/>
      <c r="CZN65" s="349"/>
      <c r="CZO65" s="349"/>
      <c r="CZP65" s="349"/>
      <c r="CZQ65" s="349"/>
      <c r="CZR65" s="349"/>
      <c r="CZS65" s="349"/>
      <c r="CZT65" s="349"/>
      <c r="CZU65" s="349"/>
      <c r="CZV65" s="349"/>
      <c r="CZW65" s="349"/>
      <c r="CZX65" s="349"/>
      <c r="CZY65" s="349"/>
      <c r="CZZ65" s="349"/>
      <c r="DAA65" s="349"/>
      <c r="DAB65" s="349"/>
      <c r="DAC65" s="349"/>
      <c r="DAD65" s="349"/>
      <c r="DAE65" s="349"/>
      <c r="DAF65" s="349"/>
      <c r="DAG65" s="349"/>
      <c r="DAH65" s="349"/>
      <c r="DAI65" s="349"/>
      <c r="DAJ65" s="349"/>
      <c r="DAK65" s="349"/>
      <c r="DAL65" s="349"/>
      <c r="DAM65" s="349"/>
      <c r="DAN65" s="349"/>
      <c r="DAO65" s="349"/>
      <c r="DAP65" s="349"/>
      <c r="DAQ65" s="349"/>
      <c r="DAR65" s="349"/>
      <c r="DAS65" s="349"/>
      <c r="DAT65" s="349"/>
      <c r="DAU65" s="349"/>
      <c r="DAV65" s="349"/>
      <c r="DAW65" s="349"/>
      <c r="DAX65" s="349"/>
      <c r="DAY65" s="349"/>
      <c r="DAZ65" s="349"/>
      <c r="DBA65" s="349"/>
      <c r="DBB65" s="349"/>
      <c r="DBC65" s="349"/>
      <c r="DBD65" s="349"/>
      <c r="DBE65" s="349"/>
      <c r="DBF65" s="349"/>
      <c r="DBG65" s="349"/>
      <c r="DBH65" s="349"/>
      <c r="DBI65" s="349"/>
      <c r="DBJ65" s="349"/>
      <c r="DBK65" s="349"/>
      <c r="DBL65" s="349"/>
      <c r="DBM65" s="349"/>
      <c r="DBN65" s="349"/>
      <c r="DBO65" s="349"/>
      <c r="DBP65" s="349"/>
      <c r="DBQ65" s="349"/>
      <c r="DBR65" s="349"/>
      <c r="DBS65" s="349"/>
      <c r="DBT65" s="349"/>
      <c r="DBU65" s="349"/>
      <c r="DBV65" s="349"/>
      <c r="DBW65" s="349"/>
      <c r="DBX65" s="349"/>
      <c r="DBY65" s="349"/>
      <c r="DBZ65" s="349"/>
      <c r="DCA65" s="349"/>
      <c r="DCB65" s="349"/>
      <c r="DCC65" s="349"/>
      <c r="DCD65" s="349"/>
      <c r="DCE65" s="349"/>
      <c r="DCF65" s="349"/>
      <c r="DCG65" s="349"/>
      <c r="DCH65" s="349"/>
      <c r="DCI65" s="349"/>
      <c r="DCJ65" s="349"/>
      <c r="DCK65" s="349"/>
      <c r="DCL65" s="349"/>
      <c r="DCM65" s="349"/>
      <c r="DCN65" s="349"/>
      <c r="DCO65" s="349"/>
      <c r="DCP65" s="349"/>
      <c r="DCQ65" s="349"/>
      <c r="DCR65" s="349"/>
      <c r="DCS65" s="349"/>
      <c r="DCT65" s="349"/>
      <c r="DCU65" s="349"/>
      <c r="DCV65" s="349"/>
      <c r="DCW65" s="349"/>
      <c r="DCX65" s="349"/>
      <c r="DCY65" s="349"/>
      <c r="DCZ65" s="349"/>
      <c r="DDA65" s="349"/>
      <c r="DDB65" s="349"/>
      <c r="DDC65" s="349"/>
      <c r="DDD65" s="349"/>
      <c r="DDE65" s="349"/>
      <c r="DDF65" s="349"/>
      <c r="DDG65" s="349"/>
      <c r="DDH65" s="349"/>
      <c r="DDI65" s="349"/>
      <c r="DDJ65" s="349"/>
      <c r="DDK65" s="349"/>
      <c r="DDL65" s="349"/>
      <c r="DDM65" s="349"/>
      <c r="DDN65" s="349"/>
      <c r="DDO65" s="349"/>
      <c r="DDP65" s="349"/>
      <c r="DDQ65" s="349"/>
      <c r="DDR65" s="349"/>
      <c r="DDS65" s="349"/>
      <c r="DDT65" s="349"/>
      <c r="DDU65" s="349"/>
      <c r="DDV65" s="349"/>
      <c r="DDW65" s="349"/>
      <c r="DDX65" s="349"/>
      <c r="DDY65" s="349"/>
      <c r="DDZ65" s="349"/>
      <c r="DEA65" s="349"/>
      <c r="DEB65" s="349"/>
      <c r="DEC65" s="349"/>
      <c r="DED65" s="349"/>
      <c r="DEE65" s="349"/>
      <c r="DEF65" s="349"/>
      <c r="DEG65" s="349"/>
      <c r="DEH65" s="349"/>
      <c r="DEI65" s="349"/>
      <c r="DEJ65" s="349"/>
      <c r="DEK65" s="349"/>
      <c r="DEL65" s="349"/>
      <c r="DEM65" s="349"/>
      <c r="DEN65" s="349"/>
      <c r="DEO65" s="349"/>
      <c r="DEP65" s="349"/>
      <c r="DEQ65" s="349"/>
      <c r="DER65" s="349"/>
      <c r="DES65" s="349"/>
      <c r="DET65" s="349"/>
      <c r="DEU65" s="349"/>
      <c r="DEV65" s="349"/>
      <c r="DEW65" s="349"/>
      <c r="DEX65" s="349"/>
      <c r="DEY65" s="349"/>
      <c r="DEZ65" s="349"/>
      <c r="DFA65" s="349"/>
      <c r="DFB65" s="349"/>
      <c r="DFC65" s="349"/>
      <c r="DFD65" s="349"/>
      <c r="DFE65" s="349"/>
      <c r="DFF65" s="349"/>
      <c r="DFG65" s="349"/>
      <c r="DFH65" s="349"/>
      <c r="DFI65" s="349"/>
      <c r="DFJ65" s="349"/>
      <c r="DFK65" s="349"/>
      <c r="DFL65" s="349"/>
      <c r="DFM65" s="349"/>
      <c r="DFN65" s="349"/>
      <c r="DFO65" s="349"/>
      <c r="DFP65" s="349"/>
      <c r="DFQ65" s="349"/>
      <c r="DFR65" s="349"/>
      <c r="DFS65" s="349"/>
      <c r="DFT65" s="349"/>
      <c r="DFU65" s="349"/>
      <c r="DFV65" s="349"/>
      <c r="DFW65" s="349"/>
      <c r="DFX65" s="349"/>
      <c r="DFY65" s="349"/>
      <c r="DFZ65" s="349"/>
      <c r="DGA65" s="349"/>
      <c r="DGB65" s="349"/>
      <c r="DGC65" s="349"/>
      <c r="DGD65" s="349"/>
      <c r="DGE65" s="349"/>
      <c r="DGF65" s="349"/>
      <c r="DGG65" s="349"/>
      <c r="DGH65" s="349"/>
      <c r="DGI65" s="349"/>
      <c r="DGJ65" s="349"/>
      <c r="DGK65" s="349"/>
      <c r="DGL65" s="349"/>
      <c r="DGM65" s="349"/>
      <c r="DGN65" s="349"/>
      <c r="DGO65" s="349"/>
      <c r="DGP65" s="349"/>
      <c r="DGQ65" s="349"/>
      <c r="DGR65" s="349"/>
      <c r="DGS65" s="349"/>
      <c r="DGT65" s="349"/>
      <c r="DGU65" s="349"/>
      <c r="DGV65" s="349"/>
      <c r="DGW65" s="349"/>
      <c r="DGX65" s="349"/>
      <c r="DGY65" s="349"/>
      <c r="DGZ65" s="349"/>
      <c r="DHA65" s="349"/>
      <c r="DHB65" s="349"/>
      <c r="DHC65" s="349"/>
      <c r="DHD65" s="349"/>
      <c r="DHE65" s="349"/>
      <c r="DHF65" s="349"/>
      <c r="DHG65" s="349"/>
      <c r="DHH65" s="349"/>
      <c r="DHI65" s="349"/>
      <c r="DHJ65" s="349"/>
      <c r="DHK65" s="349"/>
      <c r="DHL65" s="349"/>
      <c r="DHM65" s="349"/>
      <c r="DHN65" s="349"/>
      <c r="DHO65" s="349"/>
      <c r="DHP65" s="349"/>
      <c r="DHQ65" s="349"/>
      <c r="DHR65" s="349"/>
      <c r="DHS65" s="349"/>
      <c r="DHT65" s="349"/>
      <c r="DHU65" s="349"/>
      <c r="DHV65" s="349"/>
      <c r="DHW65" s="349"/>
      <c r="DHX65" s="349"/>
      <c r="DHY65" s="349"/>
      <c r="DHZ65" s="349"/>
      <c r="DIA65" s="349"/>
      <c r="DIB65" s="349"/>
      <c r="DIC65" s="349"/>
      <c r="DID65" s="349"/>
      <c r="DIE65" s="349"/>
      <c r="DIF65" s="349"/>
      <c r="DIG65" s="349"/>
      <c r="DIH65" s="349"/>
      <c r="DII65" s="349"/>
      <c r="DIJ65" s="349"/>
      <c r="DIK65" s="349"/>
      <c r="DIL65" s="349"/>
      <c r="DIM65" s="349"/>
      <c r="DIN65" s="349"/>
      <c r="DIO65" s="349"/>
      <c r="DIP65" s="349"/>
      <c r="DIQ65" s="349"/>
      <c r="DIR65" s="349"/>
      <c r="DIS65" s="349"/>
      <c r="DIT65" s="349"/>
      <c r="DIU65" s="349"/>
      <c r="DIV65" s="349"/>
      <c r="DIW65" s="349"/>
      <c r="DIX65" s="349"/>
      <c r="DIY65" s="349"/>
      <c r="DIZ65" s="349"/>
      <c r="DJA65" s="349"/>
      <c r="DJB65" s="349"/>
      <c r="DJC65" s="349"/>
      <c r="DJD65" s="349"/>
      <c r="DJE65" s="349"/>
      <c r="DJF65" s="349"/>
      <c r="DJG65" s="349"/>
      <c r="DJH65" s="349"/>
      <c r="DJI65" s="349"/>
      <c r="DJJ65" s="349"/>
      <c r="DJK65" s="349"/>
      <c r="DJL65" s="349"/>
      <c r="DJM65" s="349"/>
      <c r="DJN65" s="349"/>
      <c r="DJO65" s="349"/>
      <c r="DJP65" s="349"/>
      <c r="DJQ65" s="349"/>
      <c r="DJR65" s="349"/>
      <c r="DJS65" s="349"/>
      <c r="DJT65" s="349"/>
      <c r="DJU65" s="349"/>
      <c r="DJV65" s="349"/>
      <c r="DJW65" s="349"/>
      <c r="DJX65" s="349"/>
      <c r="DJY65" s="349"/>
      <c r="DJZ65" s="349"/>
      <c r="DKA65" s="349"/>
      <c r="DKB65" s="349"/>
      <c r="DKC65" s="349"/>
      <c r="DKD65" s="349"/>
      <c r="DKE65" s="349"/>
      <c r="DKF65" s="349"/>
      <c r="DKG65" s="349"/>
      <c r="DKH65" s="349"/>
      <c r="DKI65" s="349"/>
      <c r="DKJ65" s="349"/>
      <c r="DKK65" s="349"/>
      <c r="DKL65" s="349"/>
      <c r="DKM65" s="349"/>
      <c r="DKN65" s="349"/>
      <c r="DKO65" s="349"/>
      <c r="DKP65" s="349"/>
      <c r="DKQ65" s="349"/>
      <c r="DKR65" s="349"/>
      <c r="DKS65" s="349"/>
      <c r="DKT65" s="349"/>
      <c r="DKU65" s="349"/>
      <c r="DKV65" s="349"/>
      <c r="DKW65" s="349"/>
      <c r="DKX65" s="349"/>
      <c r="DKY65" s="349"/>
      <c r="DKZ65" s="349"/>
      <c r="DLA65" s="349"/>
      <c r="DLB65" s="349"/>
      <c r="DLC65" s="349"/>
      <c r="DLD65" s="349"/>
      <c r="DLE65" s="349"/>
      <c r="DLF65" s="349"/>
      <c r="DLG65" s="349"/>
      <c r="DLH65" s="349"/>
      <c r="DLI65" s="349"/>
      <c r="DLJ65" s="349"/>
      <c r="DLK65" s="349"/>
      <c r="DLL65" s="349"/>
      <c r="DLM65" s="349"/>
      <c r="DLN65" s="349"/>
      <c r="DLO65" s="349"/>
      <c r="DLP65" s="349"/>
      <c r="DLQ65" s="349"/>
      <c r="DLR65" s="349"/>
      <c r="DLS65" s="349"/>
      <c r="DLT65" s="349"/>
      <c r="DLU65" s="349"/>
      <c r="DLV65" s="349"/>
      <c r="DLW65" s="349"/>
      <c r="DLX65" s="349"/>
      <c r="DLY65" s="349"/>
      <c r="DLZ65" s="349"/>
      <c r="DMA65" s="349"/>
      <c r="DMB65" s="349"/>
      <c r="DMC65" s="349"/>
      <c r="DMD65" s="349"/>
      <c r="DME65" s="349"/>
      <c r="DMF65" s="349"/>
      <c r="DMG65" s="349"/>
      <c r="DMH65" s="349"/>
      <c r="DMI65" s="349"/>
      <c r="DMJ65" s="349"/>
      <c r="DMK65" s="349"/>
      <c r="DML65" s="349"/>
      <c r="DMM65" s="349"/>
      <c r="DMN65" s="349"/>
      <c r="DMO65" s="349"/>
      <c r="DMP65" s="349"/>
      <c r="DMQ65" s="349"/>
      <c r="DMR65" s="349"/>
      <c r="DMS65" s="349"/>
      <c r="DMT65" s="349"/>
      <c r="DMU65" s="349"/>
      <c r="DMV65" s="349"/>
      <c r="DMW65" s="349"/>
      <c r="DMX65" s="349"/>
      <c r="DMY65" s="349"/>
      <c r="DMZ65" s="349"/>
      <c r="DNA65" s="349"/>
      <c r="DNB65" s="349"/>
      <c r="DNC65" s="349"/>
      <c r="DND65" s="349"/>
      <c r="DNE65" s="349"/>
      <c r="DNF65" s="349"/>
      <c r="DNG65" s="349"/>
      <c r="DNH65" s="349"/>
      <c r="DNI65" s="349"/>
      <c r="DNJ65" s="349"/>
      <c r="DNK65" s="349"/>
      <c r="DNL65" s="349"/>
      <c r="DNM65" s="349"/>
      <c r="DNN65" s="349"/>
      <c r="DNO65" s="349"/>
      <c r="DNP65" s="349"/>
      <c r="DNQ65" s="349"/>
      <c r="DNR65" s="349"/>
      <c r="DNS65" s="349"/>
      <c r="DNT65" s="349"/>
      <c r="DNU65" s="349"/>
      <c r="DNV65" s="349"/>
      <c r="DNW65" s="349"/>
      <c r="DNX65" s="349"/>
      <c r="DNY65" s="349"/>
      <c r="DNZ65" s="349"/>
      <c r="DOA65" s="349"/>
      <c r="DOB65" s="349"/>
      <c r="DOC65" s="349"/>
      <c r="DOD65" s="349"/>
      <c r="DOE65" s="349"/>
      <c r="DOF65" s="349"/>
      <c r="DOG65" s="349"/>
      <c r="DOH65" s="349"/>
      <c r="DOI65" s="349"/>
      <c r="DOJ65" s="349"/>
      <c r="DOK65" s="349"/>
      <c r="DOL65" s="349"/>
      <c r="DOM65" s="349"/>
      <c r="DON65" s="349"/>
      <c r="DOO65" s="349"/>
      <c r="DOP65" s="349"/>
      <c r="DOQ65" s="349"/>
      <c r="DOR65" s="349"/>
      <c r="DOS65" s="349"/>
      <c r="DOT65" s="349"/>
      <c r="DOU65" s="349"/>
      <c r="DOV65" s="349"/>
      <c r="DOW65" s="349"/>
      <c r="DOX65" s="349"/>
      <c r="DOY65" s="349"/>
      <c r="DOZ65" s="349"/>
      <c r="DPA65" s="349"/>
      <c r="DPB65" s="349"/>
      <c r="DPC65" s="349"/>
      <c r="DPD65" s="349"/>
      <c r="DPE65" s="349"/>
      <c r="DPF65" s="349"/>
      <c r="DPG65" s="349"/>
      <c r="DPH65" s="349"/>
      <c r="DPI65" s="349"/>
      <c r="DPJ65" s="349"/>
      <c r="DPK65" s="349"/>
      <c r="DPL65" s="349"/>
      <c r="DPM65" s="349"/>
      <c r="DPN65" s="349"/>
      <c r="DPO65" s="349"/>
      <c r="DPP65" s="349"/>
      <c r="DPQ65" s="349"/>
      <c r="DPR65" s="349"/>
      <c r="DPS65" s="349"/>
      <c r="DPT65" s="349"/>
      <c r="DPU65" s="349"/>
      <c r="DPV65" s="349"/>
      <c r="DPW65" s="349"/>
      <c r="DPX65" s="349"/>
      <c r="DPY65" s="349"/>
      <c r="DPZ65" s="349"/>
      <c r="DQA65" s="349"/>
      <c r="DQB65" s="349"/>
      <c r="DQC65" s="349"/>
      <c r="DQD65" s="349"/>
      <c r="DQE65" s="349"/>
      <c r="DQF65" s="349"/>
      <c r="DQG65" s="349"/>
      <c r="DQH65" s="349"/>
      <c r="DQI65" s="349"/>
      <c r="DQJ65" s="349"/>
      <c r="DQK65" s="349"/>
      <c r="DQL65" s="349"/>
      <c r="DQM65" s="349"/>
      <c r="DQN65" s="349"/>
      <c r="DQO65" s="349"/>
      <c r="DQP65" s="349"/>
      <c r="DQQ65" s="349"/>
      <c r="DQR65" s="349"/>
      <c r="DQS65" s="349"/>
      <c r="DQT65" s="349"/>
      <c r="DQU65" s="349"/>
      <c r="DQV65" s="349"/>
      <c r="DQW65" s="349"/>
      <c r="DQX65" s="349"/>
      <c r="DQY65" s="349"/>
      <c r="DQZ65" s="349"/>
      <c r="DRA65" s="349"/>
      <c r="DRB65" s="349"/>
      <c r="DRC65" s="349"/>
      <c r="DRD65" s="349"/>
      <c r="DRE65" s="349"/>
      <c r="DRF65" s="349"/>
      <c r="DRG65" s="349"/>
      <c r="DRH65" s="349"/>
      <c r="DRI65" s="349"/>
      <c r="DRJ65" s="349"/>
      <c r="DRK65" s="349"/>
      <c r="DRL65" s="349"/>
      <c r="DRM65" s="349"/>
      <c r="DRN65" s="349"/>
      <c r="DRO65" s="349"/>
      <c r="DRP65" s="349"/>
      <c r="DRQ65" s="349"/>
      <c r="DRR65" s="349"/>
      <c r="DRS65" s="349"/>
      <c r="DRT65" s="349"/>
      <c r="DRU65" s="349"/>
      <c r="DRV65" s="349"/>
      <c r="DRW65" s="349"/>
      <c r="DRX65" s="349"/>
      <c r="DRY65" s="349"/>
      <c r="DRZ65" s="349"/>
      <c r="DSA65" s="349"/>
      <c r="DSB65" s="349"/>
      <c r="DSC65" s="349"/>
      <c r="DSD65" s="349"/>
      <c r="DSE65" s="349"/>
      <c r="DSF65" s="349"/>
      <c r="DSG65" s="349"/>
      <c r="DSH65" s="349"/>
      <c r="DSI65" s="349"/>
      <c r="DSJ65" s="349"/>
      <c r="DSK65" s="349"/>
      <c r="DSL65" s="349"/>
      <c r="DSM65" s="349"/>
      <c r="DSN65" s="349"/>
      <c r="DSO65" s="349"/>
      <c r="DSP65" s="349"/>
      <c r="DSQ65" s="349"/>
      <c r="DSR65" s="349"/>
      <c r="DSS65" s="349"/>
      <c r="DST65" s="349"/>
      <c r="DSU65" s="349"/>
      <c r="DSV65" s="349"/>
      <c r="DSW65" s="349"/>
      <c r="DSX65" s="349"/>
      <c r="DSY65" s="349"/>
      <c r="DSZ65" s="349"/>
      <c r="DTA65" s="349"/>
      <c r="DTB65" s="349"/>
      <c r="DTC65" s="349"/>
      <c r="DTD65" s="349"/>
      <c r="DTE65" s="349"/>
      <c r="DTF65" s="349"/>
      <c r="DTG65" s="349"/>
      <c r="DTH65" s="349"/>
      <c r="DTI65" s="349"/>
      <c r="DTJ65" s="349"/>
      <c r="DTK65" s="349"/>
      <c r="DTL65" s="349"/>
      <c r="DTM65" s="349"/>
      <c r="DTN65" s="349"/>
      <c r="DTO65" s="349"/>
      <c r="DTP65" s="349"/>
      <c r="DTQ65" s="349"/>
      <c r="DTR65" s="349"/>
      <c r="DTS65" s="349"/>
      <c r="DTT65" s="349"/>
      <c r="DTU65" s="349"/>
      <c r="DTV65" s="349"/>
      <c r="DTW65" s="349"/>
      <c r="DTX65" s="349"/>
      <c r="DTY65" s="349"/>
      <c r="DTZ65" s="349"/>
      <c r="DUA65" s="349"/>
      <c r="DUB65" s="349"/>
      <c r="DUC65" s="349"/>
      <c r="DUD65" s="349"/>
      <c r="DUE65" s="349"/>
      <c r="DUF65" s="349"/>
      <c r="DUG65" s="349"/>
      <c r="DUH65" s="349"/>
      <c r="DUI65" s="349"/>
      <c r="DUJ65" s="349"/>
      <c r="DUK65" s="349"/>
      <c r="DUL65" s="349"/>
      <c r="DUM65" s="349"/>
      <c r="DUN65" s="349"/>
      <c r="DUO65" s="349"/>
      <c r="DUP65" s="349"/>
      <c r="DUQ65" s="349"/>
      <c r="DUR65" s="349"/>
      <c r="DUS65" s="349"/>
      <c r="DUT65" s="349"/>
      <c r="DUU65" s="349"/>
      <c r="DUV65" s="349"/>
      <c r="DUW65" s="349"/>
      <c r="DUX65" s="349"/>
      <c r="DUY65" s="349"/>
      <c r="DUZ65" s="349"/>
      <c r="DVA65" s="349"/>
      <c r="DVB65" s="349"/>
      <c r="DVC65" s="349"/>
      <c r="DVD65" s="349"/>
      <c r="DVE65" s="349"/>
      <c r="DVF65" s="349"/>
      <c r="DVG65" s="349"/>
      <c r="DVH65" s="349"/>
      <c r="DVI65" s="349"/>
      <c r="DVJ65" s="349"/>
      <c r="DVK65" s="349"/>
      <c r="DVL65" s="349"/>
      <c r="DVM65" s="349"/>
      <c r="DVN65" s="349"/>
      <c r="DVO65" s="349"/>
      <c r="DVP65" s="349"/>
      <c r="DVQ65" s="349"/>
      <c r="DVR65" s="349"/>
      <c r="DVS65" s="349"/>
      <c r="DVT65" s="349"/>
      <c r="DVU65" s="349"/>
      <c r="DVV65" s="349"/>
      <c r="DVW65" s="349"/>
      <c r="DVX65" s="349"/>
      <c r="DVY65" s="349"/>
      <c r="DVZ65" s="349"/>
      <c r="DWA65" s="349"/>
      <c r="DWB65" s="349"/>
      <c r="DWC65" s="349"/>
      <c r="DWD65" s="349"/>
      <c r="DWE65" s="349"/>
      <c r="DWF65" s="349"/>
      <c r="DWG65" s="349"/>
      <c r="DWH65" s="349"/>
      <c r="DWI65" s="349"/>
      <c r="DWJ65" s="349"/>
      <c r="DWK65" s="349"/>
      <c r="DWL65" s="349"/>
      <c r="DWM65" s="349"/>
      <c r="DWN65" s="349"/>
      <c r="DWO65" s="349"/>
      <c r="DWP65" s="349"/>
      <c r="DWQ65" s="349"/>
      <c r="DWR65" s="349"/>
      <c r="DWS65" s="349"/>
      <c r="DWT65" s="349"/>
      <c r="DWU65" s="349"/>
      <c r="DWV65" s="349"/>
      <c r="DWW65" s="349"/>
      <c r="DWX65" s="349"/>
      <c r="DWY65" s="349"/>
      <c r="DWZ65" s="349"/>
      <c r="DXA65" s="349"/>
      <c r="DXB65" s="349"/>
      <c r="DXC65" s="349"/>
      <c r="DXD65" s="349"/>
      <c r="DXE65" s="349"/>
      <c r="DXF65" s="349"/>
      <c r="DXG65" s="349"/>
      <c r="DXH65" s="349"/>
      <c r="DXI65" s="349"/>
      <c r="DXJ65" s="349"/>
      <c r="DXK65" s="349"/>
      <c r="DXL65" s="349"/>
      <c r="DXM65" s="349"/>
      <c r="DXN65" s="349"/>
      <c r="DXO65" s="349"/>
      <c r="DXP65" s="349"/>
      <c r="DXQ65" s="349"/>
      <c r="DXR65" s="349"/>
      <c r="DXS65" s="349"/>
      <c r="DXT65" s="349"/>
      <c r="DXU65" s="349"/>
      <c r="DXV65" s="349"/>
      <c r="DXW65" s="349"/>
      <c r="DXX65" s="349"/>
      <c r="DXY65" s="349"/>
      <c r="DXZ65" s="349"/>
      <c r="DYA65" s="349"/>
      <c r="DYB65" s="349"/>
      <c r="DYC65" s="349"/>
      <c r="DYD65" s="349"/>
      <c r="DYE65" s="349"/>
      <c r="DYF65" s="349"/>
      <c r="DYG65" s="349"/>
      <c r="DYH65" s="349"/>
      <c r="DYI65" s="349"/>
      <c r="DYJ65" s="349"/>
      <c r="DYK65" s="349"/>
      <c r="DYL65" s="349"/>
      <c r="DYM65" s="349"/>
      <c r="DYN65" s="349"/>
      <c r="DYO65" s="349"/>
      <c r="DYP65" s="349"/>
      <c r="DYQ65" s="349"/>
      <c r="DYR65" s="349"/>
      <c r="DYS65" s="349"/>
      <c r="DYT65" s="349"/>
      <c r="DYU65" s="349"/>
      <c r="DYV65" s="349"/>
      <c r="DYW65" s="349"/>
      <c r="DYX65" s="349"/>
      <c r="DYY65" s="349"/>
      <c r="DYZ65" s="349"/>
      <c r="DZA65" s="349"/>
      <c r="DZB65" s="349"/>
      <c r="DZC65" s="349"/>
      <c r="DZD65" s="349"/>
      <c r="DZE65" s="349"/>
      <c r="DZF65" s="349"/>
      <c r="DZG65" s="349"/>
      <c r="DZH65" s="349"/>
      <c r="DZI65" s="349"/>
      <c r="DZJ65" s="349"/>
      <c r="DZK65" s="349"/>
      <c r="DZL65" s="349"/>
      <c r="DZM65" s="349"/>
      <c r="DZN65" s="349"/>
      <c r="DZO65" s="349"/>
      <c r="DZP65" s="349"/>
      <c r="DZQ65" s="349"/>
      <c r="DZR65" s="349"/>
      <c r="DZS65" s="349"/>
      <c r="DZT65" s="349"/>
      <c r="DZU65" s="349"/>
      <c r="DZV65" s="349"/>
      <c r="DZW65" s="349"/>
      <c r="DZX65" s="349"/>
      <c r="DZY65" s="349"/>
      <c r="DZZ65" s="349"/>
      <c r="EAA65" s="349"/>
      <c r="EAB65" s="349"/>
      <c r="EAC65" s="349"/>
      <c r="EAD65" s="349"/>
      <c r="EAE65" s="349"/>
      <c r="EAF65" s="349"/>
      <c r="EAG65" s="349"/>
      <c r="EAH65" s="349"/>
      <c r="EAI65" s="349"/>
      <c r="EAJ65" s="349"/>
      <c r="EAK65" s="349"/>
      <c r="EAL65" s="349"/>
      <c r="EAM65" s="349"/>
      <c r="EAN65" s="349"/>
      <c r="EAO65" s="349"/>
      <c r="EAP65" s="349"/>
      <c r="EAQ65" s="349"/>
      <c r="EAR65" s="349"/>
      <c r="EAS65" s="349"/>
      <c r="EAT65" s="349"/>
      <c r="EAU65" s="349"/>
      <c r="EAV65" s="349"/>
      <c r="EAW65" s="349"/>
      <c r="EAX65" s="349"/>
      <c r="EAY65" s="349"/>
      <c r="EAZ65" s="349"/>
      <c r="EBA65" s="349"/>
      <c r="EBB65" s="349"/>
      <c r="EBC65" s="349"/>
      <c r="EBD65" s="349"/>
      <c r="EBE65" s="349"/>
      <c r="EBF65" s="349"/>
      <c r="EBG65" s="349"/>
      <c r="EBH65" s="349"/>
      <c r="EBI65" s="349"/>
      <c r="EBJ65" s="349"/>
      <c r="EBK65" s="349"/>
      <c r="EBL65" s="349"/>
      <c r="EBM65" s="349"/>
      <c r="EBN65" s="349"/>
      <c r="EBO65" s="349"/>
      <c r="EBP65" s="349"/>
      <c r="EBQ65" s="349"/>
      <c r="EBR65" s="349"/>
      <c r="EBS65" s="349"/>
      <c r="EBT65" s="349"/>
      <c r="EBU65" s="349"/>
      <c r="EBV65" s="349"/>
      <c r="EBW65" s="349"/>
      <c r="EBX65" s="349"/>
      <c r="EBY65" s="349"/>
      <c r="EBZ65" s="349"/>
      <c r="ECA65" s="349"/>
      <c r="ECB65" s="349"/>
      <c r="ECC65" s="349"/>
      <c r="ECD65" s="349"/>
      <c r="ECE65" s="349"/>
      <c r="ECF65" s="349"/>
      <c r="ECG65" s="349"/>
      <c r="ECH65" s="349"/>
      <c r="ECI65" s="349"/>
      <c r="ECJ65" s="349"/>
      <c r="ECK65" s="349"/>
      <c r="ECL65" s="349"/>
      <c r="ECM65" s="349"/>
      <c r="ECN65" s="349"/>
      <c r="ECO65" s="349"/>
      <c r="ECP65" s="349"/>
      <c r="ECQ65" s="349"/>
      <c r="ECR65" s="349"/>
      <c r="ECS65" s="349"/>
      <c r="ECT65" s="349"/>
      <c r="ECU65" s="349"/>
      <c r="ECV65" s="349"/>
      <c r="ECW65" s="349"/>
      <c r="ECX65" s="349"/>
      <c r="ECY65" s="349"/>
      <c r="ECZ65" s="349"/>
      <c r="EDA65" s="349"/>
      <c r="EDB65" s="349"/>
      <c r="EDC65" s="349"/>
      <c r="EDD65" s="349"/>
      <c r="EDE65" s="349"/>
      <c r="EDF65" s="349"/>
      <c r="EDG65" s="349"/>
      <c r="EDH65" s="349"/>
      <c r="EDI65" s="349"/>
      <c r="EDJ65" s="349"/>
      <c r="EDK65" s="349"/>
      <c r="EDL65" s="349"/>
      <c r="EDM65" s="349"/>
      <c r="EDN65" s="349"/>
      <c r="EDO65" s="349"/>
      <c r="EDP65" s="349"/>
      <c r="EDQ65" s="349"/>
      <c r="EDR65" s="349"/>
      <c r="EDS65" s="349"/>
      <c r="EDT65" s="349"/>
      <c r="EDU65" s="349"/>
      <c r="EDV65" s="349"/>
      <c r="EDW65" s="349"/>
      <c r="EDX65" s="349"/>
      <c r="EDY65" s="349"/>
      <c r="EDZ65" s="349"/>
      <c r="EEA65" s="349"/>
      <c r="EEB65" s="349"/>
      <c r="EEC65" s="349"/>
      <c r="EED65" s="349"/>
      <c r="EEE65" s="349"/>
      <c r="EEF65" s="349"/>
      <c r="EEG65" s="349"/>
      <c r="EEH65" s="349"/>
      <c r="EEI65" s="349"/>
      <c r="EEJ65" s="349"/>
      <c r="EEK65" s="349"/>
      <c r="EEL65" s="349"/>
      <c r="EEM65" s="349"/>
      <c r="EEN65" s="349"/>
      <c r="EEO65" s="349"/>
      <c r="EEP65" s="349"/>
      <c r="EEQ65" s="349"/>
      <c r="EER65" s="349"/>
      <c r="EES65" s="349"/>
      <c r="EET65" s="349"/>
      <c r="EEU65" s="349"/>
      <c r="EEV65" s="349"/>
      <c r="EEW65" s="349"/>
      <c r="EEX65" s="349"/>
      <c r="EEY65" s="349"/>
      <c r="EEZ65" s="349"/>
      <c r="EFA65" s="349"/>
      <c r="EFB65" s="349"/>
      <c r="EFC65" s="349"/>
      <c r="EFD65" s="349"/>
      <c r="EFE65" s="349"/>
      <c r="EFF65" s="349"/>
      <c r="EFG65" s="349"/>
      <c r="EFH65" s="349"/>
      <c r="EFI65" s="349"/>
      <c r="EFJ65" s="349"/>
      <c r="EFK65" s="349"/>
      <c r="EFL65" s="349"/>
      <c r="EFM65" s="349"/>
      <c r="EFN65" s="349"/>
      <c r="EFO65" s="349"/>
      <c r="EFP65" s="349"/>
      <c r="EFQ65" s="349"/>
      <c r="EFR65" s="349"/>
      <c r="EFS65" s="349"/>
      <c r="EFT65" s="349"/>
      <c r="EFU65" s="349"/>
      <c r="EFV65" s="349"/>
      <c r="EFW65" s="349"/>
      <c r="EFX65" s="349"/>
      <c r="EFY65" s="349"/>
      <c r="EFZ65" s="349"/>
      <c r="EGA65" s="349"/>
      <c r="EGB65" s="349"/>
      <c r="EGC65" s="349"/>
      <c r="EGD65" s="349"/>
      <c r="EGE65" s="349"/>
      <c r="EGF65" s="349"/>
      <c r="EGG65" s="349"/>
      <c r="EGH65" s="349"/>
      <c r="EGI65" s="349"/>
      <c r="EGJ65" s="349"/>
      <c r="EGK65" s="349"/>
      <c r="EGL65" s="349"/>
      <c r="EGM65" s="349"/>
      <c r="EGN65" s="349"/>
      <c r="EGO65" s="349"/>
      <c r="EGP65" s="349"/>
      <c r="EGQ65" s="349"/>
      <c r="EGR65" s="349"/>
      <c r="EGS65" s="349"/>
      <c r="EGT65" s="349"/>
      <c r="EGU65" s="349"/>
      <c r="EGV65" s="349"/>
      <c r="EGW65" s="349"/>
      <c r="EGX65" s="349"/>
      <c r="EGY65" s="349"/>
      <c r="EGZ65" s="349"/>
      <c r="EHA65" s="349"/>
      <c r="EHB65" s="349"/>
      <c r="EHC65" s="349"/>
      <c r="EHD65" s="349"/>
      <c r="EHE65" s="349"/>
      <c r="EHF65" s="349"/>
      <c r="EHG65" s="349"/>
      <c r="EHH65" s="349"/>
      <c r="EHI65" s="349"/>
      <c r="EHJ65" s="349"/>
      <c r="EHK65" s="349"/>
      <c r="EHL65" s="349"/>
      <c r="EHM65" s="349"/>
      <c r="EHN65" s="349"/>
      <c r="EHO65" s="349"/>
      <c r="EHP65" s="349"/>
      <c r="EHQ65" s="349"/>
      <c r="EHR65" s="349"/>
      <c r="EHS65" s="349"/>
      <c r="EHT65" s="349"/>
      <c r="EHU65" s="349"/>
      <c r="EHV65" s="349"/>
      <c r="EHW65" s="349"/>
      <c r="EHX65" s="349"/>
      <c r="EHY65" s="349"/>
      <c r="EHZ65" s="349"/>
      <c r="EIA65" s="349"/>
      <c r="EIB65" s="349"/>
      <c r="EIC65" s="349"/>
      <c r="EID65" s="349"/>
      <c r="EIE65" s="349"/>
      <c r="EIF65" s="349"/>
      <c r="EIG65" s="349"/>
      <c r="EIH65" s="349"/>
      <c r="EII65" s="349"/>
      <c r="EIJ65" s="349"/>
      <c r="EIK65" s="349"/>
      <c r="EIL65" s="349"/>
      <c r="EIM65" s="349"/>
      <c r="EIN65" s="349"/>
      <c r="EIO65" s="349"/>
      <c r="EIP65" s="349"/>
      <c r="EIQ65" s="349"/>
      <c r="EIR65" s="349"/>
      <c r="EIS65" s="349"/>
      <c r="EIT65" s="349"/>
      <c r="EIU65" s="349"/>
      <c r="EIV65" s="349"/>
      <c r="EIW65" s="349"/>
      <c r="EIX65" s="349"/>
      <c r="EIY65" s="349"/>
      <c r="EIZ65" s="349"/>
      <c r="EJA65" s="349"/>
      <c r="EJB65" s="349"/>
      <c r="EJC65" s="349"/>
      <c r="EJD65" s="349"/>
      <c r="EJE65" s="349"/>
      <c r="EJF65" s="349"/>
      <c r="EJG65" s="349"/>
      <c r="EJH65" s="349"/>
      <c r="EJI65" s="349"/>
      <c r="EJJ65" s="349"/>
      <c r="EJK65" s="349"/>
      <c r="EJL65" s="349"/>
      <c r="EJM65" s="349"/>
      <c r="EJN65" s="349"/>
      <c r="EJO65" s="349"/>
      <c r="EJP65" s="349"/>
      <c r="EJQ65" s="349"/>
      <c r="EJR65" s="349"/>
      <c r="EJS65" s="349"/>
      <c r="EJT65" s="349"/>
      <c r="EJU65" s="349"/>
      <c r="EJV65" s="349"/>
      <c r="EJW65" s="349"/>
      <c r="EJX65" s="349"/>
      <c r="EJY65" s="349"/>
      <c r="EJZ65" s="349"/>
      <c r="EKA65" s="349"/>
      <c r="EKB65" s="349"/>
      <c r="EKC65" s="349"/>
      <c r="EKD65" s="349"/>
      <c r="EKE65" s="349"/>
      <c r="EKF65" s="349"/>
      <c r="EKG65" s="349"/>
      <c r="EKH65" s="349"/>
      <c r="EKI65" s="349"/>
      <c r="EKJ65" s="349"/>
      <c r="EKK65" s="349"/>
      <c r="EKL65" s="349"/>
      <c r="EKM65" s="349"/>
      <c r="EKN65" s="349"/>
      <c r="EKO65" s="349"/>
      <c r="EKP65" s="349"/>
      <c r="EKQ65" s="349"/>
      <c r="EKR65" s="349"/>
      <c r="EKS65" s="349"/>
      <c r="EKT65" s="349"/>
      <c r="EKU65" s="349"/>
      <c r="EKV65" s="349"/>
      <c r="EKW65" s="349"/>
      <c r="EKX65" s="349"/>
      <c r="EKY65" s="349"/>
      <c r="EKZ65" s="349"/>
      <c r="ELA65" s="349"/>
      <c r="ELB65" s="349"/>
      <c r="ELC65" s="349"/>
      <c r="ELD65" s="349"/>
      <c r="ELE65" s="349"/>
      <c r="ELF65" s="349"/>
      <c r="ELG65" s="349"/>
      <c r="ELH65" s="349"/>
      <c r="ELI65" s="349"/>
      <c r="ELJ65" s="349"/>
      <c r="ELK65" s="349"/>
      <c r="ELL65" s="349"/>
      <c r="ELM65" s="349"/>
      <c r="ELN65" s="349"/>
      <c r="ELO65" s="349"/>
      <c r="ELP65" s="349"/>
      <c r="ELQ65" s="349"/>
      <c r="ELR65" s="349"/>
      <c r="ELS65" s="349"/>
      <c r="ELT65" s="349"/>
      <c r="ELU65" s="349"/>
      <c r="ELV65" s="349"/>
      <c r="ELW65" s="349"/>
      <c r="ELX65" s="349"/>
      <c r="ELY65" s="349"/>
      <c r="ELZ65" s="349"/>
      <c r="EMA65" s="349"/>
      <c r="EMB65" s="349"/>
      <c r="EMC65" s="349"/>
      <c r="EMD65" s="349"/>
      <c r="EME65" s="349"/>
      <c r="EMF65" s="349"/>
      <c r="EMG65" s="349"/>
      <c r="EMH65" s="349"/>
      <c r="EMI65" s="349"/>
      <c r="EMJ65" s="349"/>
      <c r="EMK65" s="349"/>
      <c r="EML65" s="349"/>
      <c r="EMM65" s="349"/>
      <c r="EMN65" s="349"/>
      <c r="EMO65" s="349"/>
      <c r="EMP65" s="349"/>
      <c r="EMQ65" s="349"/>
      <c r="EMR65" s="349"/>
      <c r="EMS65" s="349"/>
      <c r="EMT65" s="349"/>
      <c r="EMU65" s="349"/>
      <c r="EMV65" s="349"/>
      <c r="EMW65" s="349"/>
      <c r="EMX65" s="349"/>
      <c r="EMY65" s="349"/>
      <c r="EMZ65" s="349"/>
      <c r="ENA65" s="349"/>
      <c r="ENB65" s="349"/>
      <c r="ENC65" s="349"/>
      <c r="END65" s="349"/>
      <c r="ENE65" s="349"/>
      <c r="ENF65" s="349"/>
      <c r="ENG65" s="349"/>
      <c r="ENH65" s="349"/>
      <c r="ENI65" s="349"/>
      <c r="ENJ65" s="349"/>
      <c r="ENK65" s="349"/>
      <c r="ENL65" s="349"/>
      <c r="ENM65" s="349"/>
      <c r="ENN65" s="349"/>
      <c r="ENO65" s="349"/>
      <c r="ENP65" s="349"/>
      <c r="ENQ65" s="349"/>
      <c r="ENR65" s="349"/>
      <c r="ENS65" s="349"/>
      <c r="ENT65" s="349"/>
      <c r="ENU65" s="349"/>
      <c r="ENV65" s="349"/>
      <c r="ENW65" s="349"/>
      <c r="ENX65" s="349"/>
      <c r="ENY65" s="349"/>
      <c r="ENZ65" s="349"/>
      <c r="EOA65" s="349"/>
      <c r="EOB65" s="349"/>
      <c r="EOC65" s="349"/>
      <c r="EOD65" s="349"/>
      <c r="EOE65" s="349"/>
      <c r="EOF65" s="349"/>
      <c r="EOG65" s="349"/>
      <c r="EOH65" s="349"/>
      <c r="EOI65" s="349"/>
      <c r="EOJ65" s="349"/>
      <c r="EOK65" s="349"/>
      <c r="EOL65" s="349"/>
      <c r="EOM65" s="349"/>
      <c r="EON65" s="349"/>
      <c r="EOO65" s="349"/>
      <c r="EOP65" s="349"/>
      <c r="EOQ65" s="349"/>
      <c r="EOR65" s="349"/>
      <c r="EOS65" s="349"/>
      <c r="EOT65" s="349"/>
      <c r="EOU65" s="349"/>
      <c r="EOV65" s="349"/>
      <c r="EOW65" s="349"/>
      <c r="EOX65" s="349"/>
      <c r="EOY65" s="349"/>
      <c r="EOZ65" s="349"/>
      <c r="EPA65" s="349"/>
      <c r="EPB65" s="349"/>
      <c r="EPC65" s="349"/>
      <c r="EPD65" s="349"/>
      <c r="EPE65" s="349"/>
      <c r="EPF65" s="349"/>
      <c r="EPG65" s="349"/>
      <c r="EPH65" s="349"/>
      <c r="EPI65" s="349"/>
      <c r="EPJ65" s="349"/>
      <c r="EPK65" s="349"/>
      <c r="EPL65" s="349"/>
      <c r="EPM65" s="349"/>
      <c r="EPN65" s="349"/>
      <c r="EPO65" s="349"/>
      <c r="EPP65" s="349"/>
      <c r="EPQ65" s="349"/>
      <c r="EPR65" s="349"/>
      <c r="EPS65" s="349"/>
      <c r="EPT65" s="349"/>
      <c r="EPU65" s="349"/>
      <c r="EPV65" s="349"/>
      <c r="EPW65" s="349"/>
      <c r="EPX65" s="349"/>
      <c r="EPY65" s="349"/>
      <c r="EPZ65" s="349"/>
      <c r="EQA65" s="349"/>
      <c r="EQB65" s="349"/>
      <c r="EQC65" s="349"/>
      <c r="EQD65" s="349"/>
      <c r="EQE65" s="349"/>
      <c r="EQF65" s="349"/>
      <c r="EQG65" s="349"/>
      <c r="EQH65" s="349"/>
      <c r="EQI65" s="349"/>
      <c r="EQJ65" s="349"/>
      <c r="EQK65" s="349"/>
      <c r="EQL65" s="349"/>
      <c r="EQM65" s="349"/>
      <c r="EQN65" s="349"/>
      <c r="EQO65" s="349"/>
      <c r="EQP65" s="349"/>
      <c r="EQQ65" s="349"/>
      <c r="EQR65" s="349"/>
      <c r="EQS65" s="349"/>
      <c r="EQT65" s="349"/>
      <c r="EQU65" s="349"/>
      <c r="EQV65" s="349"/>
      <c r="EQW65" s="349"/>
      <c r="EQX65" s="349"/>
      <c r="EQY65" s="349"/>
      <c r="EQZ65" s="349"/>
      <c r="ERA65" s="349"/>
      <c r="ERB65" s="349"/>
      <c r="ERC65" s="349"/>
      <c r="ERD65" s="349"/>
      <c r="ERE65" s="349"/>
      <c r="ERF65" s="349"/>
      <c r="ERG65" s="349"/>
      <c r="ERH65" s="349"/>
      <c r="ERI65" s="349"/>
      <c r="ERJ65" s="349"/>
      <c r="ERK65" s="349"/>
      <c r="ERL65" s="349"/>
      <c r="ERM65" s="349"/>
      <c r="ERN65" s="349"/>
      <c r="ERO65" s="349"/>
      <c r="ERP65" s="349"/>
      <c r="ERQ65" s="349"/>
      <c r="ERR65" s="349"/>
      <c r="ERS65" s="349"/>
      <c r="ERT65" s="349"/>
      <c r="ERU65" s="349"/>
      <c r="ERV65" s="349"/>
      <c r="ERW65" s="349"/>
      <c r="ERX65" s="349"/>
      <c r="ERY65" s="349"/>
      <c r="ERZ65" s="349"/>
      <c r="ESA65" s="349"/>
      <c r="ESB65" s="349"/>
      <c r="ESC65" s="349"/>
      <c r="ESD65" s="349"/>
      <c r="ESE65" s="349"/>
      <c r="ESF65" s="349"/>
      <c r="ESG65" s="349"/>
      <c r="ESH65" s="349"/>
      <c r="ESI65" s="349"/>
      <c r="ESJ65" s="349"/>
      <c r="ESK65" s="349"/>
      <c r="ESL65" s="349"/>
      <c r="ESM65" s="349"/>
      <c r="ESN65" s="349"/>
      <c r="ESO65" s="349"/>
      <c r="ESP65" s="349"/>
      <c r="ESQ65" s="349"/>
      <c r="ESR65" s="349"/>
      <c r="ESS65" s="349"/>
      <c r="EST65" s="349"/>
      <c r="ESU65" s="349"/>
      <c r="ESV65" s="349"/>
      <c r="ESW65" s="349"/>
      <c r="ESX65" s="349"/>
      <c r="ESY65" s="349"/>
      <c r="ESZ65" s="349"/>
      <c r="ETA65" s="349"/>
      <c r="ETB65" s="349"/>
      <c r="ETC65" s="349"/>
      <c r="ETD65" s="349"/>
      <c r="ETE65" s="349"/>
      <c r="ETF65" s="349"/>
      <c r="ETG65" s="349"/>
      <c r="ETH65" s="349"/>
      <c r="ETI65" s="349"/>
      <c r="ETJ65" s="349"/>
      <c r="ETK65" s="349"/>
      <c r="ETL65" s="349"/>
      <c r="ETM65" s="349"/>
      <c r="ETN65" s="349"/>
      <c r="ETO65" s="349"/>
      <c r="ETP65" s="349"/>
      <c r="ETQ65" s="349"/>
      <c r="ETR65" s="349"/>
      <c r="ETS65" s="349"/>
      <c r="ETT65" s="349"/>
      <c r="ETU65" s="349"/>
      <c r="ETV65" s="349"/>
      <c r="ETW65" s="349"/>
      <c r="ETX65" s="349"/>
      <c r="ETY65" s="349"/>
      <c r="ETZ65" s="349"/>
      <c r="EUA65" s="349"/>
      <c r="EUB65" s="349"/>
      <c r="EUC65" s="349"/>
      <c r="EUD65" s="349"/>
      <c r="EUE65" s="349"/>
      <c r="EUF65" s="349"/>
      <c r="EUG65" s="349"/>
      <c r="EUH65" s="349"/>
      <c r="EUI65" s="349"/>
      <c r="EUJ65" s="349"/>
      <c r="EUK65" s="349"/>
      <c r="EUL65" s="349"/>
      <c r="EUM65" s="349"/>
      <c r="EUN65" s="349"/>
      <c r="EUO65" s="349"/>
      <c r="EUP65" s="349"/>
      <c r="EUQ65" s="349"/>
      <c r="EUR65" s="349"/>
      <c r="EUS65" s="349"/>
      <c r="EUT65" s="349"/>
      <c r="EUU65" s="349"/>
      <c r="EUV65" s="349"/>
      <c r="EUW65" s="349"/>
      <c r="EUX65" s="349"/>
      <c r="EUY65" s="349"/>
      <c r="EUZ65" s="349"/>
      <c r="EVA65" s="349"/>
      <c r="EVB65" s="349"/>
      <c r="EVC65" s="349"/>
      <c r="EVD65" s="349"/>
      <c r="EVE65" s="349"/>
      <c r="EVF65" s="349"/>
      <c r="EVG65" s="349"/>
      <c r="EVH65" s="349"/>
      <c r="EVI65" s="349"/>
      <c r="EVJ65" s="349"/>
      <c r="EVK65" s="349"/>
      <c r="EVL65" s="349"/>
      <c r="EVM65" s="349"/>
      <c r="EVN65" s="349"/>
      <c r="EVO65" s="349"/>
      <c r="EVP65" s="349"/>
      <c r="EVQ65" s="349"/>
      <c r="EVR65" s="349"/>
      <c r="EVS65" s="349"/>
      <c r="EVT65" s="349"/>
      <c r="EVU65" s="349"/>
      <c r="EVV65" s="349"/>
      <c r="EVW65" s="349"/>
      <c r="EVX65" s="349"/>
      <c r="EVY65" s="349"/>
      <c r="EVZ65" s="349"/>
      <c r="EWA65" s="349"/>
      <c r="EWB65" s="349"/>
      <c r="EWC65" s="349"/>
      <c r="EWD65" s="349"/>
      <c r="EWE65" s="349"/>
      <c r="EWF65" s="349"/>
      <c r="EWG65" s="349"/>
      <c r="EWH65" s="349"/>
      <c r="EWI65" s="349"/>
      <c r="EWJ65" s="349"/>
      <c r="EWK65" s="349"/>
      <c r="EWL65" s="349"/>
      <c r="EWM65" s="349"/>
      <c r="EWN65" s="349"/>
      <c r="EWO65" s="349"/>
      <c r="EWP65" s="349"/>
      <c r="EWQ65" s="349"/>
      <c r="EWR65" s="349"/>
      <c r="EWS65" s="349"/>
      <c r="EWT65" s="349"/>
      <c r="EWU65" s="349"/>
      <c r="EWV65" s="349"/>
      <c r="EWW65" s="349"/>
      <c r="EWX65" s="349"/>
      <c r="EWY65" s="349"/>
      <c r="EWZ65" s="349"/>
      <c r="EXA65" s="349"/>
      <c r="EXB65" s="349"/>
      <c r="EXC65" s="349"/>
      <c r="EXD65" s="349"/>
      <c r="EXE65" s="349"/>
      <c r="EXF65" s="349"/>
      <c r="EXG65" s="349"/>
      <c r="EXH65" s="349"/>
      <c r="EXI65" s="349"/>
      <c r="EXJ65" s="349"/>
      <c r="EXK65" s="349"/>
      <c r="EXL65" s="349"/>
      <c r="EXM65" s="349"/>
      <c r="EXN65" s="349"/>
      <c r="EXO65" s="349"/>
      <c r="EXP65" s="349"/>
      <c r="EXQ65" s="349"/>
      <c r="EXR65" s="349"/>
      <c r="EXS65" s="349"/>
      <c r="EXT65" s="349"/>
      <c r="EXU65" s="349"/>
      <c r="EXV65" s="349"/>
      <c r="EXW65" s="349"/>
      <c r="EXX65" s="349"/>
      <c r="EXY65" s="349"/>
      <c r="EXZ65" s="349"/>
      <c r="EYA65" s="349"/>
      <c r="EYB65" s="349"/>
      <c r="EYC65" s="349"/>
      <c r="EYD65" s="349"/>
      <c r="EYE65" s="349"/>
      <c r="EYF65" s="349"/>
      <c r="EYG65" s="349"/>
      <c r="EYH65" s="349"/>
      <c r="EYI65" s="349"/>
      <c r="EYJ65" s="349"/>
      <c r="EYK65" s="349"/>
      <c r="EYL65" s="349"/>
      <c r="EYM65" s="349"/>
      <c r="EYN65" s="349"/>
      <c r="EYO65" s="349"/>
      <c r="EYP65" s="349"/>
      <c r="EYQ65" s="349"/>
      <c r="EYR65" s="349"/>
      <c r="EYS65" s="349"/>
      <c r="EYT65" s="349"/>
      <c r="EYU65" s="349"/>
      <c r="EYV65" s="349"/>
      <c r="EYW65" s="349"/>
      <c r="EYX65" s="349"/>
      <c r="EYY65" s="349"/>
      <c r="EYZ65" s="349"/>
      <c r="EZA65" s="349"/>
      <c r="EZB65" s="349"/>
      <c r="EZC65" s="349"/>
      <c r="EZD65" s="349"/>
      <c r="EZE65" s="349"/>
      <c r="EZF65" s="349"/>
      <c r="EZG65" s="349"/>
      <c r="EZH65" s="349"/>
      <c r="EZI65" s="349"/>
      <c r="EZJ65" s="349"/>
      <c r="EZK65" s="349"/>
      <c r="EZL65" s="349"/>
      <c r="EZM65" s="349"/>
      <c r="EZN65" s="349"/>
      <c r="EZO65" s="349"/>
      <c r="EZP65" s="349"/>
      <c r="EZQ65" s="349"/>
      <c r="EZR65" s="349"/>
      <c r="EZS65" s="349"/>
      <c r="EZT65" s="349"/>
      <c r="EZU65" s="349"/>
      <c r="EZV65" s="349"/>
      <c r="EZW65" s="349"/>
      <c r="EZX65" s="349"/>
      <c r="EZY65" s="349"/>
      <c r="EZZ65" s="349"/>
      <c r="FAA65" s="349"/>
      <c r="FAB65" s="349"/>
      <c r="FAC65" s="349"/>
      <c r="FAD65" s="349"/>
      <c r="FAE65" s="349"/>
      <c r="FAF65" s="349"/>
      <c r="FAG65" s="349"/>
      <c r="FAH65" s="349"/>
      <c r="FAI65" s="349"/>
      <c r="FAJ65" s="349"/>
      <c r="FAK65" s="349"/>
      <c r="FAL65" s="349"/>
      <c r="FAM65" s="349"/>
      <c r="FAN65" s="349"/>
      <c r="FAO65" s="349"/>
      <c r="FAP65" s="349"/>
      <c r="FAQ65" s="349"/>
      <c r="FAR65" s="349"/>
      <c r="FAS65" s="349"/>
      <c r="FAT65" s="349"/>
      <c r="FAU65" s="349"/>
      <c r="FAV65" s="349"/>
      <c r="FAW65" s="349"/>
      <c r="FAX65" s="349"/>
      <c r="FAY65" s="349"/>
      <c r="FAZ65" s="349"/>
      <c r="FBA65" s="349"/>
      <c r="FBB65" s="349"/>
      <c r="FBC65" s="349"/>
      <c r="FBD65" s="349"/>
      <c r="FBE65" s="349"/>
      <c r="FBF65" s="349"/>
      <c r="FBG65" s="349"/>
      <c r="FBH65" s="349"/>
      <c r="FBI65" s="349"/>
      <c r="FBJ65" s="349"/>
      <c r="FBK65" s="349"/>
      <c r="FBL65" s="349"/>
      <c r="FBM65" s="349"/>
      <c r="FBN65" s="349"/>
      <c r="FBO65" s="349"/>
      <c r="FBP65" s="349"/>
      <c r="FBQ65" s="349"/>
      <c r="FBR65" s="349"/>
      <c r="FBS65" s="349"/>
      <c r="FBT65" s="349"/>
      <c r="FBU65" s="349"/>
      <c r="FBV65" s="349"/>
      <c r="FBW65" s="349"/>
      <c r="FBX65" s="349"/>
      <c r="FBY65" s="349"/>
      <c r="FBZ65" s="349"/>
      <c r="FCA65" s="349"/>
      <c r="FCB65" s="349"/>
      <c r="FCC65" s="349"/>
      <c r="FCD65" s="349"/>
      <c r="FCE65" s="349"/>
      <c r="FCF65" s="349"/>
      <c r="FCG65" s="349"/>
      <c r="FCH65" s="349"/>
      <c r="FCI65" s="349"/>
      <c r="FCJ65" s="349"/>
      <c r="FCK65" s="349"/>
      <c r="FCL65" s="349"/>
      <c r="FCM65" s="349"/>
      <c r="FCN65" s="349"/>
      <c r="FCO65" s="349"/>
      <c r="FCP65" s="349"/>
      <c r="FCQ65" s="349"/>
      <c r="FCR65" s="349"/>
      <c r="FCS65" s="349"/>
      <c r="FCT65" s="349"/>
      <c r="FCU65" s="349"/>
      <c r="FCV65" s="349"/>
      <c r="FCW65" s="349"/>
      <c r="FCX65" s="349"/>
      <c r="FCY65" s="349"/>
      <c r="FCZ65" s="349"/>
      <c r="FDA65" s="349"/>
      <c r="FDB65" s="349"/>
      <c r="FDC65" s="349"/>
      <c r="FDD65" s="349"/>
      <c r="FDE65" s="349"/>
      <c r="FDF65" s="349"/>
      <c r="FDG65" s="349"/>
      <c r="FDH65" s="349"/>
      <c r="FDI65" s="349"/>
      <c r="FDJ65" s="349"/>
      <c r="FDK65" s="349"/>
      <c r="FDL65" s="349"/>
      <c r="FDM65" s="349"/>
      <c r="FDN65" s="349"/>
      <c r="FDO65" s="349"/>
      <c r="FDP65" s="349"/>
      <c r="FDQ65" s="349"/>
      <c r="FDR65" s="349"/>
      <c r="FDS65" s="349"/>
      <c r="FDT65" s="349"/>
      <c r="FDU65" s="349"/>
      <c r="FDV65" s="349"/>
      <c r="FDW65" s="349"/>
      <c r="FDX65" s="349"/>
      <c r="FDY65" s="349"/>
      <c r="FDZ65" s="349"/>
      <c r="FEA65" s="349"/>
      <c r="FEB65" s="349"/>
      <c r="FEC65" s="349"/>
      <c r="FED65" s="349"/>
      <c r="FEE65" s="349"/>
      <c r="FEF65" s="349"/>
      <c r="FEG65" s="349"/>
      <c r="FEH65" s="349"/>
      <c r="FEI65" s="349"/>
      <c r="FEJ65" s="349"/>
      <c r="FEK65" s="349"/>
      <c r="FEL65" s="349"/>
      <c r="FEM65" s="349"/>
      <c r="FEN65" s="349"/>
      <c r="FEO65" s="349"/>
      <c r="FEP65" s="349"/>
      <c r="FEQ65" s="349"/>
      <c r="FER65" s="349"/>
      <c r="FES65" s="349"/>
      <c r="FET65" s="349"/>
      <c r="FEU65" s="349"/>
      <c r="FEV65" s="349"/>
      <c r="FEW65" s="349"/>
      <c r="FEX65" s="349"/>
      <c r="FEY65" s="349"/>
      <c r="FEZ65" s="349"/>
      <c r="FFA65" s="349"/>
      <c r="FFB65" s="349"/>
      <c r="FFC65" s="349"/>
      <c r="FFD65" s="349"/>
      <c r="FFE65" s="349"/>
      <c r="FFF65" s="349"/>
      <c r="FFG65" s="349"/>
      <c r="FFH65" s="349"/>
      <c r="FFI65" s="349"/>
      <c r="FFJ65" s="349"/>
      <c r="FFK65" s="349"/>
      <c r="FFL65" s="349"/>
      <c r="FFM65" s="349"/>
      <c r="FFN65" s="349"/>
      <c r="FFO65" s="349"/>
      <c r="FFP65" s="349"/>
      <c r="FFQ65" s="349"/>
      <c r="FFR65" s="349"/>
      <c r="FFS65" s="349"/>
      <c r="FFT65" s="349"/>
      <c r="FFU65" s="349"/>
      <c r="FFV65" s="349"/>
      <c r="FFW65" s="349"/>
      <c r="FFX65" s="349"/>
      <c r="FFY65" s="349"/>
      <c r="FFZ65" s="349"/>
      <c r="FGA65" s="349"/>
      <c r="FGB65" s="349"/>
      <c r="FGC65" s="349"/>
      <c r="FGD65" s="349"/>
      <c r="FGE65" s="349"/>
      <c r="FGF65" s="349"/>
      <c r="FGG65" s="349"/>
      <c r="FGH65" s="349"/>
      <c r="FGI65" s="349"/>
      <c r="FGJ65" s="349"/>
      <c r="FGK65" s="349"/>
      <c r="FGL65" s="349"/>
      <c r="FGM65" s="349"/>
      <c r="FGN65" s="349"/>
      <c r="FGO65" s="349"/>
      <c r="FGP65" s="349"/>
      <c r="FGQ65" s="349"/>
      <c r="FGR65" s="349"/>
      <c r="FGS65" s="349"/>
      <c r="FGT65" s="349"/>
      <c r="FGU65" s="349"/>
      <c r="FGV65" s="349"/>
      <c r="FGW65" s="349"/>
      <c r="FGX65" s="349"/>
      <c r="FGY65" s="349"/>
      <c r="FGZ65" s="349"/>
      <c r="FHA65" s="349"/>
      <c r="FHB65" s="349"/>
      <c r="FHC65" s="349"/>
      <c r="FHD65" s="349"/>
      <c r="FHE65" s="349"/>
      <c r="FHF65" s="349"/>
      <c r="FHG65" s="349"/>
      <c r="FHH65" s="349"/>
      <c r="FHI65" s="349"/>
      <c r="FHJ65" s="349"/>
      <c r="FHK65" s="349"/>
      <c r="FHL65" s="349"/>
      <c r="FHM65" s="349"/>
      <c r="FHN65" s="349"/>
      <c r="FHO65" s="349"/>
      <c r="FHP65" s="349"/>
      <c r="FHQ65" s="349"/>
      <c r="FHR65" s="349"/>
      <c r="FHS65" s="349"/>
      <c r="FHT65" s="349"/>
      <c r="FHU65" s="349"/>
      <c r="FHV65" s="349"/>
      <c r="FHW65" s="349"/>
      <c r="FHX65" s="349"/>
      <c r="FHY65" s="349"/>
      <c r="FHZ65" s="349"/>
      <c r="FIA65" s="349"/>
      <c r="FIB65" s="349"/>
      <c r="FIC65" s="349"/>
      <c r="FID65" s="349"/>
      <c r="FIE65" s="349"/>
      <c r="FIF65" s="349"/>
      <c r="FIG65" s="349"/>
      <c r="FIH65" s="349"/>
      <c r="FII65" s="349"/>
      <c r="FIJ65" s="349"/>
      <c r="FIK65" s="349"/>
      <c r="FIL65" s="349"/>
      <c r="FIM65" s="349"/>
      <c r="FIN65" s="349"/>
      <c r="FIO65" s="349"/>
      <c r="FIP65" s="349"/>
      <c r="FIQ65" s="349"/>
      <c r="FIR65" s="349"/>
      <c r="FIS65" s="349"/>
      <c r="FIT65" s="349"/>
      <c r="FIU65" s="349"/>
      <c r="FIV65" s="349"/>
      <c r="FIW65" s="349"/>
      <c r="FIX65" s="349"/>
      <c r="FIY65" s="349"/>
      <c r="FIZ65" s="349"/>
      <c r="FJA65" s="349"/>
      <c r="FJB65" s="349"/>
      <c r="FJC65" s="349"/>
      <c r="FJD65" s="349"/>
      <c r="FJE65" s="349"/>
      <c r="FJF65" s="349"/>
      <c r="FJG65" s="349"/>
      <c r="FJH65" s="349"/>
      <c r="FJI65" s="349"/>
      <c r="FJJ65" s="349"/>
      <c r="FJK65" s="349"/>
      <c r="FJL65" s="349"/>
      <c r="FJM65" s="349"/>
      <c r="FJN65" s="349"/>
      <c r="FJO65" s="349"/>
      <c r="FJP65" s="349"/>
      <c r="FJQ65" s="349"/>
      <c r="FJR65" s="349"/>
      <c r="FJS65" s="349"/>
      <c r="FJT65" s="349"/>
      <c r="FJU65" s="349"/>
      <c r="FJV65" s="349"/>
      <c r="FJW65" s="349"/>
      <c r="FJX65" s="349"/>
      <c r="FJY65" s="349"/>
      <c r="FJZ65" s="349"/>
      <c r="FKA65" s="349"/>
      <c r="FKB65" s="349"/>
      <c r="FKC65" s="349"/>
      <c r="FKD65" s="349"/>
      <c r="FKE65" s="349"/>
      <c r="FKF65" s="349"/>
      <c r="FKG65" s="349"/>
      <c r="FKH65" s="349"/>
      <c r="FKI65" s="349"/>
      <c r="FKJ65" s="349"/>
      <c r="FKK65" s="349"/>
      <c r="FKL65" s="349"/>
      <c r="FKM65" s="349"/>
      <c r="FKN65" s="349"/>
      <c r="FKO65" s="349"/>
      <c r="FKP65" s="349"/>
      <c r="FKQ65" s="349"/>
      <c r="FKR65" s="349"/>
      <c r="FKS65" s="349"/>
      <c r="FKT65" s="349"/>
      <c r="FKU65" s="349"/>
      <c r="FKV65" s="349"/>
      <c r="FKW65" s="349"/>
      <c r="FKX65" s="349"/>
      <c r="FKY65" s="349"/>
      <c r="FKZ65" s="349"/>
      <c r="FLA65" s="349"/>
      <c r="FLB65" s="349"/>
      <c r="FLC65" s="349"/>
      <c r="FLD65" s="349"/>
      <c r="FLE65" s="349"/>
      <c r="FLF65" s="349"/>
      <c r="FLG65" s="349"/>
      <c r="FLH65" s="349"/>
      <c r="FLI65" s="349"/>
      <c r="FLJ65" s="349"/>
      <c r="FLK65" s="349"/>
      <c r="FLL65" s="349"/>
      <c r="FLM65" s="349"/>
      <c r="FLN65" s="349"/>
      <c r="FLO65" s="349"/>
      <c r="FLP65" s="349"/>
      <c r="FLQ65" s="349"/>
      <c r="FLR65" s="349"/>
      <c r="FLS65" s="349"/>
      <c r="FLT65" s="349"/>
      <c r="FLU65" s="349"/>
      <c r="FLV65" s="349"/>
      <c r="FLW65" s="349"/>
      <c r="FLX65" s="349"/>
      <c r="FLY65" s="349"/>
      <c r="FLZ65" s="349"/>
      <c r="FMA65" s="349"/>
      <c r="FMB65" s="349"/>
      <c r="FMC65" s="349"/>
      <c r="FMD65" s="349"/>
      <c r="FME65" s="349"/>
      <c r="FMF65" s="349"/>
      <c r="FMG65" s="349"/>
      <c r="FMH65" s="349"/>
      <c r="FMI65" s="349"/>
      <c r="FMJ65" s="349"/>
      <c r="FMK65" s="349"/>
      <c r="FML65" s="349"/>
      <c r="FMM65" s="349"/>
      <c r="FMN65" s="349"/>
      <c r="FMO65" s="349"/>
      <c r="FMP65" s="349"/>
      <c r="FMQ65" s="349"/>
      <c r="FMR65" s="349"/>
      <c r="FMS65" s="349"/>
      <c r="FMT65" s="349"/>
      <c r="FMU65" s="349"/>
      <c r="FMV65" s="349"/>
      <c r="FMW65" s="349"/>
      <c r="FMX65" s="349"/>
      <c r="FMY65" s="349"/>
      <c r="FMZ65" s="349"/>
      <c r="FNA65" s="349"/>
      <c r="FNB65" s="349"/>
      <c r="FNC65" s="349"/>
      <c r="FND65" s="349"/>
      <c r="FNE65" s="349"/>
      <c r="FNF65" s="349"/>
      <c r="FNG65" s="349"/>
      <c r="FNH65" s="349"/>
      <c r="FNI65" s="349"/>
      <c r="FNJ65" s="349"/>
      <c r="FNK65" s="349"/>
      <c r="FNL65" s="349"/>
      <c r="FNM65" s="349"/>
      <c r="FNN65" s="349"/>
      <c r="FNO65" s="349"/>
      <c r="FNP65" s="349"/>
      <c r="FNQ65" s="349"/>
      <c r="FNR65" s="349"/>
      <c r="FNS65" s="349"/>
      <c r="FNT65" s="349"/>
      <c r="FNU65" s="349"/>
      <c r="FNV65" s="349"/>
      <c r="FNW65" s="349"/>
      <c r="FNX65" s="349"/>
      <c r="FNY65" s="349"/>
      <c r="FNZ65" s="349"/>
      <c r="FOA65" s="349"/>
      <c r="FOB65" s="349"/>
      <c r="FOC65" s="349"/>
      <c r="FOD65" s="349"/>
      <c r="FOE65" s="349"/>
      <c r="FOF65" s="349"/>
      <c r="FOG65" s="349"/>
      <c r="FOH65" s="349"/>
      <c r="FOI65" s="349"/>
      <c r="FOJ65" s="349"/>
      <c r="FOK65" s="349"/>
      <c r="FOL65" s="349"/>
      <c r="FOM65" s="349"/>
      <c r="FON65" s="349"/>
      <c r="FOO65" s="349"/>
      <c r="FOP65" s="349"/>
      <c r="FOQ65" s="349"/>
      <c r="FOR65" s="349"/>
      <c r="FOS65" s="349"/>
      <c r="FOT65" s="349"/>
      <c r="FOU65" s="349"/>
      <c r="FOV65" s="349"/>
      <c r="FOW65" s="349"/>
      <c r="FOX65" s="349"/>
      <c r="FOY65" s="349"/>
      <c r="FOZ65" s="349"/>
      <c r="FPA65" s="349"/>
      <c r="FPB65" s="349"/>
      <c r="FPC65" s="349"/>
      <c r="FPD65" s="349"/>
      <c r="FPE65" s="349"/>
      <c r="FPF65" s="349"/>
      <c r="FPG65" s="349"/>
      <c r="FPH65" s="349"/>
      <c r="FPI65" s="349"/>
      <c r="FPJ65" s="349"/>
      <c r="FPK65" s="349"/>
      <c r="FPL65" s="349"/>
      <c r="FPM65" s="349"/>
      <c r="FPN65" s="349"/>
      <c r="FPO65" s="349"/>
      <c r="FPP65" s="349"/>
      <c r="FPQ65" s="349"/>
      <c r="FPR65" s="349"/>
      <c r="FPS65" s="349"/>
      <c r="FPT65" s="349"/>
      <c r="FPU65" s="349"/>
      <c r="FPV65" s="349"/>
      <c r="FPW65" s="349"/>
      <c r="FPX65" s="349"/>
      <c r="FPY65" s="349"/>
      <c r="FPZ65" s="349"/>
      <c r="FQA65" s="349"/>
      <c r="FQB65" s="349"/>
      <c r="FQC65" s="349"/>
      <c r="FQD65" s="349"/>
      <c r="FQE65" s="349"/>
      <c r="FQF65" s="349"/>
      <c r="FQG65" s="349"/>
      <c r="FQH65" s="349"/>
      <c r="FQI65" s="349"/>
      <c r="FQJ65" s="349"/>
      <c r="FQK65" s="349"/>
      <c r="FQL65" s="349"/>
      <c r="FQM65" s="349"/>
      <c r="FQN65" s="349"/>
      <c r="FQO65" s="349"/>
      <c r="FQP65" s="349"/>
      <c r="FQQ65" s="349"/>
      <c r="FQR65" s="349"/>
      <c r="FQS65" s="349"/>
      <c r="FQT65" s="349"/>
      <c r="FQU65" s="349"/>
      <c r="FQV65" s="349"/>
      <c r="FQW65" s="349"/>
      <c r="FQX65" s="349"/>
      <c r="FQY65" s="349"/>
      <c r="FQZ65" s="349"/>
      <c r="FRA65" s="349"/>
      <c r="FRB65" s="349"/>
      <c r="FRC65" s="349"/>
      <c r="FRD65" s="349"/>
      <c r="FRE65" s="349"/>
      <c r="FRF65" s="349"/>
      <c r="FRG65" s="349"/>
      <c r="FRH65" s="349"/>
      <c r="FRI65" s="349"/>
      <c r="FRJ65" s="349"/>
      <c r="FRK65" s="349"/>
      <c r="FRL65" s="349"/>
      <c r="FRM65" s="349"/>
      <c r="FRN65" s="349"/>
      <c r="FRO65" s="349"/>
      <c r="FRP65" s="349"/>
      <c r="FRQ65" s="349"/>
      <c r="FRR65" s="349"/>
      <c r="FRS65" s="349"/>
      <c r="FRT65" s="349"/>
      <c r="FRU65" s="349"/>
      <c r="FRV65" s="349"/>
      <c r="FRW65" s="349"/>
      <c r="FRX65" s="349"/>
      <c r="FRY65" s="349"/>
      <c r="FRZ65" s="349"/>
      <c r="FSA65" s="349"/>
      <c r="FSB65" s="349"/>
      <c r="FSC65" s="349"/>
      <c r="FSD65" s="349"/>
      <c r="FSE65" s="349"/>
      <c r="FSF65" s="349"/>
      <c r="FSG65" s="349"/>
      <c r="FSH65" s="349"/>
      <c r="FSI65" s="349"/>
      <c r="FSJ65" s="349"/>
      <c r="FSK65" s="349"/>
      <c r="FSL65" s="349"/>
      <c r="FSM65" s="349"/>
      <c r="FSN65" s="349"/>
      <c r="FSO65" s="349"/>
      <c r="FSP65" s="349"/>
      <c r="FSQ65" s="349"/>
      <c r="FSR65" s="349"/>
      <c r="FSS65" s="349"/>
      <c r="FST65" s="349"/>
      <c r="FSU65" s="349"/>
      <c r="FSV65" s="349"/>
      <c r="FSW65" s="349"/>
      <c r="FSX65" s="349"/>
      <c r="FSY65" s="349"/>
      <c r="FSZ65" s="349"/>
      <c r="FTA65" s="349"/>
      <c r="FTB65" s="349"/>
      <c r="FTC65" s="349"/>
      <c r="FTD65" s="349"/>
      <c r="FTE65" s="349"/>
      <c r="FTF65" s="349"/>
      <c r="FTG65" s="349"/>
      <c r="FTH65" s="349"/>
      <c r="FTI65" s="349"/>
      <c r="FTJ65" s="349"/>
      <c r="FTK65" s="349"/>
      <c r="FTL65" s="349"/>
      <c r="FTM65" s="349"/>
      <c r="FTN65" s="349"/>
      <c r="FTO65" s="349"/>
      <c r="FTP65" s="349"/>
      <c r="FTQ65" s="349"/>
      <c r="FTR65" s="349"/>
      <c r="FTS65" s="349"/>
      <c r="FTT65" s="349"/>
      <c r="FTU65" s="349"/>
      <c r="FTV65" s="349"/>
      <c r="FTW65" s="349"/>
      <c r="FTX65" s="349"/>
      <c r="FTY65" s="349"/>
      <c r="FTZ65" s="349"/>
      <c r="FUA65" s="349"/>
      <c r="FUB65" s="349"/>
      <c r="FUC65" s="349"/>
      <c r="FUD65" s="349"/>
      <c r="FUE65" s="349"/>
      <c r="FUF65" s="349"/>
      <c r="FUG65" s="349"/>
      <c r="FUH65" s="349"/>
      <c r="FUI65" s="349"/>
      <c r="FUJ65" s="349"/>
      <c r="FUK65" s="349"/>
      <c r="FUL65" s="349"/>
      <c r="FUM65" s="349"/>
      <c r="FUN65" s="349"/>
      <c r="FUO65" s="349"/>
      <c r="FUP65" s="349"/>
      <c r="FUQ65" s="349"/>
      <c r="FUR65" s="349"/>
      <c r="FUS65" s="349"/>
      <c r="FUT65" s="349"/>
      <c r="FUU65" s="349"/>
      <c r="FUV65" s="349"/>
      <c r="FUW65" s="349"/>
      <c r="FUX65" s="349"/>
      <c r="FUY65" s="349"/>
      <c r="FUZ65" s="349"/>
      <c r="FVA65" s="349"/>
      <c r="FVB65" s="349"/>
      <c r="FVC65" s="349"/>
      <c r="FVD65" s="349"/>
      <c r="FVE65" s="349"/>
      <c r="FVF65" s="349"/>
      <c r="FVG65" s="349"/>
      <c r="FVH65" s="349"/>
      <c r="FVI65" s="349"/>
      <c r="FVJ65" s="349"/>
      <c r="FVK65" s="349"/>
      <c r="FVL65" s="349"/>
      <c r="FVM65" s="349"/>
      <c r="FVN65" s="349"/>
      <c r="FVO65" s="349"/>
      <c r="FVP65" s="349"/>
      <c r="FVQ65" s="349"/>
      <c r="FVR65" s="349"/>
      <c r="FVS65" s="349"/>
      <c r="FVT65" s="349"/>
      <c r="FVU65" s="349"/>
      <c r="FVV65" s="349"/>
      <c r="FVW65" s="349"/>
      <c r="FVX65" s="349"/>
      <c r="FVY65" s="349"/>
      <c r="FVZ65" s="349"/>
      <c r="FWA65" s="349"/>
      <c r="FWB65" s="349"/>
      <c r="FWC65" s="349"/>
      <c r="FWD65" s="349"/>
      <c r="FWE65" s="349"/>
      <c r="FWF65" s="349"/>
      <c r="FWG65" s="349"/>
      <c r="FWH65" s="349"/>
      <c r="FWI65" s="349"/>
      <c r="FWJ65" s="349"/>
      <c r="FWK65" s="349"/>
      <c r="FWL65" s="349"/>
      <c r="FWM65" s="349"/>
      <c r="FWN65" s="349"/>
      <c r="FWO65" s="349"/>
      <c r="FWP65" s="349"/>
      <c r="FWQ65" s="349"/>
      <c r="FWR65" s="349"/>
      <c r="FWS65" s="349"/>
      <c r="FWT65" s="349"/>
      <c r="FWU65" s="349"/>
      <c r="FWV65" s="349"/>
      <c r="FWW65" s="349"/>
      <c r="FWX65" s="349"/>
      <c r="FWY65" s="349"/>
      <c r="FWZ65" s="349"/>
      <c r="FXA65" s="349"/>
      <c r="FXB65" s="349"/>
      <c r="FXC65" s="349"/>
      <c r="FXD65" s="349"/>
      <c r="FXE65" s="349"/>
      <c r="FXF65" s="349"/>
      <c r="FXG65" s="349"/>
      <c r="FXH65" s="349"/>
      <c r="FXI65" s="349"/>
      <c r="FXJ65" s="349"/>
      <c r="FXK65" s="349"/>
      <c r="FXL65" s="349"/>
      <c r="FXM65" s="349"/>
      <c r="FXN65" s="349"/>
      <c r="FXO65" s="349"/>
      <c r="FXP65" s="349"/>
      <c r="FXQ65" s="349"/>
      <c r="FXR65" s="349"/>
      <c r="FXS65" s="349"/>
      <c r="FXT65" s="349"/>
      <c r="FXU65" s="349"/>
      <c r="FXV65" s="349"/>
      <c r="FXW65" s="349"/>
      <c r="FXX65" s="349"/>
      <c r="FXY65" s="349"/>
      <c r="FXZ65" s="349"/>
      <c r="FYA65" s="349"/>
      <c r="FYB65" s="349"/>
      <c r="FYC65" s="349"/>
      <c r="FYD65" s="349"/>
      <c r="FYE65" s="349"/>
      <c r="FYF65" s="349"/>
      <c r="FYG65" s="349"/>
      <c r="FYH65" s="349"/>
      <c r="FYI65" s="349"/>
      <c r="FYJ65" s="349"/>
      <c r="FYK65" s="349"/>
      <c r="FYL65" s="349"/>
      <c r="FYM65" s="349"/>
      <c r="FYN65" s="349"/>
      <c r="FYO65" s="349"/>
      <c r="FYP65" s="349"/>
      <c r="FYQ65" s="349"/>
      <c r="FYR65" s="349"/>
      <c r="FYS65" s="349"/>
      <c r="FYT65" s="349"/>
      <c r="FYU65" s="349"/>
      <c r="FYV65" s="349"/>
      <c r="FYW65" s="349"/>
      <c r="FYX65" s="349"/>
      <c r="FYY65" s="349"/>
      <c r="FYZ65" s="349"/>
      <c r="FZA65" s="349"/>
      <c r="FZB65" s="349"/>
      <c r="FZC65" s="349"/>
      <c r="FZD65" s="349"/>
      <c r="FZE65" s="349"/>
      <c r="FZF65" s="349"/>
      <c r="FZG65" s="349"/>
      <c r="FZH65" s="349"/>
      <c r="FZI65" s="349"/>
      <c r="FZJ65" s="349"/>
      <c r="FZK65" s="349"/>
      <c r="FZL65" s="349"/>
      <c r="FZM65" s="349"/>
      <c r="FZN65" s="349"/>
      <c r="FZO65" s="349"/>
      <c r="FZP65" s="349"/>
      <c r="FZQ65" s="349"/>
      <c r="FZR65" s="349"/>
      <c r="FZS65" s="349"/>
      <c r="FZT65" s="349"/>
      <c r="FZU65" s="349"/>
      <c r="FZV65" s="349"/>
      <c r="FZW65" s="349"/>
      <c r="FZX65" s="349"/>
      <c r="FZY65" s="349"/>
      <c r="FZZ65" s="349"/>
      <c r="GAA65" s="349"/>
      <c r="GAB65" s="349"/>
      <c r="GAC65" s="349"/>
      <c r="GAD65" s="349"/>
      <c r="GAE65" s="349"/>
      <c r="GAF65" s="349"/>
      <c r="GAG65" s="349"/>
      <c r="GAH65" s="349"/>
      <c r="GAI65" s="349"/>
      <c r="GAJ65" s="349"/>
      <c r="GAK65" s="349"/>
      <c r="GAL65" s="349"/>
      <c r="GAM65" s="349"/>
      <c r="GAN65" s="349"/>
      <c r="GAO65" s="349"/>
      <c r="GAP65" s="349"/>
      <c r="GAQ65" s="349"/>
      <c r="GAR65" s="349"/>
      <c r="GAS65" s="349"/>
      <c r="GAT65" s="349"/>
      <c r="GAU65" s="349"/>
      <c r="GAV65" s="349"/>
      <c r="GAW65" s="349"/>
      <c r="GAX65" s="349"/>
      <c r="GAY65" s="349"/>
      <c r="GAZ65" s="349"/>
      <c r="GBA65" s="349"/>
      <c r="GBB65" s="349"/>
      <c r="GBC65" s="349"/>
      <c r="GBD65" s="349"/>
      <c r="GBE65" s="349"/>
      <c r="GBF65" s="349"/>
      <c r="GBG65" s="349"/>
      <c r="GBH65" s="349"/>
      <c r="GBI65" s="349"/>
      <c r="GBJ65" s="349"/>
      <c r="GBK65" s="349"/>
      <c r="GBL65" s="349"/>
      <c r="GBM65" s="349"/>
      <c r="GBN65" s="349"/>
      <c r="GBO65" s="349"/>
      <c r="GBP65" s="349"/>
      <c r="GBQ65" s="349"/>
      <c r="GBR65" s="349"/>
      <c r="GBS65" s="349"/>
      <c r="GBT65" s="349"/>
      <c r="GBU65" s="349"/>
      <c r="GBV65" s="349"/>
      <c r="GBW65" s="349"/>
      <c r="GBX65" s="349"/>
      <c r="GBY65" s="349"/>
      <c r="GBZ65" s="349"/>
      <c r="GCA65" s="349"/>
      <c r="GCB65" s="349"/>
      <c r="GCC65" s="349"/>
      <c r="GCD65" s="349"/>
      <c r="GCE65" s="349"/>
      <c r="GCF65" s="349"/>
      <c r="GCG65" s="349"/>
      <c r="GCH65" s="349"/>
      <c r="GCI65" s="349"/>
      <c r="GCJ65" s="349"/>
      <c r="GCK65" s="349"/>
      <c r="GCL65" s="349"/>
      <c r="GCM65" s="349"/>
      <c r="GCN65" s="349"/>
      <c r="GCO65" s="349"/>
      <c r="GCP65" s="349"/>
      <c r="GCQ65" s="349"/>
      <c r="GCR65" s="349"/>
      <c r="GCS65" s="349"/>
      <c r="GCT65" s="349"/>
      <c r="GCU65" s="349"/>
      <c r="GCV65" s="349"/>
      <c r="GCW65" s="349"/>
      <c r="GCX65" s="349"/>
      <c r="GCY65" s="349"/>
      <c r="GCZ65" s="349"/>
      <c r="GDA65" s="349"/>
      <c r="GDB65" s="349"/>
      <c r="GDC65" s="349"/>
      <c r="GDD65" s="349"/>
      <c r="GDE65" s="349"/>
      <c r="GDF65" s="349"/>
      <c r="GDG65" s="349"/>
      <c r="GDH65" s="349"/>
      <c r="GDI65" s="349"/>
      <c r="GDJ65" s="349"/>
      <c r="GDK65" s="349"/>
      <c r="GDL65" s="349"/>
      <c r="GDM65" s="349"/>
      <c r="GDN65" s="349"/>
      <c r="GDO65" s="349"/>
      <c r="GDP65" s="349"/>
      <c r="GDQ65" s="349"/>
      <c r="GDR65" s="349"/>
      <c r="GDS65" s="349"/>
      <c r="GDT65" s="349"/>
      <c r="GDU65" s="349"/>
      <c r="GDV65" s="349"/>
      <c r="GDW65" s="349"/>
      <c r="GDX65" s="349"/>
      <c r="GDY65" s="349"/>
      <c r="GDZ65" s="349"/>
      <c r="GEA65" s="349"/>
      <c r="GEB65" s="349"/>
      <c r="GEC65" s="349"/>
      <c r="GED65" s="349"/>
      <c r="GEE65" s="349"/>
      <c r="GEF65" s="349"/>
      <c r="GEG65" s="349"/>
      <c r="GEH65" s="349"/>
      <c r="GEI65" s="349"/>
      <c r="GEJ65" s="349"/>
      <c r="GEK65" s="349"/>
      <c r="GEL65" s="349"/>
      <c r="GEM65" s="349"/>
      <c r="GEN65" s="349"/>
      <c r="GEO65" s="349"/>
      <c r="GEP65" s="349"/>
      <c r="GEQ65" s="349"/>
      <c r="GER65" s="349"/>
      <c r="GES65" s="349"/>
      <c r="GET65" s="349"/>
      <c r="GEU65" s="349"/>
      <c r="GEV65" s="349"/>
      <c r="GEW65" s="349"/>
      <c r="GEX65" s="349"/>
      <c r="GEY65" s="349"/>
      <c r="GEZ65" s="349"/>
      <c r="GFA65" s="349"/>
      <c r="GFB65" s="349"/>
      <c r="GFC65" s="349"/>
      <c r="GFD65" s="349"/>
      <c r="GFE65" s="349"/>
      <c r="GFF65" s="349"/>
      <c r="GFG65" s="349"/>
      <c r="GFH65" s="349"/>
      <c r="GFI65" s="349"/>
      <c r="GFJ65" s="349"/>
      <c r="GFK65" s="349"/>
      <c r="GFL65" s="349"/>
      <c r="GFM65" s="349"/>
      <c r="GFN65" s="349"/>
      <c r="GFO65" s="349"/>
      <c r="GFP65" s="349"/>
      <c r="GFQ65" s="349"/>
      <c r="GFR65" s="349"/>
      <c r="GFS65" s="349"/>
      <c r="GFT65" s="349"/>
      <c r="GFU65" s="349"/>
      <c r="GFV65" s="349"/>
      <c r="GFW65" s="349"/>
      <c r="GFX65" s="349"/>
      <c r="GFY65" s="349"/>
      <c r="GFZ65" s="349"/>
      <c r="GGA65" s="349"/>
      <c r="GGB65" s="349"/>
      <c r="GGC65" s="349"/>
      <c r="GGD65" s="349"/>
      <c r="GGE65" s="349"/>
      <c r="GGF65" s="349"/>
      <c r="GGG65" s="349"/>
      <c r="GGH65" s="349"/>
      <c r="GGI65" s="349"/>
      <c r="GGJ65" s="349"/>
      <c r="GGK65" s="349"/>
      <c r="GGL65" s="349"/>
      <c r="GGM65" s="349"/>
      <c r="GGN65" s="349"/>
      <c r="GGO65" s="349"/>
      <c r="GGP65" s="349"/>
      <c r="GGQ65" s="349"/>
      <c r="GGR65" s="349"/>
      <c r="GGS65" s="349"/>
      <c r="GGT65" s="349"/>
      <c r="GGU65" s="349"/>
      <c r="GGV65" s="349"/>
      <c r="GGW65" s="349"/>
      <c r="GGX65" s="349"/>
      <c r="GGY65" s="349"/>
      <c r="GGZ65" s="349"/>
      <c r="GHA65" s="349"/>
      <c r="GHB65" s="349"/>
      <c r="GHC65" s="349"/>
      <c r="GHD65" s="349"/>
      <c r="GHE65" s="349"/>
      <c r="GHF65" s="349"/>
      <c r="GHG65" s="349"/>
      <c r="GHH65" s="349"/>
      <c r="GHI65" s="349"/>
      <c r="GHJ65" s="349"/>
      <c r="GHK65" s="349"/>
      <c r="GHL65" s="349"/>
      <c r="GHM65" s="349"/>
      <c r="GHN65" s="349"/>
      <c r="GHO65" s="349"/>
      <c r="GHP65" s="349"/>
      <c r="GHQ65" s="349"/>
      <c r="GHR65" s="349"/>
      <c r="GHS65" s="349"/>
      <c r="GHT65" s="349"/>
      <c r="GHU65" s="349"/>
      <c r="GHV65" s="349"/>
      <c r="GHW65" s="349"/>
      <c r="GHX65" s="349"/>
      <c r="GHY65" s="349"/>
      <c r="GHZ65" s="349"/>
      <c r="GIA65" s="349"/>
      <c r="GIB65" s="349"/>
      <c r="GIC65" s="349"/>
      <c r="GID65" s="349"/>
      <c r="GIE65" s="349"/>
      <c r="GIF65" s="349"/>
      <c r="GIG65" s="349"/>
      <c r="GIH65" s="349"/>
      <c r="GII65" s="349"/>
      <c r="GIJ65" s="349"/>
      <c r="GIK65" s="349"/>
      <c r="GIL65" s="349"/>
      <c r="GIM65" s="349"/>
      <c r="GIN65" s="349"/>
      <c r="GIO65" s="349"/>
      <c r="GIP65" s="349"/>
      <c r="GIQ65" s="349"/>
      <c r="GIR65" s="349"/>
      <c r="GIS65" s="349"/>
      <c r="GIT65" s="349"/>
      <c r="GIU65" s="349"/>
      <c r="GIV65" s="349"/>
      <c r="GIW65" s="349"/>
      <c r="GIX65" s="349"/>
      <c r="GIY65" s="349"/>
      <c r="GIZ65" s="349"/>
      <c r="GJA65" s="349"/>
      <c r="GJB65" s="349"/>
      <c r="GJC65" s="349"/>
      <c r="GJD65" s="349"/>
      <c r="GJE65" s="349"/>
      <c r="GJF65" s="349"/>
      <c r="GJG65" s="349"/>
      <c r="GJH65" s="349"/>
      <c r="GJI65" s="349"/>
      <c r="GJJ65" s="349"/>
      <c r="GJK65" s="349"/>
      <c r="GJL65" s="349"/>
      <c r="GJM65" s="349"/>
      <c r="GJN65" s="349"/>
      <c r="GJO65" s="349"/>
      <c r="GJP65" s="349"/>
      <c r="GJQ65" s="349"/>
      <c r="GJR65" s="349"/>
      <c r="GJS65" s="349"/>
      <c r="GJT65" s="349"/>
      <c r="GJU65" s="349"/>
      <c r="GJV65" s="349"/>
      <c r="GJW65" s="349"/>
      <c r="GJX65" s="349"/>
      <c r="GJY65" s="349"/>
      <c r="GJZ65" s="349"/>
      <c r="GKA65" s="349"/>
      <c r="GKB65" s="349"/>
      <c r="GKC65" s="349"/>
      <c r="GKD65" s="349"/>
      <c r="GKE65" s="349"/>
      <c r="GKF65" s="349"/>
      <c r="GKG65" s="349"/>
      <c r="GKH65" s="349"/>
      <c r="GKI65" s="349"/>
      <c r="GKJ65" s="349"/>
      <c r="GKK65" s="349"/>
      <c r="GKL65" s="349"/>
      <c r="GKM65" s="349"/>
      <c r="GKN65" s="349"/>
      <c r="GKO65" s="349"/>
      <c r="GKP65" s="349"/>
      <c r="GKQ65" s="349"/>
      <c r="GKR65" s="349"/>
      <c r="GKS65" s="349"/>
      <c r="GKT65" s="349"/>
      <c r="GKU65" s="349"/>
      <c r="GKV65" s="349"/>
      <c r="GKW65" s="349"/>
      <c r="GKX65" s="349"/>
      <c r="GKY65" s="349"/>
      <c r="GKZ65" s="349"/>
      <c r="GLA65" s="349"/>
      <c r="GLB65" s="349"/>
      <c r="GLC65" s="349"/>
      <c r="GLD65" s="349"/>
      <c r="GLE65" s="349"/>
      <c r="GLF65" s="349"/>
      <c r="GLG65" s="349"/>
      <c r="GLH65" s="349"/>
      <c r="GLI65" s="349"/>
      <c r="GLJ65" s="349"/>
      <c r="GLK65" s="349"/>
      <c r="GLL65" s="349"/>
      <c r="GLM65" s="349"/>
      <c r="GLN65" s="349"/>
      <c r="GLO65" s="349"/>
      <c r="GLP65" s="349"/>
      <c r="GLQ65" s="349"/>
      <c r="GLR65" s="349"/>
      <c r="GLS65" s="349"/>
      <c r="GLT65" s="349"/>
      <c r="GLU65" s="349"/>
      <c r="GLV65" s="349"/>
      <c r="GLW65" s="349"/>
      <c r="GLX65" s="349"/>
      <c r="GLY65" s="349"/>
      <c r="GLZ65" s="349"/>
      <c r="GMA65" s="349"/>
      <c r="GMB65" s="349"/>
      <c r="GMC65" s="349"/>
      <c r="GMD65" s="349"/>
      <c r="GME65" s="349"/>
      <c r="GMF65" s="349"/>
      <c r="GMG65" s="349"/>
      <c r="GMH65" s="349"/>
      <c r="GMI65" s="349"/>
      <c r="GMJ65" s="349"/>
      <c r="GMK65" s="349"/>
      <c r="GML65" s="349"/>
      <c r="GMM65" s="349"/>
      <c r="GMN65" s="349"/>
      <c r="GMO65" s="349"/>
      <c r="GMP65" s="349"/>
      <c r="GMQ65" s="349"/>
      <c r="GMR65" s="349"/>
      <c r="GMS65" s="349"/>
      <c r="GMT65" s="349"/>
      <c r="GMU65" s="349"/>
      <c r="GMV65" s="349"/>
      <c r="GMW65" s="349"/>
      <c r="GMX65" s="349"/>
      <c r="GMY65" s="349"/>
      <c r="GMZ65" s="349"/>
      <c r="GNA65" s="349"/>
      <c r="GNB65" s="349"/>
      <c r="GNC65" s="349"/>
      <c r="GND65" s="349"/>
      <c r="GNE65" s="349"/>
      <c r="GNF65" s="349"/>
      <c r="GNG65" s="349"/>
      <c r="GNH65" s="349"/>
      <c r="GNI65" s="349"/>
      <c r="GNJ65" s="349"/>
      <c r="GNK65" s="349"/>
      <c r="GNL65" s="349"/>
      <c r="GNM65" s="349"/>
      <c r="GNN65" s="349"/>
      <c r="GNO65" s="349"/>
      <c r="GNP65" s="349"/>
      <c r="GNQ65" s="349"/>
      <c r="GNR65" s="349"/>
      <c r="GNS65" s="349"/>
      <c r="GNT65" s="349"/>
      <c r="GNU65" s="349"/>
      <c r="GNV65" s="349"/>
      <c r="GNW65" s="349"/>
      <c r="GNX65" s="349"/>
      <c r="GNY65" s="349"/>
      <c r="GNZ65" s="349"/>
      <c r="GOA65" s="349"/>
      <c r="GOB65" s="349"/>
      <c r="GOC65" s="349"/>
      <c r="GOD65" s="349"/>
      <c r="GOE65" s="349"/>
      <c r="GOF65" s="349"/>
      <c r="GOG65" s="349"/>
      <c r="GOH65" s="349"/>
      <c r="GOI65" s="349"/>
      <c r="GOJ65" s="349"/>
      <c r="GOK65" s="349"/>
      <c r="GOL65" s="349"/>
      <c r="GOM65" s="349"/>
      <c r="GON65" s="349"/>
      <c r="GOO65" s="349"/>
      <c r="GOP65" s="349"/>
      <c r="GOQ65" s="349"/>
      <c r="GOR65" s="349"/>
      <c r="GOS65" s="349"/>
      <c r="GOT65" s="349"/>
      <c r="GOU65" s="349"/>
      <c r="GOV65" s="349"/>
      <c r="GOW65" s="349"/>
      <c r="GOX65" s="349"/>
      <c r="GOY65" s="349"/>
      <c r="GOZ65" s="349"/>
      <c r="GPA65" s="349"/>
      <c r="GPB65" s="349"/>
      <c r="GPC65" s="349"/>
      <c r="GPD65" s="349"/>
      <c r="GPE65" s="349"/>
      <c r="GPF65" s="349"/>
      <c r="GPG65" s="349"/>
      <c r="GPH65" s="349"/>
      <c r="GPI65" s="349"/>
      <c r="GPJ65" s="349"/>
      <c r="GPK65" s="349"/>
      <c r="GPL65" s="349"/>
      <c r="GPM65" s="349"/>
      <c r="GPN65" s="349"/>
      <c r="GPO65" s="349"/>
      <c r="GPP65" s="349"/>
      <c r="GPQ65" s="349"/>
      <c r="GPR65" s="349"/>
      <c r="GPS65" s="349"/>
      <c r="GPT65" s="349"/>
      <c r="GPU65" s="349"/>
      <c r="GPV65" s="349"/>
      <c r="GPW65" s="349"/>
      <c r="GPX65" s="349"/>
      <c r="GPY65" s="349"/>
      <c r="GPZ65" s="349"/>
      <c r="GQA65" s="349"/>
      <c r="GQB65" s="349"/>
      <c r="GQC65" s="349"/>
      <c r="GQD65" s="349"/>
      <c r="GQE65" s="349"/>
      <c r="GQF65" s="349"/>
      <c r="GQG65" s="349"/>
      <c r="GQH65" s="349"/>
      <c r="GQI65" s="349"/>
      <c r="GQJ65" s="349"/>
      <c r="GQK65" s="349"/>
      <c r="GQL65" s="349"/>
      <c r="GQM65" s="349"/>
      <c r="GQN65" s="349"/>
      <c r="GQO65" s="349"/>
      <c r="GQP65" s="349"/>
      <c r="GQQ65" s="349"/>
      <c r="GQR65" s="349"/>
      <c r="GQS65" s="349"/>
      <c r="GQT65" s="349"/>
      <c r="GQU65" s="349"/>
      <c r="GQV65" s="349"/>
      <c r="GQW65" s="349"/>
      <c r="GQX65" s="349"/>
      <c r="GQY65" s="349"/>
      <c r="GQZ65" s="349"/>
      <c r="GRA65" s="349"/>
      <c r="GRB65" s="349"/>
      <c r="GRC65" s="349"/>
      <c r="GRD65" s="349"/>
      <c r="GRE65" s="349"/>
      <c r="GRF65" s="349"/>
      <c r="GRG65" s="349"/>
      <c r="GRH65" s="349"/>
      <c r="GRI65" s="349"/>
      <c r="GRJ65" s="349"/>
      <c r="GRK65" s="349"/>
      <c r="GRL65" s="349"/>
      <c r="GRM65" s="349"/>
      <c r="GRN65" s="349"/>
      <c r="GRO65" s="349"/>
      <c r="GRP65" s="349"/>
      <c r="GRQ65" s="349"/>
      <c r="GRR65" s="349"/>
      <c r="GRS65" s="349"/>
      <c r="GRT65" s="349"/>
      <c r="GRU65" s="349"/>
      <c r="GRV65" s="349"/>
      <c r="GRW65" s="349"/>
      <c r="GRX65" s="349"/>
      <c r="GRY65" s="349"/>
      <c r="GRZ65" s="349"/>
      <c r="GSA65" s="349"/>
      <c r="GSB65" s="349"/>
      <c r="GSC65" s="349"/>
      <c r="GSD65" s="349"/>
      <c r="GSE65" s="349"/>
      <c r="GSF65" s="349"/>
      <c r="GSG65" s="349"/>
      <c r="GSH65" s="349"/>
      <c r="GSI65" s="349"/>
      <c r="GSJ65" s="349"/>
      <c r="GSK65" s="349"/>
      <c r="GSL65" s="349"/>
      <c r="GSM65" s="349"/>
      <c r="GSN65" s="349"/>
      <c r="GSO65" s="349"/>
      <c r="GSP65" s="349"/>
      <c r="GSQ65" s="349"/>
      <c r="GSR65" s="349"/>
      <c r="GSS65" s="349"/>
      <c r="GST65" s="349"/>
      <c r="GSU65" s="349"/>
      <c r="GSV65" s="349"/>
      <c r="GSW65" s="349"/>
      <c r="GSX65" s="349"/>
      <c r="GSY65" s="349"/>
      <c r="GSZ65" s="349"/>
      <c r="GTA65" s="349"/>
      <c r="GTB65" s="349"/>
      <c r="GTC65" s="349"/>
      <c r="GTD65" s="349"/>
      <c r="GTE65" s="349"/>
      <c r="GTF65" s="349"/>
      <c r="GTG65" s="349"/>
      <c r="GTH65" s="349"/>
      <c r="GTI65" s="349"/>
      <c r="GTJ65" s="349"/>
      <c r="GTK65" s="349"/>
      <c r="GTL65" s="349"/>
      <c r="GTM65" s="349"/>
      <c r="GTN65" s="349"/>
      <c r="GTO65" s="349"/>
      <c r="GTP65" s="349"/>
      <c r="GTQ65" s="349"/>
      <c r="GTR65" s="349"/>
      <c r="GTS65" s="349"/>
      <c r="GTT65" s="349"/>
      <c r="GTU65" s="349"/>
      <c r="GTV65" s="349"/>
      <c r="GTW65" s="349"/>
      <c r="GTX65" s="349"/>
      <c r="GTY65" s="349"/>
      <c r="GTZ65" s="349"/>
      <c r="GUA65" s="349"/>
      <c r="GUB65" s="349"/>
      <c r="GUC65" s="349"/>
      <c r="GUD65" s="349"/>
      <c r="GUE65" s="349"/>
      <c r="GUF65" s="349"/>
      <c r="GUG65" s="349"/>
      <c r="GUH65" s="349"/>
      <c r="GUI65" s="349"/>
      <c r="GUJ65" s="349"/>
      <c r="GUK65" s="349"/>
      <c r="GUL65" s="349"/>
      <c r="GUM65" s="349"/>
      <c r="GUN65" s="349"/>
      <c r="GUO65" s="349"/>
      <c r="GUP65" s="349"/>
      <c r="GUQ65" s="349"/>
      <c r="GUR65" s="349"/>
      <c r="GUS65" s="349"/>
      <c r="GUT65" s="349"/>
      <c r="GUU65" s="349"/>
      <c r="GUV65" s="349"/>
      <c r="GUW65" s="349"/>
      <c r="GUX65" s="349"/>
      <c r="GUY65" s="349"/>
      <c r="GUZ65" s="349"/>
      <c r="GVA65" s="349"/>
      <c r="GVB65" s="349"/>
      <c r="GVC65" s="349"/>
      <c r="GVD65" s="349"/>
      <c r="GVE65" s="349"/>
      <c r="GVF65" s="349"/>
      <c r="GVG65" s="349"/>
      <c r="GVH65" s="349"/>
      <c r="GVI65" s="349"/>
      <c r="GVJ65" s="349"/>
      <c r="GVK65" s="349"/>
      <c r="GVL65" s="349"/>
      <c r="GVM65" s="349"/>
      <c r="GVN65" s="349"/>
      <c r="GVO65" s="349"/>
      <c r="GVP65" s="349"/>
      <c r="GVQ65" s="349"/>
      <c r="GVR65" s="349"/>
      <c r="GVS65" s="349"/>
      <c r="GVT65" s="349"/>
      <c r="GVU65" s="349"/>
      <c r="GVV65" s="349"/>
      <c r="GVW65" s="349"/>
      <c r="GVX65" s="349"/>
      <c r="GVY65" s="349"/>
      <c r="GVZ65" s="349"/>
      <c r="GWA65" s="349"/>
      <c r="GWB65" s="349"/>
      <c r="GWC65" s="349"/>
      <c r="GWD65" s="349"/>
      <c r="GWE65" s="349"/>
      <c r="GWF65" s="349"/>
      <c r="GWG65" s="349"/>
      <c r="GWH65" s="349"/>
      <c r="GWI65" s="349"/>
      <c r="GWJ65" s="349"/>
      <c r="GWK65" s="349"/>
      <c r="GWL65" s="349"/>
      <c r="GWM65" s="349"/>
      <c r="GWN65" s="349"/>
      <c r="GWO65" s="349"/>
      <c r="GWP65" s="349"/>
      <c r="GWQ65" s="349"/>
      <c r="GWR65" s="349"/>
      <c r="GWS65" s="349"/>
      <c r="GWT65" s="349"/>
      <c r="GWU65" s="349"/>
      <c r="GWV65" s="349"/>
      <c r="GWW65" s="349"/>
      <c r="GWX65" s="349"/>
      <c r="GWY65" s="349"/>
      <c r="GWZ65" s="349"/>
      <c r="GXA65" s="349"/>
      <c r="GXB65" s="349"/>
      <c r="GXC65" s="349"/>
      <c r="GXD65" s="349"/>
      <c r="GXE65" s="349"/>
      <c r="GXF65" s="349"/>
      <c r="GXG65" s="349"/>
      <c r="GXH65" s="349"/>
      <c r="GXI65" s="349"/>
      <c r="GXJ65" s="349"/>
      <c r="GXK65" s="349"/>
      <c r="GXL65" s="349"/>
      <c r="GXM65" s="349"/>
      <c r="GXN65" s="349"/>
      <c r="GXO65" s="349"/>
      <c r="GXP65" s="349"/>
      <c r="GXQ65" s="349"/>
      <c r="GXR65" s="349"/>
      <c r="GXS65" s="349"/>
      <c r="GXT65" s="349"/>
      <c r="GXU65" s="349"/>
      <c r="GXV65" s="349"/>
      <c r="GXW65" s="349"/>
      <c r="GXX65" s="349"/>
      <c r="GXY65" s="349"/>
      <c r="GXZ65" s="349"/>
      <c r="GYA65" s="349"/>
      <c r="GYB65" s="349"/>
      <c r="GYC65" s="349"/>
      <c r="GYD65" s="349"/>
      <c r="GYE65" s="349"/>
      <c r="GYF65" s="349"/>
      <c r="GYG65" s="349"/>
      <c r="GYH65" s="349"/>
      <c r="GYI65" s="349"/>
      <c r="GYJ65" s="349"/>
      <c r="GYK65" s="349"/>
      <c r="GYL65" s="349"/>
      <c r="GYM65" s="349"/>
      <c r="GYN65" s="349"/>
      <c r="GYO65" s="349"/>
      <c r="GYP65" s="349"/>
      <c r="GYQ65" s="349"/>
      <c r="GYR65" s="349"/>
      <c r="GYS65" s="349"/>
      <c r="GYT65" s="349"/>
      <c r="GYU65" s="349"/>
      <c r="GYV65" s="349"/>
      <c r="GYW65" s="349"/>
      <c r="GYX65" s="349"/>
      <c r="GYY65" s="349"/>
      <c r="GYZ65" s="349"/>
      <c r="GZA65" s="349"/>
      <c r="GZB65" s="349"/>
      <c r="GZC65" s="349"/>
      <c r="GZD65" s="349"/>
      <c r="GZE65" s="349"/>
      <c r="GZF65" s="349"/>
      <c r="GZG65" s="349"/>
      <c r="GZH65" s="349"/>
      <c r="GZI65" s="349"/>
      <c r="GZJ65" s="349"/>
      <c r="GZK65" s="349"/>
      <c r="GZL65" s="349"/>
      <c r="GZM65" s="349"/>
      <c r="GZN65" s="349"/>
      <c r="GZO65" s="349"/>
      <c r="GZP65" s="349"/>
      <c r="GZQ65" s="349"/>
      <c r="GZR65" s="349"/>
      <c r="GZS65" s="349"/>
      <c r="GZT65" s="349"/>
      <c r="GZU65" s="349"/>
      <c r="GZV65" s="349"/>
      <c r="GZW65" s="349"/>
      <c r="GZX65" s="349"/>
      <c r="GZY65" s="349"/>
      <c r="GZZ65" s="349"/>
      <c r="HAA65" s="349"/>
      <c r="HAB65" s="349"/>
      <c r="HAC65" s="349"/>
      <c r="HAD65" s="349"/>
      <c r="HAE65" s="349"/>
      <c r="HAF65" s="349"/>
      <c r="HAG65" s="349"/>
      <c r="HAH65" s="349"/>
      <c r="HAI65" s="349"/>
      <c r="HAJ65" s="349"/>
      <c r="HAK65" s="349"/>
      <c r="HAL65" s="349"/>
      <c r="HAM65" s="349"/>
      <c r="HAN65" s="349"/>
      <c r="HAO65" s="349"/>
      <c r="HAP65" s="349"/>
      <c r="HAQ65" s="349"/>
      <c r="HAR65" s="349"/>
      <c r="HAS65" s="349"/>
      <c r="HAT65" s="349"/>
      <c r="HAU65" s="349"/>
      <c r="HAV65" s="349"/>
      <c r="HAW65" s="349"/>
      <c r="HAX65" s="349"/>
      <c r="HAY65" s="349"/>
      <c r="HAZ65" s="349"/>
      <c r="HBA65" s="349"/>
      <c r="HBB65" s="349"/>
      <c r="HBC65" s="349"/>
      <c r="HBD65" s="349"/>
      <c r="HBE65" s="349"/>
      <c r="HBF65" s="349"/>
      <c r="HBG65" s="349"/>
      <c r="HBH65" s="349"/>
      <c r="HBI65" s="349"/>
      <c r="HBJ65" s="349"/>
      <c r="HBK65" s="349"/>
      <c r="HBL65" s="349"/>
      <c r="HBM65" s="349"/>
      <c r="HBN65" s="349"/>
      <c r="HBO65" s="349"/>
      <c r="HBP65" s="349"/>
      <c r="HBQ65" s="349"/>
      <c r="HBR65" s="349"/>
      <c r="HBS65" s="349"/>
      <c r="HBT65" s="349"/>
      <c r="HBU65" s="349"/>
      <c r="HBV65" s="349"/>
      <c r="HBW65" s="349"/>
      <c r="HBX65" s="349"/>
      <c r="HBY65" s="349"/>
      <c r="HBZ65" s="349"/>
      <c r="HCA65" s="349"/>
      <c r="HCB65" s="349"/>
      <c r="HCC65" s="349"/>
      <c r="HCD65" s="349"/>
      <c r="HCE65" s="349"/>
      <c r="HCF65" s="349"/>
      <c r="HCG65" s="349"/>
      <c r="HCH65" s="349"/>
      <c r="HCI65" s="349"/>
      <c r="HCJ65" s="349"/>
      <c r="HCK65" s="349"/>
      <c r="HCL65" s="349"/>
      <c r="HCM65" s="349"/>
      <c r="HCN65" s="349"/>
      <c r="HCO65" s="349"/>
      <c r="HCP65" s="349"/>
      <c r="HCQ65" s="349"/>
      <c r="HCR65" s="349"/>
      <c r="HCS65" s="349"/>
      <c r="HCT65" s="349"/>
      <c r="HCU65" s="349"/>
      <c r="HCV65" s="349"/>
      <c r="HCW65" s="349"/>
      <c r="HCX65" s="349"/>
      <c r="HCY65" s="349"/>
      <c r="HCZ65" s="349"/>
      <c r="HDA65" s="349"/>
      <c r="HDB65" s="349"/>
      <c r="HDC65" s="349"/>
      <c r="HDD65" s="349"/>
      <c r="HDE65" s="349"/>
      <c r="HDF65" s="349"/>
      <c r="HDG65" s="349"/>
      <c r="HDH65" s="349"/>
      <c r="HDI65" s="349"/>
      <c r="HDJ65" s="349"/>
      <c r="HDK65" s="349"/>
      <c r="HDL65" s="349"/>
      <c r="HDM65" s="349"/>
      <c r="HDN65" s="349"/>
      <c r="HDO65" s="349"/>
      <c r="HDP65" s="349"/>
      <c r="HDQ65" s="349"/>
      <c r="HDR65" s="349"/>
      <c r="HDS65" s="349"/>
      <c r="HDT65" s="349"/>
      <c r="HDU65" s="349"/>
      <c r="HDV65" s="349"/>
      <c r="HDW65" s="349"/>
      <c r="HDX65" s="349"/>
      <c r="HDY65" s="349"/>
      <c r="HDZ65" s="349"/>
      <c r="HEA65" s="349"/>
      <c r="HEB65" s="349"/>
      <c r="HEC65" s="349"/>
      <c r="HED65" s="349"/>
      <c r="HEE65" s="349"/>
      <c r="HEF65" s="349"/>
      <c r="HEG65" s="349"/>
      <c r="HEH65" s="349"/>
      <c r="HEI65" s="349"/>
      <c r="HEJ65" s="349"/>
      <c r="HEK65" s="349"/>
      <c r="HEL65" s="349"/>
      <c r="HEM65" s="349"/>
      <c r="HEN65" s="349"/>
      <c r="HEO65" s="349"/>
      <c r="HEP65" s="349"/>
      <c r="HEQ65" s="349"/>
      <c r="HER65" s="349"/>
      <c r="HES65" s="349"/>
      <c r="HET65" s="349"/>
      <c r="HEU65" s="349"/>
      <c r="HEV65" s="349"/>
      <c r="HEW65" s="349"/>
      <c r="HEX65" s="349"/>
      <c r="HEY65" s="349"/>
      <c r="HEZ65" s="349"/>
      <c r="HFA65" s="349"/>
      <c r="HFB65" s="349"/>
      <c r="HFC65" s="349"/>
      <c r="HFD65" s="349"/>
      <c r="HFE65" s="349"/>
      <c r="HFF65" s="349"/>
      <c r="HFG65" s="349"/>
      <c r="HFH65" s="349"/>
      <c r="HFI65" s="349"/>
      <c r="HFJ65" s="349"/>
      <c r="HFK65" s="349"/>
      <c r="HFL65" s="349"/>
      <c r="HFM65" s="349"/>
      <c r="HFN65" s="349"/>
      <c r="HFO65" s="349"/>
      <c r="HFP65" s="349"/>
      <c r="HFQ65" s="349"/>
      <c r="HFR65" s="349"/>
      <c r="HFS65" s="349"/>
      <c r="HFT65" s="349"/>
      <c r="HFU65" s="349"/>
      <c r="HFV65" s="349"/>
      <c r="HFW65" s="349"/>
      <c r="HFX65" s="349"/>
      <c r="HFY65" s="349"/>
      <c r="HFZ65" s="349"/>
      <c r="HGA65" s="349"/>
      <c r="HGB65" s="349"/>
      <c r="HGC65" s="349"/>
      <c r="HGD65" s="349"/>
      <c r="HGE65" s="349"/>
      <c r="HGF65" s="349"/>
      <c r="HGG65" s="349"/>
      <c r="HGH65" s="349"/>
      <c r="HGI65" s="349"/>
      <c r="HGJ65" s="349"/>
      <c r="HGK65" s="349"/>
      <c r="HGL65" s="349"/>
      <c r="HGM65" s="349"/>
      <c r="HGN65" s="349"/>
      <c r="HGO65" s="349"/>
      <c r="HGP65" s="349"/>
      <c r="HGQ65" s="349"/>
      <c r="HGR65" s="349"/>
      <c r="HGS65" s="349"/>
      <c r="HGT65" s="349"/>
      <c r="HGU65" s="349"/>
      <c r="HGV65" s="349"/>
      <c r="HGW65" s="349"/>
      <c r="HGX65" s="349"/>
      <c r="HGY65" s="349"/>
      <c r="HGZ65" s="349"/>
      <c r="HHA65" s="349"/>
      <c r="HHB65" s="349"/>
      <c r="HHC65" s="349"/>
      <c r="HHD65" s="349"/>
      <c r="HHE65" s="349"/>
      <c r="HHF65" s="349"/>
      <c r="HHG65" s="349"/>
      <c r="HHH65" s="349"/>
      <c r="HHI65" s="349"/>
      <c r="HHJ65" s="349"/>
      <c r="HHK65" s="349"/>
      <c r="HHL65" s="349"/>
      <c r="HHM65" s="349"/>
      <c r="HHN65" s="349"/>
      <c r="HHO65" s="349"/>
      <c r="HHP65" s="349"/>
      <c r="HHQ65" s="349"/>
      <c r="HHR65" s="349"/>
      <c r="HHS65" s="349"/>
      <c r="HHT65" s="349"/>
      <c r="HHU65" s="349"/>
      <c r="HHV65" s="349"/>
      <c r="HHW65" s="349"/>
      <c r="HHX65" s="349"/>
      <c r="HHY65" s="349"/>
      <c r="HHZ65" s="349"/>
      <c r="HIA65" s="349"/>
      <c r="HIB65" s="349"/>
      <c r="HIC65" s="349"/>
      <c r="HID65" s="349"/>
      <c r="HIE65" s="349"/>
      <c r="HIF65" s="349"/>
      <c r="HIG65" s="349"/>
      <c r="HIH65" s="349"/>
      <c r="HII65" s="349"/>
      <c r="HIJ65" s="349"/>
      <c r="HIK65" s="349"/>
      <c r="HIL65" s="349"/>
      <c r="HIM65" s="349"/>
      <c r="HIN65" s="349"/>
      <c r="HIO65" s="349"/>
      <c r="HIP65" s="349"/>
      <c r="HIQ65" s="349"/>
      <c r="HIR65" s="349"/>
      <c r="HIS65" s="349"/>
      <c r="HIT65" s="349"/>
      <c r="HIU65" s="349"/>
      <c r="HIV65" s="349"/>
      <c r="HIW65" s="349"/>
      <c r="HIX65" s="349"/>
      <c r="HIY65" s="349"/>
      <c r="HIZ65" s="349"/>
      <c r="HJA65" s="349"/>
      <c r="HJB65" s="349"/>
      <c r="HJC65" s="349"/>
      <c r="HJD65" s="349"/>
      <c r="HJE65" s="349"/>
      <c r="HJF65" s="349"/>
      <c r="HJG65" s="349"/>
      <c r="HJH65" s="349"/>
      <c r="HJI65" s="349"/>
      <c r="HJJ65" s="349"/>
      <c r="HJK65" s="349"/>
      <c r="HJL65" s="349"/>
      <c r="HJM65" s="349"/>
      <c r="HJN65" s="349"/>
      <c r="HJO65" s="349"/>
      <c r="HJP65" s="349"/>
      <c r="HJQ65" s="349"/>
      <c r="HJR65" s="349"/>
      <c r="HJS65" s="349"/>
      <c r="HJT65" s="349"/>
      <c r="HJU65" s="349"/>
      <c r="HJV65" s="349"/>
      <c r="HJW65" s="349"/>
      <c r="HJX65" s="349"/>
      <c r="HJY65" s="349"/>
      <c r="HJZ65" s="349"/>
      <c r="HKA65" s="349"/>
      <c r="HKB65" s="349"/>
      <c r="HKC65" s="349"/>
      <c r="HKD65" s="349"/>
      <c r="HKE65" s="349"/>
      <c r="HKF65" s="349"/>
      <c r="HKG65" s="349"/>
      <c r="HKH65" s="349"/>
      <c r="HKI65" s="349"/>
      <c r="HKJ65" s="349"/>
      <c r="HKK65" s="349"/>
      <c r="HKL65" s="349"/>
      <c r="HKM65" s="349"/>
      <c r="HKN65" s="349"/>
      <c r="HKO65" s="349"/>
      <c r="HKP65" s="349"/>
      <c r="HKQ65" s="349"/>
      <c r="HKR65" s="349"/>
      <c r="HKS65" s="349"/>
      <c r="HKT65" s="349"/>
      <c r="HKU65" s="349"/>
      <c r="HKV65" s="349"/>
      <c r="HKW65" s="349"/>
      <c r="HKX65" s="349"/>
      <c r="HKY65" s="349"/>
      <c r="HKZ65" s="349"/>
      <c r="HLA65" s="349"/>
      <c r="HLB65" s="349"/>
      <c r="HLC65" s="349"/>
      <c r="HLD65" s="349"/>
      <c r="HLE65" s="349"/>
      <c r="HLF65" s="349"/>
      <c r="HLG65" s="349"/>
      <c r="HLH65" s="349"/>
      <c r="HLI65" s="349"/>
      <c r="HLJ65" s="349"/>
      <c r="HLK65" s="349"/>
      <c r="HLL65" s="349"/>
      <c r="HLM65" s="349"/>
      <c r="HLN65" s="349"/>
      <c r="HLO65" s="349"/>
      <c r="HLP65" s="349"/>
      <c r="HLQ65" s="349"/>
      <c r="HLR65" s="349"/>
      <c r="HLS65" s="349"/>
      <c r="HLT65" s="349"/>
      <c r="HLU65" s="349"/>
      <c r="HLV65" s="349"/>
      <c r="HLW65" s="349"/>
      <c r="HLX65" s="349"/>
      <c r="HLY65" s="349"/>
      <c r="HLZ65" s="349"/>
      <c r="HMA65" s="349"/>
      <c r="HMB65" s="349"/>
      <c r="HMC65" s="349"/>
      <c r="HMD65" s="349"/>
      <c r="HME65" s="349"/>
      <c r="HMF65" s="349"/>
      <c r="HMG65" s="349"/>
      <c r="HMH65" s="349"/>
      <c r="HMI65" s="349"/>
      <c r="HMJ65" s="349"/>
      <c r="HMK65" s="349"/>
      <c r="HML65" s="349"/>
      <c r="HMM65" s="349"/>
      <c r="HMN65" s="349"/>
      <c r="HMO65" s="349"/>
      <c r="HMP65" s="349"/>
      <c r="HMQ65" s="349"/>
      <c r="HMR65" s="349"/>
      <c r="HMS65" s="349"/>
      <c r="HMT65" s="349"/>
      <c r="HMU65" s="349"/>
      <c r="HMV65" s="349"/>
      <c r="HMW65" s="349"/>
      <c r="HMX65" s="349"/>
      <c r="HMY65" s="349"/>
      <c r="HMZ65" s="349"/>
      <c r="HNA65" s="349"/>
      <c r="HNB65" s="349"/>
      <c r="HNC65" s="349"/>
      <c r="HND65" s="349"/>
      <c r="HNE65" s="349"/>
      <c r="HNF65" s="349"/>
      <c r="HNG65" s="349"/>
      <c r="HNH65" s="349"/>
      <c r="HNI65" s="349"/>
      <c r="HNJ65" s="349"/>
      <c r="HNK65" s="349"/>
      <c r="HNL65" s="349"/>
      <c r="HNM65" s="349"/>
      <c r="HNN65" s="349"/>
      <c r="HNO65" s="349"/>
      <c r="HNP65" s="349"/>
      <c r="HNQ65" s="349"/>
      <c r="HNR65" s="349"/>
      <c r="HNS65" s="349"/>
      <c r="HNT65" s="349"/>
      <c r="HNU65" s="349"/>
      <c r="HNV65" s="349"/>
      <c r="HNW65" s="349"/>
      <c r="HNX65" s="349"/>
      <c r="HNY65" s="349"/>
      <c r="HNZ65" s="349"/>
      <c r="HOA65" s="349"/>
      <c r="HOB65" s="349"/>
      <c r="HOC65" s="349"/>
      <c r="HOD65" s="349"/>
      <c r="HOE65" s="349"/>
      <c r="HOF65" s="349"/>
      <c r="HOG65" s="349"/>
      <c r="HOH65" s="349"/>
      <c r="HOI65" s="349"/>
      <c r="HOJ65" s="349"/>
      <c r="HOK65" s="349"/>
      <c r="HOL65" s="349"/>
      <c r="HOM65" s="349"/>
      <c r="HON65" s="349"/>
      <c r="HOO65" s="349"/>
      <c r="HOP65" s="349"/>
      <c r="HOQ65" s="349"/>
      <c r="HOR65" s="349"/>
      <c r="HOS65" s="349"/>
      <c r="HOT65" s="349"/>
      <c r="HOU65" s="349"/>
      <c r="HOV65" s="349"/>
      <c r="HOW65" s="349"/>
      <c r="HOX65" s="349"/>
      <c r="HOY65" s="349"/>
      <c r="HOZ65" s="349"/>
      <c r="HPA65" s="349"/>
      <c r="HPB65" s="349"/>
      <c r="HPC65" s="349"/>
      <c r="HPD65" s="349"/>
      <c r="HPE65" s="349"/>
      <c r="HPF65" s="349"/>
      <c r="HPG65" s="349"/>
      <c r="HPH65" s="349"/>
      <c r="HPI65" s="349"/>
      <c r="HPJ65" s="349"/>
      <c r="HPK65" s="349"/>
      <c r="HPL65" s="349"/>
      <c r="HPM65" s="349"/>
      <c r="HPN65" s="349"/>
      <c r="HPO65" s="349"/>
      <c r="HPP65" s="349"/>
      <c r="HPQ65" s="349"/>
      <c r="HPR65" s="349"/>
      <c r="HPS65" s="349"/>
      <c r="HPT65" s="349"/>
      <c r="HPU65" s="349"/>
      <c r="HPV65" s="349"/>
      <c r="HPW65" s="349"/>
      <c r="HPX65" s="349"/>
      <c r="HPY65" s="349"/>
      <c r="HPZ65" s="349"/>
      <c r="HQA65" s="349"/>
      <c r="HQB65" s="349"/>
      <c r="HQC65" s="349"/>
      <c r="HQD65" s="349"/>
      <c r="HQE65" s="349"/>
      <c r="HQF65" s="349"/>
      <c r="HQG65" s="349"/>
      <c r="HQH65" s="349"/>
      <c r="HQI65" s="349"/>
      <c r="HQJ65" s="349"/>
      <c r="HQK65" s="349"/>
      <c r="HQL65" s="349"/>
      <c r="HQM65" s="349"/>
      <c r="HQN65" s="349"/>
      <c r="HQO65" s="349"/>
      <c r="HQP65" s="349"/>
      <c r="HQQ65" s="349"/>
      <c r="HQR65" s="349"/>
      <c r="HQS65" s="349"/>
      <c r="HQT65" s="349"/>
      <c r="HQU65" s="349"/>
      <c r="HQV65" s="349"/>
      <c r="HQW65" s="349"/>
      <c r="HQX65" s="349"/>
      <c r="HQY65" s="349"/>
      <c r="HQZ65" s="349"/>
      <c r="HRA65" s="349"/>
      <c r="HRB65" s="349"/>
      <c r="HRC65" s="349"/>
      <c r="HRD65" s="349"/>
      <c r="HRE65" s="349"/>
      <c r="HRF65" s="349"/>
      <c r="HRG65" s="349"/>
      <c r="HRH65" s="349"/>
      <c r="HRI65" s="349"/>
      <c r="HRJ65" s="349"/>
      <c r="HRK65" s="349"/>
      <c r="HRL65" s="349"/>
      <c r="HRM65" s="349"/>
      <c r="HRN65" s="349"/>
      <c r="HRO65" s="349"/>
      <c r="HRP65" s="349"/>
      <c r="HRQ65" s="349"/>
      <c r="HRR65" s="349"/>
      <c r="HRS65" s="349"/>
      <c r="HRT65" s="349"/>
      <c r="HRU65" s="349"/>
      <c r="HRV65" s="349"/>
      <c r="HRW65" s="349"/>
      <c r="HRX65" s="349"/>
      <c r="HRY65" s="349"/>
      <c r="HRZ65" s="349"/>
      <c r="HSA65" s="349"/>
      <c r="HSB65" s="349"/>
      <c r="HSC65" s="349"/>
      <c r="HSD65" s="349"/>
      <c r="HSE65" s="349"/>
      <c r="HSF65" s="349"/>
      <c r="HSG65" s="349"/>
      <c r="HSH65" s="349"/>
      <c r="HSI65" s="349"/>
      <c r="HSJ65" s="349"/>
      <c r="HSK65" s="349"/>
      <c r="HSL65" s="349"/>
      <c r="HSM65" s="349"/>
      <c r="HSN65" s="349"/>
      <c r="HSO65" s="349"/>
      <c r="HSP65" s="349"/>
      <c r="HSQ65" s="349"/>
      <c r="HSR65" s="349"/>
      <c r="HSS65" s="349"/>
      <c r="HST65" s="349"/>
      <c r="HSU65" s="349"/>
      <c r="HSV65" s="349"/>
      <c r="HSW65" s="349"/>
      <c r="HSX65" s="349"/>
      <c r="HSY65" s="349"/>
      <c r="HSZ65" s="349"/>
      <c r="HTA65" s="349"/>
      <c r="HTB65" s="349"/>
      <c r="HTC65" s="349"/>
      <c r="HTD65" s="349"/>
      <c r="HTE65" s="349"/>
      <c r="HTF65" s="349"/>
      <c r="HTG65" s="349"/>
      <c r="HTH65" s="349"/>
      <c r="HTI65" s="349"/>
      <c r="HTJ65" s="349"/>
      <c r="HTK65" s="349"/>
      <c r="HTL65" s="349"/>
      <c r="HTM65" s="349"/>
      <c r="HTN65" s="349"/>
      <c r="HTO65" s="349"/>
      <c r="HTP65" s="349"/>
      <c r="HTQ65" s="349"/>
      <c r="HTR65" s="349"/>
      <c r="HTS65" s="349"/>
      <c r="HTT65" s="349"/>
      <c r="HTU65" s="349"/>
      <c r="HTV65" s="349"/>
      <c r="HTW65" s="349"/>
      <c r="HTX65" s="349"/>
      <c r="HTY65" s="349"/>
      <c r="HTZ65" s="349"/>
      <c r="HUA65" s="349"/>
      <c r="HUB65" s="349"/>
      <c r="HUC65" s="349"/>
      <c r="HUD65" s="349"/>
      <c r="HUE65" s="349"/>
      <c r="HUF65" s="349"/>
      <c r="HUG65" s="349"/>
      <c r="HUH65" s="349"/>
      <c r="HUI65" s="349"/>
      <c r="HUJ65" s="349"/>
      <c r="HUK65" s="349"/>
      <c r="HUL65" s="349"/>
      <c r="HUM65" s="349"/>
      <c r="HUN65" s="349"/>
      <c r="HUO65" s="349"/>
      <c r="HUP65" s="349"/>
      <c r="HUQ65" s="349"/>
      <c r="HUR65" s="349"/>
      <c r="HUS65" s="349"/>
      <c r="HUT65" s="349"/>
      <c r="HUU65" s="349"/>
      <c r="HUV65" s="349"/>
      <c r="HUW65" s="349"/>
      <c r="HUX65" s="349"/>
      <c r="HUY65" s="349"/>
      <c r="HUZ65" s="349"/>
      <c r="HVA65" s="349"/>
      <c r="HVB65" s="349"/>
      <c r="HVC65" s="349"/>
      <c r="HVD65" s="349"/>
      <c r="HVE65" s="349"/>
      <c r="HVF65" s="349"/>
      <c r="HVG65" s="349"/>
      <c r="HVH65" s="349"/>
      <c r="HVI65" s="349"/>
      <c r="HVJ65" s="349"/>
      <c r="HVK65" s="349"/>
      <c r="HVL65" s="349"/>
      <c r="HVM65" s="349"/>
      <c r="HVN65" s="349"/>
      <c r="HVO65" s="349"/>
      <c r="HVP65" s="349"/>
      <c r="HVQ65" s="349"/>
      <c r="HVR65" s="349"/>
      <c r="HVS65" s="349"/>
      <c r="HVT65" s="349"/>
      <c r="HVU65" s="349"/>
      <c r="HVV65" s="349"/>
      <c r="HVW65" s="349"/>
      <c r="HVX65" s="349"/>
      <c r="HVY65" s="349"/>
      <c r="HVZ65" s="349"/>
      <c r="HWA65" s="349"/>
      <c r="HWB65" s="349"/>
      <c r="HWC65" s="349"/>
      <c r="HWD65" s="349"/>
      <c r="HWE65" s="349"/>
      <c r="HWF65" s="349"/>
      <c r="HWG65" s="349"/>
      <c r="HWH65" s="349"/>
      <c r="HWI65" s="349"/>
      <c r="HWJ65" s="349"/>
      <c r="HWK65" s="349"/>
      <c r="HWL65" s="349"/>
      <c r="HWM65" s="349"/>
      <c r="HWN65" s="349"/>
      <c r="HWO65" s="349"/>
      <c r="HWP65" s="349"/>
      <c r="HWQ65" s="349"/>
      <c r="HWR65" s="349"/>
      <c r="HWS65" s="349"/>
      <c r="HWT65" s="349"/>
      <c r="HWU65" s="349"/>
      <c r="HWV65" s="349"/>
      <c r="HWW65" s="349"/>
      <c r="HWX65" s="349"/>
      <c r="HWY65" s="349"/>
      <c r="HWZ65" s="349"/>
      <c r="HXA65" s="349"/>
      <c r="HXB65" s="349"/>
      <c r="HXC65" s="349"/>
      <c r="HXD65" s="349"/>
      <c r="HXE65" s="349"/>
      <c r="HXF65" s="349"/>
      <c r="HXG65" s="349"/>
      <c r="HXH65" s="349"/>
      <c r="HXI65" s="349"/>
      <c r="HXJ65" s="349"/>
      <c r="HXK65" s="349"/>
      <c r="HXL65" s="349"/>
      <c r="HXM65" s="349"/>
      <c r="HXN65" s="349"/>
      <c r="HXO65" s="349"/>
      <c r="HXP65" s="349"/>
      <c r="HXQ65" s="349"/>
      <c r="HXR65" s="349"/>
      <c r="HXS65" s="349"/>
      <c r="HXT65" s="349"/>
      <c r="HXU65" s="349"/>
      <c r="HXV65" s="349"/>
      <c r="HXW65" s="349"/>
      <c r="HXX65" s="349"/>
      <c r="HXY65" s="349"/>
      <c r="HXZ65" s="349"/>
      <c r="HYA65" s="349"/>
      <c r="HYB65" s="349"/>
      <c r="HYC65" s="349"/>
      <c r="HYD65" s="349"/>
      <c r="HYE65" s="349"/>
      <c r="HYF65" s="349"/>
      <c r="HYG65" s="349"/>
      <c r="HYH65" s="349"/>
      <c r="HYI65" s="349"/>
      <c r="HYJ65" s="349"/>
      <c r="HYK65" s="349"/>
      <c r="HYL65" s="349"/>
      <c r="HYM65" s="349"/>
      <c r="HYN65" s="349"/>
      <c r="HYO65" s="349"/>
      <c r="HYP65" s="349"/>
      <c r="HYQ65" s="349"/>
      <c r="HYR65" s="349"/>
      <c r="HYS65" s="349"/>
      <c r="HYT65" s="349"/>
      <c r="HYU65" s="349"/>
      <c r="HYV65" s="349"/>
      <c r="HYW65" s="349"/>
      <c r="HYX65" s="349"/>
      <c r="HYY65" s="349"/>
      <c r="HYZ65" s="349"/>
      <c r="HZA65" s="349"/>
      <c r="HZB65" s="349"/>
      <c r="HZC65" s="349"/>
      <c r="HZD65" s="349"/>
      <c r="HZE65" s="349"/>
      <c r="HZF65" s="349"/>
      <c r="HZG65" s="349"/>
      <c r="HZH65" s="349"/>
      <c r="HZI65" s="349"/>
      <c r="HZJ65" s="349"/>
      <c r="HZK65" s="349"/>
      <c r="HZL65" s="349"/>
      <c r="HZM65" s="349"/>
      <c r="HZN65" s="349"/>
      <c r="HZO65" s="349"/>
      <c r="HZP65" s="349"/>
      <c r="HZQ65" s="349"/>
      <c r="HZR65" s="349"/>
      <c r="HZS65" s="349"/>
      <c r="HZT65" s="349"/>
      <c r="HZU65" s="349"/>
      <c r="HZV65" s="349"/>
      <c r="HZW65" s="349"/>
      <c r="HZX65" s="349"/>
      <c r="HZY65" s="349"/>
      <c r="HZZ65" s="349"/>
      <c r="IAA65" s="349"/>
      <c r="IAB65" s="349"/>
      <c r="IAC65" s="349"/>
      <c r="IAD65" s="349"/>
      <c r="IAE65" s="349"/>
      <c r="IAF65" s="349"/>
      <c r="IAG65" s="349"/>
      <c r="IAH65" s="349"/>
      <c r="IAI65" s="349"/>
      <c r="IAJ65" s="349"/>
      <c r="IAK65" s="349"/>
      <c r="IAL65" s="349"/>
      <c r="IAM65" s="349"/>
      <c r="IAN65" s="349"/>
      <c r="IAO65" s="349"/>
      <c r="IAP65" s="349"/>
      <c r="IAQ65" s="349"/>
      <c r="IAR65" s="349"/>
      <c r="IAS65" s="349"/>
      <c r="IAT65" s="349"/>
      <c r="IAU65" s="349"/>
      <c r="IAV65" s="349"/>
      <c r="IAW65" s="349"/>
      <c r="IAX65" s="349"/>
      <c r="IAY65" s="349"/>
      <c r="IAZ65" s="349"/>
      <c r="IBA65" s="349"/>
      <c r="IBB65" s="349"/>
      <c r="IBC65" s="349"/>
      <c r="IBD65" s="349"/>
      <c r="IBE65" s="349"/>
      <c r="IBF65" s="349"/>
      <c r="IBG65" s="349"/>
      <c r="IBH65" s="349"/>
      <c r="IBI65" s="349"/>
      <c r="IBJ65" s="349"/>
      <c r="IBK65" s="349"/>
      <c r="IBL65" s="349"/>
      <c r="IBM65" s="349"/>
      <c r="IBN65" s="349"/>
      <c r="IBO65" s="349"/>
      <c r="IBP65" s="349"/>
      <c r="IBQ65" s="349"/>
      <c r="IBR65" s="349"/>
      <c r="IBS65" s="349"/>
      <c r="IBT65" s="349"/>
      <c r="IBU65" s="349"/>
      <c r="IBV65" s="349"/>
      <c r="IBW65" s="349"/>
      <c r="IBX65" s="349"/>
      <c r="IBY65" s="349"/>
      <c r="IBZ65" s="349"/>
      <c r="ICA65" s="349"/>
      <c r="ICB65" s="349"/>
      <c r="ICC65" s="349"/>
      <c r="ICD65" s="349"/>
      <c r="ICE65" s="349"/>
      <c r="ICF65" s="349"/>
      <c r="ICG65" s="349"/>
      <c r="ICH65" s="349"/>
      <c r="ICI65" s="349"/>
      <c r="ICJ65" s="349"/>
      <c r="ICK65" s="349"/>
      <c r="ICL65" s="349"/>
      <c r="ICM65" s="349"/>
      <c r="ICN65" s="349"/>
      <c r="ICO65" s="349"/>
      <c r="ICP65" s="349"/>
      <c r="ICQ65" s="349"/>
      <c r="ICR65" s="349"/>
      <c r="ICS65" s="349"/>
      <c r="ICT65" s="349"/>
      <c r="ICU65" s="349"/>
      <c r="ICV65" s="349"/>
      <c r="ICW65" s="349"/>
      <c r="ICX65" s="349"/>
      <c r="ICY65" s="349"/>
      <c r="ICZ65" s="349"/>
      <c r="IDA65" s="349"/>
      <c r="IDB65" s="349"/>
      <c r="IDC65" s="349"/>
      <c r="IDD65" s="349"/>
      <c r="IDE65" s="349"/>
      <c r="IDF65" s="349"/>
      <c r="IDG65" s="349"/>
      <c r="IDH65" s="349"/>
      <c r="IDI65" s="349"/>
      <c r="IDJ65" s="349"/>
      <c r="IDK65" s="349"/>
      <c r="IDL65" s="349"/>
      <c r="IDM65" s="349"/>
      <c r="IDN65" s="349"/>
      <c r="IDO65" s="349"/>
      <c r="IDP65" s="349"/>
      <c r="IDQ65" s="349"/>
      <c r="IDR65" s="349"/>
      <c r="IDS65" s="349"/>
      <c r="IDT65" s="349"/>
      <c r="IDU65" s="349"/>
      <c r="IDV65" s="349"/>
      <c r="IDW65" s="349"/>
      <c r="IDX65" s="349"/>
      <c r="IDY65" s="349"/>
      <c r="IDZ65" s="349"/>
      <c r="IEA65" s="349"/>
      <c r="IEB65" s="349"/>
      <c r="IEC65" s="349"/>
      <c r="IED65" s="349"/>
      <c r="IEE65" s="349"/>
      <c r="IEF65" s="349"/>
      <c r="IEG65" s="349"/>
      <c r="IEH65" s="349"/>
      <c r="IEI65" s="349"/>
      <c r="IEJ65" s="349"/>
      <c r="IEK65" s="349"/>
      <c r="IEL65" s="349"/>
      <c r="IEM65" s="349"/>
      <c r="IEN65" s="349"/>
      <c r="IEO65" s="349"/>
      <c r="IEP65" s="349"/>
      <c r="IEQ65" s="349"/>
      <c r="IER65" s="349"/>
      <c r="IES65" s="349"/>
      <c r="IET65" s="349"/>
      <c r="IEU65" s="349"/>
      <c r="IEV65" s="349"/>
      <c r="IEW65" s="349"/>
      <c r="IEX65" s="349"/>
      <c r="IEY65" s="349"/>
      <c r="IEZ65" s="349"/>
      <c r="IFA65" s="349"/>
      <c r="IFB65" s="349"/>
      <c r="IFC65" s="349"/>
      <c r="IFD65" s="349"/>
      <c r="IFE65" s="349"/>
      <c r="IFF65" s="349"/>
      <c r="IFG65" s="349"/>
      <c r="IFH65" s="349"/>
      <c r="IFI65" s="349"/>
      <c r="IFJ65" s="349"/>
      <c r="IFK65" s="349"/>
      <c r="IFL65" s="349"/>
      <c r="IFM65" s="349"/>
      <c r="IFN65" s="349"/>
      <c r="IFO65" s="349"/>
      <c r="IFP65" s="349"/>
      <c r="IFQ65" s="349"/>
      <c r="IFR65" s="349"/>
      <c r="IFS65" s="349"/>
      <c r="IFT65" s="349"/>
      <c r="IFU65" s="349"/>
      <c r="IFV65" s="349"/>
      <c r="IFW65" s="349"/>
      <c r="IFX65" s="349"/>
      <c r="IFY65" s="349"/>
      <c r="IFZ65" s="349"/>
      <c r="IGA65" s="349"/>
      <c r="IGB65" s="349"/>
      <c r="IGC65" s="349"/>
      <c r="IGD65" s="349"/>
      <c r="IGE65" s="349"/>
      <c r="IGF65" s="349"/>
      <c r="IGG65" s="349"/>
      <c r="IGH65" s="349"/>
      <c r="IGI65" s="349"/>
      <c r="IGJ65" s="349"/>
      <c r="IGK65" s="349"/>
      <c r="IGL65" s="349"/>
      <c r="IGM65" s="349"/>
      <c r="IGN65" s="349"/>
      <c r="IGO65" s="349"/>
      <c r="IGP65" s="349"/>
      <c r="IGQ65" s="349"/>
      <c r="IGR65" s="349"/>
      <c r="IGS65" s="349"/>
      <c r="IGT65" s="349"/>
      <c r="IGU65" s="349"/>
      <c r="IGV65" s="349"/>
      <c r="IGW65" s="349"/>
      <c r="IGX65" s="349"/>
      <c r="IGY65" s="349"/>
      <c r="IGZ65" s="349"/>
      <c r="IHA65" s="349"/>
      <c r="IHB65" s="349"/>
      <c r="IHC65" s="349"/>
      <c r="IHD65" s="349"/>
      <c r="IHE65" s="349"/>
      <c r="IHF65" s="349"/>
      <c r="IHG65" s="349"/>
      <c r="IHH65" s="349"/>
      <c r="IHI65" s="349"/>
      <c r="IHJ65" s="349"/>
      <c r="IHK65" s="349"/>
      <c r="IHL65" s="349"/>
      <c r="IHM65" s="349"/>
      <c r="IHN65" s="349"/>
      <c r="IHO65" s="349"/>
      <c r="IHP65" s="349"/>
      <c r="IHQ65" s="349"/>
      <c r="IHR65" s="349"/>
      <c r="IHS65" s="349"/>
      <c r="IHT65" s="349"/>
      <c r="IHU65" s="349"/>
      <c r="IHV65" s="349"/>
      <c r="IHW65" s="349"/>
      <c r="IHX65" s="349"/>
      <c r="IHY65" s="349"/>
      <c r="IHZ65" s="349"/>
      <c r="IIA65" s="349"/>
      <c r="IIB65" s="349"/>
      <c r="IIC65" s="349"/>
      <c r="IID65" s="349"/>
      <c r="IIE65" s="349"/>
      <c r="IIF65" s="349"/>
      <c r="IIG65" s="349"/>
      <c r="IIH65" s="349"/>
      <c r="III65" s="349"/>
      <c r="IIJ65" s="349"/>
      <c r="IIK65" s="349"/>
      <c r="IIL65" s="349"/>
      <c r="IIM65" s="349"/>
      <c r="IIN65" s="349"/>
      <c r="IIO65" s="349"/>
      <c r="IIP65" s="349"/>
      <c r="IIQ65" s="349"/>
      <c r="IIR65" s="349"/>
      <c r="IIS65" s="349"/>
      <c r="IIT65" s="349"/>
      <c r="IIU65" s="349"/>
      <c r="IIV65" s="349"/>
      <c r="IIW65" s="349"/>
      <c r="IIX65" s="349"/>
      <c r="IIY65" s="349"/>
      <c r="IIZ65" s="349"/>
      <c r="IJA65" s="349"/>
      <c r="IJB65" s="349"/>
      <c r="IJC65" s="349"/>
      <c r="IJD65" s="349"/>
      <c r="IJE65" s="349"/>
      <c r="IJF65" s="349"/>
      <c r="IJG65" s="349"/>
      <c r="IJH65" s="349"/>
      <c r="IJI65" s="349"/>
      <c r="IJJ65" s="349"/>
      <c r="IJK65" s="349"/>
      <c r="IJL65" s="349"/>
      <c r="IJM65" s="349"/>
      <c r="IJN65" s="349"/>
      <c r="IJO65" s="349"/>
      <c r="IJP65" s="349"/>
      <c r="IJQ65" s="349"/>
      <c r="IJR65" s="349"/>
      <c r="IJS65" s="349"/>
      <c r="IJT65" s="349"/>
      <c r="IJU65" s="349"/>
      <c r="IJV65" s="349"/>
      <c r="IJW65" s="349"/>
      <c r="IJX65" s="349"/>
      <c r="IJY65" s="349"/>
      <c r="IJZ65" s="349"/>
      <c r="IKA65" s="349"/>
      <c r="IKB65" s="349"/>
      <c r="IKC65" s="349"/>
      <c r="IKD65" s="349"/>
      <c r="IKE65" s="349"/>
      <c r="IKF65" s="349"/>
      <c r="IKG65" s="349"/>
      <c r="IKH65" s="349"/>
      <c r="IKI65" s="349"/>
      <c r="IKJ65" s="349"/>
      <c r="IKK65" s="349"/>
      <c r="IKL65" s="349"/>
      <c r="IKM65" s="349"/>
      <c r="IKN65" s="349"/>
      <c r="IKO65" s="349"/>
      <c r="IKP65" s="349"/>
      <c r="IKQ65" s="349"/>
      <c r="IKR65" s="349"/>
      <c r="IKS65" s="349"/>
      <c r="IKT65" s="349"/>
      <c r="IKU65" s="349"/>
      <c r="IKV65" s="349"/>
      <c r="IKW65" s="349"/>
      <c r="IKX65" s="349"/>
      <c r="IKY65" s="349"/>
      <c r="IKZ65" s="349"/>
      <c r="ILA65" s="349"/>
      <c r="ILB65" s="349"/>
      <c r="ILC65" s="349"/>
      <c r="ILD65" s="349"/>
      <c r="ILE65" s="349"/>
      <c r="ILF65" s="349"/>
      <c r="ILG65" s="349"/>
      <c r="ILH65" s="349"/>
      <c r="ILI65" s="349"/>
      <c r="ILJ65" s="349"/>
      <c r="ILK65" s="349"/>
      <c r="ILL65" s="349"/>
      <c r="ILM65" s="349"/>
      <c r="ILN65" s="349"/>
      <c r="ILO65" s="349"/>
      <c r="ILP65" s="349"/>
      <c r="ILQ65" s="349"/>
      <c r="ILR65" s="349"/>
      <c r="ILS65" s="349"/>
      <c r="ILT65" s="349"/>
      <c r="ILU65" s="349"/>
      <c r="ILV65" s="349"/>
      <c r="ILW65" s="349"/>
      <c r="ILX65" s="349"/>
      <c r="ILY65" s="349"/>
      <c r="ILZ65" s="349"/>
      <c r="IMA65" s="349"/>
      <c r="IMB65" s="349"/>
      <c r="IMC65" s="349"/>
      <c r="IMD65" s="349"/>
      <c r="IME65" s="349"/>
      <c r="IMF65" s="349"/>
      <c r="IMG65" s="349"/>
      <c r="IMH65" s="349"/>
      <c r="IMI65" s="349"/>
      <c r="IMJ65" s="349"/>
      <c r="IMK65" s="349"/>
      <c r="IML65" s="349"/>
      <c r="IMM65" s="349"/>
      <c r="IMN65" s="349"/>
      <c r="IMO65" s="349"/>
      <c r="IMP65" s="349"/>
      <c r="IMQ65" s="349"/>
      <c r="IMR65" s="349"/>
      <c r="IMS65" s="349"/>
      <c r="IMT65" s="349"/>
      <c r="IMU65" s="349"/>
      <c r="IMV65" s="349"/>
      <c r="IMW65" s="349"/>
      <c r="IMX65" s="349"/>
      <c r="IMY65" s="349"/>
      <c r="IMZ65" s="349"/>
      <c r="INA65" s="349"/>
      <c r="INB65" s="349"/>
      <c r="INC65" s="349"/>
      <c r="IND65" s="349"/>
      <c r="INE65" s="349"/>
      <c r="INF65" s="349"/>
      <c r="ING65" s="349"/>
      <c r="INH65" s="349"/>
      <c r="INI65" s="349"/>
      <c r="INJ65" s="349"/>
      <c r="INK65" s="349"/>
      <c r="INL65" s="349"/>
      <c r="INM65" s="349"/>
      <c r="INN65" s="349"/>
      <c r="INO65" s="349"/>
      <c r="INP65" s="349"/>
      <c r="INQ65" s="349"/>
      <c r="INR65" s="349"/>
      <c r="INS65" s="349"/>
      <c r="INT65" s="349"/>
      <c r="INU65" s="349"/>
      <c r="INV65" s="349"/>
      <c r="INW65" s="349"/>
      <c r="INX65" s="349"/>
      <c r="INY65" s="349"/>
      <c r="INZ65" s="349"/>
      <c r="IOA65" s="349"/>
      <c r="IOB65" s="349"/>
      <c r="IOC65" s="349"/>
      <c r="IOD65" s="349"/>
      <c r="IOE65" s="349"/>
      <c r="IOF65" s="349"/>
      <c r="IOG65" s="349"/>
      <c r="IOH65" s="349"/>
      <c r="IOI65" s="349"/>
      <c r="IOJ65" s="349"/>
      <c r="IOK65" s="349"/>
      <c r="IOL65" s="349"/>
      <c r="IOM65" s="349"/>
      <c r="ION65" s="349"/>
      <c r="IOO65" s="349"/>
      <c r="IOP65" s="349"/>
      <c r="IOQ65" s="349"/>
      <c r="IOR65" s="349"/>
      <c r="IOS65" s="349"/>
      <c r="IOT65" s="349"/>
      <c r="IOU65" s="349"/>
      <c r="IOV65" s="349"/>
      <c r="IOW65" s="349"/>
      <c r="IOX65" s="349"/>
      <c r="IOY65" s="349"/>
      <c r="IOZ65" s="349"/>
      <c r="IPA65" s="349"/>
      <c r="IPB65" s="349"/>
      <c r="IPC65" s="349"/>
      <c r="IPD65" s="349"/>
      <c r="IPE65" s="349"/>
      <c r="IPF65" s="349"/>
      <c r="IPG65" s="349"/>
      <c r="IPH65" s="349"/>
      <c r="IPI65" s="349"/>
      <c r="IPJ65" s="349"/>
      <c r="IPK65" s="349"/>
      <c r="IPL65" s="349"/>
      <c r="IPM65" s="349"/>
      <c r="IPN65" s="349"/>
      <c r="IPO65" s="349"/>
      <c r="IPP65" s="349"/>
      <c r="IPQ65" s="349"/>
      <c r="IPR65" s="349"/>
      <c r="IPS65" s="349"/>
      <c r="IPT65" s="349"/>
      <c r="IPU65" s="349"/>
      <c r="IPV65" s="349"/>
      <c r="IPW65" s="349"/>
      <c r="IPX65" s="349"/>
      <c r="IPY65" s="349"/>
      <c r="IPZ65" s="349"/>
      <c r="IQA65" s="349"/>
      <c r="IQB65" s="349"/>
      <c r="IQC65" s="349"/>
      <c r="IQD65" s="349"/>
      <c r="IQE65" s="349"/>
      <c r="IQF65" s="349"/>
      <c r="IQG65" s="349"/>
      <c r="IQH65" s="349"/>
      <c r="IQI65" s="349"/>
      <c r="IQJ65" s="349"/>
      <c r="IQK65" s="349"/>
      <c r="IQL65" s="349"/>
      <c r="IQM65" s="349"/>
      <c r="IQN65" s="349"/>
      <c r="IQO65" s="349"/>
      <c r="IQP65" s="349"/>
      <c r="IQQ65" s="349"/>
      <c r="IQR65" s="349"/>
      <c r="IQS65" s="349"/>
      <c r="IQT65" s="349"/>
      <c r="IQU65" s="349"/>
      <c r="IQV65" s="349"/>
      <c r="IQW65" s="349"/>
      <c r="IQX65" s="349"/>
      <c r="IQY65" s="349"/>
      <c r="IQZ65" s="349"/>
      <c r="IRA65" s="349"/>
      <c r="IRB65" s="349"/>
      <c r="IRC65" s="349"/>
      <c r="IRD65" s="349"/>
      <c r="IRE65" s="349"/>
      <c r="IRF65" s="349"/>
      <c r="IRG65" s="349"/>
      <c r="IRH65" s="349"/>
      <c r="IRI65" s="349"/>
      <c r="IRJ65" s="349"/>
      <c r="IRK65" s="349"/>
      <c r="IRL65" s="349"/>
      <c r="IRM65" s="349"/>
      <c r="IRN65" s="349"/>
      <c r="IRO65" s="349"/>
      <c r="IRP65" s="349"/>
      <c r="IRQ65" s="349"/>
      <c r="IRR65" s="349"/>
      <c r="IRS65" s="349"/>
      <c r="IRT65" s="349"/>
      <c r="IRU65" s="349"/>
      <c r="IRV65" s="349"/>
      <c r="IRW65" s="349"/>
      <c r="IRX65" s="349"/>
      <c r="IRY65" s="349"/>
      <c r="IRZ65" s="349"/>
      <c r="ISA65" s="349"/>
      <c r="ISB65" s="349"/>
      <c r="ISC65" s="349"/>
      <c r="ISD65" s="349"/>
      <c r="ISE65" s="349"/>
      <c r="ISF65" s="349"/>
      <c r="ISG65" s="349"/>
      <c r="ISH65" s="349"/>
      <c r="ISI65" s="349"/>
      <c r="ISJ65" s="349"/>
      <c r="ISK65" s="349"/>
      <c r="ISL65" s="349"/>
      <c r="ISM65" s="349"/>
      <c r="ISN65" s="349"/>
      <c r="ISO65" s="349"/>
      <c r="ISP65" s="349"/>
      <c r="ISQ65" s="349"/>
      <c r="ISR65" s="349"/>
      <c r="ISS65" s="349"/>
      <c r="IST65" s="349"/>
      <c r="ISU65" s="349"/>
      <c r="ISV65" s="349"/>
      <c r="ISW65" s="349"/>
      <c r="ISX65" s="349"/>
      <c r="ISY65" s="349"/>
      <c r="ISZ65" s="349"/>
      <c r="ITA65" s="349"/>
      <c r="ITB65" s="349"/>
      <c r="ITC65" s="349"/>
      <c r="ITD65" s="349"/>
      <c r="ITE65" s="349"/>
      <c r="ITF65" s="349"/>
      <c r="ITG65" s="349"/>
      <c r="ITH65" s="349"/>
      <c r="ITI65" s="349"/>
      <c r="ITJ65" s="349"/>
      <c r="ITK65" s="349"/>
      <c r="ITL65" s="349"/>
      <c r="ITM65" s="349"/>
      <c r="ITN65" s="349"/>
      <c r="ITO65" s="349"/>
      <c r="ITP65" s="349"/>
      <c r="ITQ65" s="349"/>
      <c r="ITR65" s="349"/>
      <c r="ITS65" s="349"/>
      <c r="ITT65" s="349"/>
      <c r="ITU65" s="349"/>
      <c r="ITV65" s="349"/>
      <c r="ITW65" s="349"/>
      <c r="ITX65" s="349"/>
      <c r="ITY65" s="349"/>
      <c r="ITZ65" s="349"/>
      <c r="IUA65" s="349"/>
      <c r="IUB65" s="349"/>
      <c r="IUC65" s="349"/>
      <c r="IUD65" s="349"/>
      <c r="IUE65" s="349"/>
      <c r="IUF65" s="349"/>
      <c r="IUG65" s="349"/>
      <c r="IUH65" s="349"/>
      <c r="IUI65" s="349"/>
      <c r="IUJ65" s="349"/>
      <c r="IUK65" s="349"/>
      <c r="IUL65" s="349"/>
      <c r="IUM65" s="349"/>
      <c r="IUN65" s="349"/>
      <c r="IUO65" s="349"/>
      <c r="IUP65" s="349"/>
      <c r="IUQ65" s="349"/>
      <c r="IUR65" s="349"/>
      <c r="IUS65" s="349"/>
      <c r="IUT65" s="349"/>
      <c r="IUU65" s="349"/>
      <c r="IUV65" s="349"/>
      <c r="IUW65" s="349"/>
      <c r="IUX65" s="349"/>
      <c r="IUY65" s="349"/>
      <c r="IUZ65" s="349"/>
      <c r="IVA65" s="349"/>
      <c r="IVB65" s="349"/>
      <c r="IVC65" s="349"/>
      <c r="IVD65" s="349"/>
      <c r="IVE65" s="349"/>
      <c r="IVF65" s="349"/>
      <c r="IVG65" s="349"/>
      <c r="IVH65" s="349"/>
      <c r="IVI65" s="349"/>
      <c r="IVJ65" s="349"/>
      <c r="IVK65" s="349"/>
      <c r="IVL65" s="349"/>
      <c r="IVM65" s="349"/>
      <c r="IVN65" s="349"/>
      <c r="IVO65" s="349"/>
      <c r="IVP65" s="349"/>
      <c r="IVQ65" s="349"/>
      <c r="IVR65" s="349"/>
      <c r="IVS65" s="349"/>
      <c r="IVT65" s="349"/>
      <c r="IVU65" s="349"/>
      <c r="IVV65" s="349"/>
      <c r="IVW65" s="349"/>
      <c r="IVX65" s="349"/>
      <c r="IVY65" s="349"/>
      <c r="IVZ65" s="349"/>
      <c r="IWA65" s="349"/>
      <c r="IWB65" s="349"/>
      <c r="IWC65" s="349"/>
      <c r="IWD65" s="349"/>
      <c r="IWE65" s="349"/>
      <c r="IWF65" s="349"/>
      <c r="IWG65" s="349"/>
      <c r="IWH65" s="349"/>
      <c r="IWI65" s="349"/>
      <c r="IWJ65" s="349"/>
      <c r="IWK65" s="349"/>
      <c r="IWL65" s="349"/>
      <c r="IWM65" s="349"/>
      <c r="IWN65" s="349"/>
      <c r="IWO65" s="349"/>
      <c r="IWP65" s="349"/>
      <c r="IWQ65" s="349"/>
      <c r="IWR65" s="349"/>
      <c r="IWS65" s="349"/>
      <c r="IWT65" s="349"/>
      <c r="IWU65" s="349"/>
      <c r="IWV65" s="349"/>
      <c r="IWW65" s="349"/>
      <c r="IWX65" s="349"/>
      <c r="IWY65" s="349"/>
      <c r="IWZ65" s="349"/>
      <c r="IXA65" s="349"/>
      <c r="IXB65" s="349"/>
      <c r="IXC65" s="349"/>
      <c r="IXD65" s="349"/>
      <c r="IXE65" s="349"/>
      <c r="IXF65" s="349"/>
      <c r="IXG65" s="349"/>
      <c r="IXH65" s="349"/>
      <c r="IXI65" s="349"/>
      <c r="IXJ65" s="349"/>
      <c r="IXK65" s="349"/>
      <c r="IXL65" s="349"/>
      <c r="IXM65" s="349"/>
      <c r="IXN65" s="349"/>
      <c r="IXO65" s="349"/>
      <c r="IXP65" s="349"/>
      <c r="IXQ65" s="349"/>
      <c r="IXR65" s="349"/>
      <c r="IXS65" s="349"/>
      <c r="IXT65" s="349"/>
      <c r="IXU65" s="349"/>
      <c r="IXV65" s="349"/>
      <c r="IXW65" s="349"/>
      <c r="IXX65" s="349"/>
      <c r="IXY65" s="349"/>
      <c r="IXZ65" s="349"/>
      <c r="IYA65" s="349"/>
      <c r="IYB65" s="349"/>
      <c r="IYC65" s="349"/>
      <c r="IYD65" s="349"/>
      <c r="IYE65" s="349"/>
      <c r="IYF65" s="349"/>
      <c r="IYG65" s="349"/>
      <c r="IYH65" s="349"/>
      <c r="IYI65" s="349"/>
      <c r="IYJ65" s="349"/>
      <c r="IYK65" s="349"/>
      <c r="IYL65" s="349"/>
      <c r="IYM65" s="349"/>
      <c r="IYN65" s="349"/>
      <c r="IYO65" s="349"/>
      <c r="IYP65" s="349"/>
      <c r="IYQ65" s="349"/>
      <c r="IYR65" s="349"/>
      <c r="IYS65" s="349"/>
      <c r="IYT65" s="349"/>
      <c r="IYU65" s="349"/>
      <c r="IYV65" s="349"/>
      <c r="IYW65" s="349"/>
      <c r="IYX65" s="349"/>
      <c r="IYY65" s="349"/>
      <c r="IYZ65" s="349"/>
      <c r="IZA65" s="349"/>
      <c r="IZB65" s="349"/>
      <c r="IZC65" s="349"/>
      <c r="IZD65" s="349"/>
      <c r="IZE65" s="349"/>
      <c r="IZF65" s="349"/>
      <c r="IZG65" s="349"/>
      <c r="IZH65" s="349"/>
      <c r="IZI65" s="349"/>
      <c r="IZJ65" s="349"/>
      <c r="IZK65" s="349"/>
      <c r="IZL65" s="349"/>
      <c r="IZM65" s="349"/>
      <c r="IZN65" s="349"/>
      <c r="IZO65" s="349"/>
      <c r="IZP65" s="349"/>
      <c r="IZQ65" s="349"/>
      <c r="IZR65" s="349"/>
      <c r="IZS65" s="349"/>
      <c r="IZT65" s="349"/>
      <c r="IZU65" s="349"/>
      <c r="IZV65" s="349"/>
      <c r="IZW65" s="349"/>
      <c r="IZX65" s="349"/>
      <c r="IZY65" s="349"/>
      <c r="IZZ65" s="349"/>
      <c r="JAA65" s="349"/>
      <c r="JAB65" s="349"/>
      <c r="JAC65" s="349"/>
      <c r="JAD65" s="349"/>
      <c r="JAE65" s="349"/>
      <c r="JAF65" s="349"/>
      <c r="JAG65" s="349"/>
      <c r="JAH65" s="349"/>
      <c r="JAI65" s="349"/>
      <c r="JAJ65" s="349"/>
      <c r="JAK65" s="349"/>
      <c r="JAL65" s="349"/>
      <c r="JAM65" s="349"/>
      <c r="JAN65" s="349"/>
      <c r="JAO65" s="349"/>
      <c r="JAP65" s="349"/>
      <c r="JAQ65" s="349"/>
      <c r="JAR65" s="349"/>
      <c r="JAS65" s="349"/>
      <c r="JAT65" s="349"/>
      <c r="JAU65" s="349"/>
      <c r="JAV65" s="349"/>
      <c r="JAW65" s="349"/>
      <c r="JAX65" s="349"/>
      <c r="JAY65" s="349"/>
      <c r="JAZ65" s="349"/>
      <c r="JBA65" s="349"/>
      <c r="JBB65" s="349"/>
      <c r="JBC65" s="349"/>
      <c r="JBD65" s="349"/>
      <c r="JBE65" s="349"/>
      <c r="JBF65" s="349"/>
      <c r="JBG65" s="349"/>
      <c r="JBH65" s="349"/>
      <c r="JBI65" s="349"/>
      <c r="JBJ65" s="349"/>
      <c r="JBK65" s="349"/>
      <c r="JBL65" s="349"/>
      <c r="JBM65" s="349"/>
      <c r="JBN65" s="349"/>
      <c r="JBO65" s="349"/>
      <c r="JBP65" s="349"/>
      <c r="JBQ65" s="349"/>
      <c r="JBR65" s="349"/>
      <c r="JBS65" s="349"/>
      <c r="JBT65" s="349"/>
      <c r="JBU65" s="349"/>
      <c r="JBV65" s="349"/>
      <c r="JBW65" s="349"/>
      <c r="JBX65" s="349"/>
      <c r="JBY65" s="349"/>
      <c r="JBZ65" s="349"/>
      <c r="JCA65" s="349"/>
      <c r="JCB65" s="349"/>
      <c r="JCC65" s="349"/>
      <c r="JCD65" s="349"/>
      <c r="JCE65" s="349"/>
      <c r="JCF65" s="349"/>
      <c r="JCG65" s="349"/>
      <c r="JCH65" s="349"/>
      <c r="JCI65" s="349"/>
      <c r="JCJ65" s="349"/>
      <c r="JCK65" s="349"/>
      <c r="JCL65" s="349"/>
      <c r="JCM65" s="349"/>
      <c r="JCN65" s="349"/>
      <c r="JCO65" s="349"/>
      <c r="JCP65" s="349"/>
      <c r="JCQ65" s="349"/>
      <c r="JCR65" s="349"/>
      <c r="JCS65" s="349"/>
      <c r="JCT65" s="349"/>
      <c r="JCU65" s="349"/>
      <c r="JCV65" s="349"/>
      <c r="JCW65" s="349"/>
      <c r="JCX65" s="349"/>
      <c r="JCY65" s="349"/>
      <c r="JCZ65" s="349"/>
      <c r="JDA65" s="349"/>
      <c r="JDB65" s="349"/>
      <c r="JDC65" s="349"/>
      <c r="JDD65" s="349"/>
      <c r="JDE65" s="349"/>
      <c r="JDF65" s="349"/>
      <c r="JDG65" s="349"/>
      <c r="JDH65" s="349"/>
      <c r="JDI65" s="349"/>
      <c r="JDJ65" s="349"/>
      <c r="JDK65" s="349"/>
      <c r="JDL65" s="349"/>
      <c r="JDM65" s="349"/>
      <c r="JDN65" s="349"/>
      <c r="JDO65" s="349"/>
      <c r="JDP65" s="349"/>
      <c r="JDQ65" s="349"/>
      <c r="JDR65" s="349"/>
      <c r="JDS65" s="349"/>
      <c r="JDT65" s="349"/>
      <c r="JDU65" s="349"/>
      <c r="JDV65" s="349"/>
      <c r="JDW65" s="349"/>
      <c r="JDX65" s="349"/>
      <c r="JDY65" s="349"/>
      <c r="JDZ65" s="349"/>
      <c r="JEA65" s="349"/>
      <c r="JEB65" s="349"/>
      <c r="JEC65" s="349"/>
      <c r="JED65" s="349"/>
      <c r="JEE65" s="349"/>
      <c r="JEF65" s="349"/>
      <c r="JEG65" s="349"/>
      <c r="JEH65" s="349"/>
      <c r="JEI65" s="349"/>
      <c r="JEJ65" s="349"/>
      <c r="JEK65" s="349"/>
      <c r="JEL65" s="349"/>
      <c r="JEM65" s="349"/>
      <c r="JEN65" s="349"/>
      <c r="JEO65" s="349"/>
      <c r="JEP65" s="349"/>
      <c r="JEQ65" s="349"/>
      <c r="JER65" s="349"/>
      <c r="JES65" s="349"/>
      <c r="JET65" s="349"/>
      <c r="JEU65" s="349"/>
      <c r="JEV65" s="349"/>
      <c r="JEW65" s="349"/>
      <c r="JEX65" s="349"/>
      <c r="JEY65" s="349"/>
      <c r="JEZ65" s="349"/>
      <c r="JFA65" s="349"/>
      <c r="JFB65" s="349"/>
      <c r="JFC65" s="349"/>
      <c r="JFD65" s="349"/>
      <c r="JFE65" s="349"/>
      <c r="JFF65" s="349"/>
      <c r="JFG65" s="349"/>
      <c r="JFH65" s="349"/>
      <c r="JFI65" s="349"/>
      <c r="JFJ65" s="349"/>
      <c r="JFK65" s="349"/>
      <c r="JFL65" s="349"/>
      <c r="JFM65" s="349"/>
      <c r="JFN65" s="349"/>
      <c r="JFO65" s="349"/>
      <c r="JFP65" s="349"/>
      <c r="JFQ65" s="349"/>
      <c r="JFR65" s="349"/>
      <c r="JFS65" s="349"/>
      <c r="JFT65" s="349"/>
      <c r="JFU65" s="349"/>
      <c r="JFV65" s="349"/>
      <c r="JFW65" s="349"/>
      <c r="JFX65" s="349"/>
      <c r="JFY65" s="349"/>
      <c r="JFZ65" s="349"/>
      <c r="JGA65" s="349"/>
      <c r="JGB65" s="349"/>
      <c r="JGC65" s="349"/>
      <c r="JGD65" s="349"/>
      <c r="JGE65" s="349"/>
      <c r="JGF65" s="349"/>
      <c r="JGG65" s="349"/>
      <c r="JGH65" s="349"/>
      <c r="JGI65" s="349"/>
      <c r="JGJ65" s="349"/>
      <c r="JGK65" s="349"/>
      <c r="JGL65" s="349"/>
      <c r="JGM65" s="349"/>
      <c r="JGN65" s="349"/>
      <c r="JGO65" s="349"/>
      <c r="JGP65" s="349"/>
      <c r="JGQ65" s="349"/>
      <c r="JGR65" s="349"/>
      <c r="JGS65" s="349"/>
      <c r="JGT65" s="349"/>
      <c r="JGU65" s="349"/>
      <c r="JGV65" s="349"/>
      <c r="JGW65" s="349"/>
      <c r="JGX65" s="349"/>
      <c r="JGY65" s="349"/>
      <c r="JGZ65" s="349"/>
      <c r="JHA65" s="349"/>
      <c r="JHB65" s="349"/>
      <c r="JHC65" s="349"/>
      <c r="JHD65" s="349"/>
      <c r="JHE65" s="349"/>
      <c r="JHF65" s="349"/>
      <c r="JHG65" s="349"/>
      <c r="JHH65" s="349"/>
      <c r="JHI65" s="349"/>
      <c r="JHJ65" s="349"/>
      <c r="JHK65" s="349"/>
      <c r="JHL65" s="349"/>
      <c r="JHM65" s="349"/>
      <c r="JHN65" s="349"/>
      <c r="JHO65" s="349"/>
      <c r="JHP65" s="349"/>
      <c r="JHQ65" s="349"/>
      <c r="JHR65" s="349"/>
      <c r="JHS65" s="349"/>
      <c r="JHT65" s="349"/>
      <c r="JHU65" s="349"/>
      <c r="JHV65" s="349"/>
      <c r="JHW65" s="349"/>
      <c r="JHX65" s="349"/>
      <c r="JHY65" s="349"/>
      <c r="JHZ65" s="349"/>
      <c r="JIA65" s="349"/>
      <c r="JIB65" s="349"/>
      <c r="JIC65" s="349"/>
      <c r="JID65" s="349"/>
      <c r="JIE65" s="349"/>
      <c r="JIF65" s="349"/>
      <c r="JIG65" s="349"/>
      <c r="JIH65" s="349"/>
      <c r="JII65" s="349"/>
      <c r="JIJ65" s="349"/>
      <c r="JIK65" s="349"/>
      <c r="JIL65" s="349"/>
      <c r="JIM65" s="349"/>
      <c r="JIN65" s="349"/>
      <c r="JIO65" s="349"/>
      <c r="JIP65" s="349"/>
      <c r="JIQ65" s="349"/>
      <c r="JIR65" s="349"/>
      <c r="JIS65" s="349"/>
      <c r="JIT65" s="349"/>
      <c r="JIU65" s="349"/>
      <c r="JIV65" s="349"/>
      <c r="JIW65" s="349"/>
      <c r="JIX65" s="349"/>
      <c r="JIY65" s="349"/>
      <c r="JIZ65" s="349"/>
      <c r="JJA65" s="349"/>
      <c r="JJB65" s="349"/>
      <c r="JJC65" s="349"/>
      <c r="JJD65" s="349"/>
      <c r="JJE65" s="349"/>
      <c r="JJF65" s="349"/>
      <c r="JJG65" s="349"/>
      <c r="JJH65" s="349"/>
      <c r="JJI65" s="349"/>
      <c r="JJJ65" s="349"/>
      <c r="JJK65" s="349"/>
      <c r="JJL65" s="349"/>
      <c r="JJM65" s="349"/>
      <c r="JJN65" s="349"/>
      <c r="JJO65" s="349"/>
      <c r="JJP65" s="349"/>
      <c r="JJQ65" s="349"/>
      <c r="JJR65" s="349"/>
      <c r="JJS65" s="349"/>
      <c r="JJT65" s="349"/>
      <c r="JJU65" s="349"/>
      <c r="JJV65" s="349"/>
      <c r="JJW65" s="349"/>
      <c r="JJX65" s="349"/>
      <c r="JJY65" s="349"/>
      <c r="JJZ65" s="349"/>
      <c r="JKA65" s="349"/>
      <c r="JKB65" s="349"/>
      <c r="JKC65" s="349"/>
      <c r="JKD65" s="349"/>
      <c r="JKE65" s="349"/>
      <c r="JKF65" s="349"/>
      <c r="JKG65" s="349"/>
      <c r="JKH65" s="349"/>
      <c r="JKI65" s="349"/>
      <c r="JKJ65" s="349"/>
      <c r="JKK65" s="349"/>
      <c r="JKL65" s="349"/>
      <c r="JKM65" s="349"/>
      <c r="JKN65" s="349"/>
      <c r="JKO65" s="349"/>
      <c r="JKP65" s="349"/>
      <c r="JKQ65" s="349"/>
      <c r="JKR65" s="349"/>
      <c r="JKS65" s="349"/>
      <c r="JKT65" s="349"/>
      <c r="JKU65" s="349"/>
      <c r="JKV65" s="349"/>
      <c r="JKW65" s="349"/>
      <c r="JKX65" s="349"/>
      <c r="JKY65" s="349"/>
      <c r="JKZ65" s="349"/>
      <c r="JLA65" s="349"/>
      <c r="JLB65" s="349"/>
      <c r="JLC65" s="349"/>
      <c r="JLD65" s="349"/>
      <c r="JLE65" s="349"/>
      <c r="JLF65" s="349"/>
      <c r="JLG65" s="349"/>
      <c r="JLH65" s="349"/>
      <c r="JLI65" s="349"/>
      <c r="JLJ65" s="349"/>
      <c r="JLK65" s="349"/>
      <c r="JLL65" s="349"/>
      <c r="JLM65" s="349"/>
      <c r="JLN65" s="349"/>
      <c r="JLO65" s="349"/>
      <c r="JLP65" s="349"/>
      <c r="JLQ65" s="349"/>
      <c r="JLR65" s="349"/>
      <c r="JLS65" s="349"/>
      <c r="JLT65" s="349"/>
      <c r="JLU65" s="349"/>
      <c r="JLV65" s="349"/>
      <c r="JLW65" s="349"/>
      <c r="JLX65" s="349"/>
      <c r="JLY65" s="349"/>
      <c r="JLZ65" s="349"/>
      <c r="JMA65" s="349"/>
      <c r="JMB65" s="349"/>
      <c r="JMC65" s="349"/>
      <c r="JMD65" s="349"/>
      <c r="JME65" s="349"/>
      <c r="JMF65" s="349"/>
      <c r="JMG65" s="349"/>
      <c r="JMH65" s="349"/>
      <c r="JMI65" s="349"/>
      <c r="JMJ65" s="349"/>
      <c r="JMK65" s="349"/>
      <c r="JML65" s="349"/>
      <c r="JMM65" s="349"/>
      <c r="JMN65" s="349"/>
      <c r="JMO65" s="349"/>
      <c r="JMP65" s="349"/>
      <c r="JMQ65" s="349"/>
      <c r="JMR65" s="349"/>
      <c r="JMS65" s="349"/>
      <c r="JMT65" s="349"/>
      <c r="JMU65" s="349"/>
      <c r="JMV65" s="349"/>
      <c r="JMW65" s="349"/>
      <c r="JMX65" s="349"/>
      <c r="JMY65" s="349"/>
      <c r="JMZ65" s="349"/>
      <c r="JNA65" s="349"/>
      <c r="JNB65" s="349"/>
      <c r="JNC65" s="349"/>
      <c r="JND65" s="349"/>
      <c r="JNE65" s="349"/>
      <c r="JNF65" s="349"/>
      <c r="JNG65" s="349"/>
      <c r="JNH65" s="349"/>
      <c r="JNI65" s="349"/>
      <c r="JNJ65" s="349"/>
      <c r="JNK65" s="349"/>
      <c r="JNL65" s="349"/>
      <c r="JNM65" s="349"/>
      <c r="JNN65" s="349"/>
      <c r="JNO65" s="349"/>
      <c r="JNP65" s="349"/>
      <c r="JNQ65" s="349"/>
      <c r="JNR65" s="349"/>
      <c r="JNS65" s="349"/>
      <c r="JNT65" s="349"/>
      <c r="JNU65" s="349"/>
      <c r="JNV65" s="349"/>
      <c r="JNW65" s="349"/>
      <c r="JNX65" s="349"/>
      <c r="JNY65" s="349"/>
      <c r="JNZ65" s="349"/>
      <c r="JOA65" s="349"/>
      <c r="JOB65" s="349"/>
      <c r="JOC65" s="349"/>
      <c r="JOD65" s="349"/>
      <c r="JOE65" s="349"/>
      <c r="JOF65" s="349"/>
      <c r="JOG65" s="349"/>
      <c r="JOH65" s="349"/>
      <c r="JOI65" s="349"/>
      <c r="JOJ65" s="349"/>
      <c r="JOK65" s="349"/>
      <c r="JOL65" s="349"/>
      <c r="JOM65" s="349"/>
      <c r="JON65" s="349"/>
      <c r="JOO65" s="349"/>
      <c r="JOP65" s="349"/>
      <c r="JOQ65" s="349"/>
      <c r="JOR65" s="349"/>
      <c r="JOS65" s="349"/>
      <c r="JOT65" s="349"/>
      <c r="JOU65" s="349"/>
      <c r="JOV65" s="349"/>
      <c r="JOW65" s="349"/>
      <c r="JOX65" s="349"/>
      <c r="JOY65" s="349"/>
      <c r="JOZ65" s="349"/>
      <c r="JPA65" s="349"/>
      <c r="JPB65" s="349"/>
      <c r="JPC65" s="349"/>
      <c r="JPD65" s="349"/>
      <c r="JPE65" s="349"/>
      <c r="JPF65" s="349"/>
      <c r="JPG65" s="349"/>
      <c r="JPH65" s="349"/>
      <c r="JPI65" s="349"/>
      <c r="JPJ65" s="349"/>
      <c r="JPK65" s="349"/>
      <c r="JPL65" s="349"/>
      <c r="JPM65" s="349"/>
      <c r="JPN65" s="349"/>
      <c r="JPO65" s="349"/>
      <c r="JPP65" s="349"/>
      <c r="JPQ65" s="349"/>
      <c r="JPR65" s="349"/>
      <c r="JPS65" s="349"/>
      <c r="JPT65" s="349"/>
      <c r="JPU65" s="349"/>
      <c r="JPV65" s="349"/>
      <c r="JPW65" s="349"/>
      <c r="JPX65" s="349"/>
      <c r="JPY65" s="349"/>
      <c r="JPZ65" s="349"/>
      <c r="JQA65" s="349"/>
      <c r="JQB65" s="349"/>
      <c r="JQC65" s="349"/>
      <c r="JQD65" s="349"/>
      <c r="JQE65" s="349"/>
      <c r="JQF65" s="349"/>
      <c r="JQG65" s="349"/>
      <c r="JQH65" s="349"/>
      <c r="JQI65" s="349"/>
      <c r="JQJ65" s="349"/>
      <c r="JQK65" s="349"/>
      <c r="JQL65" s="349"/>
      <c r="JQM65" s="349"/>
      <c r="JQN65" s="349"/>
      <c r="JQO65" s="349"/>
      <c r="JQP65" s="349"/>
      <c r="JQQ65" s="349"/>
      <c r="JQR65" s="349"/>
      <c r="JQS65" s="349"/>
      <c r="JQT65" s="349"/>
      <c r="JQU65" s="349"/>
      <c r="JQV65" s="349"/>
      <c r="JQW65" s="349"/>
      <c r="JQX65" s="349"/>
      <c r="JQY65" s="349"/>
      <c r="JQZ65" s="349"/>
      <c r="JRA65" s="349"/>
      <c r="JRB65" s="349"/>
      <c r="JRC65" s="349"/>
      <c r="JRD65" s="349"/>
      <c r="JRE65" s="349"/>
      <c r="JRF65" s="349"/>
      <c r="JRG65" s="349"/>
      <c r="JRH65" s="349"/>
      <c r="JRI65" s="349"/>
      <c r="JRJ65" s="349"/>
      <c r="JRK65" s="349"/>
      <c r="JRL65" s="349"/>
      <c r="JRM65" s="349"/>
      <c r="JRN65" s="349"/>
      <c r="JRO65" s="349"/>
      <c r="JRP65" s="349"/>
      <c r="JRQ65" s="349"/>
      <c r="JRR65" s="349"/>
      <c r="JRS65" s="349"/>
      <c r="JRT65" s="349"/>
      <c r="JRU65" s="349"/>
      <c r="JRV65" s="349"/>
      <c r="JRW65" s="349"/>
      <c r="JRX65" s="349"/>
      <c r="JRY65" s="349"/>
      <c r="JRZ65" s="349"/>
      <c r="JSA65" s="349"/>
      <c r="JSB65" s="349"/>
      <c r="JSC65" s="349"/>
      <c r="JSD65" s="349"/>
      <c r="JSE65" s="349"/>
      <c r="JSF65" s="349"/>
      <c r="JSG65" s="349"/>
      <c r="JSH65" s="349"/>
      <c r="JSI65" s="349"/>
      <c r="JSJ65" s="349"/>
      <c r="JSK65" s="349"/>
      <c r="JSL65" s="349"/>
      <c r="JSM65" s="349"/>
      <c r="JSN65" s="349"/>
      <c r="JSO65" s="349"/>
      <c r="JSP65" s="349"/>
      <c r="JSQ65" s="349"/>
      <c r="JSR65" s="349"/>
      <c r="JSS65" s="349"/>
      <c r="JST65" s="349"/>
      <c r="JSU65" s="349"/>
      <c r="JSV65" s="349"/>
      <c r="JSW65" s="349"/>
      <c r="JSX65" s="349"/>
      <c r="JSY65" s="349"/>
      <c r="JSZ65" s="349"/>
      <c r="JTA65" s="349"/>
      <c r="JTB65" s="349"/>
      <c r="JTC65" s="349"/>
      <c r="JTD65" s="349"/>
      <c r="JTE65" s="349"/>
      <c r="JTF65" s="349"/>
      <c r="JTG65" s="349"/>
      <c r="JTH65" s="349"/>
      <c r="JTI65" s="349"/>
      <c r="JTJ65" s="349"/>
      <c r="JTK65" s="349"/>
      <c r="JTL65" s="349"/>
      <c r="JTM65" s="349"/>
      <c r="JTN65" s="349"/>
      <c r="JTO65" s="349"/>
      <c r="JTP65" s="349"/>
      <c r="JTQ65" s="349"/>
      <c r="JTR65" s="349"/>
      <c r="JTS65" s="349"/>
      <c r="JTT65" s="349"/>
      <c r="JTU65" s="349"/>
      <c r="JTV65" s="349"/>
      <c r="JTW65" s="349"/>
      <c r="JTX65" s="349"/>
      <c r="JTY65" s="349"/>
      <c r="JTZ65" s="349"/>
      <c r="JUA65" s="349"/>
      <c r="JUB65" s="349"/>
      <c r="JUC65" s="349"/>
      <c r="JUD65" s="349"/>
      <c r="JUE65" s="349"/>
      <c r="JUF65" s="349"/>
      <c r="JUG65" s="349"/>
      <c r="JUH65" s="349"/>
      <c r="JUI65" s="349"/>
      <c r="JUJ65" s="349"/>
      <c r="JUK65" s="349"/>
      <c r="JUL65" s="349"/>
      <c r="JUM65" s="349"/>
      <c r="JUN65" s="349"/>
      <c r="JUO65" s="349"/>
      <c r="JUP65" s="349"/>
      <c r="JUQ65" s="349"/>
      <c r="JUR65" s="349"/>
      <c r="JUS65" s="349"/>
      <c r="JUT65" s="349"/>
      <c r="JUU65" s="349"/>
      <c r="JUV65" s="349"/>
      <c r="JUW65" s="349"/>
      <c r="JUX65" s="349"/>
      <c r="JUY65" s="349"/>
      <c r="JUZ65" s="349"/>
      <c r="JVA65" s="349"/>
      <c r="JVB65" s="349"/>
      <c r="JVC65" s="349"/>
      <c r="JVD65" s="349"/>
      <c r="JVE65" s="349"/>
      <c r="JVF65" s="349"/>
      <c r="JVG65" s="349"/>
      <c r="JVH65" s="349"/>
      <c r="JVI65" s="349"/>
      <c r="JVJ65" s="349"/>
      <c r="JVK65" s="349"/>
      <c r="JVL65" s="349"/>
      <c r="JVM65" s="349"/>
      <c r="JVN65" s="349"/>
      <c r="JVO65" s="349"/>
      <c r="JVP65" s="349"/>
      <c r="JVQ65" s="349"/>
      <c r="JVR65" s="349"/>
      <c r="JVS65" s="349"/>
      <c r="JVT65" s="349"/>
      <c r="JVU65" s="349"/>
      <c r="JVV65" s="349"/>
      <c r="JVW65" s="349"/>
      <c r="JVX65" s="349"/>
      <c r="JVY65" s="349"/>
      <c r="JVZ65" s="349"/>
      <c r="JWA65" s="349"/>
      <c r="JWB65" s="349"/>
      <c r="JWC65" s="349"/>
      <c r="JWD65" s="349"/>
      <c r="JWE65" s="349"/>
      <c r="JWF65" s="349"/>
      <c r="JWG65" s="349"/>
      <c r="JWH65" s="349"/>
      <c r="JWI65" s="349"/>
      <c r="JWJ65" s="349"/>
      <c r="JWK65" s="349"/>
      <c r="JWL65" s="349"/>
      <c r="JWM65" s="349"/>
      <c r="JWN65" s="349"/>
      <c r="JWO65" s="349"/>
      <c r="JWP65" s="349"/>
      <c r="JWQ65" s="349"/>
      <c r="JWR65" s="349"/>
      <c r="JWS65" s="349"/>
      <c r="JWT65" s="349"/>
      <c r="JWU65" s="349"/>
      <c r="JWV65" s="349"/>
      <c r="JWW65" s="349"/>
      <c r="JWX65" s="349"/>
      <c r="JWY65" s="349"/>
      <c r="JWZ65" s="349"/>
      <c r="JXA65" s="349"/>
      <c r="JXB65" s="349"/>
      <c r="JXC65" s="349"/>
      <c r="JXD65" s="349"/>
      <c r="JXE65" s="349"/>
      <c r="JXF65" s="349"/>
      <c r="JXG65" s="349"/>
      <c r="JXH65" s="349"/>
      <c r="JXI65" s="349"/>
      <c r="JXJ65" s="349"/>
      <c r="JXK65" s="349"/>
      <c r="JXL65" s="349"/>
      <c r="JXM65" s="349"/>
      <c r="JXN65" s="349"/>
      <c r="JXO65" s="349"/>
      <c r="JXP65" s="349"/>
      <c r="JXQ65" s="349"/>
      <c r="JXR65" s="349"/>
      <c r="JXS65" s="349"/>
      <c r="JXT65" s="349"/>
      <c r="JXU65" s="349"/>
      <c r="JXV65" s="349"/>
      <c r="JXW65" s="349"/>
      <c r="JXX65" s="349"/>
      <c r="JXY65" s="349"/>
      <c r="JXZ65" s="349"/>
      <c r="JYA65" s="349"/>
      <c r="JYB65" s="349"/>
      <c r="JYC65" s="349"/>
      <c r="JYD65" s="349"/>
      <c r="JYE65" s="349"/>
      <c r="JYF65" s="349"/>
      <c r="JYG65" s="349"/>
      <c r="JYH65" s="349"/>
      <c r="JYI65" s="349"/>
      <c r="JYJ65" s="349"/>
      <c r="JYK65" s="349"/>
      <c r="JYL65" s="349"/>
      <c r="JYM65" s="349"/>
      <c r="JYN65" s="349"/>
      <c r="JYO65" s="349"/>
      <c r="JYP65" s="349"/>
      <c r="JYQ65" s="349"/>
      <c r="JYR65" s="349"/>
      <c r="JYS65" s="349"/>
      <c r="JYT65" s="349"/>
      <c r="JYU65" s="349"/>
      <c r="JYV65" s="349"/>
      <c r="JYW65" s="349"/>
      <c r="JYX65" s="349"/>
      <c r="JYY65" s="349"/>
      <c r="JYZ65" s="349"/>
      <c r="JZA65" s="349"/>
      <c r="JZB65" s="349"/>
      <c r="JZC65" s="349"/>
      <c r="JZD65" s="349"/>
      <c r="JZE65" s="349"/>
      <c r="JZF65" s="349"/>
      <c r="JZG65" s="349"/>
      <c r="JZH65" s="349"/>
      <c r="JZI65" s="349"/>
      <c r="JZJ65" s="349"/>
      <c r="JZK65" s="349"/>
      <c r="JZL65" s="349"/>
      <c r="JZM65" s="349"/>
      <c r="JZN65" s="349"/>
      <c r="JZO65" s="349"/>
      <c r="JZP65" s="349"/>
      <c r="JZQ65" s="349"/>
      <c r="JZR65" s="349"/>
      <c r="JZS65" s="349"/>
      <c r="JZT65" s="349"/>
      <c r="JZU65" s="349"/>
      <c r="JZV65" s="349"/>
      <c r="JZW65" s="349"/>
      <c r="JZX65" s="349"/>
      <c r="JZY65" s="349"/>
      <c r="JZZ65" s="349"/>
      <c r="KAA65" s="349"/>
      <c r="KAB65" s="349"/>
      <c r="KAC65" s="349"/>
      <c r="KAD65" s="349"/>
      <c r="KAE65" s="349"/>
      <c r="KAF65" s="349"/>
      <c r="KAG65" s="349"/>
      <c r="KAH65" s="349"/>
      <c r="KAI65" s="349"/>
      <c r="KAJ65" s="349"/>
      <c r="KAK65" s="349"/>
      <c r="KAL65" s="349"/>
      <c r="KAM65" s="349"/>
      <c r="KAN65" s="349"/>
      <c r="KAO65" s="349"/>
      <c r="KAP65" s="349"/>
      <c r="KAQ65" s="349"/>
      <c r="KAR65" s="349"/>
      <c r="KAS65" s="349"/>
      <c r="KAT65" s="349"/>
      <c r="KAU65" s="349"/>
      <c r="KAV65" s="349"/>
      <c r="KAW65" s="349"/>
      <c r="KAX65" s="349"/>
      <c r="KAY65" s="349"/>
      <c r="KAZ65" s="349"/>
      <c r="KBA65" s="349"/>
      <c r="KBB65" s="349"/>
      <c r="KBC65" s="349"/>
      <c r="KBD65" s="349"/>
      <c r="KBE65" s="349"/>
      <c r="KBF65" s="349"/>
      <c r="KBG65" s="349"/>
      <c r="KBH65" s="349"/>
      <c r="KBI65" s="349"/>
      <c r="KBJ65" s="349"/>
      <c r="KBK65" s="349"/>
      <c r="KBL65" s="349"/>
      <c r="KBM65" s="349"/>
      <c r="KBN65" s="349"/>
      <c r="KBO65" s="349"/>
      <c r="KBP65" s="349"/>
      <c r="KBQ65" s="349"/>
      <c r="KBR65" s="349"/>
      <c r="KBS65" s="349"/>
      <c r="KBT65" s="349"/>
      <c r="KBU65" s="349"/>
      <c r="KBV65" s="349"/>
      <c r="KBW65" s="349"/>
      <c r="KBX65" s="349"/>
      <c r="KBY65" s="349"/>
      <c r="KBZ65" s="349"/>
      <c r="KCA65" s="349"/>
      <c r="KCB65" s="349"/>
      <c r="KCC65" s="349"/>
      <c r="KCD65" s="349"/>
      <c r="KCE65" s="349"/>
      <c r="KCF65" s="349"/>
      <c r="KCG65" s="349"/>
      <c r="KCH65" s="349"/>
      <c r="KCI65" s="349"/>
      <c r="KCJ65" s="349"/>
      <c r="KCK65" s="349"/>
      <c r="KCL65" s="349"/>
      <c r="KCM65" s="349"/>
      <c r="KCN65" s="349"/>
      <c r="KCO65" s="349"/>
      <c r="KCP65" s="349"/>
      <c r="KCQ65" s="349"/>
      <c r="KCR65" s="349"/>
      <c r="KCS65" s="349"/>
      <c r="KCT65" s="349"/>
      <c r="KCU65" s="349"/>
      <c r="KCV65" s="349"/>
      <c r="KCW65" s="349"/>
      <c r="KCX65" s="349"/>
      <c r="KCY65" s="349"/>
      <c r="KCZ65" s="349"/>
      <c r="KDA65" s="349"/>
      <c r="KDB65" s="349"/>
      <c r="KDC65" s="349"/>
      <c r="KDD65" s="349"/>
      <c r="KDE65" s="349"/>
      <c r="KDF65" s="349"/>
      <c r="KDG65" s="349"/>
      <c r="KDH65" s="349"/>
      <c r="KDI65" s="349"/>
      <c r="KDJ65" s="349"/>
      <c r="KDK65" s="349"/>
      <c r="KDL65" s="349"/>
      <c r="KDM65" s="349"/>
      <c r="KDN65" s="349"/>
      <c r="KDO65" s="349"/>
      <c r="KDP65" s="349"/>
      <c r="KDQ65" s="349"/>
      <c r="KDR65" s="349"/>
      <c r="KDS65" s="349"/>
      <c r="KDT65" s="349"/>
      <c r="KDU65" s="349"/>
      <c r="KDV65" s="349"/>
      <c r="KDW65" s="349"/>
      <c r="KDX65" s="349"/>
      <c r="KDY65" s="349"/>
      <c r="KDZ65" s="349"/>
      <c r="KEA65" s="349"/>
      <c r="KEB65" s="349"/>
      <c r="KEC65" s="349"/>
      <c r="KED65" s="349"/>
      <c r="KEE65" s="349"/>
      <c r="KEF65" s="349"/>
      <c r="KEG65" s="349"/>
      <c r="KEH65" s="349"/>
      <c r="KEI65" s="349"/>
      <c r="KEJ65" s="349"/>
      <c r="KEK65" s="349"/>
      <c r="KEL65" s="349"/>
      <c r="KEM65" s="349"/>
      <c r="KEN65" s="349"/>
      <c r="KEO65" s="349"/>
      <c r="KEP65" s="349"/>
      <c r="KEQ65" s="349"/>
      <c r="KER65" s="349"/>
      <c r="KES65" s="349"/>
      <c r="KET65" s="349"/>
      <c r="KEU65" s="349"/>
      <c r="KEV65" s="349"/>
      <c r="KEW65" s="349"/>
      <c r="KEX65" s="349"/>
      <c r="KEY65" s="349"/>
      <c r="KEZ65" s="349"/>
      <c r="KFA65" s="349"/>
      <c r="KFB65" s="349"/>
      <c r="KFC65" s="349"/>
      <c r="KFD65" s="349"/>
      <c r="KFE65" s="349"/>
      <c r="KFF65" s="349"/>
      <c r="KFG65" s="349"/>
      <c r="KFH65" s="349"/>
      <c r="KFI65" s="349"/>
      <c r="KFJ65" s="349"/>
      <c r="KFK65" s="349"/>
      <c r="KFL65" s="349"/>
      <c r="KFM65" s="349"/>
      <c r="KFN65" s="349"/>
      <c r="KFO65" s="349"/>
      <c r="KFP65" s="349"/>
      <c r="KFQ65" s="349"/>
      <c r="KFR65" s="349"/>
      <c r="KFS65" s="349"/>
      <c r="KFT65" s="349"/>
      <c r="KFU65" s="349"/>
      <c r="KFV65" s="349"/>
      <c r="KFW65" s="349"/>
      <c r="KFX65" s="349"/>
      <c r="KFY65" s="349"/>
      <c r="KFZ65" s="349"/>
      <c r="KGA65" s="349"/>
      <c r="KGB65" s="349"/>
      <c r="KGC65" s="349"/>
      <c r="KGD65" s="349"/>
      <c r="KGE65" s="349"/>
      <c r="KGF65" s="349"/>
      <c r="KGG65" s="349"/>
      <c r="KGH65" s="349"/>
      <c r="KGI65" s="349"/>
      <c r="KGJ65" s="349"/>
      <c r="KGK65" s="349"/>
      <c r="KGL65" s="349"/>
      <c r="KGM65" s="349"/>
      <c r="KGN65" s="349"/>
      <c r="KGO65" s="349"/>
      <c r="KGP65" s="349"/>
      <c r="KGQ65" s="349"/>
      <c r="KGR65" s="349"/>
      <c r="KGS65" s="349"/>
      <c r="KGT65" s="349"/>
      <c r="KGU65" s="349"/>
      <c r="KGV65" s="349"/>
      <c r="KGW65" s="349"/>
      <c r="KGX65" s="349"/>
      <c r="KGY65" s="349"/>
      <c r="KGZ65" s="349"/>
      <c r="KHA65" s="349"/>
      <c r="KHB65" s="349"/>
      <c r="KHC65" s="349"/>
      <c r="KHD65" s="349"/>
      <c r="KHE65" s="349"/>
      <c r="KHF65" s="349"/>
      <c r="KHG65" s="349"/>
      <c r="KHH65" s="349"/>
      <c r="KHI65" s="349"/>
      <c r="KHJ65" s="349"/>
      <c r="KHK65" s="349"/>
      <c r="KHL65" s="349"/>
      <c r="KHM65" s="349"/>
      <c r="KHN65" s="349"/>
      <c r="KHO65" s="349"/>
      <c r="KHP65" s="349"/>
      <c r="KHQ65" s="349"/>
      <c r="KHR65" s="349"/>
      <c r="KHS65" s="349"/>
      <c r="KHT65" s="349"/>
      <c r="KHU65" s="349"/>
      <c r="KHV65" s="349"/>
      <c r="KHW65" s="349"/>
      <c r="KHX65" s="349"/>
      <c r="KHY65" s="349"/>
      <c r="KHZ65" s="349"/>
      <c r="KIA65" s="349"/>
      <c r="KIB65" s="349"/>
      <c r="KIC65" s="349"/>
      <c r="KID65" s="349"/>
      <c r="KIE65" s="349"/>
      <c r="KIF65" s="349"/>
      <c r="KIG65" s="349"/>
      <c r="KIH65" s="349"/>
      <c r="KII65" s="349"/>
      <c r="KIJ65" s="349"/>
      <c r="KIK65" s="349"/>
      <c r="KIL65" s="349"/>
      <c r="KIM65" s="349"/>
      <c r="KIN65" s="349"/>
      <c r="KIO65" s="349"/>
      <c r="KIP65" s="349"/>
      <c r="KIQ65" s="349"/>
      <c r="KIR65" s="349"/>
      <c r="KIS65" s="349"/>
      <c r="KIT65" s="349"/>
      <c r="KIU65" s="349"/>
      <c r="KIV65" s="349"/>
      <c r="KIW65" s="349"/>
      <c r="KIX65" s="349"/>
      <c r="KIY65" s="349"/>
      <c r="KIZ65" s="349"/>
      <c r="KJA65" s="349"/>
      <c r="KJB65" s="349"/>
      <c r="KJC65" s="349"/>
      <c r="KJD65" s="349"/>
      <c r="KJE65" s="349"/>
      <c r="KJF65" s="349"/>
      <c r="KJG65" s="349"/>
      <c r="KJH65" s="349"/>
      <c r="KJI65" s="349"/>
      <c r="KJJ65" s="349"/>
      <c r="KJK65" s="349"/>
      <c r="KJL65" s="349"/>
      <c r="KJM65" s="349"/>
      <c r="KJN65" s="349"/>
      <c r="KJO65" s="349"/>
      <c r="KJP65" s="349"/>
      <c r="KJQ65" s="349"/>
      <c r="KJR65" s="349"/>
      <c r="KJS65" s="349"/>
      <c r="KJT65" s="349"/>
      <c r="KJU65" s="349"/>
      <c r="KJV65" s="349"/>
      <c r="KJW65" s="349"/>
      <c r="KJX65" s="349"/>
      <c r="KJY65" s="349"/>
      <c r="KJZ65" s="349"/>
      <c r="KKA65" s="349"/>
      <c r="KKB65" s="349"/>
      <c r="KKC65" s="349"/>
      <c r="KKD65" s="349"/>
      <c r="KKE65" s="349"/>
      <c r="KKF65" s="349"/>
      <c r="KKG65" s="349"/>
      <c r="KKH65" s="349"/>
      <c r="KKI65" s="349"/>
      <c r="KKJ65" s="349"/>
      <c r="KKK65" s="349"/>
      <c r="KKL65" s="349"/>
      <c r="KKM65" s="349"/>
      <c r="KKN65" s="349"/>
      <c r="KKO65" s="349"/>
      <c r="KKP65" s="349"/>
      <c r="KKQ65" s="349"/>
      <c r="KKR65" s="349"/>
      <c r="KKS65" s="349"/>
      <c r="KKT65" s="349"/>
      <c r="KKU65" s="349"/>
      <c r="KKV65" s="349"/>
      <c r="KKW65" s="349"/>
      <c r="KKX65" s="349"/>
      <c r="KKY65" s="349"/>
      <c r="KKZ65" s="349"/>
      <c r="KLA65" s="349"/>
      <c r="KLB65" s="349"/>
      <c r="KLC65" s="349"/>
      <c r="KLD65" s="349"/>
      <c r="KLE65" s="349"/>
      <c r="KLF65" s="349"/>
      <c r="KLG65" s="349"/>
      <c r="KLH65" s="349"/>
      <c r="KLI65" s="349"/>
      <c r="KLJ65" s="349"/>
      <c r="KLK65" s="349"/>
      <c r="KLL65" s="349"/>
      <c r="KLM65" s="349"/>
      <c r="KLN65" s="349"/>
      <c r="KLO65" s="349"/>
      <c r="KLP65" s="349"/>
      <c r="KLQ65" s="349"/>
      <c r="KLR65" s="349"/>
      <c r="KLS65" s="349"/>
      <c r="KLT65" s="349"/>
      <c r="KLU65" s="349"/>
      <c r="KLV65" s="349"/>
      <c r="KLW65" s="349"/>
      <c r="KLX65" s="349"/>
      <c r="KLY65" s="349"/>
      <c r="KLZ65" s="349"/>
      <c r="KMA65" s="349"/>
      <c r="KMB65" s="349"/>
      <c r="KMC65" s="349"/>
      <c r="KMD65" s="349"/>
      <c r="KME65" s="349"/>
      <c r="KMF65" s="349"/>
      <c r="KMG65" s="349"/>
      <c r="KMH65" s="349"/>
      <c r="KMI65" s="349"/>
      <c r="KMJ65" s="349"/>
      <c r="KMK65" s="349"/>
      <c r="KML65" s="349"/>
      <c r="KMM65" s="349"/>
      <c r="KMN65" s="349"/>
      <c r="KMO65" s="349"/>
      <c r="KMP65" s="349"/>
      <c r="KMQ65" s="349"/>
      <c r="KMR65" s="349"/>
      <c r="KMS65" s="349"/>
      <c r="KMT65" s="349"/>
      <c r="KMU65" s="349"/>
      <c r="KMV65" s="349"/>
      <c r="KMW65" s="349"/>
      <c r="KMX65" s="349"/>
      <c r="KMY65" s="349"/>
      <c r="KMZ65" s="349"/>
      <c r="KNA65" s="349"/>
      <c r="KNB65" s="349"/>
      <c r="KNC65" s="349"/>
      <c r="KND65" s="349"/>
      <c r="KNE65" s="349"/>
      <c r="KNF65" s="349"/>
      <c r="KNG65" s="349"/>
      <c r="KNH65" s="349"/>
      <c r="KNI65" s="349"/>
      <c r="KNJ65" s="349"/>
      <c r="KNK65" s="349"/>
      <c r="KNL65" s="349"/>
      <c r="KNM65" s="349"/>
      <c r="KNN65" s="349"/>
      <c r="KNO65" s="349"/>
      <c r="KNP65" s="349"/>
      <c r="KNQ65" s="349"/>
      <c r="KNR65" s="349"/>
      <c r="KNS65" s="349"/>
      <c r="KNT65" s="349"/>
      <c r="KNU65" s="349"/>
      <c r="KNV65" s="349"/>
      <c r="KNW65" s="349"/>
      <c r="KNX65" s="349"/>
      <c r="KNY65" s="349"/>
      <c r="KNZ65" s="349"/>
      <c r="KOA65" s="349"/>
      <c r="KOB65" s="349"/>
      <c r="KOC65" s="349"/>
      <c r="KOD65" s="349"/>
      <c r="KOE65" s="349"/>
      <c r="KOF65" s="349"/>
      <c r="KOG65" s="349"/>
      <c r="KOH65" s="349"/>
      <c r="KOI65" s="349"/>
      <c r="KOJ65" s="349"/>
      <c r="KOK65" s="349"/>
      <c r="KOL65" s="349"/>
      <c r="KOM65" s="349"/>
      <c r="KON65" s="349"/>
      <c r="KOO65" s="349"/>
      <c r="KOP65" s="349"/>
      <c r="KOQ65" s="349"/>
      <c r="KOR65" s="349"/>
      <c r="KOS65" s="349"/>
      <c r="KOT65" s="349"/>
      <c r="KOU65" s="349"/>
      <c r="KOV65" s="349"/>
      <c r="KOW65" s="349"/>
      <c r="KOX65" s="349"/>
      <c r="KOY65" s="349"/>
      <c r="KOZ65" s="349"/>
      <c r="KPA65" s="349"/>
      <c r="KPB65" s="349"/>
      <c r="KPC65" s="349"/>
      <c r="KPD65" s="349"/>
      <c r="KPE65" s="349"/>
      <c r="KPF65" s="349"/>
      <c r="KPG65" s="349"/>
      <c r="KPH65" s="349"/>
      <c r="KPI65" s="349"/>
      <c r="KPJ65" s="349"/>
      <c r="KPK65" s="349"/>
      <c r="KPL65" s="349"/>
      <c r="KPM65" s="349"/>
      <c r="KPN65" s="349"/>
      <c r="KPO65" s="349"/>
      <c r="KPP65" s="349"/>
      <c r="KPQ65" s="349"/>
      <c r="KPR65" s="349"/>
      <c r="KPS65" s="349"/>
      <c r="KPT65" s="349"/>
      <c r="KPU65" s="349"/>
      <c r="KPV65" s="349"/>
      <c r="KPW65" s="349"/>
      <c r="KPX65" s="349"/>
      <c r="KPY65" s="349"/>
      <c r="KPZ65" s="349"/>
      <c r="KQA65" s="349"/>
      <c r="KQB65" s="349"/>
      <c r="KQC65" s="349"/>
      <c r="KQD65" s="349"/>
      <c r="KQE65" s="349"/>
      <c r="KQF65" s="349"/>
      <c r="KQG65" s="349"/>
      <c r="KQH65" s="349"/>
      <c r="KQI65" s="349"/>
      <c r="KQJ65" s="349"/>
      <c r="KQK65" s="349"/>
      <c r="KQL65" s="349"/>
      <c r="KQM65" s="349"/>
      <c r="KQN65" s="349"/>
      <c r="KQO65" s="349"/>
      <c r="KQP65" s="349"/>
      <c r="KQQ65" s="349"/>
      <c r="KQR65" s="349"/>
      <c r="KQS65" s="349"/>
      <c r="KQT65" s="349"/>
      <c r="KQU65" s="349"/>
      <c r="KQV65" s="349"/>
      <c r="KQW65" s="349"/>
      <c r="KQX65" s="349"/>
      <c r="KQY65" s="349"/>
      <c r="KQZ65" s="349"/>
      <c r="KRA65" s="349"/>
      <c r="KRB65" s="349"/>
      <c r="KRC65" s="349"/>
      <c r="KRD65" s="349"/>
      <c r="KRE65" s="349"/>
      <c r="KRF65" s="349"/>
      <c r="KRG65" s="349"/>
      <c r="KRH65" s="349"/>
      <c r="KRI65" s="349"/>
      <c r="KRJ65" s="349"/>
      <c r="KRK65" s="349"/>
      <c r="KRL65" s="349"/>
      <c r="KRM65" s="349"/>
      <c r="KRN65" s="349"/>
      <c r="KRO65" s="349"/>
      <c r="KRP65" s="349"/>
      <c r="KRQ65" s="349"/>
      <c r="KRR65" s="349"/>
      <c r="KRS65" s="349"/>
      <c r="KRT65" s="349"/>
      <c r="KRU65" s="349"/>
      <c r="KRV65" s="349"/>
      <c r="KRW65" s="349"/>
      <c r="KRX65" s="349"/>
      <c r="KRY65" s="349"/>
      <c r="KRZ65" s="349"/>
      <c r="KSA65" s="349"/>
      <c r="KSB65" s="349"/>
      <c r="KSC65" s="349"/>
      <c r="KSD65" s="349"/>
      <c r="KSE65" s="349"/>
      <c r="KSF65" s="349"/>
      <c r="KSG65" s="349"/>
      <c r="KSH65" s="349"/>
      <c r="KSI65" s="349"/>
      <c r="KSJ65" s="349"/>
      <c r="KSK65" s="349"/>
      <c r="KSL65" s="349"/>
      <c r="KSM65" s="349"/>
      <c r="KSN65" s="349"/>
      <c r="KSO65" s="349"/>
      <c r="KSP65" s="349"/>
      <c r="KSQ65" s="349"/>
      <c r="KSR65" s="349"/>
      <c r="KSS65" s="349"/>
      <c r="KST65" s="349"/>
      <c r="KSU65" s="349"/>
      <c r="KSV65" s="349"/>
      <c r="KSW65" s="349"/>
      <c r="KSX65" s="349"/>
      <c r="KSY65" s="349"/>
      <c r="KSZ65" s="349"/>
      <c r="KTA65" s="349"/>
      <c r="KTB65" s="349"/>
      <c r="KTC65" s="349"/>
      <c r="KTD65" s="349"/>
      <c r="KTE65" s="349"/>
      <c r="KTF65" s="349"/>
      <c r="KTG65" s="349"/>
      <c r="KTH65" s="349"/>
      <c r="KTI65" s="349"/>
      <c r="KTJ65" s="349"/>
      <c r="KTK65" s="349"/>
      <c r="KTL65" s="349"/>
      <c r="KTM65" s="349"/>
      <c r="KTN65" s="349"/>
      <c r="KTO65" s="349"/>
      <c r="KTP65" s="349"/>
      <c r="KTQ65" s="349"/>
      <c r="KTR65" s="349"/>
      <c r="KTS65" s="349"/>
      <c r="KTT65" s="349"/>
      <c r="KTU65" s="349"/>
      <c r="KTV65" s="349"/>
      <c r="KTW65" s="349"/>
      <c r="KTX65" s="349"/>
      <c r="KTY65" s="349"/>
      <c r="KTZ65" s="349"/>
      <c r="KUA65" s="349"/>
      <c r="KUB65" s="349"/>
      <c r="KUC65" s="349"/>
      <c r="KUD65" s="349"/>
      <c r="KUE65" s="349"/>
      <c r="KUF65" s="349"/>
      <c r="KUG65" s="349"/>
      <c r="KUH65" s="349"/>
      <c r="KUI65" s="349"/>
      <c r="KUJ65" s="349"/>
      <c r="KUK65" s="349"/>
      <c r="KUL65" s="349"/>
      <c r="KUM65" s="349"/>
      <c r="KUN65" s="349"/>
      <c r="KUO65" s="349"/>
      <c r="KUP65" s="349"/>
      <c r="KUQ65" s="349"/>
      <c r="KUR65" s="349"/>
      <c r="KUS65" s="349"/>
      <c r="KUT65" s="349"/>
      <c r="KUU65" s="349"/>
      <c r="KUV65" s="349"/>
      <c r="KUW65" s="349"/>
      <c r="KUX65" s="349"/>
      <c r="KUY65" s="349"/>
      <c r="KUZ65" s="349"/>
      <c r="KVA65" s="349"/>
      <c r="KVB65" s="349"/>
      <c r="KVC65" s="349"/>
      <c r="KVD65" s="349"/>
      <c r="KVE65" s="349"/>
      <c r="KVF65" s="349"/>
      <c r="KVG65" s="349"/>
      <c r="KVH65" s="349"/>
      <c r="KVI65" s="349"/>
      <c r="KVJ65" s="349"/>
      <c r="KVK65" s="349"/>
      <c r="KVL65" s="349"/>
      <c r="KVM65" s="349"/>
      <c r="KVN65" s="349"/>
      <c r="KVO65" s="349"/>
      <c r="KVP65" s="349"/>
      <c r="KVQ65" s="349"/>
      <c r="KVR65" s="349"/>
      <c r="KVS65" s="349"/>
      <c r="KVT65" s="349"/>
      <c r="KVU65" s="349"/>
      <c r="KVV65" s="349"/>
      <c r="KVW65" s="349"/>
      <c r="KVX65" s="349"/>
      <c r="KVY65" s="349"/>
      <c r="KVZ65" s="349"/>
      <c r="KWA65" s="349"/>
      <c r="KWB65" s="349"/>
      <c r="KWC65" s="349"/>
      <c r="KWD65" s="349"/>
      <c r="KWE65" s="349"/>
      <c r="KWF65" s="349"/>
      <c r="KWG65" s="349"/>
      <c r="KWH65" s="349"/>
      <c r="KWI65" s="349"/>
      <c r="KWJ65" s="349"/>
      <c r="KWK65" s="349"/>
      <c r="KWL65" s="349"/>
      <c r="KWM65" s="349"/>
      <c r="KWN65" s="349"/>
      <c r="KWO65" s="349"/>
      <c r="KWP65" s="349"/>
      <c r="KWQ65" s="349"/>
      <c r="KWR65" s="349"/>
      <c r="KWS65" s="349"/>
      <c r="KWT65" s="349"/>
      <c r="KWU65" s="349"/>
      <c r="KWV65" s="349"/>
      <c r="KWW65" s="349"/>
      <c r="KWX65" s="349"/>
      <c r="KWY65" s="349"/>
      <c r="KWZ65" s="349"/>
      <c r="KXA65" s="349"/>
      <c r="KXB65" s="349"/>
      <c r="KXC65" s="349"/>
      <c r="KXD65" s="349"/>
      <c r="KXE65" s="349"/>
      <c r="KXF65" s="349"/>
      <c r="KXG65" s="349"/>
      <c r="KXH65" s="349"/>
      <c r="KXI65" s="349"/>
      <c r="KXJ65" s="349"/>
      <c r="KXK65" s="349"/>
      <c r="KXL65" s="349"/>
      <c r="KXM65" s="349"/>
      <c r="KXN65" s="349"/>
      <c r="KXO65" s="349"/>
      <c r="KXP65" s="349"/>
      <c r="KXQ65" s="349"/>
      <c r="KXR65" s="349"/>
      <c r="KXS65" s="349"/>
      <c r="KXT65" s="349"/>
      <c r="KXU65" s="349"/>
      <c r="KXV65" s="349"/>
      <c r="KXW65" s="349"/>
      <c r="KXX65" s="349"/>
      <c r="KXY65" s="349"/>
      <c r="KXZ65" s="349"/>
      <c r="KYA65" s="349"/>
      <c r="KYB65" s="349"/>
      <c r="KYC65" s="349"/>
      <c r="KYD65" s="349"/>
      <c r="KYE65" s="349"/>
      <c r="KYF65" s="349"/>
      <c r="KYG65" s="349"/>
      <c r="KYH65" s="349"/>
      <c r="KYI65" s="349"/>
      <c r="KYJ65" s="349"/>
      <c r="KYK65" s="349"/>
      <c r="KYL65" s="349"/>
      <c r="KYM65" s="349"/>
      <c r="KYN65" s="349"/>
      <c r="KYO65" s="349"/>
      <c r="KYP65" s="349"/>
      <c r="KYQ65" s="349"/>
      <c r="KYR65" s="349"/>
      <c r="KYS65" s="349"/>
      <c r="KYT65" s="349"/>
      <c r="KYU65" s="349"/>
      <c r="KYV65" s="349"/>
      <c r="KYW65" s="349"/>
      <c r="KYX65" s="349"/>
      <c r="KYY65" s="349"/>
      <c r="KYZ65" s="349"/>
      <c r="KZA65" s="349"/>
      <c r="KZB65" s="349"/>
      <c r="KZC65" s="349"/>
      <c r="KZD65" s="349"/>
      <c r="KZE65" s="349"/>
      <c r="KZF65" s="349"/>
      <c r="KZG65" s="349"/>
      <c r="KZH65" s="349"/>
      <c r="KZI65" s="349"/>
      <c r="KZJ65" s="349"/>
      <c r="KZK65" s="349"/>
      <c r="KZL65" s="349"/>
      <c r="KZM65" s="349"/>
      <c r="KZN65" s="349"/>
      <c r="KZO65" s="349"/>
      <c r="KZP65" s="349"/>
      <c r="KZQ65" s="349"/>
      <c r="KZR65" s="349"/>
      <c r="KZS65" s="349"/>
      <c r="KZT65" s="349"/>
      <c r="KZU65" s="349"/>
      <c r="KZV65" s="349"/>
      <c r="KZW65" s="349"/>
      <c r="KZX65" s="349"/>
      <c r="KZY65" s="349"/>
      <c r="KZZ65" s="349"/>
      <c r="LAA65" s="349"/>
      <c r="LAB65" s="349"/>
      <c r="LAC65" s="349"/>
      <c r="LAD65" s="349"/>
      <c r="LAE65" s="349"/>
      <c r="LAF65" s="349"/>
      <c r="LAG65" s="349"/>
      <c r="LAH65" s="349"/>
      <c r="LAI65" s="349"/>
      <c r="LAJ65" s="349"/>
      <c r="LAK65" s="349"/>
      <c r="LAL65" s="349"/>
      <c r="LAM65" s="349"/>
      <c r="LAN65" s="349"/>
      <c r="LAO65" s="349"/>
      <c r="LAP65" s="349"/>
      <c r="LAQ65" s="349"/>
      <c r="LAR65" s="349"/>
      <c r="LAS65" s="349"/>
      <c r="LAT65" s="349"/>
      <c r="LAU65" s="349"/>
      <c r="LAV65" s="349"/>
      <c r="LAW65" s="349"/>
      <c r="LAX65" s="349"/>
      <c r="LAY65" s="349"/>
      <c r="LAZ65" s="349"/>
      <c r="LBA65" s="349"/>
      <c r="LBB65" s="349"/>
      <c r="LBC65" s="349"/>
      <c r="LBD65" s="349"/>
      <c r="LBE65" s="349"/>
      <c r="LBF65" s="349"/>
      <c r="LBG65" s="349"/>
      <c r="LBH65" s="349"/>
      <c r="LBI65" s="349"/>
      <c r="LBJ65" s="349"/>
      <c r="LBK65" s="349"/>
      <c r="LBL65" s="349"/>
      <c r="LBM65" s="349"/>
      <c r="LBN65" s="349"/>
      <c r="LBO65" s="349"/>
      <c r="LBP65" s="349"/>
      <c r="LBQ65" s="349"/>
      <c r="LBR65" s="349"/>
      <c r="LBS65" s="349"/>
      <c r="LBT65" s="349"/>
      <c r="LBU65" s="349"/>
      <c r="LBV65" s="349"/>
      <c r="LBW65" s="349"/>
      <c r="LBX65" s="349"/>
      <c r="LBY65" s="349"/>
      <c r="LBZ65" s="349"/>
      <c r="LCA65" s="349"/>
      <c r="LCB65" s="349"/>
      <c r="LCC65" s="349"/>
      <c r="LCD65" s="349"/>
      <c r="LCE65" s="349"/>
      <c r="LCF65" s="349"/>
      <c r="LCG65" s="349"/>
      <c r="LCH65" s="349"/>
      <c r="LCI65" s="349"/>
      <c r="LCJ65" s="349"/>
      <c r="LCK65" s="349"/>
      <c r="LCL65" s="349"/>
      <c r="LCM65" s="349"/>
      <c r="LCN65" s="349"/>
      <c r="LCO65" s="349"/>
      <c r="LCP65" s="349"/>
      <c r="LCQ65" s="349"/>
      <c r="LCR65" s="349"/>
      <c r="LCS65" s="349"/>
      <c r="LCT65" s="349"/>
      <c r="LCU65" s="349"/>
      <c r="LCV65" s="349"/>
      <c r="LCW65" s="349"/>
      <c r="LCX65" s="349"/>
      <c r="LCY65" s="349"/>
      <c r="LCZ65" s="349"/>
      <c r="LDA65" s="349"/>
      <c r="LDB65" s="349"/>
      <c r="LDC65" s="349"/>
      <c r="LDD65" s="349"/>
      <c r="LDE65" s="349"/>
      <c r="LDF65" s="349"/>
      <c r="LDG65" s="349"/>
      <c r="LDH65" s="349"/>
      <c r="LDI65" s="349"/>
      <c r="LDJ65" s="349"/>
      <c r="LDK65" s="349"/>
      <c r="LDL65" s="349"/>
      <c r="LDM65" s="349"/>
      <c r="LDN65" s="349"/>
      <c r="LDO65" s="349"/>
      <c r="LDP65" s="349"/>
      <c r="LDQ65" s="349"/>
      <c r="LDR65" s="349"/>
      <c r="LDS65" s="349"/>
      <c r="LDT65" s="349"/>
      <c r="LDU65" s="349"/>
      <c r="LDV65" s="349"/>
      <c r="LDW65" s="349"/>
      <c r="LDX65" s="349"/>
      <c r="LDY65" s="349"/>
      <c r="LDZ65" s="349"/>
      <c r="LEA65" s="349"/>
      <c r="LEB65" s="349"/>
      <c r="LEC65" s="349"/>
      <c r="LED65" s="349"/>
      <c r="LEE65" s="349"/>
      <c r="LEF65" s="349"/>
      <c r="LEG65" s="349"/>
      <c r="LEH65" s="349"/>
      <c r="LEI65" s="349"/>
      <c r="LEJ65" s="349"/>
      <c r="LEK65" s="349"/>
      <c r="LEL65" s="349"/>
      <c r="LEM65" s="349"/>
      <c r="LEN65" s="349"/>
      <c r="LEO65" s="349"/>
      <c r="LEP65" s="349"/>
      <c r="LEQ65" s="349"/>
      <c r="LER65" s="349"/>
      <c r="LES65" s="349"/>
      <c r="LET65" s="349"/>
      <c r="LEU65" s="349"/>
      <c r="LEV65" s="349"/>
      <c r="LEW65" s="349"/>
      <c r="LEX65" s="349"/>
      <c r="LEY65" s="349"/>
      <c r="LEZ65" s="349"/>
      <c r="LFA65" s="349"/>
      <c r="LFB65" s="349"/>
      <c r="LFC65" s="349"/>
      <c r="LFD65" s="349"/>
      <c r="LFE65" s="349"/>
      <c r="LFF65" s="349"/>
      <c r="LFG65" s="349"/>
      <c r="LFH65" s="349"/>
      <c r="LFI65" s="349"/>
      <c r="LFJ65" s="349"/>
      <c r="LFK65" s="349"/>
      <c r="LFL65" s="349"/>
      <c r="LFM65" s="349"/>
      <c r="LFN65" s="349"/>
      <c r="LFO65" s="349"/>
      <c r="LFP65" s="349"/>
      <c r="LFQ65" s="349"/>
      <c r="LFR65" s="349"/>
      <c r="LFS65" s="349"/>
      <c r="LFT65" s="349"/>
      <c r="LFU65" s="349"/>
      <c r="LFV65" s="349"/>
      <c r="LFW65" s="349"/>
      <c r="LFX65" s="349"/>
      <c r="LFY65" s="349"/>
      <c r="LFZ65" s="349"/>
      <c r="LGA65" s="349"/>
      <c r="LGB65" s="349"/>
      <c r="LGC65" s="349"/>
      <c r="LGD65" s="349"/>
      <c r="LGE65" s="349"/>
      <c r="LGF65" s="349"/>
      <c r="LGG65" s="349"/>
      <c r="LGH65" s="349"/>
      <c r="LGI65" s="349"/>
      <c r="LGJ65" s="349"/>
      <c r="LGK65" s="349"/>
      <c r="LGL65" s="349"/>
      <c r="LGM65" s="349"/>
      <c r="LGN65" s="349"/>
      <c r="LGO65" s="349"/>
      <c r="LGP65" s="349"/>
      <c r="LGQ65" s="349"/>
      <c r="LGR65" s="349"/>
      <c r="LGS65" s="349"/>
      <c r="LGT65" s="349"/>
      <c r="LGU65" s="349"/>
      <c r="LGV65" s="349"/>
      <c r="LGW65" s="349"/>
      <c r="LGX65" s="349"/>
      <c r="LGY65" s="349"/>
      <c r="LGZ65" s="349"/>
      <c r="LHA65" s="349"/>
      <c r="LHB65" s="349"/>
      <c r="LHC65" s="349"/>
      <c r="LHD65" s="349"/>
      <c r="LHE65" s="349"/>
      <c r="LHF65" s="349"/>
      <c r="LHG65" s="349"/>
      <c r="LHH65" s="349"/>
      <c r="LHI65" s="349"/>
      <c r="LHJ65" s="349"/>
      <c r="LHK65" s="349"/>
      <c r="LHL65" s="349"/>
      <c r="LHM65" s="349"/>
      <c r="LHN65" s="349"/>
      <c r="LHO65" s="349"/>
      <c r="LHP65" s="349"/>
      <c r="LHQ65" s="349"/>
      <c r="LHR65" s="349"/>
      <c r="LHS65" s="349"/>
      <c r="LHT65" s="349"/>
      <c r="LHU65" s="349"/>
      <c r="LHV65" s="349"/>
      <c r="LHW65" s="349"/>
      <c r="LHX65" s="349"/>
      <c r="LHY65" s="349"/>
      <c r="LHZ65" s="349"/>
      <c r="LIA65" s="349"/>
      <c r="LIB65" s="349"/>
      <c r="LIC65" s="349"/>
      <c r="LID65" s="349"/>
      <c r="LIE65" s="349"/>
      <c r="LIF65" s="349"/>
      <c r="LIG65" s="349"/>
      <c r="LIH65" s="349"/>
      <c r="LII65" s="349"/>
      <c r="LIJ65" s="349"/>
      <c r="LIK65" s="349"/>
      <c r="LIL65" s="349"/>
      <c r="LIM65" s="349"/>
      <c r="LIN65" s="349"/>
      <c r="LIO65" s="349"/>
      <c r="LIP65" s="349"/>
      <c r="LIQ65" s="349"/>
      <c r="LIR65" s="349"/>
      <c r="LIS65" s="349"/>
      <c r="LIT65" s="349"/>
      <c r="LIU65" s="349"/>
      <c r="LIV65" s="349"/>
      <c r="LIW65" s="349"/>
      <c r="LIX65" s="349"/>
      <c r="LIY65" s="349"/>
      <c r="LIZ65" s="349"/>
      <c r="LJA65" s="349"/>
      <c r="LJB65" s="349"/>
      <c r="LJC65" s="349"/>
      <c r="LJD65" s="349"/>
      <c r="LJE65" s="349"/>
      <c r="LJF65" s="349"/>
      <c r="LJG65" s="349"/>
      <c r="LJH65" s="349"/>
      <c r="LJI65" s="349"/>
      <c r="LJJ65" s="349"/>
      <c r="LJK65" s="349"/>
      <c r="LJL65" s="349"/>
      <c r="LJM65" s="349"/>
      <c r="LJN65" s="349"/>
      <c r="LJO65" s="349"/>
      <c r="LJP65" s="349"/>
      <c r="LJQ65" s="349"/>
      <c r="LJR65" s="349"/>
      <c r="LJS65" s="349"/>
      <c r="LJT65" s="349"/>
      <c r="LJU65" s="349"/>
      <c r="LJV65" s="349"/>
      <c r="LJW65" s="349"/>
      <c r="LJX65" s="349"/>
      <c r="LJY65" s="349"/>
      <c r="LJZ65" s="349"/>
      <c r="LKA65" s="349"/>
      <c r="LKB65" s="349"/>
      <c r="LKC65" s="349"/>
      <c r="LKD65" s="349"/>
      <c r="LKE65" s="349"/>
      <c r="LKF65" s="349"/>
      <c r="LKG65" s="349"/>
      <c r="LKH65" s="349"/>
      <c r="LKI65" s="349"/>
      <c r="LKJ65" s="349"/>
      <c r="LKK65" s="349"/>
      <c r="LKL65" s="349"/>
      <c r="LKM65" s="349"/>
      <c r="LKN65" s="349"/>
      <c r="LKO65" s="349"/>
      <c r="LKP65" s="349"/>
      <c r="LKQ65" s="349"/>
      <c r="LKR65" s="349"/>
      <c r="LKS65" s="349"/>
      <c r="LKT65" s="349"/>
      <c r="LKU65" s="349"/>
      <c r="LKV65" s="349"/>
      <c r="LKW65" s="349"/>
      <c r="LKX65" s="349"/>
      <c r="LKY65" s="349"/>
      <c r="LKZ65" s="349"/>
      <c r="LLA65" s="349"/>
      <c r="LLB65" s="349"/>
      <c r="LLC65" s="349"/>
      <c r="LLD65" s="349"/>
      <c r="LLE65" s="349"/>
      <c r="LLF65" s="349"/>
      <c r="LLG65" s="349"/>
      <c r="LLH65" s="349"/>
      <c r="LLI65" s="349"/>
      <c r="LLJ65" s="349"/>
      <c r="LLK65" s="349"/>
      <c r="LLL65" s="349"/>
      <c r="LLM65" s="349"/>
      <c r="LLN65" s="349"/>
      <c r="LLO65" s="349"/>
      <c r="LLP65" s="349"/>
      <c r="LLQ65" s="349"/>
      <c r="LLR65" s="349"/>
      <c r="LLS65" s="349"/>
      <c r="LLT65" s="349"/>
      <c r="LLU65" s="349"/>
      <c r="LLV65" s="349"/>
      <c r="LLW65" s="349"/>
      <c r="LLX65" s="349"/>
      <c r="LLY65" s="349"/>
      <c r="LLZ65" s="349"/>
      <c r="LMA65" s="349"/>
      <c r="LMB65" s="349"/>
      <c r="LMC65" s="349"/>
      <c r="LMD65" s="349"/>
      <c r="LME65" s="349"/>
      <c r="LMF65" s="349"/>
      <c r="LMG65" s="349"/>
      <c r="LMH65" s="349"/>
      <c r="LMI65" s="349"/>
      <c r="LMJ65" s="349"/>
      <c r="LMK65" s="349"/>
      <c r="LML65" s="349"/>
      <c r="LMM65" s="349"/>
      <c r="LMN65" s="349"/>
      <c r="LMO65" s="349"/>
      <c r="LMP65" s="349"/>
      <c r="LMQ65" s="349"/>
      <c r="LMR65" s="349"/>
      <c r="LMS65" s="349"/>
      <c r="LMT65" s="349"/>
      <c r="LMU65" s="349"/>
      <c r="LMV65" s="349"/>
      <c r="LMW65" s="349"/>
      <c r="LMX65" s="349"/>
      <c r="LMY65" s="349"/>
      <c r="LMZ65" s="349"/>
      <c r="LNA65" s="349"/>
      <c r="LNB65" s="349"/>
      <c r="LNC65" s="349"/>
      <c r="LND65" s="349"/>
      <c r="LNE65" s="349"/>
      <c r="LNF65" s="349"/>
      <c r="LNG65" s="349"/>
      <c r="LNH65" s="349"/>
      <c r="LNI65" s="349"/>
      <c r="LNJ65" s="349"/>
      <c r="LNK65" s="349"/>
      <c r="LNL65" s="349"/>
      <c r="LNM65" s="349"/>
      <c r="LNN65" s="349"/>
      <c r="LNO65" s="349"/>
      <c r="LNP65" s="349"/>
      <c r="LNQ65" s="349"/>
      <c r="LNR65" s="349"/>
      <c r="LNS65" s="349"/>
      <c r="LNT65" s="349"/>
      <c r="LNU65" s="349"/>
      <c r="LNV65" s="349"/>
      <c r="LNW65" s="349"/>
      <c r="LNX65" s="349"/>
      <c r="LNY65" s="349"/>
      <c r="LNZ65" s="349"/>
      <c r="LOA65" s="349"/>
      <c r="LOB65" s="349"/>
      <c r="LOC65" s="349"/>
      <c r="LOD65" s="349"/>
      <c r="LOE65" s="349"/>
      <c r="LOF65" s="349"/>
      <c r="LOG65" s="349"/>
      <c r="LOH65" s="349"/>
      <c r="LOI65" s="349"/>
      <c r="LOJ65" s="349"/>
      <c r="LOK65" s="349"/>
      <c r="LOL65" s="349"/>
      <c r="LOM65" s="349"/>
      <c r="LON65" s="349"/>
      <c r="LOO65" s="349"/>
      <c r="LOP65" s="349"/>
      <c r="LOQ65" s="349"/>
      <c r="LOR65" s="349"/>
      <c r="LOS65" s="349"/>
      <c r="LOT65" s="349"/>
      <c r="LOU65" s="349"/>
      <c r="LOV65" s="349"/>
      <c r="LOW65" s="349"/>
      <c r="LOX65" s="349"/>
      <c r="LOY65" s="349"/>
      <c r="LOZ65" s="349"/>
      <c r="LPA65" s="349"/>
      <c r="LPB65" s="349"/>
      <c r="LPC65" s="349"/>
      <c r="LPD65" s="349"/>
      <c r="LPE65" s="349"/>
      <c r="LPF65" s="349"/>
      <c r="LPG65" s="349"/>
      <c r="LPH65" s="349"/>
      <c r="LPI65" s="349"/>
      <c r="LPJ65" s="349"/>
      <c r="LPK65" s="349"/>
      <c r="LPL65" s="349"/>
      <c r="LPM65" s="349"/>
      <c r="LPN65" s="349"/>
      <c r="LPO65" s="349"/>
      <c r="LPP65" s="349"/>
      <c r="LPQ65" s="349"/>
      <c r="LPR65" s="349"/>
      <c r="LPS65" s="349"/>
      <c r="LPT65" s="349"/>
      <c r="LPU65" s="349"/>
      <c r="LPV65" s="349"/>
      <c r="LPW65" s="349"/>
      <c r="LPX65" s="349"/>
      <c r="LPY65" s="349"/>
      <c r="LPZ65" s="349"/>
      <c r="LQA65" s="349"/>
      <c r="LQB65" s="349"/>
      <c r="LQC65" s="349"/>
      <c r="LQD65" s="349"/>
      <c r="LQE65" s="349"/>
      <c r="LQF65" s="349"/>
      <c r="LQG65" s="349"/>
      <c r="LQH65" s="349"/>
      <c r="LQI65" s="349"/>
      <c r="LQJ65" s="349"/>
      <c r="LQK65" s="349"/>
      <c r="LQL65" s="349"/>
      <c r="LQM65" s="349"/>
      <c r="LQN65" s="349"/>
      <c r="LQO65" s="349"/>
      <c r="LQP65" s="349"/>
      <c r="LQQ65" s="349"/>
      <c r="LQR65" s="349"/>
      <c r="LQS65" s="349"/>
      <c r="LQT65" s="349"/>
      <c r="LQU65" s="349"/>
      <c r="LQV65" s="349"/>
      <c r="LQW65" s="349"/>
      <c r="LQX65" s="349"/>
      <c r="LQY65" s="349"/>
      <c r="LQZ65" s="349"/>
      <c r="LRA65" s="349"/>
      <c r="LRB65" s="349"/>
      <c r="LRC65" s="349"/>
      <c r="LRD65" s="349"/>
      <c r="LRE65" s="349"/>
      <c r="LRF65" s="349"/>
      <c r="LRG65" s="349"/>
      <c r="LRH65" s="349"/>
      <c r="LRI65" s="349"/>
      <c r="LRJ65" s="349"/>
      <c r="LRK65" s="349"/>
      <c r="LRL65" s="349"/>
      <c r="LRM65" s="349"/>
      <c r="LRN65" s="349"/>
      <c r="LRO65" s="349"/>
      <c r="LRP65" s="349"/>
      <c r="LRQ65" s="349"/>
      <c r="LRR65" s="349"/>
      <c r="LRS65" s="349"/>
      <c r="LRT65" s="349"/>
      <c r="LRU65" s="349"/>
      <c r="LRV65" s="349"/>
      <c r="LRW65" s="349"/>
      <c r="LRX65" s="349"/>
      <c r="LRY65" s="349"/>
      <c r="LRZ65" s="349"/>
      <c r="LSA65" s="349"/>
      <c r="LSB65" s="349"/>
      <c r="LSC65" s="349"/>
      <c r="LSD65" s="349"/>
      <c r="LSE65" s="349"/>
      <c r="LSF65" s="349"/>
      <c r="LSG65" s="349"/>
      <c r="LSH65" s="349"/>
      <c r="LSI65" s="349"/>
      <c r="LSJ65" s="349"/>
      <c r="LSK65" s="349"/>
      <c r="LSL65" s="349"/>
      <c r="LSM65" s="349"/>
      <c r="LSN65" s="349"/>
      <c r="LSO65" s="349"/>
      <c r="LSP65" s="349"/>
      <c r="LSQ65" s="349"/>
      <c r="LSR65" s="349"/>
      <c r="LSS65" s="349"/>
      <c r="LST65" s="349"/>
      <c r="LSU65" s="349"/>
      <c r="LSV65" s="349"/>
      <c r="LSW65" s="349"/>
      <c r="LSX65" s="349"/>
      <c r="LSY65" s="349"/>
      <c r="LSZ65" s="349"/>
      <c r="LTA65" s="349"/>
      <c r="LTB65" s="349"/>
      <c r="LTC65" s="349"/>
      <c r="LTD65" s="349"/>
      <c r="LTE65" s="349"/>
      <c r="LTF65" s="349"/>
      <c r="LTG65" s="349"/>
      <c r="LTH65" s="349"/>
      <c r="LTI65" s="349"/>
      <c r="LTJ65" s="349"/>
      <c r="LTK65" s="349"/>
      <c r="LTL65" s="349"/>
      <c r="LTM65" s="349"/>
      <c r="LTN65" s="349"/>
      <c r="LTO65" s="349"/>
      <c r="LTP65" s="349"/>
      <c r="LTQ65" s="349"/>
      <c r="LTR65" s="349"/>
      <c r="LTS65" s="349"/>
      <c r="LTT65" s="349"/>
      <c r="LTU65" s="349"/>
      <c r="LTV65" s="349"/>
      <c r="LTW65" s="349"/>
      <c r="LTX65" s="349"/>
      <c r="LTY65" s="349"/>
      <c r="LTZ65" s="349"/>
      <c r="LUA65" s="349"/>
      <c r="LUB65" s="349"/>
      <c r="LUC65" s="349"/>
      <c r="LUD65" s="349"/>
      <c r="LUE65" s="349"/>
      <c r="LUF65" s="349"/>
      <c r="LUG65" s="349"/>
      <c r="LUH65" s="349"/>
      <c r="LUI65" s="349"/>
      <c r="LUJ65" s="349"/>
      <c r="LUK65" s="349"/>
      <c r="LUL65" s="349"/>
      <c r="LUM65" s="349"/>
      <c r="LUN65" s="349"/>
      <c r="LUO65" s="349"/>
      <c r="LUP65" s="349"/>
      <c r="LUQ65" s="349"/>
      <c r="LUR65" s="349"/>
      <c r="LUS65" s="349"/>
      <c r="LUT65" s="349"/>
      <c r="LUU65" s="349"/>
      <c r="LUV65" s="349"/>
      <c r="LUW65" s="349"/>
      <c r="LUX65" s="349"/>
      <c r="LUY65" s="349"/>
      <c r="LUZ65" s="349"/>
      <c r="LVA65" s="349"/>
      <c r="LVB65" s="349"/>
      <c r="LVC65" s="349"/>
      <c r="LVD65" s="349"/>
      <c r="LVE65" s="349"/>
      <c r="LVF65" s="349"/>
      <c r="LVG65" s="349"/>
      <c r="LVH65" s="349"/>
      <c r="LVI65" s="349"/>
      <c r="LVJ65" s="349"/>
      <c r="LVK65" s="349"/>
      <c r="LVL65" s="349"/>
      <c r="LVM65" s="349"/>
      <c r="LVN65" s="349"/>
      <c r="LVO65" s="349"/>
      <c r="LVP65" s="349"/>
      <c r="LVQ65" s="349"/>
      <c r="LVR65" s="349"/>
      <c r="LVS65" s="349"/>
      <c r="LVT65" s="349"/>
      <c r="LVU65" s="349"/>
      <c r="LVV65" s="349"/>
      <c r="LVW65" s="349"/>
      <c r="LVX65" s="349"/>
      <c r="LVY65" s="349"/>
      <c r="LVZ65" s="349"/>
      <c r="LWA65" s="349"/>
      <c r="LWB65" s="349"/>
      <c r="LWC65" s="349"/>
      <c r="LWD65" s="349"/>
      <c r="LWE65" s="349"/>
      <c r="LWF65" s="349"/>
      <c r="LWG65" s="349"/>
      <c r="LWH65" s="349"/>
      <c r="LWI65" s="349"/>
      <c r="LWJ65" s="349"/>
      <c r="LWK65" s="349"/>
      <c r="LWL65" s="349"/>
      <c r="LWM65" s="349"/>
      <c r="LWN65" s="349"/>
      <c r="LWO65" s="349"/>
      <c r="LWP65" s="349"/>
      <c r="LWQ65" s="349"/>
      <c r="LWR65" s="349"/>
      <c r="LWS65" s="349"/>
      <c r="LWT65" s="349"/>
      <c r="LWU65" s="349"/>
      <c r="LWV65" s="349"/>
      <c r="LWW65" s="349"/>
      <c r="LWX65" s="349"/>
      <c r="LWY65" s="349"/>
      <c r="LWZ65" s="349"/>
      <c r="LXA65" s="349"/>
      <c r="LXB65" s="349"/>
      <c r="LXC65" s="349"/>
      <c r="LXD65" s="349"/>
      <c r="LXE65" s="349"/>
      <c r="LXF65" s="349"/>
      <c r="LXG65" s="349"/>
      <c r="LXH65" s="349"/>
      <c r="LXI65" s="349"/>
      <c r="LXJ65" s="349"/>
      <c r="LXK65" s="349"/>
      <c r="LXL65" s="349"/>
      <c r="LXM65" s="349"/>
      <c r="LXN65" s="349"/>
      <c r="LXO65" s="349"/>
      <c r="LXP65" s="349"/>
      <c r="LXQ65" s="349"/>
      <c r="LXR65" s="349"/>
      <c r="LXS65" s="349"/>
      <c r="LXT65" s="349"/>
      <c r="LXU65" s="349"/>
      <c r="LXV65" s="349"/>
      <c r="LXW65" s="349"/>
      <c r="LXX65" s="349"/>
      <c r="LXY65" s="349"/>
      <c r="LXZ65" s="349"/>
      <c r="LYA65" s="349"/>
      <c r="LYB65" s="349"/>
      <c r="LYC65" s="349"/>
      <c r="LYD65" s="349"/>
      <c r="LYE65" s="349"/>
      <c r="LYF65" s="349"/>
      <c r="LYG65" s="349"/>
      <c r="LYH65" s="349"/>
      <c r="LYI65" s="349"/>
      <c r="LYJ65" s="349"/>
      <c r="LYK65" s="349"/>
      <c r="LYL65" s="349"/>
      <c r="LYM65" s="349"/>
      <c r="LYN65" s="349"/>
      <c r="LYO65" s="349"/>
      <c r="LYP65" s="349"/>
      <c r="LYQ65" s="349"/>
      <c r="LYR65" s="349"/>
      <c r="LYS65" s="349"/>
      <c r="LYT65" s="349"/>
      <c r="LYU65" s="349"/>
      <c r="LYV65" s="349"/>
      <c r="LYW65" s="349"/>
      <c r="LYX65" s="349"/>
      <c r="LYY65" s="349"/>
      <c r="LYZ65" s="349"/>
      <c r="LZA65" s="349"/>
      <c r="LZB65" s="349"/>
      <c r="LZC65" s="349"/>
      <c r="LZD65" s="349"/>
      <c r="LZE65" s="349"/>
      <c r="LZF65" s="349"/>
      <c r="LZG65" s="349"/>
      <c r="LZH65" s="349"/>
      <c r="LZI65" s="349"/>
      <c r="LZJ65" s="349"/>
      <c r="LZK65" s="349"/>
      <c r="LZL65" s="349"/>
      <c r="LZM65" s="349"/>
      <c r="LZN65" s="349"/>
      <c r="LZO65" s="349"/>
      <c r="LZP65" s="349"/>
      <c r="LZQ65" s="349"/>
      <c r="LZR65" s="349"/>
      <c r="LZS65" s="349"/>
      <c r="LZT65" s="349"/>
      <c r="LZU65" s="349"/>
      <c r="LZV65" s="349"/>
      <c r="LZW65" s="349"/>
      <c r="LZX65" s="349"/>
      <c r="LZY65" s="349"/>
      <c r="LZZ65" s="349"/>
      <c r="MAA65" s="349"/>
      <c r="MAB65" s="349"/>
      <c r="MAC65" s="349"/>
      <c r="MAD65" s="349"/>
      <c r="MAE65" s="349"/>
      <c r="MAF65" s="349"/>
      <c r="MAG65" s="349"/>
      <c r="MAH65" s="349"/>
      <c r="MAI65" s="349"/>
      <c r="MAJ65" s="349"/>
      <c r="MAK65" s="349"/>
      <c r="MAL65" s="349"/>
      <c r="MAM65" s="349"/>
      <c r="MAN65" s="349"/>
      <c r="MAO65" s="349"/>
      <c r="MAP65" s="349"/>
      <c r="MAQ65" s="349"/>
      <c r="MAR65" s="349"/>
      <c r="MAS65" s="349"/>
      <c r="MAT65" s="349"/>
      <c r="MAU65" s="349"/>
      <c r="MAV65" s="349"/>
      <c r="MAW65" s="349"/>
      <c r="MAX65" s="349"/>
      <c r="MAY65" s="349"/>
      <c r="MAZ65" s="349"/>
      <c r="MBA65" s="349"/>
      <c r="MBB65" s="349"/>
      <c r="MBC65" s="349"/>
      <c r="MBD65" s="349"/>
      <c r="MBE65" s="349"/>
      <c r="MBF65" s="349"/>
      <c r="MBG65" s="349"/>
      <c r="MBH65" s="349"/>
      <c r="MBI65" s="349"/>
      <c r="MBJ65" s="349"/>
      <c r="MBK65" s="349"/>
      <c r="MBL65" s="349"/>
      <c r="MBM65" s="349"/>
      <c r="MBN65" s="349"/>
      <c r="MBO65" s="349"/>
      <c r="MBP65" s="349"/>
      <c r="MBQ65" s="349"/>
      <c r="MBR65" s="349"/>
      <c r="MBS65" s="349"/>
      <c r="MBT65" s="349"/>
      <c r="MBU65" s="349"/>
      <c r="MBV65" s="349"/>
      <c r="MBW65" s="349"/>
      <c r="MBX65" s="349"/>
      <c r="MBY65" s="349"/>
      <c r="MBZ65" s="349"/>
      <c r="MCA65" s="349"/>
      <c r="MCB65" s="349"/>
      <c r="MCC65" s="349"/>
      <c r="MCD65" s="349"/>
      <c r="MCE65" s="349"/>
      <c r="MCF65" s="349"/>
      <c r="MCG65" s="349"/>
      <c r="MCH65" s="349"/>
      <c r="MCI65" s="349"/>
      <c r="MCJ65" s="349"/>
      <c r="MCK65" s="349"/>
      <c r="MCL65" s="349"/>
      <c r="MCM65" s="349"/>
      <c r="MCN65" s="349"/>
      <c r="MCO65" s="349"/>
      <c r="MCP65" s="349"/>
      <c r="MCQ65" s="349"/>
      <c r="MCR65" s="349"/>
      <c r="MCS65" s="349"/>
      <c r="MCT65" s="349"/>
      <c r="MCU65" s="349"/>
      <c r="MCV65" s="349"/>
      <c r="MCW65" s="349"/>
      <c r="MCX65" s="349"/>
      <c r="MCY65" s="349"/>
      <c r="MCZ65" s="349"/>
      <c r="MDA65" s="349"/>
      <c r="MDB65" s="349"/>
      <c r="MDC65" s="349"/>
      <c r="MDD65" s="349"/>
      <c r="MDE65" s="349"/>
      <c r="MDF65" s="349"/>
      <c r="MDG65" s="349"/>
      <c r="MDH65" s="349"/>
      <c r="MDI65" s="349"/>
      <c r="MDJ65" s="349"/>
      <c r="MDK65" s="349"/>
      <c r="MDL65" s="349"/>
      <c r="MDM65" s="349"/>
      <c r="MDN65" s="349"/>
      <c r="MDO65" s="349"/>
      <c r="MDP65" s="349"/>
      <c r="MDQ65" s="349"/>
      <c r="MDR65" s="349"/>
      <c r="MDS65" s="349"/>
      <c r="MDT65" s="349"/>
      <c r="MDU65" s="349"/>
      <c r="MDV65" s="349"/>
      <c r="MDW65" s="349"/>
      <c r="MDX65" s="349"/>
      <c r="MDY65" s="349"/>
      <c r="MDZ65" s="349"/>
      <c r="MEA65" s="349"/>
      <c r="MEB65" s="349"/>
      <c r="MEC65" s="349"/>
      <c r="MED65" s="349"/>
      <c r="MEE65" s="349"/>
      <c r="MEF65" s="349"/>
      <c r="MEG65" s="349"/>
      <c r="MEH65" s="349"/>
      <c r="MEI65" s="349"/>
      <c r="MEJ65" s="349"/>
      <c r="MEK65" s="349"/>
      <c r="MEL65" s="349"/>
      <c r="MEM65" s="349"/>
      <c r="MEN65" s="349"/>
      <c r="MEO65" s="349"/>
      <c r="MEP65" s="349"/>
      <c r="MEQ65" s="349"/>
      <c r="MER65" s="349"/>
      <c r="MES65" s="349"/>
      <c r="MET65" s="349"/>
      <c r="MEU65" s="349"/>
      <c r="MEV65" s="349"/>
      <c r="MEW65" s="349"/>
      <c r="MEX65" s="349"/>
      <c r="MEY65" s="349"/>
      <c r="MEZ65" s="349"/>
      <c r="MFA65" s="349"/>
      <c r="MFB65" s="349"/>
      <c r="MFC65" s="349"/>
      <c r="MFD65" s="349"/>
      <c r="MFE65" s="349"/>
      <c r="MFF65" s="349"/>
      <c r="MFG65" s="349"/>
      <c r="MFH65" s="349"/>
      <c r="MFI65" s="349"/>
      <c r="MFJ65" s="349"/>
      <c r="MFK65" s="349"/>
      <c r="MFL65" s="349"/>
      <c r="MFM65" s="349"/>
      <c r="MFN65" s="349"/>
      <c r="MFO65" s="349"/>
      <c r="MFP65" s="349"/>
      <c r="MFQ65" s="349"/>
      <c r="MFR65" s="349"/>
      <c r="MFS65" s="349"/>
      <c r="MFT65" s="349"/>
      <c r="MFU65" s="349"/>
      <c r="MFV65" s="349"/>
      <c r="MFW65" s="349"/>
      <c r="MFX65" s="349"/>
      <c r="MFY65" s="349"/>
      <c r="MFZ65" s="349"/>
      <c r="MGA65" s="349"/>
      <c r="MGB65" s="349"/>
      <c r="MGC65" s="349"/>
      <c r="MGD65" s="349"/>
      <c r="MGE65" s="349"/>
      <c r="MGF65" s="349"/>
      <c r="MGG65" s="349"/>
      <c r="MGH65" s="349"/>
      <c r="MGI65" s="349"/>
      <c r="MGJ65" s="349"/>
      <c r="MGK65" s="349"/>
      <c r="MGL65" s="349"/>
      <c r="MGM65" s="349"/>
      <c r="MGN65" s="349"/>
      <c r="MGO65" s="349"/>
      <c r="MGP65" s="349"/>
      <c r="MGQ65" s="349"/>
      <c r="MGR65" s="349"/>
      <c r="MGS65" s="349"/>
      <c r="MGT65" s="349"/>
      <c r="MGU65" s="349"/>
      <c r="MGV65" s="349"/>
      <c r="MGW65" s="349"/>
      <c r="MGX65" s="349"/>
      <c r="MGY65" s="349"/>
      <c r="MGZ65" s="349"/>
      <c r="MHA65" s="349"/>
      <c r="MHB65" s="349"/>
      <c r="MHC65" s="349"/>
      <c r="MHD65" s="349"/>
      <c r="MHE65" s="349"/>
      <c r="MHF65" s="349"/>
      <c r="MHG65" s="349"/>
      <c r="MHH65" s="349"/>
      <c r="MHI65" s="349"/>
      <c r="MHJ65" s="349"/>
      <c r="MHK65" s="349"/>
      <c r="MHL65" s="349"/>
      <c r="MHM65" s="349"/>
      <c r="MHN65" s="349"/>
      <c r="MHO65" s="349"/>
      <c r="MHP65" s="349"/>
      <c r="MHQ65" s="349"/>
      <c r="MHR65" s="349"/>
      <c r="MHS65" s="349"/>
      <c r="MHT65" s="349"/>
      <c r="MHU65" s="349"/>
      <c r="MHV65" s="349"/>
      <c r="MHW65" s="349"/>
      <c r="MHX65" s="349"/>
      <c r="MHY65" s="349"/>
      <c r="MHZ65" s="349"/>
      <c r="MIA65" s="349"/>
      <c r="MIB65" s="349"/>
      <c r="MIC65" s="349"/>
      <c r="MID65" s="349"/>
      <c r="MIE65" s="349"/>
      <c r="MIF65" s="349"/>
      <c r="MIG65" s="349"/>
      <c r="MIH65" s="349"/>
      <c r="MII65" s="349"/>
      <c r="MIJ65" s="349"/>
      <c r="MIK65" s="349"/>
      <c r="MIL65" s="349"/>
      <c r="MIM65" s="349"/>
      <c r="MIN65" s="349"/>
      <c r="MIO65" s="349"/>
      <c r="MIP65" s="349"/>
      <c r="MIQ65" s="349"/>
      <c r="MIR65" s="349"/>
      <c r="MIS65" s="349"/>
      <c r="MIT65" s="349"/>
      <c r="MIU65" s="349"/>
      <c r="MIV65" s="349"/>
      <c r="MIW65" s="349"/>
      <c r="MIX65" s="349"/>
      <c r="MIY65" s="349"/>
      <c r="MIZ65" s="349"/>
      <c r="MJA65" s="349"/>
      <c r="MJB65" s="349"/>
      <c r="MJC65" s="349"/>
      <c r="MJD65" s="349"/>
      <c r="MJE65" s="349"/>
      <c r="MJF65" s="349"/>
      <c r="MJG65" s="349"/>
      <c r="MJH65" s="349"/>
      <c r="MJI65" s="349"/>
      <c r="MJJ65" s="349"/>
      <c r="MJK65" s="349"/>
      <c r="MJL65" s="349"/>
      <c r="MJM65" s="349"/>
      <c r="MJN65" s="349"/>
      <c r="MJO65" s="349"/>
      <c r="MJP65" s="349"/>
      <c r="MJQ65" s="349"/>
      <c r="MJR65" s="349"/>
      <c r="MJS65" s="349"/>
      <c r="MJT65" s="349"/>
      <c r="MJU65" s="349"/>
      <c r="MJV65" s="349"/>
      <c r="MJW65" s="349"/>
      <c r="MJX65" s="349"/>
      <c r="MJY65" s="349"/>
      <c r="MJZ65" s="349"/>
      <c r="MKA65" s="349"/>
      <c r="MKB65" s="349"/>
      <c r="MKC65" s="349"/>
      <c r="MKD65" s="349"/>
      <c r="MKE65" s="349"/>
      <c r="MKF65" s="349"/>
      <c r="MKG65" s="349"/>
      <c r="MKH65" s="349"/>
      <c r="MKI65" s="349"/>
      <c r="MKJ65" s="349"/>
      <c r="MKK65" s="349"/>
      <c r="MKL65" s="349"/>
      <c r="MKM65" s="349"/>
      <c r="MKN65" s="349"/>
      <c r="MKO65" s="349"/>
      <c r="MKP65" s="349"/>
      <c r="MKQ65" s="349"/>
      <c r="MKR65" s="349"/>
      <c r="MKS65" s="349"/>
      <c r="MKT65" s="349"/>
      <c r="MKU65" s="349"/>
      <c r="MKV65" s="349"/>
      <c r="MKW65" s="349"/>
      <c r="MKX65" s="349"/>
      <c r="MKY65" s="349"/>
      <c r="MKZ65" s="349"/>
      <c r="MLA65" s="349"/>
      <c r="MLB65" s="349"/>
      <c r="MLC65" s="349"/>
      <c r="MLD65" s="349"/>
      <c r="MLE65" s="349"/>
      <c r="MLF65" s="349"/>
      <c r="MLG65" s="349"/>
      <c r="MLH65" s="349"/>
      <c r="MLI65" s="349"/>
      <c r="MLJ65" s="349"/>
      <c r="MLK65" s="349"/>
      <c r="MLL65" s="349"/>
      <c r="MLM65" s="349"/>
      <c r="MLN65" s="349"/>
      <c r="MLO65" s="349"/>
      <c r="MLP65" s="349"/>
      <c r="MLQ65" s="349"/>
      <c r="MLR65" s="349"/>
      <c r="MLS65" s="349"/>
      <c r="MLT65" s="349"/>
      <c r="MLU65" s="349"/>
      <c r="MLV65" s="349"/>
      <c r="MLW65" s="349"/>
      <c r="MLX65" s="349"/>
      <c r="MLY65" s="349"/>
      <c r="MLZ65" s="349"/>
      <c r="MMA65" s="349"/>
      <c r="MMB65" s="349"/>
      <c r="MMC65" s="349"/>
      <c r="MMD65" s="349"/>
      <c r="MME65" s="349"/>
      <c r="MMF65" s="349"/>
      <c r="MMG65" s="349"/>
      <c r="MMH65" s="349"/>
      <c r="MMI65" s="349"/>
      <c r="MMJ65" s="349"/>
      <c r="MMK65" s="349"/>
      <c r="MML65" s="349"/>
      <c r="MMM65" s="349"/>
      <c r="MMN65" s="349"/>
      <c r="MMO65" s="349"/>
      <c r="MMP65" s="349"/>
      <c r="MMQ65" s="349"/>
      <c r="MMR65" s="349"/>
      <c r="MMS65" s="349"/>
      <c r="MMT65" s="349"/>
      <c r="MMU65" s="349"/>
      <c r="MMV65" s="349"/>
      <c r="MMW65" s="349"/>
      <c r="MMX65" s="349"/>
      <c r="MMY65" s="349"/>
      <c r="MMZ65" s="349"/>
      <c r="MNA65" s="349"/>
      <c r="MNB65" s="349"/>
      <c r="MNC65" s="349"/>
      <c r="MND65" s="349"/>
      <c r="MNE65" s="349"/>
      <c r="MNF65" s="349"/>
      <c r="MNG65" s="349"/>
      <c r="MNH65" s="349"/>
      <c r="MNI65" s="349"/>
      <c r="MNJ65" s="349"/>
      <c r="MNK65" s="349"/>
      <c r="MNL65" s="349"/>
      <c r="MNM65" s="349"/>
      <c r="MNN65" s="349"/>
      <c r="MNO65" s="349"/>
      <c r="MNP65" s="349"/>
      <c r="MNQ65" s="349"/>
      <c r="MNR65" s="349"/>
      <c r="MNS65" s="349"/>
      <c r="MNT65" s="349"/>
      <c r="MNU65" s="349"/>
      <c r="MNV65" s="349"/>
      <c r="MNW65" s="349"/>
      <c r="MNX65" s="349"/>
      <c r="MNY65" s="349"/>
      <c r="MNZ65" s="349"/>
      <c r="MOA65" s="349"/>
      <c r="MOB65" s="349"/>
      <c r="MOC65" s="349"/>
      <c r="MOD65" s="349"/>
      <c r="MOE65" s="349"/>
      <c r="MOF65" s="349"/>
      <c r="MOG65" s="349"/>
      <c r="MOH65" s="349"/>
      <c r="MOI65" s="349"/>
      <c r="MOJ65" s="349"/>
      <c r="MOK65" s="349"/>
      <c r="MOL65" s="349"/>
      <c r="MOM65" s="349"/>
      <c r="MON65" s="349"/>
      <c r="MOO65" s="349"/>
      <c r="MOP65" s="349"/>
      <c r="MOQ65" s="349"/>
      <c r="MOR65" s="349"/>
      <c r="MOS65" s="349"/>
      <c r="MOT65" s="349"/>
      <c r="MOU65" s="349"/>
      <c r="MOV65" s="349"/>
      <c r="MOW65" s="349"/>
      <c r="MOX65" s="349"/>
      <c r="MOY65" s="349"/>
      <c r="MOZ65" s="349"/>
      <c r="MPA65" s="349"/>
      <c r="MPB65" s="349"/>
      <c r="MPC65" s="349"/>
      <c r="MPD65" s="349"/>
      <c r="MPE65" s="349"/>
      <c r="MPF65" s="349"/>
      <c r="MPG65" s="349"/>
      <c r="MPH65" s="349"/>
      <c r="MPI65" s="349"/>
      <c r="MPJ65" s="349"/>
      <c r="MPK65" s="349"/>
      <c r="MPL65" s="349"/>
      <c r="MPM65" s="349"/>
      <c r="MPN65" s="349"/>
      <c r="MPO65" s="349"/>
      <c r="MPP65" s="349"/>
      <c r="MPQ65" s="349"/>
      <c r="MPR65" s="349"/>
      <c r="MPS65" s="349"/>
      <c r="MPT65" s="349"/>
      <c r="MPU65" s="349"/>
      <c r="MPV65" s="349"/>
      <c r="MPW65" s="349"/>
      <c r="MPX65" s="349"/>
      <c r="MPY65" s="349"/>
      <c r="MPZ65" s="349"/>
      <c r="MQA65" s="349"/>
      <c r="MQB65" s="349"/>
      <c r="MQC65" s="349"/>
      <c r="MQD65" s="349"/>
      <c r="MQE65" s="349"/>
      <c r="MQF65" s="349"/>
      <c r="MQG65" s="349"/>
      <c r="MQH65" s="349"/>
      <c r="MQI65" s="349"/>
      <c r="MQJ65" s="349"/>
      <c r="MQK65" s="349"/>
      <c r="MQL65" s="349"/>
      <c r="MQM65" s="349"/>
      <c r="MQN65" s="349"/>
      <c r="MQO65" s="349"/>
      <c r="MQP65" s="349"/>
      <c r="MQQ65" s="349"/>
      <c r="MQR65" s="349"/>
      <c r="MQS65" s="349"/>
      <c r="MQT65" s="349"/>
      <c r="MQU65" s="349"/>
      <c r="MQV65" s="349"/>
      <c r="MQW65" s="349"/>
      <c r="MQX65" s="349"/>
      <c r="MQY65" s="349"/>
      <c r="MQZ65" s="349"/>
      <c r="MRA65" s="349"/>
      <c r="MRB65" s="349"/>
      <c r="MRC65" s="349"/>
      <c r="MRD65" s="349"/>
      <c r="MRE65" s="349"/>
      <c r="MRF65" s="349"/>
      <c r="MRG65" s="349"/>
      <c r="MRH65" s="349"/>
      <c r="MRI65" s="349"/>
      <c r="MRJ65" s="349"/>
      <c r="MRK65" s="349"/>
      <c r="MRL65" s="349"/>
      <c r="MRM65" s="349"/>
      <c r="MRN65" s="349"/>
      <c r="MRO65" s="349"/>
      <c r="MRP65" s="349"/>
      <c r="MRQ65" s="349"/>
      <c r="MRR65" s="349"/>
      <c r="MRS65" s="349"/>
      <c r="MRT65" s="349"/>
      <c r="MRU65" s="349"/>
      <c r="MRV65" s="349"/>
      <c r="MRW65" s="349"/>
      <c r="MRX65" s="349"/>
      <c r="MRY65" s="349"/>
      <c r="MRZ65" s="349"/>
      <c r="MSA65" s="349"/>
      <c r="MSB65" s="349"/>
      <c r="MSC65" s="349"/>
      <c r="MSD65" s="349"/>
      <c r="MSE65" s="349"/>
      <c r="MSF65" s="349"/>
      <c r="MSG65" s="349"/>
      <c r="MSH65" s="349"/>
      <c r="MSI65" s="349"/>
      <c r="MSJ65" s="349"/>
      <c r="MSK65" s="349"/>
      <c r="MSL65" s="349"/>
      <c r="MSM65" s="349"/>
      <c r="MSN65" s="349"/>
      <c r="MSO65" s="349"/>
      <c r="MSP65" s="349"/>
      <c r="MSQ65" s="349"/>
      <c r="MSR65" s="349"/>
      <c r="MSS65" s="349"/>
      <c r="MST65" s="349"/>
      <c r="MSU65" s="349"/>
      <c r="MSV65" s="349"/>
      <c r="MSW65" s="349"/>
      <c r="MSX65" s="349"/>
      <c r="MSY65" s="349"/>
      <c r="MSZ65" s="349"/>
      <c r="MTA65" s="349"/>
      <c r="MTB65" s="349"/>
      <c r="MTC65" s="349"/>
      <c r="MTD65" s="349"/>
      <c r="MTE65" s="349"/>
      <c r="MTF65" s="349"/>
      <c r="MTG65" s="349"/>
      <c r="MTH65" s="349"/>
      <c r="MTI65" s="349"/>
      <c r="MTJ65" s="349"/>
      <c r="MTK65" s="349"/>
      <c r="MTL65" s="349"/>
      <c r="MTM65" s="349"/>
      <c r="MTN65" s="349"/>
      <c r="MTO65" s="349"/>
      <c r="MTP65" s="349"/>
      <c r="MTQ65" s="349"/>
      <c r="MTR65" s="349"/>
      <c r="MTS65" s="349"/>
      <c r="MTT65" s="349"/>
      <c r="MTU65" s="349"/>
      <c r="MTV65" s="349"/>
      <c r="MTW65" s="349"/>
      <c r="MTX65" s="349"/>
      <c r="MTY65" s="349"/>
      <c r="MTZ65" s="349"/>
      <c r="MUA65" s="349"/>
      <c r="MUB65" s="349"/>
      <c r="MUC65" s="349"/>
      <c r="MUD65" s="349"/>
      <c r="MUE65" s="349"/>
      <c r="MUF65" s="349"/>
      <c r="MUG65" s="349"/>
      <c r="MUH65" s="349"/>
      <c r="MUI65" s="349"/>
      <c r="MUJ65" s="349"/>
      <c r="MUK65" s="349"/>
      <c r="MUL65" s="349"/>
      <c r="MUM65" s="349"/>
      <c r="MUN65" s="349"/>
      <c r="MUO65" s="349"/>
      <c r="MUP65" s="349"/>
      <c r="MUQ65" s="349"/>
      <c r="MUR65" s="349"/>
      <c r="MUS65" s="349"/>
      <c r="MUT65" s="349"/>
      <c r="MUU65" s="349"/>
      <c r="MUV65" s="349"/>
      <c r="MUW65" s="349"/>
      <c r="MUX65" s="349"/>
      <c r="MUY65" s="349"/>
      <c r="MUZ65" s="349"/>
      <c r="MVA65" s="349"/>
      <c r="MVB65" s="349"/>
      <c r="MVC65" s="349"/>
      <c r="MVD65" s="349"/>
      <c r="MVE65" s="349"/>
      <c r="MVF65" s="349"/>
      <c r="MVG65" s="349"/>
      <c r="MVH65" s="349"/>
      <c r="MVI65" s="349"/>
      <c r="MVJ65" s="349"/>
      <c r="MVK65" s="349"/>
      <c r="MVL65" s="349"/>
      <c r="MVM65" s="349"/>
      <c r="MVN65" s="349"/>
      <c r="MVO65" s="349"/>
      <c r="MVP65" s="349"/>
      <c r="MVQ65" s="349"/>
      <c r="MVR65" s="349"/>
      <c r="MVS65" s="349"/>
      <c r="MVT65" s="349"/>
      <c r="MVU65" s="349"/>
      <c r="MVV65" s="349"/>
      <c r="MVW65" s="349"/>
      <c r="MVX65" s="349"/>
      <c r="MVY65" s="349"/>
      <c r="MVZ65" s="349"/>
      <c r="MWA65" s="349"/>
      <c r="MWB65" s="349"/>
      <c r="MWC65" s="349"/>
      <c r="MWD65" s="349"/>
      <c r="MWE65" s="349"/>
      <c r="MWF65" s="349"/>
      <c r="MWG65" s="349"/>
      <c r="MWH65" s="349"/>
      <c r="MWI65" s="349"/>
      <c r="MWJ65" s="349"/>
      <c r="MWK65" s="349"/>
      <c r="MWL65" s="349"/>
      <c r="MWM65" s="349"/>
      <c r="MWN65" s="349"/>
      <c r="MWO65" s="349"/>
      <c r="MWP65" s="349"/>
      <c r="MWQ65" s="349"/>
      <c r="MWR65" s="349"/>
      <c r="MWS65" s="349"/>
      <c r="MWT65" s="349"/>
      <c r="MWU65" s="349"/>
      <c r="MWV65" s="349"/>
      <c r="MWW65" s="349"/>
      <c r="MWX65" s="349"/>
      <c r="MWY65" s="349"/>
      <c r="MWZ65" s="349"/>
      <c r="MXA65" s="349"/>
      <c r="MXB65" s="349"/>
      <c r="MXC65" s="349"/>
      <c r="MXD65" s="349"/>
      <c r="MXE65" s="349"/>
      <c r="MXF65" s="349"/>
      <c r="MXG65" s="349"/>
      <c r="MXH65" s="349"/>
      <c r="MXI65" s="349"/>
      <c r="MXJ65" s="349"/>
      <c r="MXK65" s="349"/>
      <c r="MXL65" s="349"/>
      <c r="MXM65" s="349"/>
      <c r="MXN65" s="349"/>
      <c r="MXO65" s="349"/>
      <c r="MXP65" s="349"/>
      <c r="MXQ65" s="349"/>
      <c r="MXR65" s="349"/>
      <c r="MXS65" s="349"/>
      <c r="MXT65" s="349"/>
      <c r="MXU65" s="349"/>
      <c r="MXV65" s="349"/>
      <c r="MXW65" s="349"/>
      <c r="MXX65" s="349"/>
      <c r="MXY65" s="349"/>
      <c r="MXZ65" s="349"/>
      <c r="MYA65" s="349"/>
      <c r="MYB65" s="349"/>
      <c r="MYC65" s="349"/>
      <c r="MYD65" s="349"/>
      <c r="MYE65" s="349"/>
      <c r="MYF65" s="349"/>
      <c r="MYG65" s="349"/>
      <c r="MYH65" s="349"/>
      <c r="MYI65" s="349"/>
      <c r="MYJ65" s="349"/>
      <c r="MYK65" s="349"/>
      <c r="MYL65" s="349"/>
      <c r="MYM65" s="349"/>
      <c r="MYN65" s="349"/>
      <c r="MYO65" s="349"/>
      <c r="MYP65" s="349"/>
      <c r="MYQ65" s="349"/>
      <c r="MYR65" s="349"/>
      <c r="MYS65" s="349"/>
      <c r="MYT65" s="349"/>
      <c r="MYU65" s="349"/>
      <c r="MYV65" s="349"/>
      <c r="MYW65" s="349"/>
      <c r="MYX65" s="349"/>
      <c r="MYY65" s="349"/>
      <c r="MYZ65" s="349"/>
      <c r="MZA65" s="349"/>
      <c r="MZB65" s="349"/>
      <c r="MZC65" s="349"/>
      <c r="MZD65" s="349"/>
      <c r="MZE65" s="349"/>
      <c r="MZF65" s="349"/>
      <c r="MZG65" s="349"/>
      <c r="MZH65" s="349"/>
      <c r="MZI65" s="349"/>
      <c r="MZJ65" s="349"/>
      <c r="MZK65" s="349"/>
      <c r="MZL65" s="349"/>
      <c r="MZM65" s="349"/>
      <c r="MZN65" s="349"/>
      <c r="MZO65" s="349"/>
      <c r="MZP65" s="349"/>
      <c r="MZQ65" s="349"/>
      <c r="MZR65" s="349"/>
      <c r="MZS65" s="349"/>
      <c r="MZT65" s="349"/>
      <c r="MZU65" s="349"/>
      <c r="MZV65" s="349"/>
      <c r="MZW65" s="349"/>
      <c r="MZX65" s="349"/>
      <c r="MZY65" s="349"/>
      <c r="MZZ65" s="349"/>
      <c r="NAA65" s="349"/>
      <c r="NAB65" s="349"/>
      <c r="NAC65" s="349"/>
      <c r="NAD65" s="349"/>
      <c r="NAE65" s="349"/>
      <c r="NAF65" s="349"/>
      <c r="NAG65" s="349"/>
      <c r="NAH65" s="349"/>
      <c r="NAI65" s="349"/>
      <c r="NAJ65" s="349"/>
      <c r="NAK65" s="349"/>
      <c r="NAL65" s="349"/>
      <c r="NAM65" s="349"/>
      <c r="NAN65" s="349"/>
      <c r="NAO65" s="349"/>
      <c r="NAP65" s="349"/>
      <c r="NAQ65" s="349"/>
      <c r="NAR65" s="349"/>
      <c r="NAS65" s="349"/>
      <c r="NAT65" s="349"/>
      <c r="NAU65" s="349"/>
      <c r="NAV65" s="349"/>
      <c r="NAW65" s="349"/>
      <c r="NAX65" s="349"/>
      <c r="NAY65" s="349"/>
      <c r="NAZ65" s="349"/>
      <c r="NBA65" s="349"/>
      <c r="NBB65" s="349"/>
      <c r="NBC65" s="349"/>
      <c r="NBD65" s="349"/>
      <c r="NBE65" s="349"/>
      <c r="NBF65" s="349"/>
      <c r="NBG65" s="349"/>
      <c r="NBH65" s="349"/>
      <c r="NBI65" s="349"/>
      <c r="NBJ65" s="349"/>
      <c r="NBK65" s="349"/>
      <c r="NBL65" s="349"/>
      <c r="NBM65" s="349"/>
      <c r="NBN65" s="349"/>
      <c r="NBO65" s="349"/>
      <c r="NBP65" s="349"/>
      <c r="NBQ65" s="349"/>
      <c r="NBR65" s="349"/>
      <c r="NBS65" s="349"/>
      <c r="NBT65" s="349"/>
      <c r="NBU65" s="349"/>
      <c r="NBV65" s="349"/>
      <c r="NBW65" s="349"/>
      <c r="NBX65" s="349"/>
      <c r="NBY65" s="349"/>
      <c r="NBZ65" s="349"/>
      <c r="NCA65" s="349"/>
      <c r="NCB65" s="349"/>
      <c r="NCC65" s="349"/>
      <c r="NCD65" s="349"/>
      <c r="NCE65" s="349"/>
      <c r="NCF65" s="349"/>
      <c r="NCG65" s="349"/>
      <c r="NCH65" s="349"/>
      <c r="NCI65" s="349"/>
      <c r="NCJ65" s="349"/>
      <c r="NCK65" s="349"/>
      <c r="NCL65" s="349"/>
      <c r="NCM65" s="349"/>
      <c r="NCN65" s="349"/>
      <c r="NCO65" s="349"/>
      <c r="NCP65" s="349"/>
      <c r="NCQ65" s="349"/>
      <c r="NCR65" s="349"/>
      <c r="NCS65" s="349"/>
      <c r="NCT65" s="349"/>
      <c r="NCU65" s="349"/>
      <c r="NCV65" s="349"/>
      <c r="NCW65" s="349"/>
      <c r="NCX65" s="349"/>
      <c r="NCY65" s="349"/>
      <c r="NCZ65" s="349"/>
      <c r="NDA65" s="349"/>
      <c r="NDB65" s="349"/>
      <c r="NDC65" s="349"/>
      <c r="NDD65" s="349"/>
      <c r="NDE65" s="349"/>
      <c r="NDF65" s="349"/>
      <c r="NDG65" s="349"/>
      <c r="NDH65" s="349"/>
      <c r="NDI65" s="349"/>
      <c r="NDJ65" s="349"/>
      <c r="NDK65" s="349"/>
      <c r="NDL65" s="349"/>
      <c r="NDM65" s="349"/>
      <c r="NDN65" s="349"/>
      <c r="NDO65" s="349"/>
      <c r="NDP65" s="349"/>
      <c r="NDQ65" s="349"/>
      <c r="NDR65" s="349"/>
      <c r="NDS65" s="349"/>
      <c r="NDT65" s="349"/>
      <c r="NDU65" s="349"/>
      <c r="NDV65" s="349"/>
      <c r="NDW65" s="349"/>
      <c r="NDX65" s="349"/>
      <c r="NDY65" s="349"/>
      <c r="NDZ65" s="349"/>
      <c r="NEA65" s="349"/>
      <c r="NEB65" s="349"/>
      <c r="NEC65" s="349"/>
      <c r="NED65" s="349"/>
      <c r="NEE65" s="349"/>
      <c r="NEF65" s="349"/>
      <c r="NEG65" s="349"/>
      <c r="NEH65" s="349"/>
      <c r="NEI65" s="349"/>
      <c r="NEJ65" s="349"/>
      <c r="NEK65" s="349"/>
      <c r="NEL65" s="349"/>
      <c r="NEM65" s="349"/>
      <c r="NEN65" s="349"/>
      <c r="NEO65" s="349"/>
      <c r="NEP65" s="349"/>
      <c r="NEQ65" s="349"/>
      <c r="NER65" s="349"/>
      <c r="NES65" s="349"/>
      <c r="NET65" s="349"/>
      <c r="NEU65" s="349"/>
      <c r="NEV65" s="349"/>
      <c r="NEW65" s="349"/>
      <c r="NEX65" s="349"/>
      <c r="NEY65" s="349"/>
      <c r="NEZ65" s="349"/>
      <c r="NFA65" s="349"/>
      <c r="NFB65" s="349"/>
      <c r="NFC65" s="349"/>
      <c r="NFD65" s="349"/>
      <c r="NFE65" s="349"/>
      <c r="NFF65" s="349"/>
      <c r="NFG65" s="349"/>
      <c r="NFH65" s="349"/>
      <c r="NFI65" s="349"/>
      <c r="NFJ65" s="349"/>
      <c r="NFK65" s="349"/>
      <c r="NFL65" s="349"/>
      <c r="NFM65" s="349"/>
      <c r="NFN65" s="349"/>
      <c r="NFO65" s="349"/>
      <c r="NFP65" s="349"/>
      <c r="NFQ65" s="349"/>
      <c r="NFR65" s="349"/>
      <c r="NFS65" s="349"/>
      <c r="NFT65" s="349"/>
      <c r="NFU65" s="349"/>
      <c r="NFV65" s="349"/>
      <c r="NFW65" s="349"/>
      <c r="NFX65" s="349"/>
      <c r="NFY65" s="349"/>
      <c r="NFZ65" s="349"/>
      <c r="NGA65" s="349"/>
      <c r="NGB65" s="349"/>
      <c r="NGC65" s="349"/>
      <c r="NGD65" s="349"/>
      <c r="NGE65" s="349"/>
      <c r="NGF65" s="349"/>
      <c r="NGG65" s="349"/>
      <c r="NGH65" s="349"/>
      <c r="NGI65" s="349"/>
      <c r="NGJ65" s="349"/>
      <c r="NGK65" s="349"/>
      <c r="NGL65" s="349"/>
      <c r="NGM65" s="349"/>
      <c r="NGN65" s="349"/>
      <c r="NGO65" s="349"/>
      <c r="NGP65" s="349"/>
      <c r="NGQ65" s="349"/>
      <c r="NGR65" s="349"/>
      <c r="NGS65" s="349"/>
      <c r="NGT65" s="349"/>
      <c r="NGU65" s="349"/>
      <c r="NGV65" s="349"/>
      <c r="NGW65" s="349"/>
      <c r="NGX65" s="349"/>
      <c r="NGY65" s="349"/>
      <c r="NGZ65" s="349"/>
      <c r="NHA65" s="349"/>
      <c r="NHB65" s="349"/>
      <c r="NHC65" s="349"/>
      <c r="NHD65" s="349"/>
      <c r="NHE65" s="349"/>
      <c r="NHF65" s="349"/>
      <c r="NHG65" s="349"/>
      <c r="NHH65" s="349"/>
      <c r="NHI65" s="349"/>
      <c r="NHJ65" s="349"/>
      <c r="NHK65" s="349"/>
      <c r="NHL65" s="349"/>
      <c r="NHM65" s="349"/>
      <c r="NHN65" s="349"/>
      <c r="NHO65" s="349"/>
      <c r="NHP65" s="349"/>
      <c r="NHQ65" s="349"/>
      <c r="NHR65" s="349"/>
      <c r="NHS65" s="349"/>
      <c r="NHT65" s="349"/>
      <c r="NHU65" s="349"/>
      <c r="NHV65" s="349"/>
      <c r="NHW65" s="349"/>
      <c r="NHX65" s="349"/>
      <c r="NHY65" s="349"/>
      <c r="NHZ65" s="349"/>
      <c r="NIA65" s="349"/>
      <c r="NIB65" s="349"/>
      <c r="NIC65" s="349"/>
      <c r="NID65" s="349"/>
      <c r="NIE65" s="349"/>
      <c r="NIF65" s="349"/>
      <c r="NIG65" s="349"/>
      <c r="NIH65" s="349"/>
      <c r="NII65" s="349"/>
      <c r="NIJ65" s="349"/>
      <c r="NIK65" s="349"/>
      <c r="NIL65" s="349"/>
      <c r="NIM65" s="349"/>
      <c r="NIN65" s="349"/>
      <c r="NIO65" s="349"/>
      <c r="NIP65" s="349"/>
      <c r="NIQ65" s="349"/>
      <c r="NIR65" s="349"/>
      <c r="NIS65" s="349"/>
      <c r="NIT65" s="349"/>
      <c r="NIU65" s="349"/>
      <c r="NIV65" s="349"/>
      <c r="NIW65" s="349"/>
      <c r="NIX65" s="349"/>
      <c r="NIY65" s="349"/>
      <c r="NIZ65" s="349"/>
      <c r="NJA65" s="349"/>
      <c r="NJB65" s="349"/>
      <c r="NJC65" s="349"/>
      <c r="NJD65" s="349"/>
      <c r="NJE65" s="349"/>
      <c r="NJF65" s="349"/>
      <c r="NJG65" s="349"/>
      <c r="NJH65" s="349"/>
      <c r="NJI65" s="349"/>
      <c r="NJJ65" s="349"/>
      <c r="NJK65" s="349"/>
      <c r="NJL65" s="349"/>
      <c r="NJM65" s="349"/>
      <c r="NJN65" s="349"/>
      <c r="NJO65" s="349"/>
      <c r="NJP65" s="349"/>
      <c r="NJQ65" s="349"/>
      <c r="NJR65" s="349"/>
      <c r="NJS65" s="349"/>
      <c r="NJT65" s="349"/>
      <c r="NJU65" s="349"/>
      <c r="NJV65" s="349"/>
      <c r="NJW65" s="349"/>
      <c r="NJX65" s="349"/>
      <c r="NJY65" s="349"/>
      <c r="NJZ65" s="349"/>
      <c r="NKA65" s="349"/>
      <c r="NKB65" s="349"/>
      <c r="NKC65" s="349"/>
      <c r="NKD65" s="349"/>
      <c r="NKE65" s="349"/>
      <c r="NKF65" s="349"/>
      <c r="NKG65" s="349"/>
      <c r="NKH65" s="349"/>
      <c r="NKI65" s="349"/>
      <c r="NKJ65" s="349"/>
      <c r="NKK65" s="349"/>
      <c r="NKL65" s="349"/>
      <c r="NKM65" s="349"/>
      <c r="NKN65" s="349"/>
      <c r="NKO65" s="349"/>
      <c r="NKP65" s="349"/>
      <c r="NKQ65" s="349"/>
      <c r="NKR65" s="349"/>
      <c r="NKS65" s="349"/>
      <c r="NKT65" s="349"/>
      <c r="NKU65" s="349"/>
      <c r="NKV65" s="349"/>
      <c r="NKW65" s="349"/>
      <c r="NKX65" s="349"/>
      <c r="NKY65" s="349"/>
      <c r="NKZ65" s="349"/>
      <c r="NLA65" s="349"/>
      <c r="NLB65" s="349"/>
      <c r="NLC65" s="349"/>
      <c r="NLD65" s="349"/>
      <c r="NLE65" s="349"/>
      <c r="NLF65" s="349"/>
      <c r="NLG65" s="349"/>
      <c r="NLH65" s="349"/>
      <c r="NLI65" s="349"/>
      <c r="NLJ65" s="349"/>
      <c r="NLK65" s="349"/>
      <c r="NLL65" s="349"/>
      <c r="NLM65" s="349"/>
      <c r="NLN65" s="349"/>
      <c r="NLO65" s="349"/>
      <c r="NLP65" s="349"/>
      <c r="NLQ65" s="349"/>
      <c r="NLR65" s="349"/>
      <c r="NLS65" s="349"/>
      <c r="NLT65" s="349"/>
      <c r="NLU65" s="349"/>
      <c r="NLV65" s="349"/>
      <c r="NLW65" s="349"/>
      <c r="NLX65" s="349"/>
      <c r="NLY65" s="349"/>
      <c r="NLZ65" s="349"/>
      <c r="NMA65" s="349"/>
      <c r="NMB65" s="349"/>
      <c r="NMC65" s="349"/>
      <c r="NMD65" s="349"/>
      <c r="NME65" s="349"/>
      <c r="NMF65" s="349"/>
      <c r="NMG65" s="349"/>
      <c r="NMH65" s="349"/>
      <c r="NMI65" s="349"/>
      <c r="NMJ65" s="349"/>
      <c r="NMK65" s="349"/>
      <c r="NML65" s="349"/>
      <c r="NMM65" s="349"/>
      <c r="NMN65" s="349"/>
      <c r="NMO65" s="349"/>
      <c r="NMP65" s="349"/>
      <c r="NMQ65" s="349"/>
      <c r="NMR65" s="349"/>
      <c r="NMS65" s="349"/>
      <c r="NMT65" s="349"/>
      <c r="NMU65" s="349"/>
      <c r="NMV65" s="349"/>
      <c r="NMW65" s="349"/>
      <c r="NMX65" s="349"/>
      <c r="NMY65" s="349"/>
      <c r="NMZ65" s="349"/>
      <c r="NNA65" s="349"/>
      <c r="NNB65" s="349"/>
      <c r="NNC65" s="349"/>
      <c r="NND65" s="349"/>
      <c r="NNE65" s="349"/>
      <c r="NNF65" s="349"/>
      <c r="NNG65" s="349"/>
      <c r="NNH65" s="349"/>
      <c r="NNI65" s="349"/>
      <c r="NNJ65" s="349"/>
      <c r="NNK65" s="349"/>
      <c r="NNL65" s="349"/>
      <c r="NNM65" s="349"/>
      <c r="NNN65" s="349"/>
      <c r="NNO65" s="349"/>
      <c r="NNP65" s="349"/>
      <c r="NNQ65" s="349"/>
      <c r="NNR65" s="349"/>
      <c r="NNS65" s="349"/>
      <c r="NNT65" s="349"/>
      <c r="NNU65" s="349"/>
      <c r="NNV65" s="349"/>
      <c r="NNW65" s="349"/>
      <c r="NNX65" s="349"/>
      <c r="NNY65" s="349"/>
      <c r="NNZ65" s="349"/>
      <c r="NOA65" s="349"/>
      <c r="NOB65" s="349"/>
      <c r="NOC65" s="349"/>
      <c r="NOD65" s="349"/>
      <c r="NOE65" s="349"/>
      <c r="NOF65" s="349"/>
      <c r="NOG65" s="349"/>
      <c r="NOH65" s="349"/>
      <c r="NOI65" s="349"/>
      <c r="NOJ65" s="349"/>
      <c r="NOK65" s="349"/>
      <c r="NOL65" s="349"/>
      <c r="NOM65" s="349"/>
      <c r="NON65" s="349"/>
      <c r="NOO65" s="349"/>
      <c r="NOP65" s="349"/>
      <c r="NOQ65" s="349"/>
      <c r="NOR65" s="349"/>
      <c r="NOS65" s="349"/>
      <c r="NOT65" s="349"/>
      <c r="NOU65" s="349"/>
      <c r="NOV65" s="349"/>
      <c r="NOW65" s="349"/>
      <c r="NOX65" s="349"/>
      <c r="NOY65" s="349"/>
      <c r="NOZ65" s="349"/>
      <c r="NPA65" s="349"/>
      <c r="NPB65" s="349"/>
      <c r="NPC65" s="349"/>
      <c r="NPD65" s="349"/>
      <c r="NPE65" s="349"/>
      <c r="NPF65" s="349"/>
      <c r="NPG65" s="349"/>
      <c r="NPH65" s="349"/>
      <c r="NPI65" s="349"/>
      <c r="NPJ65" s="349"/>
      <c r="NPK65" s="349"/>
      <c r="NPL65" s="349"/>
      <c r="NPM65" s="349"/>
      <c r="NPN65" s="349"/>
      <c r="NPO65" s="349"/>
      <c r="NPP65" s="349"/>
      <c r="NPQ65" s="349"/>
      <c r="NPR65" s="349"/>
      <c r="NPS65" s="349"/>
      <c r="NPT65" s="349"/>
      <c r="NPU65" s="349"/>
      <c r="NPV65" s="349"/>
      <c r="NPW65" s="349"/>
      <c r="NPX65" s="349"/>
      <c r="NPY65" s="349"/>
      <c r="NPZ65" s="349"/>
      <c r="NQA65" s="349"/>
      <c r="NQB65" s="349"/>
      <c r="NQC65" s="349"/>
      <c r="NQD65" s="349"/>
      <c r="NQE65" s="349"/>
      <c r="NQF65" s="349"/>
      <c r="NQG65" s="349"/>
      <c r="NQH65" s="349"/>
      <c r="NQI65" s="349"/>
      <c r="NQJ65" s="349"/>
      <c r="NQK65" s="349"/>
      <c r="NQL65" s="349"/>
      <c r="NQM65" s="349"/>
      <c r="NQN65" s="349"/>
      <c r="NQO65" s="349"/>
      <c r="NQP65" s="349"/>
      <c r="NQQ65" s="349"/>
      <c r="NQR65" s="349"/>
      <c r="NQS65" s="349"/>
      <c r="NQT65" s="349"/>
      <c r="NQU65" s="349"/>
      <c r="NQV65" s="349"/>
      <c r="NQW65" s="349"/>
      <c r="NQX65" s="349"/>
      <c r="NQY65" s="349"/>
      <c r="NQZ65" s="349"/>
      <c r="NRA65" s="349"/>
      <c r="NRB65" s="349"/>
      <c r="NRC65" s="349"/>
      <c r="NRD65" s="349"/>
      <c r="NRE65" s="349"/>
      <c r="NRF65" s="349"/>
      <c r="NRG65" s="349"/>
      <c r="NRH65" s="349"/>
      <c r="NRI65" s="349"/>
      <c r="NRJ65" s="349"/>
      <c r="NRK65" s="349"/>
      <c r="NRL65" s="349"/>
      <c r="NRM65" s="349"/>
      <c r="NRN65" s="349"/>
      <c r="NRO65" s="349"/>
      <c r="NRP65" s="349"/>
      <c r="NRQ65" s="349"/>
      <c r="NRR65" s="349"/>
      <c r="NRS65" s="349"/>
      <c r="NRT65" s="349"/>
      <c r="NRU65" s="349"/>
      <c r="NRV65" s="349"/>
      <c r="NRW65" s="349"/>
      <c r="NRX65" s="349"/>
      <c r="NRY65" s="349"/>
      <c r="NRZ65" s="349"/>
      <c r="NSA65" s="349"/>
      <c r="NSB65" s="349"/>
      <c r="NSC65" s="349"/>
      <c r="NSD65" s="349"/>
      <c r="NSE65" s="349"/>
      <c r="NSF65" s="349"/>
      <c r="NSG65" s="349"/>
      <c r="NSH65" s="349"/>
      <c r="NSI65" s="349"/>
      <c r="NSJ65" s="349"/>
      <c r="NSK65" s="349"/>
      <c r="NSL65" s="349"/>
      <c r="NSM65" s="349"/>
      <c r="NSN65" s="349"/>
      <c r="NSO65" s="349"/>
      <c r="NSP65" s="349"/>
      <c r="NSQ65" s="349"/>
      <c r="NSR65" s="349"/>
      <c r="NSS65" s="349"/>
      <c r="NST65" s="349"/>
      <c r="NSU65" s="349"/>
      <c r="NSV65" s="349"/>
      <c r="NSW65" s="349"/>
      <c r="NSX65" s="349"/>
      <c r="NSY65" s="349"/>
      <c r="NSZ65" s="349"/>
      <c r="NTA65" s="349"/>
      <c r="NTB65" s="349"/>
      <c r="NTC65" s="349"/>
      <c r="NTD65" s="349"/>
      <c r="NTE65" s="349"/>
      <c r="NTF65" s="349"/>
      <c r="NTG65" s="349"/>
      <c r="NTH65" s="349"/>
      <c r="NTI65" s="349"/>
      <c r="NTJ65" s="349"/>
      <c r="NTK65" s="349"/>
      <c r="NTL65" s="349"/>
      <c r="NTM65" s="349"/>
      <c r="NTN65" s="349"/>
      <c r="NTO65" s="349"/>
      <c r="NTP65" s="349"/>
      <c r="NTQ65" s="349"/>
      <c r="NTR65" s="349"/>
      <c r="NTS65" s="349"/>
      <c r="NTT65" s="349"/>
      <c r="NTU65" s="349"/>
      <c r="NTV65" s="349"/>
      <c r="NTW65" s="349"/>
      <c r="NTX65" s="349"/>
      <c r="NTY65" s="349"/>
      <c r="NTZ65" s="349"/>
      <c r="NUA65" s="349"/>
      <c r="NUB65" s="349"/>
      <c r="NUC65" s="349"/>
      <c r="NUD65" s="349"/>
      <c r="NUE65" s="349"/>
      <c r="NUF65" s="349"/>
      <c r="NUG65" s="349"/>
      <c r="NUH65" s="349"/>
      <c r="NUI65" s="349"/>
      <c r="NUJ65" s="349"/>
      <c r="NUK65" s="349"/>
      <c r="NUL65" s="349"/>
      <c r="NUM65" s="349"/>
      <c r="NUN65" s="349"/>
      <c r="NUO65" s="349"/>
      <c r="NUP65" s="349"/>
      <c r="NUQ65" s="349"/>
      <c r="NUR65" s="349"/>
      <c r="NUS65" s="349"/>
      <c r="NUT65" s="349"/>
      <c r="NUU65" s="349"/>
      <c r="NUV65" s="349"/>
      <c r="NUW65" s="349"/>
      <c r="NUX65" s="349"/>
      <c r="NUY65" s="349"/>
      <c r="NUZ65" s="349"/>
      <c r="NVA65" s="349"/>
      <c r="NVB65" s="349"/>
      <c r="NVC65" s="349"/>
      <c r="NVD65" s="349"/>
      <c r="NVE65" s="349"/>
      <c r="NVF65" s="349"/>
      <c r="NVG65" s="349"/>
      <c r="NVH65" s="349"/>
      <c r="NVI65" s="349"/>
      <c r="NVJ65" s="349"/>
      <c r="NVK65" s="349"/>
      <c r="NVL65" s="349"/>
      <c r="NVM65" s="349"/>
      <c r="NVN65" s="349"/>
      <c r="NVO65" s="349"/>
      <c r="NVP65" s="349"/>
      <c r="NVQ65" s="349"/>
      <c r="NVR65" s="349"/>
      <c r="NVS65" s="349"/>
      <c r="NVT65" s="349"/>
      <c r="NVU65" s="349"/>
      <c r="NVV65" s="349"/>
      <c r="NVW65" s="349"/>
      <c r="NVX65" s="349"/>
      <c r="NVY65" s="349"/>
      <c r="NVZ65" s="349"/>
      <c r="NWA65" s="349"/>
      <c r="NWB65" s="349"/>
      <c r="NWC65" s="349"/>
      <c r="NWD65" s="349"/>
      <c r="NWE65" s="349"/>
      <c r="NWF65" s="349"/>
      <c r="NWG65" s="349"/>
      <c r="NWH65" s="349"/>
      <c r="NWI65" s="349"/>
      <c r="NWJ65" s="349"/>
      <c r="NWK65" s="349"/>
      <c r="NWL65" s="349"/>
      <c r="NWM65" s="349"/>
      <c r="NWN65" s="349"/>
      <c r="NWO65" s="349"/>
      <c r="NWP65" s="349"/>
      <c r="NWQ65" s="349"/>
      <c r="NWR65" s="349"/>
      <c r="NWS65" s="349"/>
      <c r="NWT65" s="349"/>
      <c r="NWU65" s="349"/>
      <c r="NWV65" s="349"/>
      <c r="NWW65" s="349"/>
      <c r="NWX65" s="349"/>
      <c r="NWY65" s="349"/>
      <c r="NWZ65" s="349"/>
      <c r="NXA65" s="349"/>
      <c r="NXB65" s="349"/>
      <c r="NXC65" s="349"/>
      <c r="NXD65" s="349"/>
      <c r="NXE65" s="349"/>
      <c r="NXF65" s="349"/>
      <c r="NXG65" s="349"/>
      <c r="NXH65" s="349"/>
      <c r="NXI65" s="349"/>
      <c r="NXJ65" s="349"/>
      <c r="NXK65" s="349"/>
      <c r="NXL65" s="349"/>
      <c r="NXM65" s="349"/>
      <c r="NXN65" s="349"/>
      <c r="NXO65" s="349"/>
      <c r="NXP65" s="349"/>
      <c r="NXQ65" s="349"/>
      <c r="NXR65" s="349"/>
      <c r="NXS65" s="349"/>
      <c r="NXT65" s="349"/>
      <c r="NXU65" s="349"/>
      <c r="NXV65" s="349"/>
      <c r="NXW65" s="349"/>
      <c r="NXX65" s="349"/>
      <c r="NXY65" s="349"/>
      <c r="NXZ65" s="349"/>
      <c r="NYA65" s="349"/>
      <c r="NYB65" s="349"/>
      <c r="NYC65" s="349"/>
      <c r="NYD65" s="349"/>
      <c r="NYE65" s="349"/>
      <c r="NYF65" s="349"/>
      <c r="NYG65" s="349"/>
      <c r="NYH65" s="349"/>
      <c r="NYI65" s="349"/>
      <c r="NYJ65" s="349"/>
      <c r="NYK65" s="349"/>
      <c r="NYL65" s="349"/>
      <c r="NYM65" s="349"/>
      <c r="NYN65" s="349"/>
      <c r="NYO65" s="349"/>
      <c r="NYP65" s="349"/>
      <c r="NYQ65" s="349"/>
      <c r="NYR65" s="349"/>
      <c r="NYS65" s="349"/>
      <c r="NYT65" s="349"/>
      <c r="NYU65" s="349"/>
      <c r="NYV65" s="349"/>
      <c r="NYW65" s="349"/>
      <c r="NYX65" s="349"/>
      <c r="NYY65" s="349"/>
      <c r="NYZ65" s="349"/>
      <c r="NZA65" s="349"/>
      <c r="NZB65" s="349"/>
      <c r="NZC65" s="349"/>
      <c r="NZD65" s="349"/>
      <c r="NZE65" s="349"/>
      <c r="NZF65" s="349"/>
      <c r="NZG65" s="349"/>
      <c r="NZH65" s="349"/>
      <c r="NZI65" s="349"/>
      <c r="NZJ65" s="349"/>
      <c r="NZK65" s="349"/>
      <c r="NZL65" s="349"/>
      <c r="NZM65" s="349"/>
      <c r="NZN65" s="349"/>
      <c r="NZO65" s="349"/>
      <c r="NZP65" s="349"/>
      <c r="NZQ65" s="349"/>
      <c r="NZR65" s="349"/>
      <c r="NZS65" s="349"/>
      <c r="NZT65" s="349"/>
      <c r="NZU65" s="349"/>
      <c r="NZV65" s="349"/>
      <c r="NZW65" s="349"/>
      <c r="NZX65" s="349"/>
      <c r="NZY65" s="349"/>
      <c r="NZZ65" s="349"/>
      <c r="OAA65" s="349"/>
      <c r="OAB65" s="349"/>
      <c r="OAC65" s="349"/>
      <c r="OAD65" s="349"/>
      <c r="OAE65" s="349"/>
      <c r="OAF65" s="349"/>
      <c r="OAG65" s="349"/>
      <c r="OAH65" s="349"/>
      <c r="OAI65" s="349"/>
      <c r="OAJ65" s="349"/>
      <c r="OAK65" s="349"/>
      <c r="OAL65" s="349"/>
      <c r="OAM65" s="349"/>
      <c r="OAN65" s="349"/>
      <c r="OAO65" s="349"/>
      <c r="OAP65" s="349"/>
      <c r="OAQ65" s="349"/>
      <c r="OAR65" s="349"/>
      <c r="OAS65" s="349"/>
      <c r="OAT65" s="349"/>
      <c r="OAU65" s="349"/>
      <c r="OAV65" s="349"/>
      <c r="OAW65" s="349"/>
      <c r="OAX65" s="349"/>
      <c r="OAY65" s="349"/>
      <c r="OAZ65" s="349"/>
      <c r="OBA65" s="349"/>
      <c r="OBB65" s="349"/>
      <c r="OBC65" s="349"/>
      <c r="OBD65" s="349"/>
      <c r="OBE65" s="349"/>
      <c r="OBF65" s="349"/>
      <c r="OBG65" s="349"/>
      <c r="OBH65" s="349"/>
      <c r="OBI65" s="349"/>
      <c r="OBJ65" s="349"/>
      <c r="OBK65" s="349"/>
      <c r="OBL65" s="349"/>
      <c r="OBM65" s="349"/>
      <c r="OBN65" s="349"/>
      <c r="OBO65" s="349"/>
      <c r="OBP65" s="349"/>
      <c r="OBQ65" s="349"/>
      <c r="OBR65" s="349"/>
      <c r="OBS65" s="349"/>
      <c r="OBT65" s="349"/>
      <c r="OBU65" s="349"/>
      <c r="OBV65" s="349"/>
      <c r="OBW65" s="349"/>
      <c r="OBX65" s="349"/>
      <c r="OBY65" s="349"/>
      <c r="OBZ65" s="349"/>
      <c r="OCA65" s="349"/>
      <c r="OCB65" s="349"/>
      <c r="OCC65" s="349"/>
      <c r="OCD65" s="349"/>
      <c r="OCE65" s="349"/>
      <c r="OCF65" s="349"/>
      <c r="OCG65" s="349"/>
      <c r="OCH65" s="349"/>
      <c r="OCI65" s="349"/>
      <c r="OCJ65" s="349"/>
      <c r="OCK65" s="349"/>
      <c r="OCL65" s="349"/>
      <c r="OCM65" s="349"/>
      <c r="OCN65" s="349"/>
      <c r="OCO65" s="349"/>
      <c r="OCP65" s="349"/>
      <c r="OCQ65" s="349"/>
      <c r="OCR65" s="349"/>
      <c r="OCS65" s="349"/>
      <c r="OCT65" s="349"/>
      <c r="OCU65" s="349"/>
      <c r="OCV65" s="349"/>
      <c r="OCW65" s="349"/>
      <c r="OCX65" s="349"/>
      <c r="OCY65" s="349"/>
      <c r="OCZ65" s="349"/>
      <c r="ODA65" s="349"/>
      <c r="ODB65" s="349"/>
      <c r="ODC65" s="349"/>
      <c r="ODD65" s="349"/>
      <c r="ODE65" s="349"/>
      <c r="ODF65" s="349"/>
      <c r="ODG65" s="349"/>
      <c r="ODH65" s="349"/>
      <c r="ODI65" s="349"/>
      <c r="ODJ65" s="349"/>
      <c r="ODK65" s="349"/>
      <c r="ODL65" s="349"/>
      <c r="ODM65" s="349"/>
      <c r="ODN65" s="349"/>
      <c r="ODO65" s="349"/>
      <c r="ODP65" s="349"/>
      <c r="ODQ65" s="349"/>
      <c r="ODR65" s="349"/>
      <c r="ODS65" s="349"/>
      <c r="ODT65" s="349"/>
      <c r="ODU65" s="349"/>
      <c r="ODV65" s="349"/>
      <c r="ODW65" s="349"/>
      <c r="ODX65" s="349"/>
      <c r="ODY65" s="349"/>
      <c r="ODZ65" s="349"/>
      <c r="OEA65" s="349"/>
      <c r="OEB65" s="349"/>
      <c r="OEC65" s="349"/>
      <c r="OED65" s="349"/>
      <c r="OEE65" s="349"/>
      <c r="OEF65" s="349"/>
      <c r="OEG65" s="349"/>
      <c r="OEH65" s="349"/>
      <c r="OEI65" s="349"/>
      <c r="OEJ65" s="349"/>
      <c r="OEK65" s="349"/>
      <c r="OEL65" s="349"/>
      <c r="OEM65" s="349"/>
      <c r="OEN65" s="349"/>
      <c r="OEO65" s="349"/>
      <c r="OEP65" s="349"/>
      <c r="OEQ65" s="349"/>
      <c r="OER65" s="349"/>
      <c r="OES65" s="349"/>
      <c r="OET65" s="349"/>
      <c r="OEU65" s="349"/>
      <c r="OEV65" s="349"/>
      <c r="OEW65" s="349"/>
      <c r="OEX65" s="349"/>
      <c r="OEY65" s="349"/>
      <c r="OEZ65" s="349"/>
      <c r="OFA65" s="349"/>
      <c r="OFB65" s="349"/>
      <c r="OFC65" s="349"/>
      <c r="OFD65" s="349"/>
      <c r="OFE65" s="349"/>
      <c r="OFF65" s="349"/>
      <c r="OFG65" s="349"/>
      <c r="OFH65" s="349"/>
      <c r="OFI65" s="349"/>
      <c r="OFJ65" s="349"/>
      <c r="OFK65" s="349"/>
      <c r="OFL65" s="349"/>
      <c r="OFM65" s="349"/>
      <c r="OFN65" s="349"/>
      <c r="OFO65" s="349"/>
      <c r="OFP65" s="349"/>
      <c r="OFQ65" s="349"/>
      <c r="OFR65" s="349"/>
      <c r="OFS65" s="349"/>
      <c r="OFT65" s="349"/>
      <c r="OFU65" s="349"/>
      <c r="OFV65" s="349"/>
      <c r="OFW65" s="349"/>
      <c r="OFX65" s="349"/>
      <c r="OFY65" s="349"/>
      <c r="OFZ65" s="349"/>
      <c r="OGA65" s="349"/>
      <c r="OGB65" s="349"/>
      <c r="OGC65" s="349"/>
      <c r="OGD65" s="349"/>
      <c r="OGE65" s="349"/>
      <c r="OGF65" s="349"/>
      <c r="OGG65" s="349"/>
      <c r="OGH65" s="349"/>
      <c r="OGI65" s="349"/>
      <c r="OGJ65" s="349"/>
      <c r="OGK65" s="349"/>
      <c r="OGL65" s="349"/>
      <c r="OGM65" s="349"/>
      <c r="OGN65" s="349"/>
      <c r="OGO65" s="349"/>
      <c r="OGP65" s="349"/>
      <c r="OGQ65" s="349"/>
      <c r="OGR65" s="349"/>
      <c r="OGS65" s="349"/>
      <c r="OGT65" s="349"/>
      <c r="OGU65" s="349"/>
      <c r="OGV65" s="349"/>
      <c r="OGW65" s="349"/>
      <c r="OGX65" s="349"/>
      <c r="OGY65" s="349"/>
      <c r="OGZ65" s="349"/>
      <c r="OHA65" s="349"/>
      <c r="OHB65" s="349"/>
      <c r="OHC65" s="349"/>
      <c r="OHD65" s="349"/>
      <c r="OHE65" s="349"/>
      <c r="OHF65" s="349"/>
      <c r="OHG65" s="349"/>
      <c r="OHH65" s="349"/>
      <c r="OHI65" s="349"/>
      <c r="OHJ65" s="349"/>
      <c r="OHK65" s="349"/>
      <c r="OHL65" s="349"/>
      <c r="OHM65" s="349"/>
      <c r="OHN65" s="349"/>
      <c r="OHO65" s="349"/>
      <c r="OHP65" s="349"/>
      <c r="OHQ65" s="349"/>
      <c r="OHR65" s="349"/>
      <c r="OHS65" s="349"/>
      <c r="OHT65" s="349"/>
      <c r="OHU65" s="349"/>
      <c r="OHV65" s="349"/>
      <c r="OHW65" s="349"/>
      <c r="OHX65" s="349"/>
      <c r="OHY65" s="349"/>
      <c r="OHZ65" s="349"/>
      <c r="OIA65" s="349"/>
      <c r="OIB65" s="349"/>
      <c r="OIC65" s="349"/>
      <c r="OID65" s="349"/>
      <c r="OIE65" s="349"/>
      <c r="OIF65" s="349"/>
      <c r="OIG65" s="349"/>
      <c r="OIH65" s="349"/>
      <c r="OII65" s="349"/>
      <c r="OIJ65" s="349"/>
      <c r="OIK65" s="349"/>
      <c r="OIL65" s="349"/>
      <c r="OIM65" s="349"/>
      <c r="OIN65" s="349"/>
      <c r="OIO65" s="349"/>
      <c r="OIP65" s="349"/>
      <c r="OIQ65" s="349"/>
      <c r="OIR65" s="349"/>
      <c r="OIS65" s="349"/>
      <c r="OIT65" s="349"/>
      <c r="OIU65" s="349"/>
      <c r="OIV65" s="349"/>
      <c r="OIW65" s="349"/>
      <c r="OIX65" s="349"/>
      <c r="OIY65" s="349"/>
      <c r="OIZ65" s="349"/>
      <c r="OJA65" s="349"/>
      <c r="OJB65" s="349"/>
      <c r="OJC65" s="349"/>
      <c r="OJD65" s="349"/>
      <c r="OJE65" s="349"/>
      <c r="OJF65" s="349"/>
      <c r="OJG65" s="349"/>
      <c r="OJH65" s="349"/>
      <c r="OJI65" s="349"/>
      <c r="OJJ65" s="349"/>
      <c r="OJK65" s="349"/>
      <c r="OJL65" s="349"/>
      <c r="OJM65" s="349"/>
      <c r="OJN65" s="349"/>
      <c r="OJO65" s="349"/>
      <c r="OJP65" s="349"/>
      <c r="OJQ65" s="349"/>
      <c r="OJR65" s="349"/>
      <c r="OJS65" s="349"/>
      <c r="OJT65" s="349"/>
      <c r="OJU65" s="349"/>
      <c r="OJV65" s="349"/>
      <c r="OJW65" s="349"/>
      <c r="OJX65" s="349"/>
      <c r="OJY65" s="349"/>
      <c r="OJZ65" s="349"/>
      <c r="OKA65" s="349"/>
      <c r="OKB65" s="349"/>
      <c r="OKC65" s="349"/>
      <c r="OKD65" s="349"/>
      <c r="OKE65" s="349"/>
      <c r="OKF65" s="349"/>
      <c r="OKG65" s="349"/>
      <c r="OKH65" s="349"/>
      <c r="OKI65" s="349"/>
      <c r="OKJ65" s="349"/>
      <c r="OKK65" s="349"/>
      <c r="OKL65" s="349"/>
      <c r="OKM65" s="349"/>
      <c r="OKN65" s="349"/>
      <c r="OKO65" s="349"/>
      <c r="OKP65" s="349"/>
      <c r="OKQ65" s="349"/>
      <c r="OKR65" s="349"/>
      <c r="OKS65" s="349"/>
      <c r="OKT65" s="349"/>
      <c r="OKU65" s="349"/>
      <c r="OKV65" s="349"/>
      <c r="OKW65" s="349"/>
      <c r="OKX65" s="349"/>
      <c r="OKY65" s="349"/>
      <c r="OKZ65" s="349"/>
      <c r="OLA65" s="349"/>
      <c r="OLB65" s="349"/>
      <c r="OLC65" s="349"/>
      <c r="OLD65" s="349"/>
      <c r="OLE65" s="349"/>
      <c r="OLF65" s="349"/>
      <c r="OLG65" s="349"/>
      <c r="OLH65" s="349"/>
      <c r="OLI65" s="349"/>
      <c r="OLJ65" s="349"/>
      <c r="OLK65" s="349"/>
      <c r="OLL65" s="349"/>
      <c r="OLM65" s="349"/>
      <c r="OLN65" s="349"/>
      <c r="OLO65" s="349"/>
      <c r="OLP65" s="349"/>
      <c r="OLQ65" s="349"/>
      <c r="OLR65" s="349"/>
      <c r="OLS65" s="349"/>
      <c r="OLT65" s="349"/>
      <c r="OLU65" s="349"/>
      <c r="OLV65" s="349"/>
      <c r="OLW65" s="349"/>
      <c r="OLX65" s="349"/>
      <c r="OLY65" s="349"/>
      <c r="OLZ65" s="349"/>
      <c r="OMA65" s="349"/>
      <c r="OMB65" s="349"/>
      <c r="OMC65" s="349"/>
      <c r="OMD65" s="349"/>
      <c r="OME65" s="349"/>
      <c r="OMF65" s="349"/>
      <c r="OMG65" s="349"/>
      <c r="OMH65" s="349"/>
      <c r="OMI65" s="349"/>
      <c r="OMJ65" s="349"/>
      <c r="OMK65" s="349"/>
      <c r="OML65" s="349"/>
      <c r="OMM65" s="349"/>
      <c r="OMN65" s="349"/>
      <c r="OMO65" s="349"/>
      <c r="OMP65" s="349"/>
      <c r="OMQ65" s="349"/>
      <c r="OMR65" s="349"/>
      <c r="OMS65" s="349"/>
      <c r="OMT65" s="349"/>
      <c r="OMU65" s="349"/>
      <c r="OMV65" s="349"/>
      <c r="OMW65" s="349"/>
      <c r="OMX65" s="349"/>
      <c r="OMY65" s="349"/>
      <c r="OMZ65" s="349"/>
      <c r="ONA65" s="349"/>
      <c r="ONB65" s="349"/>
      <c r="ONC65" s="349"/>
      <c r="OND65" s="349"/>
      <c r="ONE65" s="349"/>
      <c r="ONF65" s="349"/>
      <c r="ONG65" s="349"/>
      <c r="ONH65" s="349"/>
      <c r="ONI65" s="349"/>
      <c r="ONJ65" s="349"/>
      <c r="ONK65" s="349"/>
      <c r="ONL65" s="349"/>
      <c r="ONM65" s="349"/>
      <c r="ONN65" s="349"/>
      <c r="ONO65" s="349"/>
      <c r="ONP65" s="349"/>
      <c r="ONQ65" s="349"/>
      <c r="ONR65" s="349"/>
      <c r="ONS65" s="349"/>
      <c r="ONT65" s="349"/>
      <c r="ONU65" s="349"/>
      <c r="ONV65" s="349"/>
      <c r="ONW65" s="349"/>
      <c r="ONX65" s="349"/>
      <c r="ONY65" s="349"/>
      <c r="ONZ65" s="349"/>
      <c r="OOA65" s="349"/>
      <c r="OOB65" s="349"/>
      <c r="OOC65" s="349"/>
      <c r="OOD65" s="349"/>
      <c r="OOE65" s="349"/>
      <c r="OOF65" s="349"/>
      <c r="OOG65" s="349"/>
      <c r="OOH65" s="349"/>
      <c r="OOI65" s="349"/>
      <c r="OOJ65" s="349"/>
      <c r="OOK65" s="349"/>
      <c r="OOL65" s="349"/>
      <c r="OOM65" s="349"/>
      <c r="OON65" s="349"/>
      <c r="OOO65" s="349"/>
      <c r="OOP65" s="349"/>
      <c r="OOQ65" s="349"/>
      <c r="OOR65" s="349"/>
      <c r="OOS65" s="349"/>
      <c r="OOT65" s="349"/>
      <c r="OOU65" s="349"/>
      <c r="OOV65" s="349"/>
      <c r="OOW65" s="349"/>
      <c r="OOX65" s="349"/>
      <c r="OOY65" s="349"/>
      <c r="OOZ65" s="349"/>
      <c r="OPA65" s="349"/>
      <c r="OPB65" s="349"/>
      <c r="OPC65" s="349"/>
      <c r="OPD65" s="349"/>
      <c r="OPE65" s="349"/>
      <c r="OPF65" s="349"/>
      <c r="OPG65" s="349"/>
      <c r="OPH65" s="349"/>
      <c r="OPI65" s="349"/>
      <c r="OPJ65" s="349"/>
      <c r="OPK65" s="349"/>
      <c r="OPL65" s="349"/>
      <c r="OPM65" s="349"/>
      <c r="OPN65" s="349"/>
      <c r="OPO65" s="349"/>
      <c r="OPP65" s="349"/>
      <c r="OPQ65" s="349"/>
      <c r="OPR65" s="349"/>
      <c r="OPS65" s="349"/>
      <c r="OPT65" s="349"/>
      <c r="OPU65" s="349"/>
      <c r="OPV65" s="349"/>
      <c r="OPW65" s="349"/>
      <c r="OPX65" s="349"/>
      <c r="OPY65" s="349"/>
      <c r="OPZ65" s="349"/>
      <c r="OQA65" s="349"/>
      <c r="OQB65" s="349"/>
      <c r="OQC65" s="349"/>
      <c r="OQD65" s="349"/>
      <c r="OQE65" s="349"/>
      <c r="OQF65" s="349"/>
      <c r="OQG65" s="349"/>
      <c r="OQH65" s="349"/>
      <c r="OQI65" s="349"/>
      <c r="OQJ65" s="349"/>
      <c r="OQK65" s="349"/>
      <c r="OQL65" s="349"/>
      <c r="OQM65" s="349"/>
      <c r="OQN65" s="349"/>
      <c r="OQO65" s="349"/>
      <c r="OQP65" s="349"/>
      <c r="OQQ65" s="349"/>
      <c r="OQR65" s="349"/>
      <c r="OQS65" s="349"/>
      <c r="OQT65" s="349"/>
      <c r="OQU65" s="349"/>
      <c r="OQV65" s="349"/>
      <c r="OQW65" s="349"/>
      <c r="OQX65" s="349"/>
      <c r="OQY65" s="349"/>
      <c r="OQZ65" s="349"/>
      <c r="ORA65" s="349"/>
      <c r="ORB65" s="349"/>
      <c r="ORC65" s="349"/>
      <c r="ORD65" s="349"/>
      <c r="ORE65" s="349"/>
      <c r="ORF65" s="349"/>
      <c r="ORG65" s="349"/>
      <c r="ORH65" s="349"/>
      <c r="ORI65" s="349"/>
      <c r="ORJ65" s="349"/>
      <c r="ORK65" s="349"/>
      <c r="ORL65" s="349"/>
      <c r="ORM65" s="349"/>
      <c r="ORN65" s="349"/>
      <c r="ORO65" s="349"/>
      <c r="ORP65" s="349"/>
      <c r="ORQ65" s="349"/>
      <c r="ORR65" s="349"/>
      <c r="ORS65" s="349"/>
      <c r="ORT65" s="349"/>
      <c r="ORU65" s="349"/>
      <c r="ORV65" s="349"/>
      <c r="ORW65" s="349"/>
      <c r="ORX65" s="349"/>
      <c r="ORY65" s="349"/>
      <c r="ORZ65" s="349"/>
      <c r="OSA65" s="349"/>
      <c r="OSB65" s="349"/>
      <c r="OSC65" s="349"/>
      <c r="OSD65" s="349"/>
      <c r="OSE65" s="349"/>
      <c r="OSF65" s="349"/>
      <c r="OSG65" s="349"/>
      <c r="OSH65" s="349"/>
      <c r="OSI65" s="349"/>
      <c r="OSJ65" s="349"/>
      <c r="OSK65" s="349"/>
      <c r="OSL65" s="349"/>
      <c r="OSM65" s="349"/>
      <c r="OSN65" s="349"/>
      <c r="OSO65" s="349"/>
      <c r="OSP65" s="349"/>
      <c r="OSQ65" s="349"/>
      <c r="OSR65" s="349"/>
      <c r="OSS65" s="349"/>
      <c r="OST65" s="349"/>
      <c r="OSU65" s="349"/>
      <c r="OSV65" s="349"/>
      <c r="OSW65" s="349"/>
      <c r="OSX65" s="349"/>
      <c r="OSY65" s="349"/>
      <c r="OSZ65" s="349"/>
      <c r="OTA65" s="349"/>
      <c r="OTB65" s="349"/>
      <c r="OTC65" s="349"/>
      <c r="OTD65" s="349"/>
      <c r="OTE65" s="349"/>
      <c r="OTF65" s="349"/>
      <c r="OTG65" s="349"/>
      <c r="OTH65" s="349"/>
      <c r="OTI65" s="349"/>
      <c r="OTJ65" s="349"/>
      <c r="OTK65" s="349"/>
      <c r="OTL65" s="349"/>
      <c r="OTM65" s="349"/>
      <c r="OTN65" s="349"/>
      <c r="OTO65" s="349"/>
      <c r="OTP65" s="349"/>
      <c r="OTQ65" s="349"/>
      <c r="OTR65" s="349"/>
      <c r="OTS65" s="349"/>
      <c r="OTT65" s="349"/>
      <c r="OTU65" s="349"/>
      <c r="OTV65" s="349"/>
      <c r="OTW65" s="349"/>
      <c r="OTX65" s="349"/>
      <c r="OTY65" s="349"/>
      <c r="OTZ65" s="349"/>
      <c r="OUA65" s="349"/>
      <c r="OUB65" s="349"/>
      <c r="OUC65" s="349"/>
      <c r="OUD65" s="349"/>
      <c r="OUE65" s="349"/>
      <c r="OUF65" s="349"/>
      <c r="OUG65" s="349"/>
      <c r="OUH65" s="349"/>
      <c r="OUI65" s="349"/>
      <c r="OUJ65" s="349"/>
      <c r="OUK65" s="349"/>
      <c r="OUL65" s="349"/>
      <c r="OUM65" s="349"/>
      <c r="OUN65" s="349"/>
      <c r="OUO65" s="349"/>
      <c r="OUP65" s="349"/>
      <c r="OUQ65" s="349"/>
      <c r="OUR65" s="349"/>
      <c r="OUS65" s="349"/>
      <c r="OUT65" s="349"/>
      <c r="OUU65" s="349"/>
      <c r="OUV65" s="349"/>
      <c r="OUW65" s="349"/>
      <c r="OUX65" s="349"/>
      <c r="OUY65" s="349"/>
      <c r="OUZ65" s="349"/>
      <c r="OVA65" s="349"/>
      <c r="OVB65" s="349"/>
      <c r="OVC65" s="349"/>
      <c r="OVD65" s="349"/>
      <c r="OVE65" s="349"/>
      <c r="OVF65" s="349"/>
      <c r="OVG65" s="349"/>
      <c r="OVH65" s="349"/>
      <c r="OVI65" s="349"/>
      <c r="OVJ65" s="349"/>
      <c r="OVK65" s="349"/>
      <c r="OVL65" s="349"/>
      <c r="OVM65" s="349"/>
      <c r="OVN65" s="349"/>
      <c r="OVO65" s="349"/>
      <c r="OVP65" s="349"/>
      <c r="OVQ65" s="349"/>
      <c r="OVR65" s="349"/>
      <c r="OVS65" s="349"/>
      <c r="OVT65" s="349"/>
      <c r="OVU65" s="349"/>
      <c r="OVV65" s="349"/>
      <c r="OVW65" s="349"/>
      <c r="OVX65" s="349"/>
      <c r="OVY65" s="349"/>
      <c r="OVZ65" s="349"/>
      <c r="OWA65" s="349"/>
      <c r="OWB65" s="349"/>
      <c r="OWC65" s="349"/>
      <c r="OWD65" s="349"/>
      <c r="OWE65" s="349"/>
      <c r="OWF65" s="349"/>
      <c r="OWG65" s="349"/>
      <c r="OWH65" s="349"/>
      <c r="OWI65" s="349"/>
      <c r="OWJ65" s="349"/>
      <c r="OWK65" s="349"/>
      <c r="OWL65" s="349"/>
      <c r="OWM65" s="349"/>
      <c r="OWN65" s="349"/>
      <c r="OWO65" s="349"/>
      <c r="OWP65" s="349"/>
      <c r="OWQ65" s="349"/>
      <c r="OWR65" s="349"/>
      <c r="OWS65" s="349"/>
      <c r="OWT65" s="349"/>
      <c r="OWU65" s="349"/>
      <c r="OWV65" s="349"/>
      <c r="OWW65" s="349"/>
      <c r="OWX65" s="349"/>
      <c r="OWY65" s="349"/>
      <c r="OWZ65" s="349"/>
      <c r="OXA65" s="349"/>
      <c r="OXB65" s="349"/>
      <c r="OXC65" s="349"/>
      <c r="OXD65" s="349"/>
      <c r="OXE65" s="349"/>
      <c r="OXF65" s="349"/>
      <c r="OXG65" s="349"/>
      <c r="OXH65" s="349"/>
      <c r="OXI65" s="349"/>
      <c r="OXJ65" s="349"/>
      <c r="OXK65" s="349"/>
      <c r="OXL65" s="349"/>
      <c r="OXM65" s="349"/>
      <c r="OXN65" s="349"/>
      <c r="OXO65" s="349"/>
      <c r="OXP65" s="349"/>
      <c r="OXQ65" s="349"/>
      <c r="OXR65" s="349"/>
      <c r="OXS65" s="349"/>
      <c r="OXT65" s="349"/>
      <c r="OXU65" s="349"/>
      <c r="OXV65" s="349"/>
      <c r="OXW65" s="349"/>
      <c r="OXX65" s="349"/>
      <c r="OXY65" s="349"/>
      <c r="OXZ65" s="349"/>
      <c r="OYA65" s="349"/>
      <c r="OYB65" s="349"/>
      <c r="OYC65" s="349"/>
      <c r="OYD65" s="349"/>
      <c r="OYE65" s="349"/>
      <c r="OYF65" s="349"/>
      <c r="OYG65" s="349"/>
      <c r="OYH65" s="349"/>
      <c r="OYI65" s="349"/>
      <c r="OYJ65" s="349"/>
      <c r="OYK65" s="349"/>
      <c r="OYL65" s="349"/>
      <c r="OYM65" s="349"/>
      <c r="OYN65" s="349"/>
      <c r="OYO65" s="349"/>
      <c r="OYP65" s="349"/>
      <c r="OYQ65" s="349"/>
      <c r="OYR65" s="349"/>
      <c r="OYS65" s="349"/>
      <c r="OYT65" s="349"/>
      <c r="OYU65" s="349"/>
      <c r="OYV65" s="349"/>
      <c r="OYW65" s="349"/>
      <c r="OYX65" s="349"/>
      <c r="OYY65" s="349"/>
      <c r="OYZ65" s="349"/>
      <c r="OZA65" s="349"/>
      <c r="OZB65" s="349"/>
      <c r="OZC65" s="349"/>
      <c r="OZD65" s="349"/>
      <c r="OZE65" s="349"/>
      <c r="OZF65" s="349"/>
      <c r="OZG65" s="349"/>
      <c r="OZH65" s="349"/>
      <c r="OZI65" s="349"/>
      <c r="OZJ65" s="349"/>
      <c r="OZK65" s="349"/>
      <c r="OZL65" s="349"/>
      <c r="OZM65" s="349"/>
      <c r="OZN65" s="349"/>
      <c r="OZO65" s="349"/>
      <c r="OZP65" s="349"/>
      <c r="OZQ65" s="349"/>
      <c r="OZR65" s="349"/>
      <c r="OZS65" s="349"/>
      <c r="OZT65" s="349"/>
      <c r="OZU65" s="349"/>
      <c r="OZV65" s="349"/>
      <c r="OZW65" s="349"/>
      <c r="OZX65" s="349"/>
      <c r="OZY65" s="349"/>
      <c r="OZZ65" s="349"/>
      <c r="PAA65" s="349"/>
      <c r="PAB65" s="349"/>
      <c r="PAC65" s="349"/>
      <c r="PAD65" s="349"/>
      <c r="PAE65" s="349"/>
      <c r="PAF65" s="349"/>
      <c r="PAG65" s="349"/>
      <c r="PAH65" s="349"/>
      <c r="PAI65" s="349"/>
      <c r="PAJ65" s="349"/>
      <c r="PAK65" s="349"/>
      <c r="PAL65" s="349"/>
      <c r="PAM65" s="349"/>
      <c r="PAN65" s="349"/>
      <c r="PAO65" s="349"/>
      <c r="PAP65" s="349"/>
      <c r="PAQ65" s="349"/>
      <c r="PAR65" s="349"/>
      <c r="PAS65" s="349"/>
      <c r="PAT65" s="349"/>
      <c r="PAU65" s="349"/>
      <c r="PAV65" s="349"/>
      <c r="PAW65" s="349"/>
      <c r="PAX65" s="349"/>
      <c r="PAY65" s="349"/>
      <c r="PAZ65" s="349"/>
      <c r="PBA65" s="349"/>
      <c r="PBB65" s="349"/>
      <c r="PBC65" s="349"/>
      <c r="PBD65" s="349"/>
      <c r="PBE65" s="349"/>
      <c r="PBF65" s="349"/>
      <c r="PBG65" s="349"/>
      <c r="PBH65" s="349"/>
      <c r="PBI65" s="349"/>
      <c r="PBJ65" s="349"/>
      <c r="PBK65" s="349"/>
      <c r="PBL65" s="349"/>
      <c r="PBM65" s="349"/>
      <c r="PBN65" s="349"/>
      <c r="PBO65" s="349"/>
      <c r="PBP65" s="349"/>
      <c r="PBQ65" s="349"/>
      <c r="PBR65" s="349"/>
      <c r="PBS65" s="349"/>
      <c r="PBT65" s="349"/>
      <c r="PBU65" s="349"/>
      <c r="PBV65" s="349"/>
      <c r="PBW65" s="349"/>
      <c r="PBX65" s="349"/>
      <c r="PBY65" s="349"/>
      <c r="PBZ65" s="349"/>
      <c r="PCA65" s="349"/>
      <c r="PCB65" s="349"/>
      <c r="PCC65" s="349"/>
      <c r="PCD65" s="349"/>
      <c r="PCE65" s="349"/>
      <c r="PCF65" s="349"/>
      <c r="PCG65" s="349"/>
      <c r="PCH65" s="349"/>
      <c r="PCI65" s="349"/>
      <c r="PCJ65" s="349"/>
      <c r="PCK65" s="349"/>
      <c r="PCL65" s="349"/>
      <c r="PCM65" s="349"/>
      <c r="PCN65" s="349"/>
      <c r="PCO65" s="349"/>
      <c r="PCP65" s="349"/>
      <c r="PCQ65" s="349"/>
      <c r="PCR65" s="349"/>
      <c r="PCS65" s="349"/>
      <c r="PCT65" s="349"/>
      <c r="PCU65" s="349"/>
      <c r="PCV65" s="349"/>
      <c r="PCW65" s="349"/>
      <c r="PCX65" s="349"/>
      <c r="PCY65" s="349"/>
      <c r="PCZ65" s="349"/>
      <c r="PDA65" s="349"/>
      <c r="PDB65" s="349"/>
      <c r="PDC65" s="349"/>
      <c r="PDD65" s="349"/>
      <c r="PDE65" s="349"/>
      <c r="PDF65" s="349"/>
      <c r="PDG65" s="349"/>
      <c r="PDH65" s="349"/>
      <c r="PDI65" s="349"/>
      <c r="PDJ65" s="349"/>
      <c r="PDK65" s="349"/>
      <c r="PDL65" s="349"/>
      <c r="PDM65" s="349"/>
      <c r="PDN65" s="349"/>
      <c r="PDO65" s="349"/>
      <c r="PDP65" s="349"/>
      <c r="PDQ65" s="349"/>
      <c r="PDR65" s="349"/>
      <c r="PDS65" s="349"/>
      <c r="PDT65" s="349"/>
      <c r="PDU65" s="349"/>
      <c r="PDV65" s="349"/>
      <c r="PDW65" s="349"/>
      <c r="PDX65" s="349"/>
      <c r="PDY65" s="349"/>
      <c r="PDZ65" s="349"/>
      <c r="PEA65" s="349"/>
      <c r="PEB65" s="349"/>
      <c r="PEC65" s="349"/>
      <c r="PED65" s="349"/>
      <c r="PEE65" s="349"/>
      <c r="PEF65" s="349"/>
      <c r="PEG65" s="349"/>
      <c r="PEH65" s="349"/>
      <c r="PEI65" s="349"/>
      <c r="PEJ65" s="349"/>
      <c r="PEK65" s="349"/>
      <c r="PEL65" s="349"/>
      <c r="PEM65" s="349"/>
      <c r="PEN65" s="349"/>
      <c r="PEO65" s="349"/>
      <c r="PEP65" s="349"/>
      <c r="PEQ65" s="349"/>
      <c r="PER65" s="349"/>
      <c r="PES65" s="349"/>
      <c r="PET65" s="349"/>
      <c r="PEU65" s="349"/>
      <c r="PEV65" s="349"/>
      <c r="PEW65" s="349"/>
      <c r="PEX65" s="349"/>
      <c r="PEY65" s="349"/>
      <c r="PEZ65" s="349"/>
      <c r="PFA65" s="349"/>
      <c r="PFB65" s="349"/>
      <c r="PFC65" s="349"/>
      <c r="PFD65" s="349"/>
      <c r="PFE65" s="349"/>
      <c r="PFF65" s="349"/>
      <c r="PFG65" s="349"/>
      <c r="PFH65" s="349"/>
      <c r="PFI65" s="349"/>
      <c r="PFJ65" s="349"/>
      <c r="PFK65" s="349"/>
      <c r="PFL65" s="349"/>
      <c r="PFM65" s="349"/>
      <c r="PFN65" s="349"/>
      <c r="PFO65" s="349"/>
      <c r="PFP65" s="349"/>
      <c r="PFQ65" s="349"/>
      <c r="PFR65" s="349"/>
      <c r="PFS65" s="349"/>
      <c r="PFT65" s="349"/>
      <c r="PFU65" s="349"/>
      <c r="PFV65" s="349"/>
      <c r="PFW65" s="349"/>
      <c r="PFX65" s="349"/>
      <c r="PFY65" s="349"/>
      <c r="PFZ65" s="349"/>
      <c r="PGA65" s="349"/>
      <c r="PGB65" s="349"/>
      <c r="PGC65" s="349"/>
      <c r="PGD65" s="349"/>
      <c r="PGE65" s="349"/>
      <c r="PGF65" s="349"/>
      <c r="PGG65" s="349"/>
      <c r="PGH65" s="349"/>
      <c r="PGI65" s="349"/>
      <c r="PGJ65" s="349"/>
      <c r="PGK65" s="349"/>
      <c r="PGL65" s="349"/>
      <c r="PGM65" s="349"/>
      <c r="PGN65" s="349"/>
      <c r="PGO65" s="349"/>
      <c r="PGP65" s="349"/>
      <c r="PGQ65" s="349"/>
      <c r="PGR65" s="349"/>
      <c r="PGS65" s="349"/>
      <c r="PGT65" s="349"/>
      <c r="PGU65" s="349"/>
      <c r="PGV65" s="349"/>
      <c r="PGW65" s="349"/>
      <c r="PGX65" s="349"/>
      <c r="PGY65" s="349"/>
      <c r="PGZ65" s="349"/>
      <c r="PHA65" s="349"/>
      <c r="PHB65" s="349"/>
      <c r="PHC65" s="349"/>
      <c r="PHD65" s="349"/>
      <c r="PHE65" s="349"/>
      <c r="PHF65" s="349"/>
      <c r="PHG65" s="349"/>
      <c r="PHH65" s="349"/>
      <c r="PHI65" s="349"/>
      <c r="PHJ65" s="349"/>
      <c r="PHK65" s="349"/>
      <c r="PHL65" s="349"/>
      <c r="PHM65" s="349"/>
      <c r="PHN65" s="349"/>
      <c r="PHO65" s="349"/>
      <c r="PHP65" s="349"/>
      <c r="PHQ65" s="349"/>
      <c r="PHR65" s="349"/>
      <c r="PHS65" s="349"/>
      <c r="PHT65" s="349"/>
      <c r="PHU65" s="349"/>
      <c r="PHV65" s="349"/>
      <c r="PHW65" s="349"/>
      <c r="PHX65" s="349"/>
      <c r="PHY65" s="349"/>
      <c r="PHZ65" s="349"/>
      <c r="PIA65" s="349"/>
      <c r="PIB65" s="349"/>
      <c r="PIC65" s="349"/>
      <c r="PID65" s="349"/>
      <c r="PIE65" s="349"/>
      <c r="PIF65" s="349"/>
      <c r="PIG65" s="349"/>
      <c r="PIH65" s="349"/>
      <c r="PII65" s="349"/>
      <c r="PIJ65" s="349"/>
      <c r="PIK65" s="349"/>
      <c r="PIL65" s="349"/>
      <c r="PIM65" s="349"/>
      <c r="PIN65" s="349"/>
      <c r="PIO65" s="349"/>
      <c r="PIP65" s="349"/>
      <c r="PIQ65" s="349"/>
      <c r="PIR65" s="349"/>
      <c r="PIS65" s="349"/>
      <c r="PIT65" s="349"/>
      <c r="PIU65" s="349"/>
      <c r="PIV65" s="349"/>
      <c r="PIW65" s="349"/>
      <c r="PIX65" s="349"/>
      <c r="PIY65" s="349"/>
      <c r="PIZ65" s="349"/>
      <c r="PJA65" s="349"/>
      <c r="PJB65" s="349"/>
      <c r="PJC65" s="349"/>
      <c r="PJD65" s="349"/>
      <c r="PJE65" s="349"/>
      <c r="PJF65" s="349"/>
      <c r="PJG65" s="349"/>
      <c r="PJH65" s="349"/>
      <c r="PJI65" s="349"/>
      <c r="PJJ65" s="349"/>
      <c r="PJK65" s="349"/>
      <c r="PJL65" s="349"/>
      <c r="PJM65" s="349"/>
      <c r="PJN65" s="349"/>
      <c r="PJO65" s="349"/>
      <c r="PJP65" s="349"/>
      <c r="PJQ65" s="349"/>
      <c r="PJR65" s="349"/>
      <c r="PJS65" s="349"/>
      <c r="PJT65" s="349"/>
      <c r="PJU65" s="349"/>
      <c r="PJV65" s="349"/>
      <c r="PJW65" s="349"/>
      <c r="PJX65" s="349"/>
      <c r="PJY65" s="349"/>
      <c r="PJZ65" s="349"/>
      <c r="PKA65" s="349"/>
      <c r="PKB65" s="349"/>
      <c r="PKC65" s="349"/>
      <c r="PKD65" s="349"/>
      <c r="PKE65" s="349"/>
      <c r="PKF65" s="349"/>
      <c r="PKG65" s="349"/>
      <c r="PKH65" s="349"/>
      <c r="PKI65" s="349"/>
      <c r="PKJ65" s="349"/>
      <c r="PKK65" s="349"/>
      <c r="PKL65" s="349"/>
      <c r="PKM65" s="349"/>
      <c r="PKN65" s="349"/>
      <c r="PKO65" s="349"/>
      <c r="PKP65" s="349"/>
      <c r="PKQ65" s="349"/>
      <c r="PKR65" s="349"/>
      <c r="PKS65" s="349"/>
      <c r="PKT65" s="349"/>
      <c r="PKU65" s="349"/>
      <c r="PKV65" s="349"/>
      <c r="PKW65" s="349"/>
      <c r="PKX65" s="349"/>
      <c r="PKY65" s="349"/>
      <c r="PKZ65" s="349"/>
      <c r="PLA65" s="349"/>
      <c r="PLB65" s="349"/>
      <c r="PLC65" s="349"/>
      <c r="PLD65" s="349"/>
      <c r="PLE65" s="349"/>
      <c r="PLF65" s="349"/>
      <c r="PLG65" s="349"/>
      <c r="PLH65" s="349"/>
      <c r="PLI65" s="349"/>
      <c r="PLJ65" s="349"/>
      <c r="PLK65" s="349"/>
      <c r="PLL65" s="349"/>
      <c r="PLM65" s="349"/>
      <c r="PLN65" s="349"/>
      <c r="PLO65" s="349"/>
      <c r="PLP65" s="349"/>
      <c r="PLQ65" s="349"/>
      <c r="PLR65" s="349"/>
      <c r="PLS65" s="349"/>
      <c r="PLT65" s="349"/>
      <c r="PLU65" s="349"/>
      <c r="PLV65" s="349"/>
      <c r="PLW65" s="349"/>
      <c r="PLX65" s="349"/>
      <c r="PLY65" s="349"/>
      <c r="PLZ65" s="349"/>
      <c r="PMA65" s="349"/>
      <c r="PMB65" s="349"/>
      <c r="PMC65" s="349"/>
      <c r="PMD65" s="349"/>
      <c r="PME65" s="349"/>
      <c r="PMF65" s="349"/>
      <c r="PMG65" s="349"/>
      <c r="PMH65" s="349"/>
      <c r="PMI65" s="349"/>
      <c r="PMJ65" s="349"/>
      <c r="PMK65" s="349"/>
      <c r="PML65" s="349"/>
      <c r="PMM65" s="349"/>
      <c r="PMN65" s="349"/>
      <c r="PMO65" s="349"/>
      <c r="PMP65" s="349"/>
      <c r="PMQ65" s="349"/>
      <c r="PMR65" s="349"/>
      <c r="PMS65" s="349"/>
      <c r="PMT65" s="349"/>
      <c r="PMU65" s="349"/>
      <c r="PMV65" s="349"/>
      <c r="PMW65" s="349"/>
      <c r="PMX65" s="349"/>
      <c r="PMY65" s="349"/>
      <c r="PMZ65" s="349"/>
      <c r="PNA65" s="349"/>
      <c r="PNB65" s="349"/>
      <c r="PNC65" s="349"/>
      <c r="PND65" s="349"/>
      <c r="PNE65" s="349"/>
      <c r="PNF65" s="349"/>
      <c r="PNG65" s="349"/>
      <c r="PNH65" s="349"/>
      <c r="PNI65" s="349"/>
      <c r="PNJ65" s="349"/>
      <c r="PNK65" s="349"/>
      <c r="PNL65" s="349"/>
      <c r="PNM65" s="349"/>
      <c r="PNN65" s="349"/>
      <c r="PNO65" s="349"/>
      <c r="PNP65" s="349"/>
      <c r="PNQ65" s="349"/>
      <c r="PNR65" s="349"/>
      <c r="PNS65" s="349"/>
      <c r="PNT65" s="349"/>
      <c r="PNU65" s="349"/>
      <c r="PNV65" s="349"/>
      <c r="PNW65" s="349"/>
      <c r="PNX65" s="349"/>
      <c r="PNY65" s="349"/>
      <c r="PNZ65" s="349"/>
      <c r="POA65" s="349"/>
      <c r="POB65" s="349"/>
      <c r="POC65" s="349"/>
      <c r="POD65" s="349"/>
      <c r="POE65" s="349"/>
      <c r="POF65" s="349"/>
      <c r="POG65" s="349"/>
      <c r="POH65" s="349"/>
      <c r="POI65" s="349"/>
      <c r="POJ65" s="349"/>
      <c r="POK65" s="349"/>
      <c r="POL65" s="349"/>
      <c r="POM65" s="349"/>
      <c r="PON65" s="349"/>
      <c r="POO65" s="349"/>
      <c r="POP65" s="349"/>
      <c r="POQ65" s="349"/>
      <c r="POR65" s="349"/>
      <c r="POS65" s="349"/>
      <c r="POT65" s="349"/>
      <c r="POU65" s="349"/>
      <c r="POV65" s="349"/>
      <c r="POW65" s="349"/>
      <c r="POX65" s="349"/>
      <c r="POY65" s="349"/>
      <c r="POZ65" s="349"/>
      <c r="PPA65" s="349"/>
      <c r="PPB65" s="349"/>
      <c r="PPC65" s="349"/>
      <c r="PPD65" s="349"/>
      <c r="PPE65" s="349"/>
      <c r="PPF65" s="349"/>
      <c r="PPG65" s="349"/>
      <c r="PPH65" s="349"/>
      <c r="PPI65" s="349"/>
      <c r="PPJ65" s="349"/>
      <c r="PPK65" s="349"/>
      <c r="PPL65" s="349"/>
      <c r="PPM65" s="349"/>
      <c r="PPN65" s="349"/>
      <c r="PPO65" s="349"/>
      <c r="PPP65" s="349"/>
      <c r="PPQ65" s="349"/>
      <c r="PPR65" s="349"/>
      <c r="PPS65" s="349"/>
      <c r="PPT65" s="349"/>
      <c r="PPU65" s="349"/>
      <c r="PPV65" s="349"/>
      <c r="PPW65" s="349"/>
      <c r="PPX65" s="349"/>
      <c r="PPY65" s="349"/>
      <c r="PPZ65" s="349"/>
      <c r="PQA65" s="349"/>
      <c r="PQB65" s="349"/>
      <c r="PQC65" s="349"/>
      <c r="PQD65" s="349"/>
      <c r="PQE65" s="349"/>
      <c r="PQF65" s="349"/>
      <c r="PQG65" s="349"/>
      <c r="PQH65" s="349"/>
      <c r="PQI65" s="349"/>
      <c r="PQJ65" s="349"/>
      <c r="PQK65" s="349"/>
      <c r="PQL65" s="349"/>
      <c r="PQM65" s="349"/>
      <c r="PQN65" s="349"/>
      <c r="PQO65" s="349"/>
      <c r="PQP65" s="349"/>
      <c r="PQQ65" s="349"/>
      <c r="PQR65" s="349"/>
      <c r="PQS65" s="349"/>
      <c r="PQT65" s="349"/>
      <c r="PQU65" s="349"/>
      <c r="PQV65" s="349"/>
      <c r="PQW65" s="349"/>
      <c r="PQX65" s="349"/>
      <c r="PQY65" s="349"/>
      <c r="PQZ65" s="349"/>
      <c r="PRA65" s="349"/>
      <c r="PRB65" s="349"/>
      <c r="PRC65" s="349"/>
      <c r="PRD65" s="349"/>
      <c r="PRE65" s="349"/>
      <c r="PRF65" s="349"/>
      <c r="PRG65" s="349"/>
      <c r="PRH65" s="349"/>
      <c r="PRI65" s="349"/>
      <c r="PRJ65" s="349"/>
      <c r="PRK65" s="349"/>
      <c r="PRL65" s="349"/>
      <c r="PRM65" s="349"/>
      <c r="PRN65" s="349"/>
      <c r="PRO65" s="349"/>
      <c r="PRP65" s="349"/>
      <c r="PRQ65" s="349"/>
      <c r="PRR65" s="349"/>
      <c r="PRS65" s="349"/>
      <c r="PRT65" s="349"/>
      <c r="PRU65" s="349"/>
      <c r="PRV65" s="349"/>
      <c r="PRW65" s="349"/>
      <c r="PRX65" s="349"/>
      <c r="PRY65" s="349"/>
      <c r="PRZ65" s="349"/>
      <c r="PSA65" s="349"/>
      <c r="PSB65" s="349"/>
      <c r="PSC65" s="349"/>
      <c r="PSD65" s="349"/>
      <c r="PSE65" s="349"/>
      <c r="PSF65" s="349"/>
      <c r="PSG65" s="349"/>
      <c r="PSH65" s="349"/>
      <c r="PSI65" s="349"/>
      <c r="PSJ65" s="349"/>
      <c r="PSK65" s="349"/>
      <c r="PSL65" s="349"/>
      <c r="PSM65" s="349"/>
      <c r="PSN65" s="349"/>
      <c r="PSO65" s="349"/>
      <c r="PSP65" s="349"/>
      <c r="PSQ65" s="349"/>
      <c r="PSR65" s="349"/>
      <c r="PSS65" s="349"/>
      <c r="PST65" s="349"/>
      <c r="PSU65" s="349"/>
      <c r="PSV65" s="349"/>
      <c r="PSW65" s="349"/>
      <c r="PSX65" s="349"/>
      <c r="PSY65" s="349"/>
      <c r="PSZ65" s="349"/>
      <c r="PTA65" s="349"/>
      <c r="PTB65" s="349"/>
      <c r="PTC65" s="349"/>
      <c r="PTD65" s="349"/>
      <c r="PTE65" s="349"/>
      <c r="PTF65" s="349"/>
      <c r="PTG65" s="349"/>
      <c r="PTH65" s="349"/>
      <c r="PTI65" s="349"/>
      <c r="PTJ65" s="349"/>
      <c r="PTK65" s="349"/>
      <c r="PTL65" s="349"/>
      <c r="PTM65" s="349"/>
      <c r="PTN65" s="349"/>
      <c r="PTO65" s="349"/>
      <c r="PTP65" s="349"/>
      <c r="PTQ65" s="349"/>
      <c r="PTR65" s="349"/>
      <c r="PTS65" s="349"/>
      <c r="PTT65" s="349"/>
      <c r="PTU65" s="349"/>
      <c r="PTV65" s="349"/>
      <c r="PTW65" s="349"/>
      <c r="PTX65" s="349"/>
      <c r="PTY65" s="349"/>
      <c r="PTZ65" s="349"/>
      <c r="PUA65" s="349"/>
      <c r="PUB65" s="349"/>
      <c r="PUC65" s="349"/>
      <c r="PUD65" s="349"/>
      <c r="PUE65" s="349"/>
      <c r="PUF65" s="349"/>
      <c r="PUG65" s="349"/>
      <c r="PUH65" s="349"/>
      <c r="PUI65" s="349"/>
      <c r="PUJ65" s="349"/>
      <c r="PUK65" s="349"/>
      <c r="PUL65" s="349"/>
      <c r="PUM65" s="349"/>
      <c r="PUN65" s="349"/>
      <c r="PUO65" s="349"/>
      <c r="PUP65" s="349"/>
      <c r="PUQ65" s="349"/>
      <c r="PUR65" s="349"/>
      <c r="PUS65" s="349"/>
      <c r="PUT65" s="349"/>
      <c r="PUU65" s="349"/>
      <c r="PUV65" s="349"/>
      <c r="PUW65" s="349"/>
      <c r="PUX65" s="349"/>
      <c r="PUY65" s="349"/>
      <c r="PUZ65" s="349"/>
      <c r="PVA65" s="349"/>
      <c r="PVB65" s="349"/>
      <c r="PVC65" s="349"/>
      <c r="PVD65" s="349"/>
      <c r="PVE65" s="349"/>
      <c r="PVF65" s="349"/>
      <c r="PVG65" s="349"/>
      <c r="PVH65" s="349"/>
      <c r="PVI65" s="349"/>
      <c r="PVJ65" s="349"/>
      <c r="PVK65" s="349"/>
      <c r="PVL65" s="349"/>
      <c r="PVM65" s="349"/>
      <c r="PVN65" s="349"/>
      <c r="PVO65" s="349"/>
      <c r="PVP65" s="349"/>
      <c r="PVQ65" s="349"/>
      <c r="PVR65" s="349"/>
      <c r="PVS65" s="349"/>
      <c r="PVT65" s="349"/>
      <c r="PVU65" s="349"/>
      <c r="PVV65" s="349"/>
      <c r="PVW65" s="349"/>
      <c r="PVX65" s="349"/>
      <c r="PVY65" s="349"/>
      <c r="PVZ65" s="349"/>
      <c r="PWA65" s="349"/>
      <c r="PWB65" s="349"/>
      <c r="PWC65" s="349"/>
      <c r="PWD65" s="349"/>
      <c r="PWE65" s="349"/>
      <c r="PWF65" s="349"/>
      <c r="PWG65" s="349"/>
      <c r="PWH65" s="349"/>
      <c r="PWI65" s="349"/>
      <c r="PWJ65" s="349"/>
      <c r="PWK65" s="349"/>
      <c r="PWL65" s="349"/>
      <c r="PWM65" s="349"/>
      <c r="PWN65" s="349"/>
      <c r="PWO65" s="349"/>
      <c r="PWP65" s="349"/>
      <c r="PWQ65" s="349"/>
      <c r="PWR65" s="349"/>
      <c r="PWS65" s="349"/>
      <c r="PWT65" s="349"/>
      <c r="PWU65" s="349"/>
      <c r="PWV65" s="349"/>
      <c r="PWW65" s="349"/>
      <c r="PWX65" s="349"/>
      <c r="PWY65" s="349"/>
      <c r="PWZ65" s="349"/>
      <c r="PXA65" s="349"/>
      <c r="PXB65" s="349"/>
      <c r="PXC65" s="349"/>
      <c r="PXD65" s="349"/>
      <c r="PXE65" s="349"/>
      <c r="PXF65" s="349"/>
      <c r="PXG65" s="349"/>
      <c r="PXH65" s="349"/>
      <c r="PXI65" s="349"/>
      <c r="PXJ65" s="349"/>
      <c r="PXK65" s="349"/>
      <c r="PXL65" s="349"/>
      <c r="PXM65" s="349"/>
      <c r="PXN65" s="349"/>
      <c r="PXO65" s="349"/>
      <c r="PXP65" s="349"/>
      <c r="PXQ65" s="349"/>
      <c r="PXR65" s="349"/>
      <c r="PXS65" s="349"/>
      <c r="PXT65" s="349"/>
      <c r="PXU65" s="349"/>
      <c r="PXV65" s="349"/>
      <c r="PXW65" s="349"/>
      <c r="PXX65" s="349"/>
      <c r="PXY65" s="349"/>
      <c r="PXZ65" s="349"/>
      <c r="PYA65" s="349"/>
      <c r="PYB65" s="349"/>
      <c r="PYC65" s="349"/>
      <c r="PYD65" s="349"/>
      <c r="PYE65" s="349"/>
      <c r="PYF65" s="349"/>
      <c r="PYG65" s="349"/>
      <c r="PYH65" s="349"/>
      <c r="PYI65" s="349"/>
      <c r="PYJ65" s="349"/>
      <c r="PYK65" s="349"/>
      <c r="PYL65" s="349"/>
      <c r="PYM65" s="349"/>
      <c r="PYN65" s="349"/>
      <c r="PYO65" s="349"/>
      <c r="PYP65" s="349"/>
      <c r="PYQ65" s="349"/>
      <c r="PYR65" s="349"/>
      <c r="PYS65" s="349"/>
      <c r="PYT65" s="349"/>
      <c r="PYU65" s="349"/>
      <c r="PYV65" s="349"/>
      <c r="PYW65" s="349"/>
      <c r="PYX65" s="349"/>
      <c r="PYY65" s="349"/>
      <c r="PYZ65" s="349"/>
      <c r="PZA65" s="349"/>
      <c r="PZB65" s="349"/>
      <c r="PZC65" s="349"/>
      <c r="PZD65" s="349"/>
      <c r="PZE65" s="349"/>
      <c r="PZF65" s="349"/>
      <c r="PZG65" s="349"/>
      <c r="PZH65" s="349"/>
      <c r="PZI65" s="349"/>
      <c r="PZJ65" s="349"/>
      <c r="PZK65" s="349"/>
      <c r="PZL65" s="349"/>
      <c r="PZM65" s="349"/>
      <c r="PZN65" s="349"/>
      <c r="PZO65" s="349"/>
      <c r="PZP65" s="349"/>
      <c r="PZQ65" s="349"/>
      <c r="PZR65" s="349"/>
      <c r="PZS65" s="349"/>
      <c r="PZT65" s="349"/>
      <c r="PZU65" s="349"/>
      <c r="PZV65" s="349"/>
      <c r="PZW65" s="349"/>
      <c r="PZX65" s="349"/>
      <c r="PZY65" s="349"/>
      <c r="PZZ65" s="349"/>
      <c r="QAA65" s="349"/>
      <c r="QAB65" s="349"/>
      <c r="QAC65" s="349"/>
      <c r="QAD65" s="349"/>
      <c r="QAE65" s="349"/>
      <c r="QAF65" s="349"/>
      <c r="QAG65" s="349"/>
      <c r="QAH65" s="349"/>
      <c r="QAI65" s="349"/>
      <c r="QAJ65" s="349"/>
      <c r="QAK65" s="349"/>
      <c r="QAL65" s="349"/>
      <c r="QAM65" s="349"/>
      <c r="QAN65" s="349"/>
      <c r="QAO65" s="349"/>
      <c r="QAP65" s="349"/>
      <c r="QAQ65" s="349"/>
      <c r="QAR65" s="349"/>
      <c r="QAS65" s="349"/>
      <c r="QAT65" s="349"/>
      <c r="QAU65" s="349"/>
      <c r="QAV65" s="349"/>
      <c r="QAW65" s="349"/>
      <c r="QAX65" s="349"/>
      <c r="QAY65" s="349"/>
      <c r="QAZ65" s="349"/>
      <c r="QBA65" s="349"/>
      <c r="QBB65" s="349"/>
      <c r="QBC65" s="349"/>
      <c r="QBD65" s="349"/>
      <c r="QBE65" s="349"/>
      <c r="QBF65" s="349"/>
      <c r="QBG65" s="349"/>
      <c r="QBH65" s="349"/>
      <c r="QBI65" s="349"/>
      <c r="QBJ65" s="349"/>
      <c r="QBK65" s="349"/>
      <c r="QBL65" s="349"/>
      <c r="QBM65" s="349"/>
      <c r="QBN65" s="349"/>
      <c r="QBO65" s="349"/>
      <c r="QBP65" s="349"/>
      <c r="QBQ65" s="349"/>
      <c r="QBR65" s="349"/>
      <c r="QBS65" s="349"/>
      <c r="QBT65" s="349"/>
      <c r="QBU65" s="349"/>
      <c r="QBV65" s="349"/>
      <c r="QBW65" s="349"/>
      <c r="QBX65" s="349"/>
      <c r="QBY65" s="349"/>
      <c r="QBZ65" s="349"/>
      <c r="QCA65" s="349"/>
      <c r="QCB65" s="349"/>
      <c r="QCC65" s="349"/>
      <c r="QCD65" s="349"/>
      <c r="QCE65" s="349"/>
      <c r="QCF65" s="349"/>
      <c r="QCG65" s="349"/>
      <c r="QCH65" s="349"/>
      <c r="QCI65" s="349"/>
      <c r="QCJ65" s="349"/>
      <c r="QCK65" s="349"/>
      <c r="QCL65" s="349"/>
      <c r="QCM65" s="349"/>
      <c r="QCN65" s="349"/>
      <c r="QCO65" s="349"/>
      <c r="QCP65" s="349"/>
      <c r="QCQ65" s="349"/>
      <c r="QCR65" s="349"/>
      <c r="QCS65" s="349"/>
      <c r="QCT65" s="349"/>
      <c r="QCU65" s="349"/>
      <c r="QCV65" s="349"/>
      <c r="QCW65" s="349"/>
      <c r="QCX65" s="349"/>
      <c r="QCY65" s="349"/>
      <c r="QCZ65" s="349"/>
      <c r="QDA65" s="349"/>
      <c r="QDB65" s="349"/>
      <c r="QDC65" s="349"/>
      <c r="QDD65" s="349"/>
      <c r="QDE65" s="349"/>
      <c r="QDF65" s="349"/>
      <c r="QDG65" s="349"/>
      <c r="QDH65" s="349"/>
      <c r="QDI65" s="349"/>
      <c r="QDJ65" s="349"/>
      <c r="QDK65" s="349"/>
      <c r="QDL65" s="349"/>
      <c r="QDM65" s="349"/>
      <c r="QDN65" s="349"/>
      <c r="QDO65" s="349"/>
      <c r="QDP65" s="349"/>
      <c r="QDQ65" s="349"/>
      <c r="QDR65" s="349"/>
      <c r="QDS65" s="349"/>
      <c r="QDT65" s="349"/>
      <c r="QDU65" s="349"/>
      <c r="QDV65" s="349"/>
      <c r="QDW65" s="349"/>
      <c r="QDX65" s="349"/>
      <c r="QDY65" s="349"/>
      <c r="QDZ65" s="349"/>
      <c r="QEA65" s="349"/>
      <c r="QEB65" s="349"/>
      <c r="QEC65" s="349"/>
      <c r="QED65" s="349"/>
      <c r="QEE65" s="349"/>
      <c r="QEF65" s="349"/>
      <c r="QEG65" s="349"/>
      <c r="QEH65" s="349"/>
      <c r="QEI65" s="349"/>
      <c r="QEJ65" s="349"/>
      <c r="QEK65" s="349"/>
      <c r="QEL65" s="349"/>
      <c r="QEM65" s="349"/>
      <c r="QEN65" s="349"/>
      <c r="QEO65" s="349"/>
      <c r="QEP65" s="349"/>
      <c r="QEQ65" s="349"/>
      <c r="QER65" s="349"/>
      <c r="QES65" s="349"/>
      <c r="QET65" s="349"/>
      <c r="QEU65" s="349"/>
      <c r="QEV65" s="349"/>
      <c r="QEW65" s="349"/>
      <c r="QEX65" s="349"/>
      <c r="QEY65" s="349"/>
      <c r="QEZ65" s="349"/>
      <c r="QFA65" s="349"/>
      <c r="QFB65" s="349"/>
      <c r="QFC65" s="349"/>
      <c r="QFD65" s="349"/>
      <c r="QFE65" s="349"/>
      <c r="QFF65" s="349"/>
      <c r="QFG65" s="349"/>
      <c r="QFH65" s="349"/>
      <c r="QFI65" s="349"/>
      <c r="QFJ65" s="349"/>
      <c r="QFK65" s="349"/>
      <c r="QFL65" s="349"/>
      <c r="QFM65" s="349"/>
      <c r="QFN65" s="349"/>
      <c r="QFO65" s="349"/>
      <c r="QFP65" s="349"/>
      <c r="QFQ65" s="349"/>
      <c r="QFR65" s="349"/>
      <c r="QFS65" s="349"/>
      <c r="QFT65" s="349"/>
      <c r="QFU65" s="349"/>
      <c r="QFV65" s="349"/>
      <c r="QFW65" s="349"/>
      <c r="QFX65" s="349"/>
      <c r="QFY65" s="349"/>
      <c r="QFZ65" s="349"/>
      <c r="QGA65" s="349"/>
      <c r="QGB65" s="349"/>
      <c r="QGC65" s="349"/>
      <c r="QGD65" s="349"/>
      <c r="QGE65" s="349"/>
      <c r="QGF65" s="349"/>
      <c r="QGG65" s="349"/>
      <c r="QGH65" s="349"/>
      <c r="QGI65" s="349"/>
      <c r="QGJ65" s="349"/>
      <c r="QGK65" s="349"/>
      <c r="QGL65" s="349"/>
      <c r="QGM65" s="349"/>
      <c r="QGN65" s="349"/>
      <c r="QGO65" s="349"/>
      <c r="QGP65" s="349"/>
      <c r="QGQ65" s="349"/>
      <c r="QGR65" s="349"/>
      <c r="QGS65" s="349"/>
      <c r="QGT65" s="349"/>
      <c r="QGU65" s="349"/>
      <c r="QGV65" s="349"/>
      <c r="QGW65" s="349"/>
      <c r="QGX65" s="349"/>
      <c r="QGY65" s="349"/>
      <c r="QGZ65" s="349"/>
      <c r="QHA65" s="349"/>
      <c r="QHB65" s="349"/>
      <c r="QHC65" s="349"/>
      <c r="QHD65" s="349"/>
      <c r="QHE65" s="349"/>
      <c r="QHF65" s="349"/>
      <c r="QHG65" s="349"/>
      <c r="QHH65" s="349"/>
      <c r="QHI65" s="349"/>
      <c r="QHJ65" s="349"/>
      <c r="QHK65" s="349"/>
      <c r="QHL65" s="349"/>
      <c r="QHM65" s="349"/>
      <c r="QHN65" s="349"/>
      <c r="QHO65" s="349"/>
      <c r="QHP65" s="349"/>
      <c r="QHQ65" s="349"/>
      <c r="QHR65" s="349"/>
      <c r="QHS65" s="349"/>
      <c r="QHT65" s="349"/>
      <c r="QHU65" s="349"/>
      <c r="QHV65" s="349"/>
      <c r="QHW65" s="349"/>
      <c r="QHX65" s="349"/>
      <c r="QHY65" s="349"/>
      <c r="QHZ65" s="349"/>
      <c r="QIA65" s="349"/>
      <c r="QIB65" s="349"/>
      <c r="QIC65" s="349"/>
      <c r="QID65" s="349"/>
      <c r="QIE65" s="349"/>
      <c r="QIF65" s="349"/>
      <c r="QIG65" s="349"/>
      <c r="QIH65" s="349"/>
      <c r="QII65" s="349"/>
      <c r="QIJ65" s="349"/>
      <c r="QIK65" s="349"/>
      <c r="QIL65" s="349"/>
      <c r="QIM65" s="349"/>
      <c r="QIN65" s="349"/>
      <c r="QIO65" s="349"/>
      <c r="QIP65" s="349"/>
      <c r="QIQ65" s="349"/>
      <c r="QIR65" s="349"/>
      <c r="QIS65" s="349"/>
      <c r="QIT65" s="349"/>
      <c r="QIU65" s="349"/>
      <c r="QIV65" s="349"/>
      <c r="QIW65" s="349"/>
      <c r="QIX65" s="349"/>
      <c r="QIY65" s="349"/>
      <c r="QIZ65" s="349"/>
      <c r="QJA65" s="349"/>
      <c r="QJB65" s="349"/>
      <c r="QJC65" s="349"/>
      <c r="QJD65" s="349"/>
      <c r="QJE65" s="349"/>
      <c r="QJF65" s="349"/>
      <c r="QJG65" s="349"/>
      <c r="QJH65" s="349"/>
      <c r="QJI65" s="349"/>
      <c r="QJJ65" s="349"/>
      <c r="QJK65" s="349"/>
      <c r="QJL65" s="349"/>
      <c r="QJM65" s="349"/>
      <c r="QJN65" s="349"/>
      <c r="QJO65" s="349"/>
      <c r="QJP65" s="349"/>
      <c r="QJQ65" s="349"/>
      <c r="QJR65" s="349"/>
      <c r="QJS65" s="349"/>
      <c r="QJT65" s="349"/>
      <c r="QJU65" s="349"/>
      <c r="QJV65" s="349"/>
      <c r="QJW65" s="349"/>
      <c r="QJX65" s="349"/>
      <c r="QJY65" s="349"/>
      <c r="QJZ65" s="349"/>
      <c r="QKA65" s="349"/>
      <c r="QKB65" s="349"/>
      <c r="QKC65" s="349"/>
      <c r="QKD65" s="349"/>
      <c r="QKE65" s="349"/>
      <c r="QKF65" s="349"/>
      <c r="QKG65" s="349"/>
      <c r="QKH65" s="349"/>
      <c r="QKI65" s="349"/>
      <c r="QKJ65" s="349"/>
      <c r="QKK65" s="349"/>
      <c r="QKL65" s="349"/>
      <c r="QKM65" s="349"/>
      <c r="QKN65" s="349"/>
      <c r="QKO65" s="349"/>
      <c r="QKP65" s="349"/>
      <c r="QKQ65" s="349"/>
      <c r="QKR65" s="349"/>
      <c r="QKS65" s="349"/>
      <c r="QKT65" s="349"/>
      <c r="QKU65" s="349"/>
      <c r="QKV65" s="349"/>
      <c r="QKW65" s="349"/>
      <c r="QKX65" s="349"/>
      <c r="QKY65" s="349"/>
      <c r="QKZ65" s="349"/>
      <c r="QLA65" s="349"/>
      <c r="QLB65" s="349"/>
      <c r="QLC65" s="349"/>
      <c r="QLD65" s="349"/>
      <c r="QLE65" s="349"/>
      <c r="QLF65" s="349"/>
      <c r="QLG65" s="349"/>
      <c r="QLH65" s="349"/>
      <c r="QLI65" s="349"/>
      <c r="QLJ65" s="349"/>
      <c r="QLK65" s="349"/>
      <c r="QLL65" s="349"/>
      <c r="QLM65" s="349"/>
      <c r="QLN65" s="349"/>
      <c r="QLO65" s="349"/>
      <c r="QLP65" s="349"/>
      <c r="QLQ65" s="349"/>
      <c r="QLR65" s="349"/>
      <c r="QLS65" s="349"/>
      <c r="QLT65" s="349"/>
      <c r="QLU65" s="349"/>
      <c r="QLV65" s="349"/>
      <c r="QLW65" s="349"/>
      <c r="QLX65" s="349"/>
      <c r="QLY65" s="349"/>
      <c r="QLZ65" s="349"/>
      <c r="QMA65" s="349"/>
      <c r="QMB65" s="349"/>
      <c r="QMC65" s="349"/>
      <c r="QMD65" s="349"/>
      <c r="QME65" s="349"/>
      <c r="QMF65" s="349"/>
      <c r="QMG65" s="349"/>
      <c r="QMH65" s="349"/>
      <c r="QMI65" s="349"/>
      <c r="QMJ65" s="349"/>
      <c r="QMK65" s="349"/>
      <c r="QML65" s="349"/>
      <c r="QMM65" s="349"/>
      <c r="QMN65" s="349"/>
      <c r="QMO65" s="349"/>
      <c r="QMP65" s="349"/>
      <c r="QMQ65" s="349"/>
      <c r="QMR65" s="349"/>
      <c r="QMS65" s="349"/>
      <c r="QMT65" s="349"/>
      <c r="QMU65" s="349"/>
      <c r="QMV65" s="349"/>
      <c r="QMW65" s="349"/>
      <c r="QMX65" s="349"/>
      <c r="QMY65" s="349"/>
      <c r="QMZ65" s="349"/>
      <c r="QNA65" s="349"/>
      <c r="QNB65" s="349"/>
      <c r="QNC65" s="349"/>
      <c r="QND65" s="349"/>
      <c r="QNE65" s="349"/>
      <c r="QNF65" s="349"/>
      <c r="QNG65" s="349"/>
      <c r="QNH65" s="349"/>
      <c r="QNI65" s="349"/>
      <c r="QNJ65" s="349"/>
      <c r="QNK65" s="349"/>
      <c r="QNL65" s="349"/>
      <c r="QNM65" s="349"/>
      <c r="QNN65" s="349"/>
      <c r="QNO65" s="349"/>
      <c r="QNP65" s="349"/>
      <c r="QNQ65" s="349"/>
      <c r="QNR65" s="349"/>
      <c r="QNS65" s="349"/>
      <c r="QNT65" s="349"/>
      <c r="QNU65" s="349"/>
      <c r="QNV65" s="349"/>
      <c r="QNW65" s="349"/>
      <c r="QNX65" s="349"/>
      <c r="QNY65" s="349"/>
      <c r="QNZ65" s="349"/>
      <c r="QOA65" s="349"/>
      <c r="QOB65" s="349"/>
      <c r="QOC65" s="349"/>
      <c r="QOD65" s="349"/>
      <c r="QOE65" s="349"/>
      <c r="QOF65" s="349"/>
      <c r="QOG65" s="349"/>
      <c r="QOH65" s="349"/>
      <c r="QOI65" s="349"/>
      <c r="QOJ65" s="349"/>
      <c r="QOK65" s="349"/>
      <c r="QOL65" s="349"/>
      <c r="QOM65" s="349"/>
      <c r="QON65" s="349"/>
      <c r="QOO65" s="349"/>
      <c r="QOP65" s="349"/>
      <c r="QOQ65" s="349"/>
      <c r="QOR65" s="349"/>
      <c r="QOS65" s="349"/>
      <c r="QOT65" s="349"/>
      <c r="QOU65" s="349"/>
      <c r="QOV65" s="349"/>
      <c r="QOW65" s="349"/>
      <c r="QOX65" s="349"/>
      <c r="QOY65" s="349"/>
      <c r="QOZ65" s="349"/>
      <c r="QPA65" s="349"/>
      <c r="QPB65" s="349"/>
      <c r="QPC65" s="349"/>
      <c r="QPD65" s="349"/>
      <c r="QPE65" s="349"/>
      <c r="QPF65" s="349"/>
      <c r="QPG65" s="349"/>
      <c r="QPH65" s="349"/>
      <c r="QPI65" s="349"/>
      <c r="QPJ65" s="349"/>
      <c r="QPK65" s="349"/>
      <c r="QPL65" s="349"/>
      <c r="QPM65" s="349"/>
      <c r="QPN65" s="349"/>
      <c r="QPO65" s="349"/>
      <c r="QPP65" s="349"/>
      <c r="QPQ65" s="349"/>
      <c r="QPR65" s="349"/>
      <c r="QPS65" s="349"/>
      <c r="QPT65" s="349"/>
      <c r="QPU65" s="349"/>
      <c r="QPV65" s="349"/>
      <c r="QPW65" s="349"/>
      <c r="QPX65" s="349"/>
      <c r="QPY65" s="349"/>
      <c r="QPZ65" s="349"/>
      <c r="QQA65" s="349"/>
      <c r="QQB65" s="349"/>
      <c r="QQC65" s="349"/>
      <c r="QQD65" s="349"/>
      <c r="QQE65" s="349"/>
      <c r="QQF65" s="349"/>
      <c r="QQG65" s="349"/>
      <c r="QQH65" s="349"/>
      <c r="QQI65" s="349"/>
      <c r="QQJ65" s="349"/>
      <c r="QQK65" s="349"/>
      <c r="QQL65" s="349"/>
      <c r="QQM65" s="349"/>
      <c r="QQN65" s="349"/>
      <c r="QQO65" s="349"/>
      <c r="QQP65" s="349"/>
      <c r="QQQ65" s="349"/>
      <c r="QQR65" s="349"/>
      <c r="QQS65" s="349"/>
      <c r="QQT65" s="349"/>
      <c r="QQU65" s="349"/>
      <c r="QQV65" s="349"/>
      <c r="QQW65" s="349"/>
      <c r="QQX65" s="349"/>
      <c r="QQY65" s="349"/>
      <c r="QQZ65" s="349"/>
      <c r="QRA65" s="349"/>
      <c r="QRB65" s="349"/>
      <c r="QRC65" s="349"/>
      <c r="QRD65" s="349"/>
      <c r="QRE65" s="349"/>
      <c r="QRF65" s="349"/>
      <c r="QRG65" s="349"/>
      <c r="QRH65" s="349"/>
      <c r="QRI65" s="349"/>
      <c r="QRJ65" s="349"/>
      <c r="QRK65" s="349"/>
      <c r="QRL65" s="349"/>
      <c r="QRM65" s="349"/>
      <c r="QRN65" s="349"/>
      <c r="QRO65" s="349"/>
      <c r="QRP65" s="349"/>
      <c r="QRQ65" s="349"/>
      <c r="QRR65" s="349"/>
      <c r="QRS65" s="349"/>
      <c r="QRT65" s="349"/>
      <c r="QRU65" s="349"/>
      <c r="QRV65" s="349"/>
      <c r="QRW65" s="349"/>
      <c r="QRX65" s="349"/>
      <c r="QRY65" s="349"/>
      <c r="QRZ65" s="349"/>
      <c r="QSA65" s="349"/>
      <c r="QSB65" s="349"/>
      <c r="QSC65" s="349"/>
      <c r="QSD65" s="349"/>
      <c r="QSE65" s="349"/>
      <c r="QSF65" s="349"/>
      <c r="QSG65" s="349"/>
      <c r="QSH65" s="349"/>
      <c r="QSI65" s="349"/>
      <c r="QSJ65" s="349"/>
      <c r="QSK65" s="349"/>
      <c r="QSL65" s="349"/>
      <c r="QSM65" s="349"/>
      <c r="QSN65" s="349"/>
      <c r="QSO65" s="349"/>
      <c r="QSP65" s="349"/>
      <c r="QSQ65" s="349"/>
      <c r="QSR65" s="349"/>
      <c r="QSS65" s="349"/>
      <c r="QST65" s="349"/>
      <c r="QSU65" s="349"/>
      <c r="QSV65" s="349"/>
      <c r="QSW65" s="349"/>
      <c r="QSX65" s="349"/>
      <c r="QSY65" s="349"/>
      <c r="QSZ65" s="349"/>
      <c r="QTA65" s="349"/>
      <c r="QTB65" s="349"/>
      <c r="QTC65" s="349"/>
      <c r="QTD65" s="349"/>
      <c r="QTE65" s="349"/>
      <c r="QTF65" s="349"/>
      <c r="QTG65" s="349"/>
      <c r="QTH65" s="349"/>
      <c r="QTI65" s="349"/>
      <c r="QTJ65" s="349"/>
      <c r="QTK65" s="349"/>
      <c r="QTL65" s="349"/>
      <c r="QTM65" s="349"/>
      <c r="QTN65" s="349"/>
      <c r="QTO65" s="349"/>
      <c r="QTP65" s="349"/>
      <c r="QTQ65" s="349"/>
      <c r="QTR65" s="349"/>
      <c r="QTS65" s="349"/>
      <c r="QTT65" s="349"/>
      <c r="QTU65" s="349"/>
      <c r="QTV65" s="349"/>
      <c r="QTW65" s="349"/>
      <c r="QTX65" s="349"/>
      <c r="QTY65" s="349"/>
      <c r="QTZ65" s="349"/>
      <c r="QUA65" s="349"/>
      <c r="QUB65" s="349"/>
      <c r="QUC65" s="349"/>
      <c r="QUD65" s="349"/>
      <c r="QUE65" s="349"/>
      <c r="QUF65" s="349"/>
      <c r="QUG65" s="349"/>
      <c r="QUH65" s="349"/>
      <c r="QUI65" s="349"/>
      <c r="QUJ65" s="349"/>
      <c r="QUK65" s="349"/>
      <c r="QUL65" s="349"/>
      <c r="QUM65" s="349"/>
      <c r="QUN65" s="349"/>
      <c r="QUO65" s="349"/>
      <c r="QUP65" s="349"/>
      <c r="QUQ65" s="349"/>
      <c r="QUR65" s="349"/>
      <c r="QUS65" s="349"/>
      <c r="QUT65" s="349"/>
      <c r="QUU65" s="349"/>
      <c r="QUV65" s="349"/>
      <c r="QUW65" s="349"/>
      <c r="QUX65" s="349"/>
      <c r="QUY65" s="349"/>
      <c r="QUZ65" s="349"/>
      <c r="QVA65" s="349"/>
      <c r="QVB65" s="349"/>
      <c r="QVC65" s="349"/>
      <c r="QVD65" s="349"/>
      <c r="QVE65" s="349"/>
      <c r="QVF65" s="349"/>
      <c r="QVG65" s="349"/>
      <c r="QVH65" s="349"/>
      <c r="QVI65" s="349"/>
      <c r="QVJ65" s="349"/>
      <c r="QVK65" s="349"/>
      <c r="QVL65" s="349"/>
      <c r="QVM65" s="349"/>
      <c r="QVN65" s="349"/>
      <c r="QVO65" s="349"/>
      <c r="QVP65" s="349"/>
      <c r="QVQ65" s="349"/>
      <c r="QVR65" s="349"/>
      <c r="QVS65" s="349"/>
      <c r="QVT65" s="349"/>
      <c r="QVU65" s="349"/>
      <c r="QVV65" s="349"/>
      <c r="QVW65" s="349"/>
      <c r="QVX65" s="349"/>
      <c r="QVY65" s="349"/>
      <c r="QVZ65" s="349"/>
      <c r="QWA65" s="349"/>
      <c r="QWB65" s="349"/>
      <c r="QWC65" s="349"/>
      <c r="QWD65" s="349"/>
      <c r="QWE65" s="349"/>
      <c r="QWF65" s="349"/>
      <c r="QWG65" s="349"/>
      <c r="QWH65" s="349"/>
      <c r="QWI65" s="349"/>
      <c r="QWJ65" s="349"/>
      <c r="QWK65" s="349"/>
      <c r="QWL65" s="349"/>
      <c r="QWM65" s="349"/>
      <c r="QWN65" s="349"/>
      <c r="QWO65" s="349"/>
      <c r="QWP65" s="349"/>
      <c r="QWQ65" s="349"/>
      <c r="QWR65" s="349"/>
      <c r="QWS65" s="349"/>
      <c r="QWT65" s="349"/>
      <c r="QWU65" s="349"/>
      <c r="QWV65" s="349"/>
      <c r="QWW65" s="349"/>
      <c r="QWX65" s="349"/>
      <c r="QWY65" s="349"/>
      <c r="QWZ65" s="349"/>
      <c r="QXA65" s="349"/>
      <c r="QXB65" s="349"/>
      <c r="QXC65" s="349"/>
      <c r="QXD65" s="349"/>
      <c r="QXE65" s="349"/>
      <c r="QXF65" s="349"/>
      <c r="QXG65" s="349"/>
      <c r="QXH65" s="349"/>
      <c r="QXI65" s="349"/>
      <c r="QXJ65" s="349"/>
      <c r="QXK65" s="349"/>
      <c r="QXL65" s="349"/>
      <c r="QXM65" s="349"/>
      <c r="QXN65" s="349"/>
      <c r="QXO65" s="349"/>
      <c r="QXP65" s="349"/>
      <c r="QXQ65" s="349"/>
      <c r="QXR65" s="349"/>
      <c r="QXS65" s="349"/>
      <c r="QXT65" s="349"/>
      <c r="QXU65" s="349"/>
      <c r="QXV65" s="349"/>
      <c r="QXW65" s="349"/>
      <c r="QXX65" s="349"/>
      <c r="QXY65" s="349"/>
      <c r="QXZ65" s="349"/>
      <c r="QYA65" s="349"/>
      <c r="QYB65" s="349"/>
      <c r="QYC65" s="349"/>
      <c r="QYD65" s="349"/>
      <c r="QYE65" s="349"/>
      <c r="QYF65" s="349"/>
      <c r="QYG65" s="349"/>
      <c r="QYH65" s="349"/>
      <c r="QYI65" s="349"/>
      <c r="QYJ65" s="349"/>
      <c r="QYK65" s="349"/>
      <c r="QYL65" s="349"/>
      <c r="QYM65" s="349"/>
      <c r="QYN65" s="349"/>
      <c r="QYO65" s="349"/>
      <c r="QYP65" s="349"/>
      <c r="QYQ65" s="349"/>
      <c r="QYR65" s="349"/>
      <c r="QYS65" s="349"/>
      <c r="QYT65" s="349"/>
      <c r="QYU65" s="349"/>
      <c r="QYV65" s="349"/>
      <c r="QYW65" s="349"/>
      <c r="QYX65" s="349"/>
      <c r="QYY65" s="349"/>
      <c r="QYZ65" s="349"/>
      <c r="QZA65" s="349"/>
      <c r="QZB65" s="349"/>
      <c r="QZC65" s="349"/>
      <c r="QZD65" s="349"/>
      <c r="QZE65" s="349"/>
      <c r="QZF65" s="349"/>
      <c r="QZG65" s="349"/>
      <c r="QZH65" s="349"/>
      <c r="QZI65" s="349"/>
      <c r="QZJ65" s="349"/>
      <c r="QZK65" s="349"/>
      <c r="QZL65" s="349"/>
      <c r="QZM65" s="349"/>
      <c r="QZN65" s="349"/>
      <c r="QZO65" s="349"/>
      <c r="QZP65" s="349"/>
      <c r="QZQ65" s="349"/>
      <c r="QZR65" s="349"/>
      <c r="QZS65" s="349"/>
      <c r="QZT65" s="349"/>
      <c r="QZU65" s="349"/>
      <c r="QZV65" s="349"/>
      <c r="QZW65" s="349"/>
      <c r="QZX65" s="349"/>
      <c r="QZY65" s="349"/>
      <c r="QZZ65" s="349"/>
      <c r="RAA65" s="349"/>
      <c r="RAB65" s="349"/>
      <c r="RAC65" s="349"/>
      <c r="RAD65" s="349"/>
      <c r="RAE65" s="349"/>
      <c r="RAF65" s="349"/>
      <c r="RAG65" s="349"/>
      <c r="RAH65" s="349"/>
      <c r="RAI65" s="349"/>
      <c r="RAJ65" s="349"/>
      <c r="RAK65" s="349"/>
      <c r="RAL65" s="349"/>
      <c r="RAM65" s="349"/>
      <c r="RAN65" s="349"/>
      <c r="RAO65" s="349"/>
      <c r="RAP65" s="349"/>
      <c r="RAQ65" s="349"/>
      <c r="RAR65" s="349"/>
      <c r="RAS65" s="349"/>
      <c r="RAT65" s="349"/>
      <c r="RAU65" s="349"/>
      <c r="RAV65" s="349"/>
      <c r="RAW65" s="349"/>
      <c r="RAX65" s="349"/>
      <c r="RAY65" s="349"/>
      <c r="RAZ65" s="349"/>
      <c r="RBA65" s="349"/>
      <c r="RBB65" s="349"/>
      <c r="RBC65" s="349"/>
      <c r="RBD65" s="349"/>
      <c r="RBE65" s="349"/>
      <c r="RBF65" s="349"/>
      <c r="RBG65" s="349"/>
      <c r="RBH65" s="349"/>
      <c r="RBI65" s="349"/>
      <c r="RBJ65" s="349"/>
      <c r="RBK65" s="349"/>
      <c r="RBL65" s="349"/>
      <c r="RBM65" s="349"/>
      <c r="RBN65" s="349"/>
      <c r="RBO65" s="349"/>
      <c r="RBP65" s="349"/>
      <c r="RBQ65" s="349"/>
      <c r="RBR65" s="349"/>
      <c r="RBS65" s="349"/>
      <c r="RBT65" s="349"/>
      <c r="RBU65" s="349"/>
      <c r="RBV65" s="349"/>
      <c r="RBW65" s="349"/>
      <c r="RBX65" s="349"/>
      <c r="RBY65" s="349"/>
      <c r="RBZ65" s="349"/>
      <c r="RCA65" s="349"/>
      <c r="RCB65" s="349"/>
      <c r="RCC65" s="349"/>
      <c r="RCD65" s="349"/>
      <c r="RCE65" s="349"/>
      <c r="RCF65" s="349"/>
      <c r="RCG65" s="349"/>
      <c r="RCH65" s="349"/>
      <c r="RCI65" s="349"/>
      <c r="RCJ65" s="349"/>
      <c r="RCK65" s="349"/>
      <c r="RCL65" s="349"/>
      <c r="RCM65" s="349"/>
      <c r="RCN65" s="349"/>
      <c r="RCO65" s="349"/>
      <c r="RCP65" s="349"/>
      <c r="RCQ65" s="349"/>
      <c r="RCR65" s="349"/>
      <c r="RCS65" s="349"/>
      <c r="RCT65" s="349"/>
      <c r="RCU65" s="349"/>
      <c r="RCV65" s="349"/>
      <c r="RCW65" s="349"/>
      <c r="RCX65" s="349"/>
      <c r="RCY65" s="349"/>
      <c r="RCZ65" s="349"/>
      <c r="RDA65" s="349"/>
      <c r="RDB65" s="349"/>
      <c r="RDC65" s="349"/>
      <c r="RDD65" s="349"/>
      <c r="RDE65" s="349"/>
      <c r="RDF65" s="349"/>
      <c r="RDG65" s="349"/>
      <c r="RDH65" s="349"/>
      <c r="RDI65" s="349"/>
      <c r="RDJ65" s="349"/>
      <c r="RDK65" s="349"/>
      <c r="RDL65" s="349"/>
      <c r="RDM65" s="349"/>
      <c r="RDN65" s="349"/>
      <c r="RDO65" s="349"/>
      <c r="RDP65" s="349"/>
      <c r="RDQ65" s="349"/>
      <c r="RDR65" s="349"/>
      <c r="RDS65" s="349"/>
      <c r="RDT65" s="349"/>
      <c r="RDU65" s="349"/>
      <c r="RDV65" s="349"/>
      <c r="RDW65" s="349"/>
      <c r="RDX65" s="349"/>
      <c r="RDY65" s="349"/>
      <c r="RDZ65" s="349"/>
      <c r="REA65" s="349"/>
      <c r="REB65" s="349"/>
      <c r="REC65" s="349"/>
      <c r="RED65" s="349"/>
      <c r="REE65" s="349"/>
      <c r="REF65" s="349"/>
      <c r="REG65" s="349"/>
      <c r="REH65" s="349"/>
      <c r="REI65" s="349"/>
      <c r="REJ65" s="349"/>
      <c r="REK65" s="349"/>
      <c r="REL65" s="349"/>
      <c r="REM65" s="349"/>
      <c r="REN65" s="349"/>
      <c r="REO65" s="349"/>
      <c r="REP65" s="349"/>
      <c r="REQ65" s="349"/>
      <c r="RER65" s="349"/>
      <c r="RES65" s="349"/>
      <c r="RET65" s="349"/>
      <c r="REU65" s="349"/>
      <c r="REV65" s="349"/>
      <c r="REW65" s="349"/>
      <c r="REX65" s="349"/>
      <c r="REY65" s="349"/>
      <c r="REZ65" s="349"/>
      <c r="RFA65" s="349"/>
      <c r="RFB65" s="349"/>
      <c r="RFC65" s="349"/>
      <c r="RFD65" s="349"/>
      <c r="RFE65" s="349"/>
      <c r="RFF65" s="349"/>
      <c r="RFG65" s="349"/>
      <c r="RFH65" s="349"/>
      <c r="RFI65" s="349"/>
      <c r="RFJ65" s="349"/>
      <c r="RFK65" s="349"/>
      <c r="RFL65" s="349"/>
      <c r="RFM65" s="349"/>
      <c r="RFN65" s="349"/>
      <c r="RFO65" s="349"/>
      <c r="RFP65" s="349"/>
      <c r="RFQ65" s="349"/>
      <c r="RFR65" s="349"/>
      <c r="RFS65" s="349"/>
      <c r="RFT65" s="349"/>
      <c r="RFU65" s="349"/>
      <c r="RFV65" s="349"/>
      <c r="RFW65" s="349"/>
      <c r="RFX65" s="349"/>
      <c r="RFY65" s="349"/>
      <c r="RFZ65" s="349"/>
      <c r="RGA65" s="349"/>
      <c r="RGB65" s="349"/>
      <c r="RGC65" s="349"/>
      <c r="RGD65" s="349"/>
      <c r="RGE65" s="349"/>
      <c r="RGF65" s="349"/>
      <c r="RGG65" s="349"/>
      <c r="RGH65" s="349"/>
      <c r="RGI65" s="349"/>
      <c r="RGJ65" s="349"/>
      <c r="RGK65" s="349"/>
      <c r="RGL65" s="349"/>
      <c r="RGM65" s="349"/>
      <c r="RGN65" s="349"/>
      <c r="RGO65" s="349"/>
      <c r="RGP65" s="349"/>
      <c r="RGQ65" s="349"/>
      <c r="RGR65" s="349"/>
      <c r="RGS65" s="349"/>
      <c r="RGT65" s="349"/>
      <c r="RGU65" s="349"/>
      <c r="RGV65" s="349"/>
      <c r="RGW65" s="349"/>
      <c r="RGX65" s="349"/>
      <c r="RGY65" s="349"/>
      <c r="RGZ65" s="349"/>
      <c r="RHA65" s="349"/>
      <c r="RHB65" s="349"/>
      <c r="RHC65" s="349"/>
      <c r="RHD65" s="349"/>
      <c r="RHE65" s="349"/>
      <c r="RHF65" s="349"/>
      <c r="RHG65" s="349"/>
      <c r="RHH65" s="349"/>
      <c r="RHI65" s="349"/>
      <c r="RHJ65" s="349"/>
      <c r="RHK65" s="349"/>
      <c r="RHL65" s="349"/>
      <c r="RHM65" s="349"/>
      <c r="RHN65" s="349"/>
      <c r="RHO65" s="349"/>
      <c r="RHP65" s="349"/>
      <c r="RHQ65" s="349"/>
      <c r="RHR65" s="349"/>
      <c r="RHS65" s="349"/>
      <c r="RHT65" s="349"/>
      <c r="RHU65" s="349"/>
      <c r="RHV65" s="349"/>
      <c r="RHW65" s="349"/>
      <c r="RHX65" s="349"/>
      <c r="RHY65" s="349"/>
      <c r="RHZ65" s="349"/>
      <c r="RIA65" s="349"/>
      <c r="RIB65" s="349"/>
      <c r="RIC65" s="349"/>
      <c r="RID65" s="349"/>
      <c r="RIE65" s="349"/>
      <c r="RIF65" s="349"/>
      <c r="RIG65" s="349"/>
      <c r="RIH65" s="349"/>
      <c r="RII65" s="349"/>
      <c r="RIJ65" s="349"/>
      <c r="RIK65" s="349"/>
      <c r="RIL65" s="349"/>
      <c r="RIM65" s="349"/>
      <c r="RIN65" s="349"/>
      <c r="RIO65" s="349"/>
      <c r="RIP65" s="349"/>
      <c r="RIQ65" s="349"/>
      <c r="RIR65" s="349"/>
      <c r="RIS65" s="349"/>
      <c r="RIT65" s="349"/>
      <c r="RIU65" s="349"/>
      <c r="RIV65" s="349"/>
      <c r="RIW65" s="349"/>
      <c r="RIX65" s="349"/>
      <c r="RIY65" s="349"/>
      <c r="RIZ65" s="349"/>
      <c r="RJA65" s="349"/>
      <c r="RJB65" s="349"/>
      <c r="RJC65" s="349"/>
      <c r="RJD65" s="349"/>
      <c r="RJE65" s="349"/>
      <c r="RJF65" s="349"/>
      <c r="RJG65" s="349"/>
      <c r="RJH65" s="349"/>
      <c r="RJI65" s="349"/>
      <c r="RJJ65" s="349"/>
      <c r="RJK65" s="349"/>
      <c r="RJL65" s="349"/>
      <c r="RJM65" s="349"/>
      <c r="RJN65" s="349"/>
      <c r="RJO65" s="349"/>
      <c r="RJP65" s="349"/>
      <c r="RJQ65" s="349"/>
      <c r="RJR65" s="349"/>
      <c r="RJS65" s="349"/>
      <c r="RJT65" s="349"/>
      <c r="RJU65" s="349"/>
      <c r="RJV65" s="349"/>
      <c r="RJW65" s="349"/>
      <c r="RJX65" s="349"/>
      <c r="RJY65" s="349"/>
      <c r="RJZ65" s="349"/>
      <c r="RKA65" s="349"/>
      <c r="RKB65" s="349"/>
      <c r="RKC65" s="349"/>
      <c r="RKD65" s="349"/>
      <c r="RKE65" s="349"/>
      <c r="RKF65" s="349"/>
      <c r="RKG65" s="349"/>
      <c r="RKH65" s="349"/>
      <c r="RKI65" s="349"/>
      <c r="RKJ65" s="349"/>
      <c r="RKK65" s="349"/>
      <c r="RKL65" s="349"/>
      <c r="RKM65" s="349"/>
      <c r="RKN65" s="349"/>
      <c r="RKO65" s="349"/>
      <c r="RKP65" s="349"/>
      <c r="RKQ65" s="349"/>
      <c r="RKR65" s="349"/>
      <c r="RKS65" s="349"/>
      <c r="RKT65" s="349"/>
      <c r="RKU65" s="349"/>
      <c r="RKV65" s="349"/>
      <c r="RKW65" s="349"/>
      <c r="RKX65" s="349"/>
      <c r="RKY65" s="349"/>
      <c r="RKZ65" s="349"/>
      <c r="RLA65" s="349"/>
      <c r="RLB65" s="349"/>
      <c r="RLC65" s="349"/>
      <c r="RLD65" s="349"/>
      <c r="RLE65" s="349"/>
      <c r="RLF65" s="349"/>
      <c r="RLG65" s="349"/>
      <c r="RLH65" s="349"/>
      <c r="RLI65" s="349"/>
      <c r="RLJ65" s="349"/>
      <c r="RLK65" s="349"/>
      <c r="RLL65" s="349"/>
      <c r="RLM65" s="349"/>
      <c r="RLN65" s="349"/>
      <c r="RLO65" s="349"/>
      <c r="RLP65" s="349"/>
      <c r="RLQ65" s="349"/>
      <c r="RLR65" s="349"/>
      <c r="RLS65" s="349"/>
      <c r="RLT65" s="349"/>
      <c r="RLU65" s="349"/>
      <c r="RLV65" s="349"/>
      <c r="RLW65" s="349"/>
      <c r="RLX65" s="349"/>
      <c r="RLY65" s="349"/>
      <c r="RLZ65" s="349"/>
      <c r="RMA65" s="349"/>
      <c r="RMB65" s="349"/>
      <c r="RMC65" s="349"/>
      <c r="RMD65" s="349"/>
      <c r="RME65" s="349"/>
      <c r="RMF65" s="349"/>
      <c r="RMG65" s="349"/>
      <c r="RMH65" s="349"/>
      <c r="RMI65" s="349"/>
      <c r="RMJ65" s="349"/>
      <c r="RMK65" s="349"/>
      <c r="RML65" s="349"/>
      <c r="RMM65" s="349"/>
      <c r="RMN65" s="349"/>
      <c r="RMO65" s="349"/>
      <c r="RMP65" s="349"/>
      <c r="RMQ65" s="349"/>
      <c r="RMR65" s="349"/>
      <c r="RMS65" s="349"/>
      <c r="RMT65" s="349"/>
      <c r="RMU65" s="349"/>
      <c r="RMV65" s="349"/>
      <c r="RMW65" s="349"/>
      <c r="RMX65" s="349"/>
      <c r="RMY65" s="349"/>
      <c r="RMZ65" s="349"/>
      <c r="RNA65" s="349"/>
      <c r="RNB65" s="349"/>
      <c r="RNC65" s="349"/>
      <c r="RND65" s="349"/>
      <c r="RNE65" s="349"/>
      <c r="RNF65" s="349"/>
      <c r="RNG65" s="349"/>
      <c r="RNH65" s="349"/>
      <c r="RNI65" s="349"/>
      <c r="RNJ65" s="349"/>
      <c r="RNK65" s="349"/>
      <c r="RNL65" s="349"/>
      <c r="RNM65" s="349"/>
      <c r="RNN65" s="349"/>
      <c r="RNO65" s="349"/>
      <c r="RNP65" s="349"/>
      <c r="RNQ65" s="349"/>
      <c r="RNR65" s="349"/>
      <c r="RNS65" s="349"/>
      <c r="RNT65" s="349"/>
      <c r="RNU65" s="349"/>
      <c r="RNV65" s="349"/>
      <c r="RNW65" s="349"/>
      <c r="RNX65" s="349"/>
      <c r="RNY65" s="349"/>
      <c r="RNZ65" s="349"/>
      <c r="ROA65" s="349"/>
      <c r="ROB65" s="349"/>
      <c r="ROC65" s="349"/>
      <c r="ROD65" s="349"/>
      <c r="ROE65" s="349"/>
      <c r="ROF65" s="349"/>
      <c r="ROG65" s="349"/>
      <c r="ROH65" s="349"/>
      <c r="ROI65" s="349"/>
      <c r="ROJ65" s="349"/>
      <c r="ROK65" s="349"/>
      <c r="ROL65" s="349"/>
      <c r="ROM65" s="349"/>
      <c r="RON65" s="349"/>
      <c r="ROO65" s="349"/>
      <c r="ROP65" s="349"/>
      <c r="ROQ65" s="349"/>
      <c r="ROR65" s="349"/>
      <c r="ROS65" s="349"/>
      <c r="ROT65" s="349"/>
      <c r="ROU65" s="349"/>
      <c r="ROV65" s="349"/>
      <c r="ROW65" s="349"/>
      <c r="ROX65" s="349"/>
      <c r="ROY65" s="349"/>
      <c r="ROZ65" s="349"/>
      <c r="RPA65" s="349"/>
      <c r="RPB65" s="349"/>
      <c r="RPC65" s="349"/>
      <c r="RPD65" s="349"/>
      <c r="RPE65" s="349"/>
      <c r="RPF65" s="349"/>
      <c r="RPG65" s="349"/>
      <c r="RPH65" s="349"/>
      <c r="RPI65" s="349"/>
      <c r="RPJ65" s="349"/>
      <c r="RPK65" s="349"/>
      <c r="RPL65" s="349"/>
      <c r="RPM65" s="349"/>
      <c r="RPN65" s="349"/>
      <c r="RPO65" s="349"/>
      <c r="RPP65" s="349"/>
      <c r="RPQ65" s="349"/>
      <c r="RPR65" s="349"/>
      <c r="RPS65" s="349"/>
      <c r="RPT65" s="349"/>
      <c r="RPU65" s="349"/>
      <c r="RPV65" s="349"/>
      <c r="RPW65" s="349"/>
      <c r="RPX65" s="349"/>
      <c r="RPY65" s="349"/>
      <c r="RPZ65" s="349"/>
      <c r="RQA65" s="349"/>
      <c r="RQB65" s="349"/>
      <c r="RQC65" s="349"/>
      <c r="RQD65" s="349"/>
      <c r="RQE65" s="349"/>
      <c r="RQF65" s="349"/>
      <c r="RQG65" s="349"/>
      <c r="RQH65" s="349"/>
      <c r="RQI65" s="349"/>
      <c r="RQJ65" s="349"/>
      <c r="RQK65" s="349"/>
      <c r="RQL65" s="349"/>
      <c r="RQM65" s="349"/>
      <c r="RQN65" s="349"/>
      <c r="RQO65" s="349"/>
      <c r="RQP65" s="349"/>
      <c r="RQQ65" s="349"/>
      <c r="RQR65" s="349"/>
      <c r="RQS65" s="349"/>
      <c r="RQT65" s="349"/>
      <c r="RQU65" s="349"/>
      <c r="RQV65" s="349"/>
      <c r="RQW65" s="349"/>
      <c r="RQX65" s="349"/>
      <c r="RQY65" s="349"/>
      <c r="RQZ65" s="349"/>
      <c r="RRA65" s="349"/>
      <c r="RRB65" s="349"/>
      <c r="RRC65" s="349"/>
      <c r="RRD65" s="349"/>
      <c r="RRE65" s="349"/>
      <c r="RRF65" s="349"/>
      <c r="RRG65" s="349"/>
      <c r="RRH65" s="349"/>
      <c r="RRI65" s="349"/>
      <c r="RRJ65" s="349"/>
      <c r="RRK65" s="349"/>
      <c r="RRL65" s="349"/>
      <c r="RRM65" s="349"/>
      <c r="RRN65" s="349"/>
      <c r="RRO65" s="349"/>
      <c r="RRP65" s="349"/>
      <c r="RRQ65" s="349"/>
      <c r="RRR65" s="349"/>
      <c r="RRS65" s="349"/>
      <c r="RRT65" s="349"/>
      <c r="RRU65" s="349"/>
      <c r="RRV65" s="349"/>
      <c r="RRW65" s="349"/>
      <c r="RRX65" s="349"/>
      <c r="RRY65" s="349"/>
      <c r="RRZ65" s="349"/>
      <c r="RSA65" s="349"/>
      <c r="RSB65" s="349"/>
      <c r="RSC65" s="349"/>
      <c r="RSD65" s="349"/>
      <c r="RSE65" s="349"/>
      <c r="RSF65" s="349"/>
      <c r="RSG65" s="349"/>
      <c r="RSH65" s="349"/>
      <c r="RSI65" s="349"/>
      <c r="RSJ65" s="349"/>
      <c r="RSK65" s="349"/>
      <c r="RSL65" s="349"/>
      <c r="RSM65" s="349"/>
      <c r="RSN65" s="349"/>
      <c r="RSO65" s="349"/>
      <c r="RSP65" s="349"/>
      <c r="RSQ65" s="349"/>
      <c r="RSR65" s="349"/>
      <c r="RSS65" s="349"/>
      <c r="RST65" s="349"/>
      <c r="RSU65" s="349"/>
      <c r="RSV65" s="349"/>
      <c r="RSW65" s="349"/>
      <c r="RSX65" s="349"/>
      <c r="RSY65" s="349"/>
      <c r="RSZ65" s="349"/>
      <c r="RTA65" s="349"/>
      <c r="RTB65" s="349"/>
      <c r="RTC65" s="349"/>
      <c r="RTD65" s="349"/>
      <c r="RTE65" s="349"/>
      <c r="RTF65" s="349"/>
      <c r="RTG65" s="349"/>
      <c r="RTH65" s="349"/>
      <c r="RTI65" s="349"/>
      <c r="RTJ65" s="349"/>
      <c r="RTK65" s="349"/>
      <c r="RTL65" s="349"/>
      <c r="RTM65" s="349"/>
      <c r="RTN65" s="349"/>
      <c r="RTO65" s="349"/>
      <c r="RTP65" s="349"/>
      <c r="RTQ65" s="349"/>
      <c r="RTR65" s="349"/>
      <c r="RTS65" s="349"/>
      <c r="RTT65" s="349"/>
      <c r="RTU65" s="349"/>
      <c r="RTV65" s="349"/>
      <c r="RTW65" s="349"/>
      <c r="RTX65" s="349"/>
      <c r="RTY65" s="349"/>
      <c r="RTZ65" s="349"/>
      <c r="RUA65" s="349"/>
      <c r="RUB65" s="349"/>
      <c r="RUC65" s="349"/>
      <c r="RUD65" s="349"/>
      <c r="RUE65" s="349"/>
      <c r="RUF65" s="349"/>
      <c r="RUG65" s="349"/>
      <c r="RUH65" s="349"/>
      <c r="RUI65" s="349"/>
      <c r="RUJ65" s="349"/>
      <c r="RUK65" s="349"/>
      <c r="RUL65" s="349"/>
      <c r="RUM65" s="349"/>
      <c r="RUN65" s="349"/>
      <c r="RUO65" s="349"/>
      <c r="RUP65" s="349"/>
      <c r="RUQ65" s="349"/>
      <c r="RUR65" s="349"/>
      <c r="RUS65" s="349"/>
      <c r="RUT65" s="349"/>
      <c r="RUU65" s="349"/>
      <c r="RUV65" s="349"/>
      <c r="RUW65" s="349"/>
      <c r="RUX65" s="349"/>
      <c r="RUY65" s="349"/>
      <c r="RUZ65" s="349"/>
      <c r="RVA65" s="349"/>
      <c r="RVB65" s="349"/>
      <c r="RVC65" s="349"/>
      <c r="RVD65" s="349"/>
      <c r="RVE65" s="349"/>
      <c r="RVF65" s="349"/>
      <c r="RVG65" s="349"/>
      <c r="RVH65" s="349"/>
      <c r="RVI65" s="349"/>
      <c r="RVJ65" s="349"/>
      <c r="RVK65" s="349"/>
      <c r="RVL65" s="349"/>
      <c r="RVM65" s="349"/>
      <c r="RVN65" s="349"/>
      <c r="RVO65" s="349"/>
      <c r="RVP65" s="349"/>
      <c r="RVQ65" s="349"/>
      <c r="RVR65" s="349"/>
      <c r="RVS65" s="349"/>
      <c r="RVT65" s="349"/>
      <c r="RVU65" s="349"/>
      <c r="RVV65" s="349"/>
      <c r="RVW65" s="349"/>
      <c r="RVX65" s="349"/>
      <c r="RVY65" s="349"/>
      <c r="RVZ65" s="349"/>
      <c r="RWA65" s="349"/>
      <c r="RWB65" s="349"/>
      <c r="RWC65" s="349"/>
      <c r="RWD65" s="349"/>
      <c r="RWE65" s="349"/>
      <c r="RWF65" s="349"/>
      <c r="RWG65" s="349"/>
      <c r="RWH65" s="349"/>
      <c r="RWI65" s="349"/>
      <c r="RWJ65" s="349"/>
      <c r="RWK65" s="349"/>
      <c r="RWL65" s="349"/>
      <c r="RWM65" s="349"/>
      <c r="RWN65" s="349"/>
      <c r="RWO65" s="349"/>
      <c r="RWP65" s="349"/>
      <c r="RWQ65" s="349"/>
      <c r="RWR65" s="349"/>
      <c r="RWS65" s="349"/>
      <c r="RWT65" s="349"/>
      <c r="RWU65" s="349"/>
      <c r="RWV65" s="349"/>
      <c r="RWW65" s="349"/>
      <c r="RWX65" s="349"/>
      <c r="RWY65" s="349"/>
      <c r="RWZ65" s="349"/>
      <c r="RXA65" s="349"/>
      <c r="RXB65" s="349"/>
      <c r="RXC65" s="349"/>
      <c r="RXD65" s="349"/>
      <c r="RXE65" s="349"/>
      <c r="RXF65" s="349"/>
      <c r="RXG65" s="349"/>
      <c r="RXH65" s="349"/>
      <c r="RXI65" s="349"/>
      <c r="RXJ65" s="349"/>
      <c r="RXK65" s="349"/>
      <c r="RXL65" s="349"/>
      <c r="RXM65" s="349"/>
      <c r="RXN65" s="349"/>
      <c r="RXO65" s="349"/>
      <c r="RXP65" s="349"/>
      <c r="RXQ65" s="349"/>
      <c r="RXR65" s="349"/>
      <c r="RXS65" s="349"/>
      <c r="RXT65" s="349"/>
      <c r="RXU65" s="349"/>
      <c r="RXV65" s="349"/>
      <c r="RXW65" s="349"/>
      <c r="RXX65" s="349"/>
      <c r="RXY65" s="349"/>
      <c r="RXZ65" s="349"/>
      <c r="RYA65" s="349"/>
      <c r="RYB65" s="349"/>
      <c r="RYC65" s="349"/>
      <c r="RYD65" s="349"/>
      <c r="RYE65" s="349"/>
      <c r="RYF65" s="349"/>
      <c r="RYG65" s="349"/>
      <c r="RYH65" s="349"/>
      <c r="RYI65" s="349"/>
      <c r="RYJ65" s="349"/>
      <c r="RYK65" s="349"/>
      <c r="RYL65" s="349"/>
      <c r="RYM65" s="349"/>
      <c r="RYN65" s="349"/>
      <c r="RYO65" s="349"/>
      <c r="RYP65" s="349"/>
      <c r="RYQ65" s="349"/>
      <c r="RYR65" s="349"/>
      <c r="RYS65" s="349"/>
      <c r="RYT65" s="349"/>
      <c r="RYU65" s="349"/>
      <c r="RYV65" s="349"/>
      <c r="RYW65" s="349"/>
      <c r="RYX65" s="349"/>
      <c r="RYY65" s="349"/>
      <c r="RYZ65" s="349"/>
      <c r="RZA65" s="349"/>
      <c r="RZB65" s="349"/>
      <c r="RZC65" s="349"/>
      <c r="RZD65" s="349"/>
      <c r="RZE65" s="349"/>
      <c r="RZF65" s="349"/>
      <c r="RZG65" s="349"/>
      <c r="RZH65" s="349"/>
      <c r="RZI65" s="349"/>
      <c r="RZJ65" s="349"/>
      <c r="RZK65" s="349"/>
      <c r="RZL65" s="349"/>
      <c r="RZM65" s="349"/>
      <c r="RZN65" s="349"/>
      <c r="RZO65" s="349"/>
      <c r="RZP65" s="349"/>
      <c r="RZQ65" s="349"/>
      <c r="RZR65" s="349"/>
      <c r="RZS65" s="349"/>
      <c r="RZT65" s="349"/>
      <c r="RZU65" s="349"/>
      <c r="RZV65" s="349"/>
      <c r="RZW65" s="349"/>
      <c r="RZX65" s="349"/>
      <c r="RZY65" s="349"/>
      <c r="RZZ65" s="349"/>
      <c r="SAA65" s="349"/>
      <c r="SAB65" s="349"/>
      <c r="SAC65" s="349"/>
      <c r="SAD65" s="349"/>
      <c r="SAE65" s="349"/>
      <c r="SAF65" s="349"/>
      <c r="SAG65" s="349"/>
      <c r="SAH65" s="349"/>
      <c r="SAI65" s="349"/>
      <c r="SAJ65" s="349"/>
      <c r="SAK65" s="349"/>
      <c r="SAL65" s="349"/>
      <c r="SAM65" s="349"/>
      <c r="SAN65" s="349"/>
      <c r="SAO65" s="349"/>
      <c r="SAP65" s="349"/>
      <c r="SAQ65" s="349"/>
      <c r="SAR65" s="349"/>
      <c r="SAS65" s="349"/>
      <c r="SAT65" s="349"/>
      <c r="SAU65" s="349"/>
      <c r="SAV65" s="349"/>
      <c r="SAW65" s="349"/>
      <c r="SAX65" s="349"/>
      <c r="SAY65" s="349"/>
      <c r="SAZ65" s="349"/>
      <c r="SBA65" s="349"/>
      <c r="SBB65" s="349"/>
      <c r="SBC65" s="349"/>
      <c r="SBD65" s="349"/>
      <c r="SBE65" s="349"/>
      <c r="SBF65" s="349"/>
      <c r="SBG65" s="349"/>
      <c r="SBH65" s="349"/>
      <c r="SBI65" s="349"/>
      <c r="SBJ65" s="349"/>
      <c r="SBK65" s="349"/>
      <c r="SBL65" s="349"/>
      <c r="SBM65" s="349"/>
      <c r="SBN65" s="349"/>
      <c r="SBO65" s="349"/>
      <c r="SBP65" s="349"/>
      <c r="SBQ65" s="349"/>
      <c r="SBR65" s="349"/>
      <c r="SBS65" s="349"/>
      <c r="SBT65" s="349"/>
      <c r="SBU65" s="349"/>
      <c r="SBV65" s="349"/>
      <c r="SBW65" s="349"/>
      <c r="SBX65" s="349"/>
      <c r="SBY65" s="349"/>
      <c r="SBZ65" s="349"/>
      <c r="SCA65" s="349"/>
      <c r="SCB65" s="349"/>
      <c r="SCC65" s="349"/>
      <c r="SCD65" s="349"/>
      <c r="SCE65" s="349"/>
      <c r="SCF65" s="349"/>
      <c r="SCG65" s="349"/>
      <c r="SCH65" s="349"/>
      <c r="SCI65" s="349"/>
      <c r="SCJ65" s="349"/>
      <c r="SCK65" s="349"/>
      <c r="SCL65" s="349"/>
      <c r="SCM65" s="349"/>
      <c r="SCN65" s="349"/>
      <c r="SCO65" s="349"/>
      <c r="SCP65" s="349"/>
      <c r="SCQ65" s="349"/>
      <c r="SCR65" s="349"/>
      <c r="SCS65" s="349"/>
      <c r="SCT65" s="349"/>
      <c r="SCU65" s="349"/>
      <c r="SCV65" s="349"/>
      <c r="SCW65" s="349"/>
      <c r="SCX65" s="349"/>
      <c r="SCY65" s="349"/>
      <c r="SCZ65" s="349"/>
      <c r="SDA65" s="349"/>
      <c r="SDB65" s="349"/>
      <c r="SDC65" s="349"/>
      <c r="SDD65" s="349"/>
      <c r="SDE65" s="349"/>
      <c r="SDF65" s="349"/>
      <c r="SDG65" s="349"/>
      <c r="SDH65" s="349"/>
      <c r="SDI65" s="349"/>
      <c r="SDJ65" s="349"/>
      <c r="SDK65" s="349"/>
      <c r="SDL65" s="349"/>
      <c r="SDM65" s="349"/>
      <c r="SDN65" s="349"/>
      <c r="SDO65" s="349"/>
      <c r="SDP65" s="349"/>
      <c r="SDQ65" s="349"/>
      <c r="SDR65" s="349"/>
      <c r="SDS65" s="349"/>
      <c r="SDT65" s="349"/>
      <c r="SDU65" s="349"/>
      <c r="SDV65" s="349"/>
      <c r="SDW65" s="349"/>
      <c r="SDX65" s="349"/>
      <c r="SDY65" s="349"/>
      <c r="SDZ65" s="349"/>
      <c r="SEA65" s="349"/>
      <c r="SEB65" s="349"/>
      <c r="SEC65" s="349"/>
      <c r="SED65" s="349"/>
      <c r="SEE65" s="349"/>
      <c r="SEF65" s="349"/>
      <c r="SEG65" s="349"/>
      <c r="SEH65" s="349"/>
      <c r="SEI65" s="349"/>
      <c r="SEJ65" s="349"/>
      <c r="SEK65" s="349"/>
      <c r="SEL65" s="349"/>
      <c r="SEM65" s="349"/>
      <c r="SEN65" s="349"/>
      <c r="SEO65" s="349"/>
      <c r="SEP65" s="349"/>
      <c r="SEQ65" s="349"/>
      <c r="SER65" s="349"/>
      <c r="SES65" s="349"/>
      <c r="SET65" s="349"/>
      <c r="SEU65" s="349"/>
      <c r="SEV65" s="349"/>
      <c r="SEW65" s="349"/>
      <c r="SEX65" s="349"/>
      <c r="SEY65" s="349"/>
      <c r="SEZ65" s="349"/>
      <c r="SFA65" s="349"/>
      <c r="SFB65" s="349"/>
      <c r="SFC65" s="349"/>
      <c r="SFD65" s="349"/>
      <c r="SFE65" s="349"/>
      <c r="SFF65" s="349"/>
      <c r="SFG65" s="349"/>
      <c r="SFH65" s="349"/>
      <c r="SFI65" s="349"/>
      <c r="SFJ65" s="349"/>
      <c r="SFK65" s="349"/>
      <c r="SFL65" s="349"/>
      <c r="SFM65" s="349"/>
      <c r="SFN65" s="349"/>
      <c r="SFO65" s="349"/>
      <c r="SFP65" s="349"/>
      <c r="SFQ65" s="349"/>
      <c r="SFR65" s="349"/>
      <c r="SFS65" s="349"/>
      <c r="SFT65" s="349"/>
      <c r="SFU65" s="349"/>
      <c r="SFV65" s="349"/>
      <c r="SFW65" s="349"/>
      <c r="SFX65" s="349"/>
      <c r="SFY65" s="349"/>
      <c r="SFZ65" s="349"/>
      <c r="SGA65" s="349"/>
      <c r="SGB65" s="349"/>
      <c r="SGC65" s="349"/>
      <c r="SGD65" s="349"/>
      <c r="SGE65" s="349"/>
      <c r="SGF65" s="349"/>
      <c r="SGG65" s="349"/>
      <c r="SGH65" s="349"/>
      <c r="SGI65" s="349"/>
      <c r="SGJ65" s="349"/>
      <c r="SGK65" s="349"/>
      <c r="SGL65" s="349"/>
      <c r="SGM65" s="349"/>
      <c r="SGN65" s="349"/>
      <c r="SGO65" s="349"/>
      <c r="SGP65" s="349"/>
      <c r="SGQ65" s="349"/>
      <c r="SGR65" s="349"/>
      <c r="SGS65" s="349"/>
      <c r="SGT65" s="349"/>
      <c r="SGU65" s="349"/>
      <c r="SGV65" s="349"/>
      <c r="SGW65" s="349"/>
      <c r="SGX65" s="349"/>
      <c r="SGY65" s="349"/>
      <c r="SGZ65" s="349"/>
      <c r="SHA65" s="349"/>
      <c r="SHB65" s="349"/>
      <c r="SHC65" s="349"/>
      <c r="SHD65" s="349"/>
      <c r="SHE65" s="349"/>
      <c r="SHF65" s="349"/>
      <c r="SHG65" s="349"/>
      <c r="SHH65" s="349"/>
      <c r="SHI65" s="349"/>
      <c r="SHJ65" s="349"/>
      <c r="SHK65" s="349"/>
      <c r="SHL65" s="349"/>
      <c r="SHM65" s="349"/>
      <c r="SHN65" s="349"/>
      <c r="SHO65" s="349"/>
      <c r="SHP65" s="349"/>
      <c r="SHQ65" s="349"/>
      <c r="SHR65" s="349"/>
      <c r="SHS65" s="349"/>
      <c r="SHT65" s="349"/>
      <c r="SHU65" s="349"/>
      <c r="SHV65" s="349"/>
      <c r="SHW65" s="349"/>
      <c r="SHX65" s="349"/>
      <c r="SHY65" s="349"/>
      <c r="SHZ65" s="349"/>
      <c r="SIA65" s="349"/>
      <c r="SIB65" s="349"/>
      <c r="SIC65" s="349"/>
      <c r="SID65" s="349"/>
      <c r="SIE65" s="349"/>
      <c r="SIF65" s="349"/>
      <c r="SIG65" s="349"/>
      <c r="SIH65" s="349"/>
      <c r="SII65" s="349"/>
      <c r="SIJ65" s="349"/>
      <c r="SIK65" s="349"/>
      <c r="SIL65" s="349"/>
      <c r="SIM65" s="349"/>
      <c r="SIN65" s="349"/>
      <c r="SIO65" s="349"/>
      <c r="SIP65" s="349"/>
      <c r="SIQ65" s="349"/>
      <c r="SIR65" s="349"/>
      <c r="SIS65" s="349"/>
      <c r="SIT65" s="349"/>
      <c r="SIU65" s="349"/>
      <c r="SIV65" s="349"/>
      <c r="SIW65" s="349"/>
      <c r="SIX65" s="349"/>
      <c r="SIY65" s="349"/>
      <c r="SIZ65" s="349"/>
      <c r="SJA65" s="349"/>
      <c r="SJB65" s="349"/>
      <c r="SJC65" s="349"/>
      <c r="SJD65" s="349"/>
      <c r="SJE65" s="349"/>
      <c r="SJF65" s="349"/>
      <c r="SJG65" s="349"/>
      <c r="SJH65" s="349"/>
      <c r="SJI65" s="349"/>
      <c r="SJJ65" s="349"/>
      <c r="SJK65" s="349"/>
      <c r="SJL65" s="349"/>
      <c r="SJM65" s="349"/>
      <c r="SJN65" s="349"/>
      <c r="SJO65" s="349"/>
      <c r="SJP65" s="349"/>
      <c r="SJQ65" s="349"/>
      <c r="SJR65" s="349"/>
      <c r="SJS65" s="349"/>
      <c r="SJT65" s="349"/>
      <c r="SJU65" s="349"/>
      <c r="SJV65" s="349"/>
      <c r="SJW65" s="349"/>
      <c r="SJX65" s="349"/>
      <c r="SJY65" s="349"/>
      <c r="SJZ65" s="349"/>
      <c r="SKA65" s="349"/>
      <c r="SKB65" s="349"/>
      <c r="SKC65" s="349"/>
      <c r="SKD65" s="349"/>
      <c r="SKE65" s="349"/>
      <c r="SKF65" s="349"/>
      <c r="SKG65" s="349"/>
      <c r="SKH65" s="349"/>
      <c r="SKI65" s="349"/>
      <c r="SKJ65" s="349"/>
      <c r="SKK65" s="349"/>
      <c r="SKL65" s="349"/>
      <c r="SKM65" s="349"/>
      <c r="SKN65" s="349"/>
      <c r="SKO65" s="349"/>
      <c r="SKP65" s="349"/>
      <c r="SKQ65" s="349"/>
      <c r="SKR65" s="349"/>
      <c r="SKS65" s="349"/>
      <c r="SKT65" s="349"/>
      <c r="SKU65" s="349"/>
      <c r="SKV65" s="349"/>
      <c r="SKW65" s="349"/>
      <c r="SKX65" s="349"/>
      <c r="SKY65" s="349"/>
      <c r="SKZ65" s="349"/>
      <c r="SLA65" s="349"/>
      <c r="SLB65" s="349"/>
      <c r="SLC65" s="349"/>
      <c r="SLD65" s="349"/>
      <c r="SLE65" s="349"/>
      <c r="SLF65" s="349"/>
      <c r="SLG65" s="349"/>
      <c r="SLH65" s="349"/>
      <c r="SLI65" s="349"/>
      <c r="SLJ65" s="349"/>
      <c r="SLK65" s="349"/>
      <c r="SLL65" s="349"/>
      <c r="SLM65" s="349"/>
      <c r="SLN65" s="349"/>
      <c r="SLO65" s="349"/>
      <c r="SLP65" s="349"/>
      <c r="SLQ65" s="349"/>
      <c r="SLR65" s="349"/>
      <c r="SLS65" s="349"/>
      <c r="SLT65" s="349"/>
      <c r="SLU65" s="349"/>
      <c r="SLV65" s="349"/>
      <c r="SLW65" s="349"/>
      <c r="SLX65" s="349"/>
      <c r="SLY65" s="349"/>
      <c r="SLZ65" s="349"/>
      <c r="SMA65" s="349"/>
      <c r="SMB65" s="349"/>
      <c r="SMC65" s="349"/>
      <c r="SMD65" s="349"/>
      <c r="SME65" s="349"/>
      <c r="SMF65" s="349"/>
      <c r="SMG65" s="349"/>
      <c r="SMH65" s="349"/>
      <c r="SMI65" s="349"/>
      <c r="SMJ65" s="349"/>
      <c r="SMK65" s="349"/>
      <c r="SML65" s="349"/>
      <c r="SMM65" s="349"/>
      <c r="SMN65" s="349"/>
      <c r="SMO65" s="349"/>
      <c r="SMP65" s="349"/>
      <c r="SMQ65" s="349"/>
      <c r="SMR65" s="349"/>
      <c r="SMS65" s="349"/>
      <c r="SMT65" s="349"/>
      <c r="SMU65" s="349"/>
      <c r="SMV65" s="349"/>
      <c r="SMW65" s="349"/>
      <c r="SMX65" s="349"/>
      <c r="SMY65" s="349"/>
      <c r="SMZ65" s="349"/>
      <c r="SNA65" s="349"/>
      <c r="SNB65" s="349"/>
      <c r="SNC65" s="349"/>
      <c r="SND65" s="349"/>
      <c r="SNE65" s="349"/>
      <c r="SNF65" s="349"/>
      <c r="SNG65" s="349"/>
      <c r="SNH65" s="349"/>
      <c r="SNI65" s="349"/>
      <c r="SNJ65" s="349"/>
      <c r="SNK65" s="349"/>
      <c r="SNL65" s="349"/>
      <c r="SNM65" s="349"/>
      <c r="SNN65" s="349"/>
      <c r="SNO65" s="349"/>
      <c r="SNP65" s="349"/>
      <c r="SNQ65" s="349"/>
      <c r="SNR65" s="349"/>
      <c r="SNS65" s="349"/>
      <c r="SNT65" s="349"/>
      <c r="SNU65" s="349"/>
      <c r="SNV65" s="349"/>
      <c r="SNW65" s="349"/>
      <c r="SNX65" s="349"/>
      <c r="SNY65" s="349"/>
      <c r="SNZ65" s="349"/>
      <c r="SOA65" s="349"/>
      <c r="SOB65" s="349"/>
      <c r="SOC65" s="349"/>
      <c r="SOD65" s="349"/>
      <c r="SOE65" s="349"/>
      <c r="SOF65" s="349"/>
      <c r="SOG65" s="349"/>
      <c r="SOH65" s="349"/>
      <c r="SOI65" s="349"/>
      <c r="SOJ65" s="349"/>
      <c r="SOK65" s="349"/>
      <c r="SOL65" s="349"/>
      <c r="SOM65" s="349"/>
      <c r="SON65" s="349"/>
      <c r="SOO65" s="349"/>
      <c r="SOP65" s="349"/>
      <c r="SOQ65" s="349"/>
      <c r="SOR65" s="349"/>
      <c r="SOS65" s="349"/>
      <c r="SOT65" s="349"/>
      <c r="SOU65" s="349"/>
      <c r="SOV65" s="349"/>
      <c r="SOW65" s="349"/>
      <c r="SOX65" s="349"/>
      <c r="SOY65" s="349"/>
      <c r="SOZ65" s="349"/>
      <c r="SPA65" s="349"/>
      <c r="SPB65" s="349"/>
      <c r="SPC65" s="349"/>
      <c r="SPD65" s="349"/>
      <c r="SPE65" s="349"/>
      <c r="SPF65" s="349"/>
      <c r="SPG65" s="349"/>
      <c r="SPH65" s="349"/>
      <c r="SPI65" s="349"/>
      <c r="SPJ65" s="349"/>
      <c r="SPK65" s="349"/>
      <c r="SPL65" s="349"/>
      <c r="SPM65" s="349"/>
      <c r="SPN65" s="349"/>
      <c r="SPO65" s="349"/>
      <c r="SPP65" s="349"/>
      <c r="SPQ65" s="349"/>
      <c r="SPR65" s="349"/>
      <c r="SPS65" s="349"/>
      <c r="SPT65" s="349"/>
      <c r="SPU65" s="349"/>
      <c r="SPV65" s="349"/>
      <c r="SPW65" s="349"/>
      <c r="SPX65" s="349"/>
      <c r="SPY65" s="349"/>
      <c r="SPZ65" s="349"/>
      <c r="SQA65" s="349"/>
      <c r="SQB65" s="349"/>
      <c r="SQC65" s="349"/>
      <c r="SQD65" s="349"/>
      <c r="SQE65" s="349"/>
      <c r="SQF65" s="349"/>
      <c r="SQG65" s="349"/>
      <c r="SQH65" s="349"/>
      <c r="SQI65" s="349"/>
      <c r="SQJ65" s="349"/>
      <c r="SQK65" s="349"/>
      <c r="SQL65" s="349"/>
      <c r="SQM65" s="349"/>
      <c r="SQN65" s="349"/>
      <c r="SQO65" s="349"/>
      <c r="SQP65" s="349"/>
      <c r="SQQ65" s="349"/>
      <c r="SQR65" s="349"/>
      <c r="SQS65" s="349"/>
      <c r="SQT65" s="349"/>
      <c r="SQU65" s="349"/>
      <c r="SQV65" s="349"/>
      <c r="SQW65" s="349"/>
      <c r="SQX65" s="349"/>
      <c r="SQY65" s="349"/>
      <c r="SQZ65" s="349"/>
      <c r="SRA65" s="349"/>
      <c r="SRB65" s="349"/>
      <c r="SRC65" s="349"/>
      <c r="SRD65" s="349"/>
      <c r="SRE65" s="349"/>
      <c r="SRF65" s="349"/>
      <c r="SRG65" s="349"/>
      <c r="SRH65" s="349"/>
      <c r="SRI65" s="349"/>
      <c r="SRJ65" s="349"/>
      <c r="SRK65" s="349"/>
      <c r="SRL65" s="349"/>
      <c r="SRM65" s="349"/>
      <c r="SRN65" s="349"/>
      <c r="SRO65" s="349"/>
      <c r="SRP65" s="349"/>
      <c r="SRQ65" s="349"/>
      <c r="SRR65" s="349"/>
      <c r="SRS65" s="349"/>
      <c r="SRT65" s="349"/>
      <c r="SRU65" s="349"/>
      <c r="SRV65" s="349"/>
      <c r="SRW65" s="349"/>
      <c r="SRX65" s="349"/>
      <c r="SRY65" s="349"/>
      <c r="SRZ65" s="349"/>
      <c r="SSA65" s="349"/>
      <c r="SSB65" s="349"/>
      <c r="SSC65" s="349"/>
      <c r="SSD65" s="349"/>
      <c r="SSE65" s="349"/>
      <c r="SSF65" s="349"/>
      <c r="SSG65" s="349"/>
      <c r="SSH65" s="349"/>
      <c r="SSI65" s="349"/>
      <c r="SSJ65" s="349"/>
      <c r="SSK65" s="349"/>
      <c r="SSL65" s="349"/>
      <c r="SSM65" s="349"/>
      <c r="SSN65" s="349"/>
      <c r="SSO65" s="349"/>
      <c r="SSP65" s="349"/>
      <c r="SSQ65" s="349"/>
      <c r="SSR65" s="349"/>
      <c r="SSS65" s="349"/>
      <c r="SST65" s="349"/>
      <c r="SSU65" s="349"/>
      <c r="SSV65" s="349"/>
      <c r="SSW65" s="349"/>
      <c r="SSX65" s="349"/>
      <c r="SSY65" s="349"/>
      <c r="SSZ65" s="349"/>
      <c r="STA65" s="349"/>
      <c r="STB65" s="349"/>
      <c r="STC65" s="349"/>
      <c r="STD65" s="349"/>
      <c r="STE65" s="349"/>
      <c r="STF65" s="349"/>
      <c r="STG65" s="349"/>
      <c r="STH65" s="349"/>
      <c r="STI65" s="349"/>
      <c r="STJ65" s="349"/>
      <c r="STK65" s="349"/>
      <c r="STL65" s="349"/>
      <c r="STM65" s="349"/>
      <c r="STN65" s="349"/>
      <c r="STO65" s="349"/>
      <c r="STP65" s="349"/>
      <c r="STQ65" s="349"/>
      <c r="STR65" s="349"/>
      <c r="STS65" s="349"/>
      <c r="STT65" s="349"/>
      <c r="STU65" s="349"/>
      <c r="STV65" s="349"/>
      <c r="STW65" s="349"/>
      <c r="STX65" s="349"/>
      <c r="STY65" s="349"/>
      <c r="STZ65" s="349"/>
      <c r="SUA65" s="349"/>
      <c r="SUB65" s="349"/>
      <c r="SUC65" s="349"/>
      <c r="SUD65" s="349"/>
      <c r="SUE65" s="349"/>
      <c r="SUF65" s="349"/>
      <c r="SUG65" s="349"/>
      <c r="SUH65" s="349"/>
      <c r="SUI65" s="349"/>
      <c r="SUJ65" s="349"/>
      <c r="SUK65" s="349"/>
      <c r="SUL65" s="349"/>
      <c r="SUM65" s="349"/>
      <c r="SUN65" s="349"/>
      <c r="SUO65" s="349"/>
      <c r="SUP65" s="349"/>
      <c r="SUQ65" s="349"/>
      <c r="SUR65" s="349"/>
      <c r="SUS65" s="349"/>
      <c r="SUT65" s="349"/>
      <c r="SUU65" s="349"/>
      <c r="SUV65" s="349"/>
      <c r="SUW65" s="349"/>
      <c r="SUX65" s="349"/>
      <c r="SUY65" s="349"/>
      <c r="SUZ65" s="349"/>
      <c r="SVA65" s="349"/>
      <c r="SVB65" s="349"/>
      <c r="SVC65" s="349"/>
      <c r="SVD65" s="349"/>
      <c r="SVE65" s="349"/>
      <c r="SVF65" s="349"/>
      <c r="SVG65" s="349"/>
      <c r="SVH65" s="349"/>
      <c r="SVI65" s="349"/>
      <c r="SVJ65" s="349"/>
      <c r="SVK65" s="349"/>
      <c r="SVL65" s="349"/>
      <c r="SVM65" s="349"/>
      <c r="SVN65" s="349"/>
      <c r="SVO65" s="349"/>
      <c r="SVP65" s="349"/>
      <c r="SVQ65" s="349"/>
      <c r="SVR65" s="349"/>
      <c r="SVS65" s="349"/>
      <c r="SVT65" s="349"/>
      <c r="SVU65" s="349"/>
      <c r="SVV65" s="349"/>
      <c r="SVW65" s="349"/>
      <c r="SVX65" s="349"/>
      <c r="SVY65" s="349"/>
      <c r="SVZ65" s="349"/>
      <c r="SWA65" s="349"/>
      <c r="SWB65" s="349"/>
      <c r="SWC65" s="349"/>
      <c r="SWD65" s="349"/>
      <c r="SWE65" s="349"/>
      <c r="SWF65" s="349"/>
      <c r="SWG65" s="349"/>
      <c r="SWH65" s="349"/>
      <c r="SWI65" s="349"/>
      <c r="SWJ65" s="349"/>
      <c r="SWK65" s="349"/>
      <c r="SWL65" s="349"/>
      <c r="SWM65" s="349"/>
      <c r="SWN65" s="349"/>
      <c r="SWO65" s="349"/>
      <c r="SWP65" s="349"/>
      <c r="SWQ65" s="349"/>
      <c r="SWR65" s="349"/>
      <c r="SWS65" s="349"/>
      <c r="SWT65" s="349"/>
      <c r="SWU65" s="349"/>
      <c r="SWV65" s="349"/>
      <c r="SWW65" s="349"/>
      <c r="SWX65" s="349"/>
      <c r="SWY65" s="349"/>
      <c r="SWZ65" s="349"/>
      <c r="SXA65" s="349"/>
      <c r="SXB65" s="349"/>
      <c r="SXC65" s="349"/>
      <c r="SXD65" s="349"/>
      <c r="SXE65" s="349"/>
      <c r="SXF65" s="349"/>
      <c r="SXG65" s="349"/>
      <c r="SXH65" s="349"/>
      <c r="SXI65" s="349"/>
      <c r="SXJ65" s="349"/>
      <c r="SXK65" s="349"/>
      <c r="SXL65" s="349"/>
      <c r="SXM65" s="349"/>
      <c r="SXN65" s="349"/>
      <c r="SXO65" s="349"/>
      <c r="SXP65" s="349"/>
      <c r="SXQ65" s="349"/>
      <c r="SXR65" s="349"/>
      <c r="SXS65" s="349"/>
      <c r="SXT65" s="349"/>
      <c r="SXU65" s="349"/>
      <c r="SXV65" s="349"/>
      <c r="SXW65" s="349"/>
      <c r="SXX65" s="349"/>
      <c r="SXY65" s="349"/>
      <c r="SXZ65" s="349"/>
      <c r="SYA65" s="349"/>
      <c r="SYB65" s="349"/>
      <c r="SYC65" s="349"/>
      <c r="SYD65" s="349"/>
      <c r="SYE65" s="349"/>
      <c r="SYF65" s="349"/>
      <c r="SYG65" s="349"/>
      <c r="SYH65" s="349"/>
      <c r="SYI65" s="349"/>
      <c r="SYJ65" s="349"/>
      <c r="SYK65" s="349"/>
      <c r="SYL65" s="349"/>
      <c r="SYM65" s="349"/>
      <c r="SYN65" s="349"/>
      <c r="SYO65" s="349"/>
      <c r="SYP65" s="349"/>
      <c r="SYQ65" s="349"/>
      <c r="SYR65" s="349"/>
      <c r="SYS65" s="349"/>
      <c r="SYT65" s="349"/>
      <c r="SYU65" s="349"/>
      <c r="SYV65" s="349"/>
      <c r="SYW65" s="349"/>
      <c r="SYX65" s="349"/>
      <c r="SYY65" s="349"/>
      <c r="SYZ65" s="349"/>
      <c r="SZA65" s="349"/>
      <c r="SZB65" s="349"/>
      <c r="SZC65" s="349"/>
      <c r="SZD65" s="349"/>
      <c r="SZE65" s="349"/>
      <c r="SZF65" s="349"/>
      <c r="SZG65" s="349"/>
      <c r="SZH65" s="349"/>
      <c r="SZI65" s="349"/>
      <c r="SZJ65" s="349"/>
      <c r="SZK65" s="349"/>
      <c r="SZL65" s="349"/>
      <c r="SZM65" s="349"/>
      <c r="SZN65" s="349"/>
      <c r="SZO65" s="349"/>
      <c r="SZP65" s="349"/>
      <c r="SZQ65" s="349"/>
      <c r="SZR65" s="349"/>
      <c r="SZS65" s="349"/>
      <c r="SZT65" s="349"/>
      <c r="SZU65" s="349"/>
      <c r="SZV65" s="349"/>
      <c r="SZW65" s="349"/>
      <c r="SZX65" s="349"/>
      <c r="SZY65" s="349"/>
      <c r="SZZ65" s="349"/>
      <c r="TAA65" s="349"/>
      <c r="TAB65" s="349"/>
      <c r="TAC65" s="349"/>
      <c r="TAD65" s="349"/>
      <c r="TAE65" s="349"/>
      <c r="TAF65" s="349"/>
      <c r="TAG65" s="349"/>
      <c r="TAH65" s="349"/>
      <c r="TAI65" s="349"/>
      <c r="TAJ65" s="349"/>
      <c r="TAK65" s="349"/>
      <c r="TAL65" s="349"/>
      <c r="TAM65" s="349"/>
      <c r="TAN65" s="349"/>
      <c r="TAO65" s="349"/>
      <c r="TAP65" s="349"/>
      <c r="TAQ65" s="349"/>
      <c r="TAR65" s="349"/>
      <c r="TAS65" s="349"/>
      <c r="TAT65" s="349"/>
      <c r="TAU65" s="349"/>
      <c r="TAV65" s="349"/>
      <c r="TAW65" s="349"/>
      <c r="TAX65" s="349"/>
      <c r="TAY65" s="349"/>
      <c r="TAZ65" s="349"/>
      <c r="TBA65" s="349"/>
      <c r="TBB65" s="349"/>
      <c r="TBC65" s="349"/>
      <c r="TBD65" s="349"/>
      <c r="TBE65" s="349"/>
      <c r="TBF65" s="349"/>
      <c r="TBG65" s="349"/>
      <c r="TBH65" s="349"/>
      <c r="TBI65" s="349"/>
      <c r="TBJ65" s="349"/>
      <c r="TBK65" s="349"/>
      <c r="TBL65" s="349"/>
      <c r="TBM65" s="349"/>
      <c r="TBN65" s="349"/>
      <c r="TBO65" s="349"/>
      <c r="TBP65" s="349"/>
      <c r="TBQ65" s="349"/>
      <c r="TBR65" s="349"/>
      <c r="TBS65" s="349"/>
      <c r="TBT65" s="349"/>
      <c r="TBU65" s="349"/>
      <c r="TBV65" s="349"/>
      <c r="TBW65" s="349"/>
      <c r="TBX65" s="349"/>
      <c r="TBY65" s="349"/>
      <c r="TBZ65" s="349"/>
      <c r="TCA65" s="349"/>
      <c r="TCB65" s="349"/>
      <c r="TCC65" s="349"/>
      <c r="TCD65" s="349"/>
      <c r="TCE65" s="349"/>
      <c r="TCF65" s="349"/>
      <c r="TCG65" s="349"/>
      <c r="TCH65" s="349"/>
      <c r="TCI65" s="349"/>
      <c r="TCJ65" s="349"/>
      <c r="TCK65" s="349"/>
      <c r="TCL65" s="349"/>
      <c r="TCM65" s="349"/>
      <c r="TCN65" s="349"/>
      <c r="TCO65" s="349"/>
      <c r="TCP65" s="349"/>
      <c r="TCQ65" s="349"/>
      <c r="TCR65" s="349"/>
      <c r="TCS65" s="349"/>
      <c r="TCT65" s="349"/>
      <c r="TCU65" s="349"/>
      <c r="TCV65" s="349"/>
      <c r="TCW65" s="349"/>
      <c r="TCX65" s="349"/>
      <c r="TCY65" s="349"/>
      <c r="TCZ65" s="349"/>
      <c r="TDA65" s="349"/>
      <c r="TDB65" s="349"/>
      <c r="TDC65" s="349"/>
      <c r="TDD65" s="349"/>
      <c r="TDE65" s="349"/>
      <c r="TDF65" s="349"/>
      <c r="TDG65" s="349"/>
      <c r="TDH65" s="349"/>
      <c r="TDI65" s="349"/>
      <c r="TDJ65" s="349"/>
      <c r="TDK65" s="349"/>
      <c r="TDL65" s="349"/>
      <c r="TDM65" s="349"/>
      <c r="TDN65" s="349"/>
      <c r="TDO65" s="349"/>
      <c r="TDP65" s="349"/>
      <c r="TDQ65" s="349"/>
      <c r="TDR65" s="349"/>
      <c r="TDS65" s="349"/>
      <c r="TDT65" s="349"/>
      <c r="TDU65" s="349"/>
      <c r="TDV65" s="349"/>
      <c r="TDW65" s="349"/>
      <c r="TDX65" s="349"/>
      <c r="TDY65" s="349"/>
      <c r="TDZ65" s="349"/>
      <c r="TEA65" s="349"/>
      <c r="TEB65" s="349"/>
      <c r="TEC65" s="349"/>
      <c r="TED65" s="349"/>
      <c r="TEE65" s="349"/>
      <c r="TEF65" s="349"/>
      <c r="TEG65" s="349"/>
      <c r="TEH65" s="349"/>
      <c r="TEI65" s="349"/>
      <c r="TEJ65" s="349"/>
      <c r="TEK65" s="349"/>
      <c r="TEL65" s="349"/>
      <c r="TEM65" s="349"/>
      <c r="TEN65" s="349"/>
      <c r="TEO65" s="349"/>
      <c r="TEP65" s="349"/>
      <c r="TEQ65" s="349"/>
      <c r="TER65" s="349"/>
      <c r="TES65" s="349"/>
      <c r="TET65" s="349"/>
      <c r="TEU65" s="349"/>
      <c r="TEV65" s="349"/>
      <c r="TEW65" s="349"/>
      <c r="TEX65" s="349"/>
      <c r="TEY65" s="349"/>
      <c r="TEZ65" s="349"/>
      <c r="TFA65" s="349"/>
      <c r="TFB65" s="349"/>
      <c r="TFC65" s="349"/>
      <c r="TFD65" s="349"/>
      <c r="TFE65" s="349"/>
      <c r="TFF65" s="349"/>
      <c r="TFG65" s="349"/>
      <c r="TFH65" s="349"/>
      <c r="TFI65" s="349"/>
      <c r="TFJ65" s="349"/>
      <c r="TFK65" s="349"/>
      <c r="TFL65" s="349"/>
      <c r="TFM65" s="349"/>
      <c r="TFN65" s="349"/>
      <c r="TFO65" s="349"/>
      <c r="TFP65" s="349"/>
      <c r="TFQ65" s="349"/>
      <c r="TFR65" s="349"/>
      <c r="TFS65" s="349"/>
      <c r="TFT65" s="349"/>
      <c r="TFU65" s="349"/>
      <c r="TFV65" s="349"/>
      <c r="TFW65" s="349"/>
      <c r="TFX65" s="349"/>
      <c r="TFY65" s="349"/>
      <c r="TFZ65" s="349"/>
      <c r="TGA65" s="349"/>
      <c r="TGB65" s="349"/>
      <c r="TGC65" s="349"/>
      <c r="TGD65" s="349"/>
      <c r="TGE65" s="349"/>
      <c r="TGF65" s="349"/>
      <c r="TGG65" s="349"/>
      <c r="TGH65" s="349"/>
      <c r="TGI65" s="349"/>
      <c r="TGJ65" s="349"/>
      <c r="TGK65" s="349"/>
      <c r="TGL65" s="349"/>
      <c r="TGM65" s="349"/>
      <c r="TGN65" s="349"/>
      <c r="TGO65" s="349"/>
      <c r="TGP65" s="349"/>
      <c r="TGQ65" s="349"/>
      <c r="TGR65" s="349"/>
      <c r="TGS65" s="349"/>
      <c r="TGT65" s="349"/>
      <c r="TGU65" s="349"/>
      <c r="TGV65" s="349"/>
      <c r="TGW65" s="349"/>
      <c r="TGX65" s="349"/>
      <c r="TGY65" s="349"/>
      <c r="TGZ65" s="349"/>
      <c r="THA65" s="349"/>
      <c r="THB65" s="349"/>
      <c r="THC65" s="349"/>
      <c r="THD65" s="349"/>
      <c r="THE65" s="349"/>
      <c r="THF65" s="349"/>
      <c r="THG65" s="349"/>
      <c r="THH65" s="349"/>
      <c r="THI65" s="349"/>
      <c r="THJ65" s="349"/>
      <c r="THK65" s="349"/>
      <c r="THL65" s="349"/>
      <c r="THM65" s="349"/>
      <c r="THN65" s="349"/>
      <c r="THO65" s="349"/>
      <c r="THP65" s="349"/>
      <c r="THQ65" s="349"/>
      <c r="THR65" s="349"/>
      <c r="THS65" s="349"/>
      <c r="THT65" s="349"/>
      <c r="THU65" s="349"/>
      <c r="THV65" s="349"/>
      <c r="THW65" s="349"/>
      <c r="THX65" s="349"/>
      <c r="THY65" s="349"/>
      <c r="THZ65" s="349"/>
      <c r="TIA65" s="349"/>
      <c r="TIB65" s="349"/>
      <c r="TIC65" s="349"/>
      <c r="TID65" s="349"/>
      <c r="TIE65" s="349"/>
      <c r="TIF65" s="349"/>
      <c r="TIG65" s="349"/>
      <c r="TIH65" s="349"/>
      <c r="TII65" s="349"/>
      <c r="TIJ65" s="349"/>
      <c r="TIK65" s="349"/>
      <c r="TIL65" s="349"/>
      <c r="TIM65" s="349"/>
      <c r="TIN65" s="349"/>
      <c r="TIO65" s="349"/>
      <c r="TIP65" s="349"/>
      <c r="TIQ65" s="349"/>
      <c r="TIR65" s="349"/>
      <c r="TIS65" s="349"/>
      <c r="TIT65" s="349"/>
      <c r="TIU65" s="349"/>
      <c r="TIV65" s="349"/>
      <c r="TIW65" s="349"/>
      <c r="TIX65" s="349"/>
      <c r="TIY65" s="349"/>
      <c r="TIZ65" s="349"/>
      <c r="TJA65" s="349"/>
      <c r="TJB65" s="349"/>
      <c r="TJC65" s="349"/>
      <c r="TJD65" s="349"/>
      <c r="TJE65" s="349"/>
      <c r="TJF65" s="349"/>
      <c r="TJG65" s="349"/>
      <c r="TJH65" s="349"/>
      <c r="TJI65" s="349"/>
      <c r="TJJ65" s="349"/>
      <c r="TJK65" s="349"/>
      <c r="TJL65" s="349"/>
      <c r="TJM65" s="349"/>
      <c r="TJN65" s="349"/>
      <c r="TJO65" s="349"/>
      <c r="TJP65" s="349"/>
      <c r="TJQ65" s="349"/>
      <c r="TJR65" s="349"/>
      <c r="TJS65" s="349"/>
      <c r="TJT65" s="349"/>
      <c r="TJU65" s="349"/>
      <c r="TJV65" s="349"/>
      <c r="TJW65" s="349"/>
      <c r="TJX65" s="349"/>
      <c r="TJY65" s="349"/>
      <c r="TJZ65" s="349"/>
      <c r="TKA65" s="349"/>
      <c r="TKB65" s="349"/>
      <c r="TKC65" s="349"/>
      <c r="TKD65" s="349"/>
      <c r="TKE65" s="349"/>
      <c r="TKF65" s="349"/>
      <c r="TKG65" s="349"/>
      <c r="TKH65" s="349"/>
      <c r="TKI65" s="349"/>
      <c r="TKJ65" s="349"/>
      <c r="TKK65" s="349"/>
      <c r="TKL65" s="349"/>
      <c r="TKM65" s="349"/>
      <c r="TKN65" s="349"/>
      <c r="TKO65" s="349"/>
      <c r="TKP65" s="349"/>
      <c r="TKQ65" s="349"/>
      <c r="TKR65" s="349"/>
      <c r="TKS65" s="349"/>
      <c r="TKT65" s="349"/>
      <c r="TKU65" s="349"/>
      <c r="TKV65" s="349"/>
      <c r="TKW65" s="349"/>
      <c r="TKX65" s="349"/>
      <c r="TKY65" s="349"/>
      <c r="TKZ65" s="349"/>
      <c r="TLA65" s="349"/>
      <c r="TLB65" s="349"/>
      <c r="TLC65" s="349"/>
      <c r="TLD65" s="349"/>
      <c r="TLE65" s="349"/>
      <c r="TLF65" s="349"/>
      <c r="TLG65" s="349"/>
      <c r="TLH65" s="349"/>
      <c r="TLI65" s="349"/>
      <c r="TLJ65" s="349"/>
      <c r="TLK65" s="349"/>
      <c r="TLL65" s="349"/>
      <c r="TLM65" s="349"/>
      <c r="TLN65" s="349"/>
      <c r="TLO65" s="349"/>
      <c r="TLP65" s="349"/>
      <c r="TLQ65" s="349"/>
      <c r="TLR65" s="349"/>
      <c r="TLS65" s="349"/>
      <c r="TLT65" s="349"/>
      <c r="TLU65" s="349"/>
      <c r="TLV65" s="349"/>
      <c r="TLW65" s="349"/>
      <c r="TLX65" s="349"/>
      <c r="TLY65" s="349"/>
      <c r="TLZ65" s="349"/>
      <c r="TMA65" s="349"/>
      <c r="TMB65" s="349"/>
      <c r="TMC65" s="349"/>
      <c r="TMD65" s="349"/>
      <c r="TME65" s="349"/>
      <c r="TMF65" s="349"/>
      <c r="TMG65" s="349"/>
      <c r="TMH65" s="349"/>
      <c r="TMI65" s="349"/>
      <c r="TMJ65" s="349"/>
      <c r="TMK65" s="349"/>
      <c r="TML65" s="349"/>
      <c r="TMM65" s="349"/>
      <c r="TMN65" s="349"/>
      <c r="TMO65" s="349"/>
      <c r="TMP65" s="349"/>
      <c r="TMQ65" s="349"/>
      <c r="TMR65" s="349"/>
      <c r="TMS65" s="349"/>
      <c r="TMT65" s="349"/>
      <c r="TMU65" s="349"/>
      <c r="TMV65" s="349"/>
      <c r="TMW65" s="349"/>
      <c r="TMX65" s="349"/>
      <c r="TMY65" s="349"/>
      <c r="TMZ65" s="349"/>
      <c r="TNA65" s="349"/>
      <c r="TNB65" s="349"/>
      <c r="TNC65" s="349"/>
      <c r="TND65" s="349"/>
      <c r="TNE65" s="349"/>
      <c r="TNF65" s="349"/>
      <c r="TNG65" s="349"/>
      <c r="TNH65" s="349"/>
      <c r="TNI65" s="349"/>
      <c r="TNJ65" s="349"/>
      <c r="TNK65" s="349"/>
      <c r="TNL65" s="349"/>
      <c r="TNM65" s="349"/>
      <c r="TNN65" s="349"/>
      <c r="TNO65" s="349"/>
      <c r="TNP65" s="349"/>
      <c r="TNQ65" s="349"/>
      <c r="TNR65" s="349"/>
      <c r="TNS65" s="349"/>
      <c r="TNT65" s="349"/>
      <c r="TNU65" s="349"/>
      <c r="TNV65" s="349"/>
      <c r="TNW65" s="349"/>
      <c r="TNX65" s="349"/>
      <c r="TNY65" s="349"/>
      <c r="TNZ65" s="349"/>
      <c r="TOA65" s="349"/>
      <c r="TOB65" s="349"/>
      <c r="TOC65" s="349"/>
      <c r="TOD65" s="349"/>
      <c r="TOE65" s="349"/>
      <c r="TOF65" s="349"/>
      <c r="TOG65" s="349"/>
      <c r="TOH65" s="349"/>
      <c r="TOI65" s="349"/>
      <c r="TOJ65" s="349"/>
      <c r="TOK65" s="349"/>
      <c r="TOL65" s="349"/>
      <c r="TOM65" s="349"/>
      <c r="TON65" s="349"/>
      <c r="TOO65" s="349"/>
      <c r="TOP65" s="349"/>
      <c r="TOQ65" s="349"/>
      <c r="TOR65" s="349"/>
      <c r="TOS65" s="349"/>
      <c r="TOT65" s="349"/>
      <c r="TOU65" s="349"/>
      <c r="TOV65" s="349"/>
      <c r="TOW65" s="349"/>
      <c r="TOX65" s="349"/>
      <c r="TOY65" s="349"/>
      <c r="TOZ65" s="349"/>
      <c r="TPA65" s="349"/>
      <c r="TPB65" s="349"/>
      <c r="TPC65" s="349"/>
      <c r="TPD65" s="349"/>
      <c r="TPE65" s="349"/>
      <c r="TPF65" s="349"/>
      <c r="TPG65" s="349"/>
      <c r="TPH65" s="349"/>
      <c r="TPI65" s="349"/>
      <c r="TPJ65" s="349"/>
      <c r="TPK65" s="349"/>
      <c r="TPL65" s="349"/>
      <c r="TPM65" s="349"/>
      <c r="TPN65" s="349"/>
      <c r="TPO65" s="349"/>
      <c r="TPP65" s="349"/>
      <c r="TPQ65" s="349"/>
      <c r="TPR65" s="349"/>
      <c r="TPS65" s="349"/>
      <c r="TPT65" s="349"/>
      <c r="TPU65" s="349"/>
      <c r="TPV65" s="349"/>
      <c r="TPW65" s="349"/>
      <c r="TPX65" s="349"/>
      <c r="TPY65" s="349"/>
      <c r="TPZ65" s="349"/>
      <c r="TQA65" s="349"/>
      <c r="TQB65" s="349"/>
      <c r="TQC65" s="349"/>
      <c r="TQD65" s="349"/>
      <c r="TQE65" s="349"/>
      <c r="TQF65" s="349"/>
      <c r="TQG65" s="349"/>
      <c r="TQH65" s="349"/>
      <c r="TQI65" s="349"/>
      <c r="TQJ65" s="349"/>
      <c r="TQK65" s="349"/>
      <c r="TQL65" s="349"/>
      <c r="TQM65" s="349"/>
      <c r="TQN65" s="349"/>
      <c r="TQO65" s="349"/>
      <c r="TQP65" s="349"/>
      <c r="TQQ65" s="349"/>
      <c r="TQR65" s="349"/>
      <c r="TQS65" s="349"/>
      <c r="TQT65" s="349"/>
      <c r="TQU65" s="349"/>
      <c r="TQV65" s="349"/>
      <c r="TQW65" s="349"/>
      <c r="TQX65" s="349"/>
      <c r="TQY65" s="349"/>
      <c r="TQZ65" s="349"/>
      <c r="TRA65" s="349"/>
      <c r="TRB65" s="349"/>
      <c r="TRC65" s="349"/>
      <c r="TRD65" s="349"/>
      <c r="TRE65" s="349"/>
      <c r="TRF65" s="349"/>
      <c r="TRG65" s="349"/>
      <c r="TRH65" s="349"/>
      <c r="TRI65" s="349"/>
      <c r="TRJ65" s="349"/>
      <c r="TRK65" s="349"/>
      <c r="TRL65" s="349"/>
      <c r="TRM65" s="349"/>
      <c r="TRN65" s="349"/>
      <c r="TRO65" s="349"/>
      <c r="TRP65" s="349"/>
      <c r="TRQ65" s="349"/>
      <c r="TRR65" s="349"/>
      <c r="TRS65" s="349"/>
      <c r="TRT65" s="349"/>
      <c r="TRU65" s="349"/>
      <c r="TRV65" s="349"/>
      <c r="TRW65" s="349"/>
      <c r="TRX65" s="349"/>
      <c r="TRY65" s="349"/>
      <c r="TRZ65" s="349"/>
      <c r="TSA65" s="349"/>
      <c r="TSB65" s="349"/>
      <c r="TSC65" s="349"/>
      <c r="TSD65" s="349"/>
      <c r="TSE65" s="349"/>
      <c r="TSF65" s="349"/>
      <c r="TSG65" s="349"/>
      <c r="TSH65" s="349"/>
      <c r="TSI65" s="349"/>
      <c r="TSJ65" s="349"/>
      <c r="TSK65" s="349"/>
      <c r="TSL65" s="349"/>
      <c r="TSM65" s="349"/>
      <c r="TSN65" s="349"/>
      <c r="TSO65" s="349"/>
      <c r="TSP65" s="349"/>
      <c r="TSQ65" s="349"/>
      <c r="TSR65" s="349"/>
      <c r="TSS65" s="349"/>
      <c r="TST65" s="349"/>
      <c r="TSU65" s="349"/>
      <c r="TSV65" s="349"/>
      <c r="TSW65" s="349"/>
      <c r="TSX65" s="349"/>
      <c r="TSY65" s="349"/>
      <c r="TSZ65" s="349"/>
      <c r="TTA65" s="349"/>
      <c r="TTB65" s="349"/>
      <c r="TTC65" s="349"/>
      <c r="TTD65" s="349"/>
      <c r="TTE65" s="349"/>
      <c r="TTF65" s="349"/>
      <c r="TTG65" s="349"/>
      <c r="TTH65" s="349"/>
      <c r="TTI65" s="349"/>
      <c r="TTJ65" s="349"/>
      <c r="TTK65" s="349"/>
      <c r="TTL65" s="349"/>
      <c r="TTM65" s="349"/>
      <c r="TTN65" s="349"/>
      <c r="TTO65" s="349"/>
      <c r="TTP65" s="349"/>
      <c r="TTQ65" s="349"/>
      <c r="TTR65" s="349"/>
      <c r="TTS65" s="349"/>
      <c r="TTT65" s="349"/>
      <c r="TTU65" s="349"/>
      <c r="TTV65" s="349"/>
      <c r="TTW65" s="349"/>
      <c r="TTX65" s="349"/>
      <c r="TTY65" s="349"/>
      <c r="TTZ65" s="349"/>
      <c r="TUA65" s="349"/>
      <c r="TUB65" s="349"/>
      <c r="TUC65" s="349"/>
      <c r="TUD65" s="349"/>
      <c r="TUE65" s="349"/>
      <c r="TUF65" s="349"/>
      <c r="TUG65" s="349"/>
      <c r="TUH65" s="349"/>
      <c r="TUI65" s="349"/>
      <c r="TUJ65" s="349"/>
      <c r="TUK65" s="349"/>
      <c r="TUL65" s="349"/>
      <c r="TUM65" s="349"/>
      <c r="TUN65" s="349"/>
      <c r="TUO65" s="349"/>
      <c r="TUP65" s="349"/>
      <c r="TUQ65" s="349"/>
      <c r="TUR65" s="349"/>
      <c r="TUS65" s="349"/>
      <c r="TUT65" s="349"/>
      <c r="TUU65" s="349"/>
      <c r="TUV65" s="349"/>
      <c r="TUW65" s="349"/>
      <c r="TUX65" s="349"/>
      <c r="TUY65" s="349"/>
      <c r="TUZ65" s="349"/>
      <c r="TVA65" s="349"/>
      <c r="TVB65" s="349"/>
      <c r="TVC65" s="349"/>
      <c r="TVD65" s="349"/>
      <c r="TVE65" s="349"/>
      <c r="TVF65" s="349"/>
      <c r="TVG65" s="349"/>
      <c r="TVH65" s="349"/>
      <c r="TVI65" s="349"/>
      <c r="TVJ65" s="349"/>
      <c r="TVK65" s="349"/>
      <c r="TVL65" s="349"/>
      <c r="TVM65" s="349"/>
      <c r="TVN65" s="349"/>
      <c r="TVO65" s="349"/>
      <c r="TVP65" s="349"/>
      <c r="TVQ65" s="349"/>
      <c r="TVR65" s="349"/>
      <c r="TVS65" s="349"/>
      <c r="TVT65" s="349"/>
      <c r="TVU65" s="349"/>
      <c r="TVV65" s="349"/>
      <c r="TVW65" s="349"/>
      <c r="TVX65" s="349"/>
      <c r="TVY65" s="349"/>
      <c r="TVZ65" s="349"/>
      <c r="TWA65" s="349"/>
      <c r="TWB65" s="349"/>
      <c r="TWC65" s="349"/>
      <c r="TWD65" s="349"/>
      <c r="TWE65" s="349"/>
      <c r="TWF65" s="349"/>
      <c r="TWG65" s="349"/>
      <c r="TWH65" s="349"/>
      <c r="TWI65" s="349"/>
      <c r="TWJ65" s="349"/>
      <c r="TWK65" s="349"/>
      <c r="TWL65" s="349"/>
      <c r="TWM65" s="349"/>
      <c r="TWN65" s="349"/>
      <c r="TWO65" s="349"/>
      <c r="TWP65" s="349"/>
      <c r="TWQ65" s="349"/>
      <c r="TWR65" s="349"/>
      <c r="TWS65" s="349"/>
      <c r="TWT65" s="349"/>
      <c r="TWU65" s="349"/>
      <c r="TWV65" s="349"/>
      <c r="TWW65" s="349"/>
      <c r="TWX65" s="349"/>
      <c r="TWY65" s="349"/>
      <c r="TWZ65" s="349"/>
      <c r="TXA65" s="349"/>
      <c r="TXB65" s="349"/>
      <c r="TXC65" s="349"/>
      <c r="TXD65" s="349"/>
      <c r="TXE65" s="349"/>
      <c r="TXF65" s="349"/>
      <c r="TXG65" s="349"/>
      <c r="TXH65" s="349"/>
      <c r="TXI65" s="349"/>
      <c r="TXJ65" s="349"/>
      <c r="TXK65" s="349"/>
      <c r="TXL65" s="349"/>
      <c r="TXM65" s="349"/>
      <c r="TXN65" s="349"/>
      <c r="TXO65" s="349"/>
      <c r="TXP65" s="349"/>
      <c r="TXQ65" s="349"/>
      <c r="TXR65" s="349"/>
      <c r="TXS65" s="349"/>
      <c r="TXT65" s="349"/>
      <c r="TXU65" s="349"/>
      <c r="TXV65" s="349"/>
      <c r="TXW65" s="349"/>
      <c r="TXX65" s="349"/>
      <c r="TXY65" s="349"/>
      <c r="TXZ65" s="349"/>
      <c r="TYA65" s="349"/>
      <c r="TYB65" s="349"/>
      <c r="TYC65" s="349"/>
      <c r="TYD65" s="349"/>
      <c r="TYE65" s="349"/>
      <c r="TYF65" s="349"/>
      <c r="TYG65" s="349"/>
      <c r="TYH65" s="349"/>
      <c r="TYI65" s="349"/>
      <c r="TYJ65" s="349"/>
      <c r="TYK65" s="349"/>
      <c r="TYL65" s="349"/>
      <c r="TYM65" s="349"/>
      <c r="TYN65" s="349"/>
      <c r="TYO65" s="349"/>
      <c r="TYP65" s="349"/>
      <c r="TYQ65" s="349"/>
      <c r="TYR65" s="349"/>
      <c r="TYS65" s="349"/>
      <c r="TYT65" s="349"/>
      <c r="TYU65" s="349"/>
      <c r="TYV65" s="349"/>
      <c r="TYW65" s="349"/>
      <c r="TYX65" s="349"/>
      <c r="TYY65" s="349"/>
      <c r="TYZ65" s="349"/>
      <c r="TZA65" s="349"/>
      <c r="TZB65" s="349"/>
      <c r="TZC65" s="349"/>
      <c r="TZD65" s="349"/>
      <c r="TZE65" s="349"/>
      <c r="TZF65" s="349"/>
      <c r="TZG65" s="349"/>
      <c r="TZH65" s="349"/>
      <c r="TZI65" s="349"/>
      <c r="TZJ65" s="349"/>
      <c r="TZK65" s="349"/>
      <c r="TZL65" s="349"/>
      <c r="TZM65" s="349"/>
      <c r="TZN65" s="349"/>
      <c r="TZO65" s="349"/>
      <c r="TZP65" s="349"/>
      <c r="TZQ65" s="349"/>
      <c r="TZR65" s="349"/>
      <c r="TZS65" s="349"/>
      <c r="TZT65" s="349"/>
      <c r="TZU65" s="349"/>
      <c r="TZV65" s="349"/>
      <c r="TZW65" s="349"/>
      <c r="TZX65" s="349"/>
      <c r="TZY65" s="349"/>
      <c r="TZZ65" s="349"/>
      <c r="UAA65" s="349"/>
      <c r="UAB65" s="349"/>
      <c r="UAC65" s="349"/>
      <c r="UAD65" s="349"/>
      <c r="UAE65" s="349"/>
      <c r="UAF65" s="349"/>
      <c r="UAG65" s="349"/>
      <c r="UAH65" s="349"/>
      <c r="UAI65" s="349"/>
      <c r="UAJ65" s="349"/>
      <c r="UAK65" s="349"/>
      <c r="UAL65" s="349"/>
      <c r="UAM65" s="349"/>
      <c r="UAN65" s="349"/>
      <c r="UAO65" s="349"/>
      <c r="UAP65" s="349"/>
      <c r="UAQ65" s="349"/>
      <c r="UAR65" s="349"/>
      <c r="UAS65" s="349"/>
      <c r="UAT65" s="349"/>
      <c r="UAU65" s="349"/>
      <c r="UAV65" s="349"/>
      <c r="UAW65" s="349"/>
      <c r="UAX65" s="349"/>
      <c r="UAY65" s="349"/>
      <c r="UAZ65" s="349"/>
      <c r="UBA65" s="349"/>
      <c r="UBB65" s="349"/>
      <c r="UBC65" s="349"/>
      <c r="UBD65" s="349"/>
      <c r="UBE65" s="349"/>
      <c r="UBF65" s="349"/>
      <c r="UBG65" s="349"/>
      <c r="UBH65" s="349"/>
      <c r="UBI65" s="349"/>
      <c r="UBJ65" s="349"/>
      <c r="UBK65" s="349"/>
      <c r="UBL65" s="349"/>
      <c r="UBM65" s="349"/>
      <c r="UBN65" s="349"/>
      <c r="UBO65" s="349"/>
      <c r="UBP65" s="349"/>
      <c r="UBQ65" s="349"/>
      <c r="UBR65" s="349"/>
      <c r="UBS65" s="349"/>
      <c r="UBT65" s="349"/>
      <c r="UBU65" s="349"/>
      <c r="UBV65" s="349"/>
      <c r="UBW65" s="349"/>
      <c r="UBX65" s="349"/>
      <c r="UBY65" s="349"/>
      <c r="UBZ65" s="349"/>
      <c r="UCA65" s="349"/>
      <c r="UCB65" s="349"/>
      <c r="UCC65" s="349"/>
      <c r="UCD65" s="349"/>
      <c r="UCE65" s="349"/>
      <c r="UCF65" s="349"/>
      <c r="UCG65" s="349"/>
      <c r="UCH65" s="349"/>
      <c r="UCI65" s="349"/>
      <c r="UCJ65" s="349"/>
      <c r="UCK65" s="349"/>
      <c r="UCL65" s="349"/>
      <c r="UCM65" s="349"/>
      <c r="UCN65" s="349"/>
      <c r="UCO65" s="349"/>
      <c r="UCP65" s="349"/>
      <c r="UCQ65" s="349"/>
      <c r="UCR65" s="349"/>
      <c r="UCS65" s="349"/>
      <c r="UCT65" s="349"/>
      <c r="UCU65" s="349"/>
      <c r="UCV65" s="349"/>
      <c r="UCW65" s="349"/>
      <c r="UCX65" s="349"/>
      <c r="UCY65" s="349"/>
      <c r="UCZ65" s="349"/>
      <c r="UDA65" s="349"/>
      <c r="UDB65" s="349"/>
      <c r="UDC65" s="349"/>
      <c r="UDD65" s="349"/>
      <c r="UDE65" s="349"/>
      <c r="UDF65" s="349"/>
      <c r="UDG65" s="349"/>
      <c r="UDH65" s="349"/>
      <c r="UDI65" s="349"/>
      <c r="UDJ65" s="349"/>
      <c r="UDK65" s="349"/>
      <c r="UDL65" s="349"/>
      <c r="UDM65" s="349"/>
      <c r="UDN65" s="349"/>
      <c r="UDO65" s="349"/>
      <c r="UDP65" s="349"/>
      <c r="UDQ65" s="349"/>
      <c r="UDR65" s="349"/>
      <c r="UDS65" s="349"/>
      <c r="UDT65" s="349"/>
      <c r="UDU65" s="349"/>
      <c r="UDV65" s="349"/>
      <c r="UDW65" s="349"/>
      <c r="UDX65" s="349"/>
      <c r="UDY65" s="349"/>
      <c r="UDZ65" s="349"/>
      <c r="UEA65" s="349"/>
      <c r="UEB65" s="349"/>
      <c r="UEC65" s="349"/>
      <c r="UED65" s="349"/>
      <c r="UEE65" s="349"/>
      <c r="UEF65" s="349"/>
      <c r="UEG65" s="349"/>
      <c r="UEH65" s="349"/>
      <c r="UEI65" s="349"/>
      <c r="UEJ65" s="349"/>
      <c r="UEK65" s="349"/>
      <c r="UEL65" s="349"/>
      <c r="UEM65" s="349"/>
      <c r="UEN65" s="349"/>
      <c r="UEO65" s="349"/>
      <c r="UEP65" s="349"/>
      <c r="UEQ65" s="349"/>
      <c r="UER65" s="349"/>
      <c r="UES65" s="349"/>
      <c r="UET65" s="349"/>
      <c r="UEU65" s="349"/>
      <c r="UEV65" s="349"/>
      <c r="UEW65" s="349"/>
      <c r="UEX65" s="349"/>
      <c r="UEY65" s="349"/>
      <c r="UEZ65" s="349"/>
      <c r="UFA65" s="349"/>
      <c r="UFB65" s="349"/>
      <c r="UFC65" s="349"/>
      <c r="UFD65" s="349"/>
      <c r="UFE65" s="349"/>
      <c r="UFF65" s="349"/>
      <c r="UFG65" s="349"/>
      <c r="UFH65" s="349"/>
      <c r="UFI65" s="349"/>
      <c r="UFJ65" s="349"/>
      <c r="UFK65" s="349"/>
      <c r="UFL65" s="349"/>
      <c r="UFM65" s="349"/>
      <c r="UFN65" s="349"/>
      <c r="UFO65" s="349"/>
      <c r="UFP65" s="349"/>
      <c r="UFQ65" s="349"/>
      <c r="UFR65" s="349"/>
      <c r="UFS65" s="349"/>
      <c r="UFT65" s="349"/>
      <c r="UFU65" s="349"/>
      <c r="UFV65" s="349"/>
      <c r="UFW65" s="349"/>
      <c r="UFX65" s="349"/>
      <c r="UFY65" s="349"/>
      <c r="UFZ65" s="349"/>
      <c r="UGA65" s="349"/>
      <c r="UGB65" s="349"/>
      <c r="UGC65" s="349"/>
      <c r="UGD65" s="349"/>
      <c r="UGE65" s="349"/>
      <c r="UGF65" s="349"/>
      <c r="UGG65" s="349"/>
      <c r="UGH65" s="349"/>
      <c r="UGI65" s="349"/>
      <c r="UGJ65" s="349"/>
      <c r="UGK65" s="349"/>
      <c r="UGL65" s="349"/>
      <c r="UGM65" s="349"/>
      <c r="UGN65" s="349"/>
      <c r="UGO65" s="349"/>
      <c r="UGP65" s="349"/>
      <c r="UGQ65" s="349"/>
      <c r="UGR65" s="349"/>
      <c r="UGS65" s="349"/>
      <c r="UGT65" s="349"/>
      <c r="UGU65" s="349"/>
      <c r="UGV65" s="349"/>
      <c r="UGW65" s="349"/>
      <c r="UGX65" s="349"/>
      <c r="UGY65" s="349"/>
      <c r="UGZ65" s="349"/>
      <c r="UHA65" s="349"/>
      <c r="UHB65" s="349"/>
      <c r="UHC65" s="349"/>
      <c r="UHD65" s="349"/>
      <c r="UHE65" s="349"/>
      <c r="UHF65" s="349"/>
      <c r="UHG65" s="349"/>
      <c r="UHH65" s="349"/>
      <c r="UHI65" s="349"/>
      <c r="UHJ65" s="349"/>
      <c r="UHK65" s="349"/>
      <c r="UHL65" s="349"/>
      <c r="UHM65" s="349"/>
      <c r="UHN65" s="349"/>
      <c r="UHO65" s="349"/>
      <c r="UHP65" s="349"/>
      <c r="UHQ65" s="349"/>
      <c r="UHR65" s="349"/>
      <c r="UHS65" s="349"/>
      <c r="UHT65" s="349"/>
      <c r="UHU65" s="349"/>
      <c r="UHV65" s="349"/>
      <c r="UHW65" s="349"/>
      <c r="UHX65" s="349"/>
      <c r="UHY65" s="349"/>
      <c r="UHZ65" s="349"/>
      <c r="UIA65" s="349"/>
      <c r="UIB65" s="349"/>
      <c r="UIC65" s="349"/>
      <c r="UID65" s="349"/>
      <c r="UIE65" s="349"/>
      <c r="UIF65" s="349"/>
      <c r="UIG65" s="349"/>
      <c r="UIH65" s="349"/>
      <c r="UII65" s="349"/>
      <c r="UIJ65" s="349"/>
      <c r="UIK65" s="349"/>
      <c r="UIL65" s="349"/>
      <c r="UIM65" s="349"/>
      <c r="UIN65" s="349"/>
      <c r="UIO65" s="349"/>
      <c r="UIP65" s="349"/>
      <c r="UIQ65" s="349"/>
      <c r="UIR65" s="349"/>
      <c r="UIS65" s="349"/>
      <c r="UIT65" s="349"/>
      <c r="UIU65" s="349"/>
      <c r="UIV65" s="349"/>
      <c r="UIW65" s="349"/>
      <c r="UIX65" s="349"/>
      <c r="UIY65" s="349"/>
      <c r="UIZ65" s="349"/>
      <c r="UJA65" s="349"/>
      <c r="UJB65" s="349"/>
      <c r="UJC65" s="349"/>
      <c r="UJD65" s="349"/>
      <c r="UJE65" s="349"/>
      <c r="UJF65" s="349"/>
      <c r="UJG65" s="349"/>
      <c r="UJH65" s="349"/>
      <c r="UJI65" s="349"/>
      <c r="UJJ65" s="349"/>
      <c r="UJK65" s="349"/>
      <c r="UJL65" s="349"/>
      <c r="UJM65" s="349"/>
      <c r="UJN65" s="349"/>
      <c r="UJO65" s="349"/>
      <c r="UJP65" s="349"/>
      <c r="UJQ65" s="349"/>
      <c r="UJR65" s="349"/>
      <c r="UJS65" s="349"/>
      <c r="UJT65" s="349"/>
      <c r="UJU65" s="349"/>
      <c r="UJV65" s="349"/>
      <c r="UJW65" s="349"/>
      <c r="UJX65" s="349"/>
      <c r="UJY65" s="349"/>
      <c r="UJZ65" s="349"/>
      <c r="UKA65" s="349"/>
      <c r="UKB65" s="349"/>
      <c r="UKC65" s="349"/>
      <c r="UKD65" s="349"/>
      <c r="UKE65" s="349"/>
      <c r="UKF65" s="349"/>
      <c r="UKG65" s="349"/>
      <c r="UKH65" s="349"/>
      <c r="UKI65" s="349"/>
      <c r="UKJ65" s="349"/>
      <c r="UKK65" s="349"/>
      <c r="UKL65" s="349"/>
      <c r="UKM65" s="349"/>
      <c r="UKN65" s="349"/>
      <c r="UKO65" s="349"/>
      <c r="UKP65" s="349"/>
      <c r="UKQ65" s="349"/>
      <c r="UKR65" s="349"/>
      <c r="UKS65" s="349"/>
      <c r="UKT65" s="349"/>
      <c r="UKU65" s="349"/>
      <c r="UKV65" s="349"/>
      <c r="UKW65" s="349"/>
      <c r="UKX65" s="349"/>
      <c r="UKY65" s="349"/>
      <c r="UKZ65" s="349"/>
      <c r="ULA65" s="349"/>
      <c r="ULB65" s="349"/>
      <c r="ULC65" s="349"/>
      <c r="ULD65" s="349"/>
      <c r="ULE65" s="349"/>
      <c r="ULF65" s="349"/>
      <c r="ULG65" s="349"/>
      <c r="ULH65" s="349"/>
      <c r="ULI65" s="349"/>
      <c r="ULJ65" s="349"/>
      <c r="ULK65" s="349"/>
      <c r="ULL65" s="349"/>
      <c r="ULM65" s="349"/>
      <c r="ULN65" s="349"/>
      <c r="ULO65" s="349"/>
      <c r="ULP65" s="349"/>
      <c r="ULQ65" s="349"/>
      <c r="ULR65" s="349"/>
      <c r="ULS65" s="349"/>
      <c r="ULT65" s="349"/>
      <c r="ULU65" s="349"/>
      <c r="ULV65" s="349"/>
      <c r="ULW65" s="349"/>
      <c r="ULX65" s="349"/>
      <c r="ULY65" s="349"/>
      <c r="ULZ65" s="349"/>
      <c r="UMA65" s="349"/>
      <c r="UMB65" s="349"/>
      <c r="UMC65" s="349"/>
      <c r="UMD65" s="349"/>
      <c r="UME65" s="349"/>
      <c r="UMF65" s="349"/>
      <c r="UMG65" s="349"/>
      <c r="UMH65" s="349"/>
      <c r="UMI65" s="349"/>
      <c r="UMJ65" s="349"/>
      <c r="UMK65" s="349"/>
      <c r="UML65" s="349"/>
      <c r="UMM65" s="349"/>
      <c r="UMN65" s="349"/>
      <c r="UMO65" s="349"/>
      <c r="UMP65" s="349"/>
      <c r="UMQ65" s="349"/>
      <c r="UMR65" s="349"/>
      <c r="UMS65" s="349"/>
      <c r="UMT65" s="349"/>
      <c r="UMU65" s="349"/>
      <c r="UMV65" s="349"/>
      <c r="UMW65" s="349"/>
      <c r="UMX65" s="349"/>
      <c r="UMY65" s="349"/>
      <c r="UMZ65" s="349"/>
      <c r="UNA65" s="349"/>
      <c r="UNB65" s="349"/>
      <c r="UNC65" s="349"/>
      <c r="UND65" s="349"/>
      <c r="UNE65" s="349"/>
      <c r="UNF65" s="349"/>
      <c r="UNG65" s="349"/>
      <c r="UNH65" s="349"/>
      <c r="UNI65" s="349"/>
      <c r="UNJ65" s="349"/>
      <c r="UNK65" s="349"/>
      <c r="UNL65" s="349"/>
      <c r="UNM65" s="349"/>
      <c r="UNN65" s="349"/>
      <c r="UNO65" s="349"/>
      <c r="UNP65" s="349"/>
      <c r="UNQ65" s="349"/>
      <c r="UNR65" s="349"/>
      <c r="UNS65" s="349"/>
      <c r="UNT65" s="349"/>
      <c r="UNU65" s="349"/>
      <c r="UNV65" s="349"/>
      <c r="UNW65" s="349"/>
      <c r="UNX65" s="349"/>
      <c r="UNY65" s="349"/>
      <c r="UNZ65" s="349"/>
      <c r="UOA65" s="349"/>
      <c r="UOB65" s="349"/>
      <c r="UOC65" s="349"/>
      <c r="UOD65" s="349"/>
      <c r="UOE65" s="349"/>
      <c r="UOF65" s="349"/>
      <c r="UOG65" s="349"/>
      <c r="UOH65" s="349"/>
      <c r="UOI65" s="349"/>
      <c r="UOJ65" s="349"/>
      <c r="UOK65" s="349"/>
      <c r="UOL65" s="349"/>
      <c r="UOM65" s="349"/>
      <c r="UON65" s="349"/>
      <c r="UOO65" s="349"/>
      <c r="UOP65" s="349"/>
      <c r="UOQ65" s="349"/>
      <c r="UOR65" s="349"/>
      <c r="UOS65" s="349"/>
      <c r="UOT65" s="349"/>
      <c r="UOU65" s="349"/>
      <c r="UOV65" s="349"/>
      <c r="UOW65" s="349"/>
      <c r="UOX65" s="349"/>
      <c r="UOY65" s="349"/>
      <c r="UOZ65" s="349"/>
      <c r="UPA65" s="349"/>
      <c r="UPB65" s="349"/>
      <c r="UPC65" s="349"/>
      <c r="UPD65" s="349"/>
      <c r="UPE65" s="349"/>
      <c r="UPF65" s="349"/>
      <c r="UPG65" s="349"/>
      <c r="UPH65" s="349"/>
      <c r="UPI65" s="349"/>
      <c r="UPJ65" s="349"/>
      <c r="UPK65" s="349"/>
      <c r="UPL65" s="349"/>
      <c r="UPM65" s="349"/>
      <c r="UPN65" s="349"/>
      <c r="UPO65" s="349"/>
      <c r="UPP65" s="349"/>
      <c r="UPQ65" s="349"/>
      <c r="UPR65" s="349"/>
      <c r="UPS65" s="349"/>
      <c r="UPT65" s="349"/>
      <c r="UPU65" s="349"/>
      <c r="UPV65" s="349"/>
      <c r="UPW65" s="349"/>
      <c r="UPX65" s="349"/>
      <c r="UPY65" s="349"/>
      <c r="UPZ65" s="349"/>
      <c r="UQA65" s="349"/>
      <c r="UQB65" s="349"/>
      <c r="UQC65" s="349"/>
      <c r="UQD65" s="349"/>
      <c r="UQE65" s="349"/>
      <c r="UQF65" s="349"/>
      <c r="UQG65" s="349"/>
      <c r="UQH65" s="349"/>
      <c r="UQI65" s="349"/>
      <c r="UQJ65" s="349"/>
      <c r="UQK65" s="349"/>
      <c r="UQL65" s="349"/>
      <c r="UQM65" s="349"/>
      <c r="UQN65" s="349"/>
      <c r="UQO65" s="349"/>
      <c r="UQP65" s="349"/>
      <c r="UQQ65" s="349"/>
      <c r="UQR65" s="349"/>
      <c r="UQS65" s="349"/>
      <c r="UQT65" s="349"/>
      <c r="UQU65" s="349"/>
      <c r="UQV65" s="349"/>
      <c r="UQW65" s="349"/>
      <c r="UQX65" s="349"/>
      <c r="UQY65" s="349"/>
      <c r="UQZ65" s="349"/>
      <c r="URA65" s="349"/>
      <c r="URB65" s="349"/>
      <c r="URC65" s="349"/>
      <c r="URD65" s="349"/>
      <c r="URE65" s="349"/>
      <c r="URF65" s="349"/>
      <c r="URG65" s="349"/>
      <c r="URH65" s="349"/>
      <c r="URI65" s="349"/>
      <c r="URJ65" s="349"/>
      <c r="URK65" s="349"/>
      <c r="URL65" s="349"/>
      <c r="URM65" s="349"/>
      <c r="URN65" s="349"/>
      <c r="URO65" s="349"/>
      <c r="URP65" s="349"/>
      <c r="URQ65" s="349"/>
      <c r="URR65" s="349"/>
      <c r="URS65" s="349"/>
      <c r="URT65" s="349"/>
      <c r="URU65" s="349"/>
      <c r="URV65" s="349"/>
      <c r="URW65" s="349"/>
      <c r="URX65" s="349"/>
      <c r="URY65" s="349"/>
      <c r="URZ65" s="349"/>
      <c r="USA65" s="349"/>
      <c r="USB65" s="349"/>
      <c r="USC65" s="349"/>
      <c r="USD65" s="349"/>
      <c r="USE65" s="349"/>
      <c r="USF65" s="349"/>
      <c r="USG65" s="349"/>
      <c r="USH65" s="349"/>
      <c r="USI65" s="349"/>
      <c r="USJ65" s="349"/>
      <c r="USK65" s="349"/>
      <c r="USL65" s="349"/>
      <c r="USM65" s="349"/>
      <c r="USN65" s="349"/>
      <c r="USO65" s="349"/>
      <c r="USP65" s="349"/>
      <c r="USQ65" s="349"/>
      <c r="USR65" s="349"/>
      <c r="USS65" s="349"/>
      <c r="UST65" s="349"/>
      <c r="USU65" s="349"/>
      <c r="USV65" s="349"/>
      <c r="USW65" s="349"/>
      <c r="USX65" s="349"/>
      <c r="USY65" s="349"/>
      <c r="USZ65" s="349"/>
      <c r="UTA65" s="349"/>
      <c r="UTB65" s="349"/>
      <c r="UTC65" s="349"/>
      <c r="UTD65" s="349"/>
      <c r="UTE65" s="349"/>
      <c r="UTF65" s="349"/>
      <c r="UTG65" s="349"/>
      <c r="UTH65" s="349"/>
      <c r="UTI65" s="349"/>
      <c r="UTJ65" s="349"/>
      <c r="UTK65" s="349"/>
      <c r="UTL65" s="349"/>
      <c r="UTM65" s="349"/>
      <c r="UTN65" s="349"/>
      <c r="UTO65" s="349"/>
      <c r="UTP65" s="349"/>
      <c r="UTQ65" s="349"/>
      <c r="UTR65" s="349"/>
      <c r="UTS65" s="349"/>
      <c r="UTT65" s="349"/>
      <c r="UTU65" s="349"/>
      <c r="UTV65" s="349"/>
      <c r="UTW65" s="349"/>
      <c r="UTX65" s="349"/>
      <c r="UTY65" s="349"/>
      <c r="UTZ65" s="349"/>
      <c r="UUA65" s="349"/>
      <c r="UUB65" s="349"/>
      <c r="UUC65" s="349"/>
      <c r="UUD65" s="349"/>
      <c r="UUE65" s="349"/>
      <c r="UUF65" s="349"/>
      <c r="UUG65" s="349"/>
      <c r="UUH65" s="349"/>
      <c r="UUI65" s="349"/>
      <c r="UUJ65" s="349"/>
      <c r="UUK65" s="349"/>
      <c r="UUL65" s="349"/>
      <c r="UUM65" s="349"/>
      <c r="UUN65" s="349"/>
      <c r="UUO65" s="349"/>
      <c r="UUP65" s="349"/>
      <c r="UUQ65" s="349"/>
      <c r="UUR65" s="349"/>
      <c r="UUS65" s="349"/>
      <c r="UUT65" s="349"/>
      <c r="UUU65" s="349"/>
      <c r="UUV65" s="349"/>
      <c r="UUW65" s="349"/>
      <c r="UUX65" s="349"/>
      <c r="UUY65" s="349"/>
      <c r="UUZ65" s="349"/>
      <c r="UVA65" s="349"/>
      <c r="UVB65" s="349"/>
      <c r="UVC65" s="349"/>
      <c r="UVD65" s="349"/>
      <c r="UVE65" s="349"/>
      <c r="UVF65" s="349"/>
      <c r="UVG65" s="349"/>
      <c r="UVH65" s="349"/>
      <c r="UVI65" s="349"/>
      <c r="UVJ65" s="349"/>
      <c r="UVK65" s="349"/>
      <c r="UVL65" s="349"/>
      <c r="UVM65" s="349"/>
      <c r="UVN65" s="349"/>
      <c r="UVO65" s="349"/>
      <c r="UVP65" s="349"/>
      <c r="UVQ65" s="349"/>
      <c r="UVR65" s="349"/>
      <c r="UVS65" s="349"/>
      <c r="UVT65" s="349"/>
      <c r="UVU65" s="349"/>
      <c r="UVV65" s="349"/>
      <c r="UVW65" s="349"/>
      <c r="UVX65" s="349"/>
      <c r="UVY65" s="349"/>
      <c r="UVZ65" s="349"/>
      <c r="UWA65" s="349"/>
      <c r="UWB65" s="349"/>
      <c r="UWC65" s="349"/>
      <c r="UWD65" s="349"/>
      <c r="UWE65" s="349"/>
      <c r="UWF65" s="349"/>
      <c r="UWG65" s="349"/>
      <c r="UWH65" s="349"/>
      <c r="UWI65" s="349"/>
      <c r="UWJ65" s="349"/>
      <c r="UWK65" s="349"/>
      <c r="UWL65" s="349"/>
      <c r="UWM65" s="349"/>
      <c r="UWN65" s="349"/>
      <c r="UWO65" s="349"/>
      <c r="UWP65" s="349"/>
      <c r="UWQ65" s="349"/>
      <c r="UWR65" s="349"/>
      <c r="UWS65" s="349"/>
      <c r="UWT65" s="349"/>
      <c r="UWU65" s="349"/>
      <c r="UWV65" s="349"/>
      <c r="UWW65" s="349"/>
      <c r="UWX65" s="349"/>
      <c r="UWY65" s="349"/>
      <c r="UWZ65" s="349"/>
      <c r="UXA65" s="349"/>
      <c r="UXB65" s="349"/>
      <c r="UXC65" s="349"/>
      <c r="UXD65" s="349"/>
      <c r="UXE65" s="349"/>
      <c r="UXF65" s="349"/>
      <c r="UXG65" s="349"/>
      <c r="UXH65" s="349"/>
      <c r="UXI65" s="349"/>
      <c r="UXJ65" s="349"/>
      <c r="UXK65" s="349"/>
      <c r="UXL65" s="349"/>
      <c r="UXM65" s="349"/>
      <c r="UXN65" s="349"/>
      <c r="UXO65" s="349"/>
      <c r="UXP65" s="349"/>
      <c r="UXQ65" s="349"/>
      <c r="UXR65" s="349"/>
      <c r="UXS65" s="349"/>
      <c r="UXT65" s="349"/>
      <c r="UXU65" s="349"/>
      <c r="UXV65" s="349"/>
      <c r="UXW65" s="349"/>
      <c r="UXX65" s="349"/>
      <c r="UXY65" s="349"/>
      <c r="UXZ65" s="349"/>
      <c r="UYA65" s="349"/>
      <c r="UYB65" s="349"/>
      <c r="UYC65" s="349"/>
      <c r="UYD65" s="349"/>
      <c r="UYE65" s="349"/>
      <c r="UYF65" s="349"/>
      <c r="UYG65" s="349"/>
      <c r="UYH65" s="349"/>
      <c r="UYI65" s="349"/>
      <c r="UYJ65" s="349"/>
      <c r="UYK65" s="349"/>
      <c r="UYL65" s="349"/>
      <c r="UYM65" s="349"/>
      <c r="UYN65" s="349"/>
      <c r="UYO65" s="349"/>
      <c r="UYP65" s="349"/>
      <c r="UYQ65" s="349"/>
      <c r="UYR65" s="349"/>
      <c r="UYS65" s="349"/>
      <c r="UYT65" s="349"/>
      <c r="UYU65" s="349"/>
      <c r="UYV65" s="349"/>
      <c r="UYW65" s="349"/>
      <c r="UYX65" s="349"/>
      <c r="UYY65" s="349"/>
      <c r="UYZ65" s="349"/>
      <c r="UZA65" s="349"/>
      <c r="UZB65" s="349"/>
      <c r="UZC65" s="349"/>
      <c r="UZD65" s="349"/>
      <c r="UZE65" s="349"/>
      <c r="UZF65" s="349"/>
      <c r="UZG65" s="349"/>
      <c r="UZH65" s="349"/>
      <c r="UZI65" s="349"/>
      <c r="UZJ65" s="349"/>
      <c r="UZK65" s="349"/>
      <c r="UZL65" s="349"/>
      <c r="UZM65" s="349"/>
      <c r="UZN65" s="349"/>
      <c r="UZO65" s="349"/>
      <c r="UZP65" s="349"/>
      <c r="UZQ65" s="349"/>
      <c r="UZR65" s="349"/>
      <c r="UZS65" s="349"/>
      <c r="UZT65" s="349"/>
      <c r="UZU65" s="349"/>
      <c r="UZV65" s="349"/>
      <c r="UZW65" s="349"/>
      <c r="UZX65" s="349"/>
      <c r="UZY65" s="349"/>
      <c r="UZZ65" s="349"/>
      <c r="VAA65" s="349"/>
      <c r="VAB65" s="349"/>
      <c r="VAC65" s="349"/>
      <c r="VAD65" s="349"/>
      <c r="VAE65" s="349"/>
      <c r="VAF65" s="349"/>
      <c r="VAG65" s="349"/>
      <c r="VAH65" s="349"/>
      <c r="VAI65" s="349"/>
      <c r="VAJ65" s="349"/>
      <c r="VAK65" s="349"/>
      <c r="VAL65" s="349"/>
      <c r="VAM65" s="349"/>
      <c r="VAN65" s="349"/>
      <c r="VAO65" s="349"/>
      <c r="VAP65" s="349"/>
      <c r="VAQ65" s="349"/>
      <c r="VAR65" s="349"/>
      <c r="VAS65" s="349"/>
      <c r="VAT65" s="349"/>
      <c r="VAU65" s="349"/>
      <c r="VAV65" s="349"/>
      <c r="VAW65" s="349"/>
      <c r="VAX65" s="349"/>
      <c r="VAY65" s="349"/>
      <c r="VAZ65" s="349"/>
      <c r="VBA65" s="349"/>
      <c r="VBB65" s="349"/>
      <c r="VBC65" s="349"/>
      <c r="VBD65" s="349"/>
      <c r="VBE65" s="349"/>
      <c r="VBF65" s="349"/>
      <c r="VBG65" s="349"/>
      <c r="VBH65" s="349"/>
      <c r="VBI65" s="349"/>
      <c r="VBJ65" s="349"/>
      <c r="VBK65" s="349"/>
      <c r="VBL65" s="349"/>
      <c r="VBM65" s="349"/>
      <c r="VBN65" s="349"/>
      <c r="VBO65" s="349"/>
      <c r="VBP65" s="349"/>
      <c r="VBQ65" s="349"/>
      <c r="VBR65" s="349"/>
      <c r="VBS65" s="349"/>
      <c r="VBT65" s="349"/>
      <c r="VBU65" s="349"/>
      <c r="VBV65" s="349"/>
      <c r="VBW65" s="349"/>
      <c r="VBX65" s="349"/>
      <c r="VBY65" s="349"/>
      <c r="VBZ65" s="349"/>
      <c r="VCA65" s="349"/>
      <c r="VCB65" s="349"/>
      <c r="VCC65" s="349"/>
      <c r="VCD65" s="349"/>
      <c r="VCE65" s="349"/>
      <c r="VCF65" s="349"/>
      <c r="VCG65" s="349"/>
      <c r="VCH65" s="349"/>
      <c r="VCI65" s="349"/>
      <c r="VCJ65" s="349"/>
      <c r="VCK65" s="349"/>
      <c r="VCL65" s="349"/>
      <c r="VCM65" s="349"/>
      <c r="VCN65" s="349"/>
      <c r="VCO65" s="349"/>
      <c r="VCP65" s="349"/>
      <c r="VCQ65" s="349"/>
      <c r="VCR65" s="349"/>
      <c r="VCS65" s="349"/>
      <c r="VCT65" s="349"/>
      <c r="VCU65" s="349"/>
      <c r="VCV65" s="349"/>
      <c r="VCW65" s="349"/>
      <c r="VCX65" s="349"/>
      <c r="VCY65" s="349"/>
      <c r="VCZ65" s="349"/>
      <c r="VDA65" s="349"/>
      <c r="VDB65" s="349"/>
      <c r="VDC65" s="349"/>
      <c r="VDD65" s="349"/>
      <c r="VDE65" s="349"/>
      <c r="VDF65" s="349"/>
      <c r="VDG65" s="349"/>
      <c r="VDH65" s="349"/>
      <c r="VDI65" s="349"/>
      <c r="VDJ65" s="349"/>
      <c r="VDK65" s="349"/>
      <c r="VDL65" s="349"/>
      <c r="VDM65" s="349"/>
      <c r="VDN65" s="349"/>
      <c r="VDO65" s="349"/>
      <c r="VDP65" s="349"/>
      <c r="VDQ65" s="349"/>
      <c r="VDR65" s="349"/>
      <c r="VDS65" s="349"/>
      <c r="VDT65" s="349"/>
      <c r="VDU65" s="349"/>
      <c r="VDV65" s="349"/>
      <c r="VDW65" s="349"/>
      <c r="VDX65" s="349"/>
      <c r="VDY65" s="349"/>
      <c r="VDZ65" s="349"/>
      <c r="VEA65" s="349"/>
      <c r="VEB65" s="349"/>
      <c r="VEC65" s="349"/>
      <c r="VED65" s="349"/>
      <c r="VEE65" s="349"/>
      <c r="VEF65" s="349"/>
      <c r="VEG65" s="349"/>
      <c r="VEH65" s="349"/>
      <c r="VEI65" s="349"/>
      <c r="VEJ65" s="349"/>
      <c r="VEK65" s="349"/>
      <c r="VEL65" s="349"/>
      <c r="VEM65" s="349"/>
      <c r="VEN65" s="349"/>
      <c r="VEO65" s="349"/>
      <c r="VEP65" s="349"/>
      <c r="VEQ65" s="349"/>
      <c r="VER65" s="349"/>
      <c r="VES65" s="349"/>
      <c r="VET65" s="349"/>
      <c r="VEU65" s="349"/>
      <c r="VEV65" s="349"/>
      <c r="VEW65" s="349"/>
      <c r="VEX65" s="349"/>
      <c r="VEY65" s="349"/>
      <c r="VEZ65" s="349"/>
      <c r="VFA65" s="349"/>
      <c r="VFB65" s="349"/>
      <c r="VFC65" s="349"/>
      <c r="VFD65" s="349"/>
      <c r="VFE65" s="349"/>
      <c r="VFF65" s="349"/>
      <c r="VFG65" s="349"/>
      <c r="VFH65" s="349"/>
      <c r="VFI65" s="349"/>
      <c r="VFJ65" s="349"/>
      <c r="VFK65" s="349"/>
      <c r="VFL65" s="349"/>
      <c r="VFM65" s="349"/>
      <c r="VFN65" s="349"/>
      <c r="VFO65" s="349"/>
      <c r="VFP65" s="349"/>
      <c r="VFQ65" s="349"/>
      <c r="VFR65" s="349"/>
      <c r="VFS65" s="349"/>
      <c r="VFT65" s="349"/>
      <c r="VFU65" s="349"/>
      <c r="VFV65" s="349"/>
      <c r="VFW65" s="349"/>
      <c r="VFX65" s="349"/>
      <c r="VFY65" s="349"/>
      <c r="VFZ65" s="349"/>
      <c r="VGA65" s="349"/>
      <c r="VGB65" s="349"/>
      <c r="VGC65" s="349"/>
      <c r="VGD65" s="349"/>
      <c r="VGE65" s="349"/>
      <c r="VGF65" s="349"/>
      <c r="VGG65" s="349"/>
      <c r="VGH65" s="349"/>
      <c r="VGI65" s="349"/>
      <c r="VGJ65" s="349"/>
      <c r="VGK65" s="349"/>
      <c r="VGL65" s="349"/>
      <c r="VGM65" s="349"/>
      <c r="VGN65" s="349"/>
      <c r="VGO65" s="349"/>
      <c r="VGP65" s="349"/>
      <c r="VGQ65" s="349"/>
      <c r="VGR65" s="349"/>
      <c r="VGS65" s="349"/>
      <c r="VGT65" s="349"/>
      <c r="VGU65" s="349"/>
      <c r="VGV65" s="349"/>
      <c r="VGW65" s="349"/>
      <c r="VGX65" s="349"/>
      <c r="VGY65" s="349"/>
      <c r="VGZ65" s="349"/>
      <c r="VHA65" s="349"/>
      <c r="VHB65" s="349"/>
      <c r="VHC65" s="349"/>
      <c r="VHD65" s="349"/>
      <c r="VHE65" s="349"/>
      <c r="VHF65" s="349"/>
      <c r="VHG65" s="349"/>
      <c r="VHH65" s="349"/>
      <c r="VHI65" s="349"/>
      <c r="VHJ65" s="349"/>
      <c r="VHK65" s="349"/>
      <c r="VHL65" s="349"/>
      <c r="VHM65" s="349"/>
      <c r="VHN65" s="349"/>
      <c r="VHO65" s="349"/>
      <c r="VHP65" s="349"/>
      <c r="VHQ65" s="349"/>
      <c r="VHR65" s="349"/>
      <c r="VHS65" s="349"/>
      <c r="VHT65" s="349"/>
      <c r="VHU65" s="349"/>
      <c r="VHV65" s="349"/>
      <c r="VHW65" s="349"/>
      <c r="VHX65" s="349"/>
      <c r="VHY65" s="349"/>
      <c r="VHZ65" s="349"/>
      <c r="VIA65" s="349"/>
      <c r="VIB65" s="349"/>
      <c r="VIC65" s="349"/>
      <c r="VID65" s="349"/>
      <c r="VIE65" s="349"/>
      <c r="VIF65" s="349"/>
      <c r="VIG65" s="349"/>
      <c r="VIH65" s="349"/>
      <c r="VII65" s="349"/>
      <c r="VIJ65" s="349"/>
      <c r="VIK65" s="349"/>
      <c r="VIL65" s="349"/>
      <c r="VIM65" s="349"/>
      <c r="VIN65" s="349"/>
      <c r="VIO65" s="349"/>
      <c r="VIP65" s="349"/>
      <c r="VIQ65" s="349"/>
      <c r="VIR65" s="349"/>
      <c r="VIS65" s="349"/>
      <c r="VIT65" s="349"/>
      <c r="VIU65" s="349"/>
      <c r="VIV65" s="349"/>
      <c r="VIW65" s="349"/>
      <c r="VIX65" s="349"/>
      <c r="VIY65" s="349"/>
      <c r="VIZ65" s="349"/>
      <c r="VJA65" s="349"/>
      <c r="VJB65" s="349"/>
      <c r="VJC65" s="349"/>
      <c r="VJD65" s="349"/>
      <c r="VJE65" s="349"/>
      <c r="VJF65" s="349"/>
      <c r="VJG65" s="349"/>
      <c r="VJH65" s="349"/>
      <c r="VJI65" s="349"/>
      <c r="VJJ65" s="349"/>
      <c r="VJK65" s="349"/>
      <c r="VJL65" s="349"/>
      <c r="VJM65" s="349"/>
      <c r="VJN65" s="349"/>
      <c r="VJO65" s="349"/>
      <c r="VJP65" s="349"/>
      <c r="VJQ65" s="349"/>
      <c r="VJR65" s="349"/>
      <c r="VJS65" s="349"/>
      <c r="VJT65" s="349"/>
      <c r="VJU65" s="349"/>
      <c r="VJV65" s="349"/>
      <c r="VJW65" s="349"/>
      <c r="VJX65" s="349"/>
      <c r="VJY65" s="349"/>
      <c r="VJZ65" s="349"/>
      <c r="VKA65" s="349"/>
      <c r="VKB65" s="349"/>
      <c r="VKC65" s="349"/>
      <c r="VKD65" s="349"/>
      <c r="VKE65" s="349"/>
      <c r="VKF65" s="349"/>
      <c r="VKG65" s="349"/>
      <c r="VKH65" s="349"/>
      <c r="VKI65" s="349"/>
      <c r="VKJ65" s="349"/>
      <c r="VKK65" s="349"/>
      <c r="VKL65" s="349"/>
      <c r="VKM65" s="349"/>
      <c r="VKN65" s="349"/>
      <c r="VKO65" s="349"/>
      <c r="VKP65" s="349"/>
      <c r="VKQ65" s="349"/>
      <c r="VKR65" s="349"/>
      <c r="VKS65" s="349"/>
      <c r="VKT65" s="349"/>
      <c r="VKU65" s="349"/>
      <c r="VKV65" s="349"/>
      <c r="VKW65" s="349"/>
      <c r="VKX65" s="349"/>
      <c r="VKY65" s="349"/>
      <c r="VKZ65" s="349"/>
      <c r="VLA65" s="349"/>
      <c r="VLB65" s="349"/>
      <c r="VLC65" s="349"/>
      <c r="VLD65" s="349"/>
      <c r="VLE65" s="349"/>
      <c r="VLF65" s="349"/>
      <c r="VLG65" s="349"/>
      <c r="VLH65" s="349"/>
      <c r="VLI65" s="349"/>
      <c r="VLJ65" s="349"/>
      <c r="VLK65" s="349"/>
      <c r="VLL65" s="349"/>
      <c r="VLM65" s="349"/>
      <c r="VLN65" s="349"/>
      <c r="VLO65" s="349"/>
      <c r="VLP65" s="349"/>
      <c r="VLQ65" s="349"/>
      <c r="VLR65" s="349"/>
      <c r="VLS65" s="349"/>
      <c r="VLT65" s="349"/>
      <c r="VLU65" s="349"/>
      <c r="VLV65" s="349"/>
      <c r="VLW65" s="349"/>
      <c r="VLX65" s="349"/>
      <c r="VLY65" s="349"/>
      <c r="VLZ65" s="349"/>
      <c r="VMA65" s="349"/>
      <c r="VMB65" s="349"/>
      <c r="VMC65" s="349"/>
      <c r="VMD65" s="349"/>
      <c r="VME65" s="349"/>
      <c r="VMF65" s="349"/>
      <c r="VMG65" s="349"/>
      <c r="VMH65" s="349"/>
      <c r="VMI65" s="349"/>
      <c r="VMJ65" s="349"/>
      <c r="VMK65" s="349"/>
      <c r="VML65" s="349"/>
      <c r="VMM65" s="349"/>
      <c r="VMN65" s="349"/>
      <c r="VMO65" s="349"/>
      <c r="VMP65" s="349"/>
      <c r="VMQ65" s="349"/>
      <c r="VMR65" s="349"/>
      <c r="VMS65" s="349"/>
      <c r="VMT65" s="349"/>
      <c r="VMU65" s="349"/>
      <c r="VMV65" s="349"/>
      <c r="VMW65" s="349"/>
      <c r="VMX65" s="349"/>
      <c r="VMY65" s="349"/>
      <c r="VMZ65" s="349"/>
      <c r="VNA65" s="349"/>
      <c r="VNB65" s="349"/>
      <c r="VNC65" s="349"/>
      <c r="VND65" s="349"/>
      <c r="VNE65" s="349"/>
      <c r="VNF65" s="349"/>
      <c r="VNG65" s="349"/>
      <c r="VNH65" s="349"/>
      <c r="VNI65" s="349"/>
      <c r="VNJ65" s="349"/>
      <c r="VNK65" s="349"/>
      <c r="VNL65" s="349"/>
      <c r="VNM65" s="349"/>
      <c r="VNN65" s="349"/>
      <c r="VNO65" s="349"/>
      <c r="VNP65" s="349"/>
      <c r="VNQ65" s="349"/>
      <c r="VNR65" s="349"/>
      <c r="VNS65" s="349"/>
      <c r="VNT65" s="349"/>
      <c r="VNU65" s="349"/>
      <c r="VNV65" s="349"/>
      <c r="VNW65" s="349"/>
      <c r="VNX65" s="349"/>
      <c r="VNY65" s="349"/>
      <c r="VNZ65" s="349"/>
      <c r="VOA65" s="349"/>
      <c r="VOB65" s="349"/>
      <c r="VOC65" s="349"/>
      <c r="VOD65" s="349"/>
      <c r="VOE65" s="349"/>
      <c r="VOF65" s="349"/>
      <c r="VOG65" s="349"/>
      <c r="VOH65" s="349"/>
      <c r="VOI65" s="349"/>
      <c r="VOJ65" s="349"/>
      <c r="VOK65" s="349"/>
      <c r="VOL65" s="349"/>
      <c r="VOM65" s="349"/>
      <c r="VON65" s="349"/>
      <c r="VOO65" s="349"/>
      <c r="VOP65" s="349"/>
      <c r="VOQ65" s="349"/>
      <c r="VOR65" s="349"/>
      <c r="VOS65" s="349"/>
      <c r="VOT65" s="349"/>
      <c r="VOU65" s="349"/>
      <c r="VOV65" s="349"/>
      <c r="VOW65" s="349"/>
      <c r="VOX65" s="349"/>
      <c r="VOY65" s="349"/>
      <c r="VOZ65" s="349"/>
      <c r="VPA65" s="349"/>
      <c r="VPB65" s="349"/>
      <c r="VPC65" s="349"/>
      <c r="VPD65" s="349"/>
      <c r="VPE65" s="349"/>
      <c r="VPF65" s="349"/>
      <c r="VPG65" s="349"/>
      <c r="VPH65" s="349"/>
      <c r="VPI65" s="349"/>
      <c r="VPJ65" s="349"/>
      <c r="VPK65" s="349"/>
      <c r="VPL65" s="349"/>
      <c r="VPM65" s="349"/>
      <c r="VPN65" s="349"/>
      <c r="VPO65" s="349"/>
      <c r="VPP65" s="349"/>
      <c r="VPQ65" s="349"/>
      <c r="VPR65" s="349"/>
      <c r="VPS65" s="349"/>
      <c r="VPT65" s="349"/>
      <c r="VPU65" s="349"/>
      <c r="VPV65" s="349"/>
      <c r="VPW65" s="349"/>
      <c r="VPX65" s="349"/>
      <c r="VPY65" s="349"/>
      <c r="VPZ65" s="349"/>
      <c r="VQA65" s="349"/>
      <c r="VQB65" s="349"/>
      <c r="VQC65" s="349"/>
      <c r="VQD65" s="349"/>
      <c r="VQE65" s="349"/>
      <c r="VQF65" s="349"/>
      <c r="VQG65" s="349"/>
      <c r="VQH65" s="349"/>
      <c r="VQI65" s="349"/>
      <c r="VQJ65" s="349"/>
      <c r="VQK65" s="349"/>
      <c r="VQL65" s="349"/>
      <c r="VQM65" s="349"/>
      <c r="VQN65" s="349"/>
      <c r="VQO65" s="349"/>
      <c r="VQP65" s="349"/>
      <c r="VQQ65" s="349"/>
      <c r="VQR65" s="349"/>
      <c r="VQS65" s="349"/>
      <c r="VQT65" s="349"/>
      <c r="VQU65" s="349"/>
      <c r="VQV65" s="349"/>
      <c r="VQW65" s="349"/>
      <c r="VQX65" s="349"/>
      <c r="VQY65" s="349"/>
      <c r="VQZ65" s="349"/>
      <c r="VRA65" s="349"/>
      <c r="VRB65" s="349"/>
      <c r="VRC65" s="349"/>
      <c r="VRD65" s="349"/>
      <c r="VRE65" s="349"/>
      <c r="VRF65" s="349"/>
      <c r="VRG65" s="349"/>
      <c r="VRH65" s="349"/>
      <c r="VRI65" s="349"/>
      <c r="VRJ65" s="349"/>
      <c r="VRK65" s="349"/>
      <c r="VRL65" s="349"/>
      <c r="VRM65" s="349"/>
      <c r="VRN65" s="349"/>
      <c r="VRO65" s="349"/>
      <c r="VRP65" s="349"/>
      <c r="VRQ65" s="349"/>
      <c r="VRR65" s="349"/>
      <c r="VRS65" s="349"/>
      <c r="VRT65" s="349"/>
      <c r="VRU65" s="349"/>
      <c r="VRV65" s="349"/>
      <c r="VRW65" s="349"/>
      <c r="VRX65" s="349"/>
      <c r="VRY65" s="349"/>
      <c r="VRZ65" s="349"/>
      <c r="VSA65" s="349"/>
      <c r="VSB65" s="349"/>
      <c r="VSC65" s="349"/>
      <c r="VSD65" s="349"/>
      <c r="VSE65" s="349"/>
      <c r="VSF65" s="349"/>
      <c r="VSG65" s="349"/>
      <c r="VSH65" s="349"/>
      <c r="VSI65" s="349"/>
      <c r="VSJ65" s="349"/>
      <c r="VSK65" s="349"/>
      <c r="VSL65" s="349"/>
      <c r="VSM65" s="349"/>
      <c r="VSN65" s="349"/>
      <c r="VSO65" s="349"/>
      <c r="VSP65" s="349"/>
      <c r="VSQ65" s="349"/>
      <c r="VSR65" s="349"/>
      <c r="VSS65" s="349"/>
      <c r="VST65" s="349"/>
      <c r="VSU65" s="349"/>
      <c r="VSV65" s="349"/>
      <c r="VSW65" s="349"/>
      <c r="VSX65" s="349"/>
      <c r="VSY65" s="349"/>
      <c r="VSZ65" s="349"/>
      <c r="VTA65" s="349"/>
      <c r="VTB65" s="349"/>
      <c r="VTC65" s="349"/>
      <c r="VTD65" s="349"/>
      <c r="VTE65" s="349"/>
      <c r="VTF65" s="349"/>
      <c r="VTG65" s="349"/>
      <c r="VTH65" s="349"/>
      <c r="VTI65" s="349"/>
      <c r="VTJ65" s="349"/>
      <c r="VTK65" s="349"/>
      <c r="VTL65" s="349"/>
      <c r="VTM65" s="349"/>
      <c r="VTN65" s="349"/>
      <c r="VTO65" s="349"/>
      <c r="VTP65" s="349"/>
      <c r="VTQ65" s="349"/>
      <c r="VTR65" s="349"/>
      <c r="VTS65" s="349"/>
      <c r="VTT65" s="349"/>
      <c r="VTU65" s="349"/>
      <c r="VTV65" s="349"/>
      <c r="VTW65" s="349"/>
      <c r="VTX65" s="349"/>
      <c r="VTY65" s="349"/>
      <c r="VTZ65" s="349"/>
      <c r="VUA65" s="349"/>
      <c r="VUB65" s="349"/>
      <c r="VUC65" s="349"/>
      <c r="VUD65" s="349"/>
      <c r="VUE65" s="349"/>
      <c r="VUF65" s="349"/>
      <c r="VUG65" s="349"/>
      <c r="VUH65" s="349"/>
      <c r="VUI65" s="349"/>
      <c r="VUJ65" s="349"/>
      <c r="VUK65" s="349"/>
      <c r="VUL65" s="349"/>
      <c r="VUM65" s="349"/>
      <c r="VUN65" s="349"/>
      <c r="VUO65" s="349"/>
      <c r="VUP65" s="349"/>
      <c r="VUQ65" s="349"/>
      <c r="VUR65" s="349"/>
      <c r="VUS65" s="349"/>
      <c r="VUT65" s="349"/>
      <c r="VUU65" s="349"/>
      <c r="VUV65" s="349"/>
      <c r="VUW65" s="349"/>
      <c r="VUX65" s="349"/>
      <c r="VUY65" s="349"/>
      <c r="VUZ65" s="349"/>
      <c r="VVA65" s="349"/>
      <c r="VVB65" s="349"/>
      <c r="VVC65" s="349"/>
      <c r="VVD65" s="349"/>
      <c r="VVE65" s="349"/>
      <c r="VVF65" s="349"/>
      <c r="VVG65" s="349"/>
      <c r="VVH65" s="349"/>
      <c r="VVI65" s="349"/>
      <c r="VVJ65" s="349"/>
      <c r="VVK65" s="349"/>
      <c r="VVL65" s="349"/>
      <c r="VVM65" s="349"/>
      <c r="VVN65" s="349"/>
      <c r="VVO65" s="349"/>
      <c r="VVP65" s="349"/>
      <c r="VVQ65" s="349"/>
      <c r="VVR65" s="349"/>
      <c r="VVS65" s="349"/>
      <c r="VVT65" s="349"/>
      <c r="VVU65" s="349"/>
      <c r="VVV65" s="349"/>
      <c r="VVW65" s="349"/>
      <c r="VVX65" s="349"/>
      <c r="VVY65" s="349"/>
      <c r="VVZ65" s="349"/>
      <c r="VWA65" s="349"/>
      <c r="VWB65" s="349"/>
      <c r="VWC65" s="349"/>
      <c r="VWD65" s="349"/>
      <c r="VWE65" s="349"/>
      <c r="VWF65" s="349"/>
      <c r="VWG65" s="349"/>
      <c r="VWH65" s="349"/>
      <c r="VWI65" s="349"/>
      <c r="VWJ65" s="349"/>
      <c r="VWK65" s="349"/>
      <c r="VWL65" s="349"/>
      <c r="VWM65" s="349"/>
      <c r="VWN65" s="349"/>
      <c r="VWO65" s="349"/>
      <c r="VWP65" s="349"/>
      <c r="VWQ65" s="349"/>
      <c r="VWR65" s="349"/>
      <c r="VWS65" s="349"/>
      <c r="VWT65" s="349"/>
      <c r="VWU65" s="349"/>
      <c r="VWV65" s="349"/>
      <c r="VWW65" s="349"/>
      <c r="VWX65" s="349"/>
      <c r="VWY65" s="349"/>
      <c r="VWZ65" s="349"/>
      <c r="VXA65" s="349"/>
      <c r="VXB65" s="349"/>
      <c r="VXC65" s="349"/>
      <c r="VXD65" s="349"/>
      <c r="VXE65" s="349"/>
      <c r="VXF65" s="349"/>
      <c r="VXG65" s="349"/>
      <c r="VXH65" s="349"/>
      <c r="VXI65" s="349"/>
      <c r="VXJ65" s="349"/>
      <c r="VXK65" s="349"/>
      <c r="VXL65" s="349"/>
      <c r="VXM65" s="349"/>
      <c r="VXN65" s="349"/>
      <c r="VXO65" s="349"/>
      <c r="VXP65" s="349"/>
      <c r="VXQ65" s="349"/>
      <c r="VXR65" s="349"/>
      <c r="VXS65" s="349"/>
      <c r="VXT65" s="349"/>
      <c r="VXU65" s="349"/>
      <c r="VXV65" s="349"/>
      <c r="VXW65" s="349"/>
      <c r="VXX65" s="349"/>
      <c r="VXY65" s="349"/>
      <c r="VXZ65" s="349"/>
      <c r="VYA65" s="349"/>
      <c r="VYB65" s="349"/>
      <c r="VYC65" s="349"/>
      <c r="VYD65" s="349"/>
      <c r="VYE65" s="349"/>
      <c r="VYF65" s="349"/>
      <c r="VYG65" s="349"/>
      <c r="VYH65" s="349"/>
      <c r="VYI65" s="349"/>
      <c r="VYJ65" s="349"/>
      <c r="VYK65" s="349"/>
      <c r="VYL65" s="349"/>
      <c r="VYM65" s="349"/>
      <c r="VYN65" s="349"/>
      <c r="VYO65" s="349"/>
      <c r="VYP65" s="349"/>
      <c r="VYQ65" s="349"/>
      <c r="VYR65" s="349"/>
      <c r="VYS65" s="349"/>
      <c r="VYT65" s="349"/>
      <c r="VYU65" s="349"/>
      <c r="VYV65" s="349"/>
      <c r="VYW65" s="349"/>
      <c r="VYX65" s="349"/>
      <c r="VYY65" s="349"/>
      <c r="VYZ65" s="349"/>
      <c r="VZA65" s="349"/>
      <c r="VZB65" s="349"/>
      <c r="VZC65" s="349"/>
      <c r="VZD65" s="349"/>
      <c r="VZE65" s="349"/>
      <c r="VZF65" s="349"/>
      <c r="VZG65" s="349"/>
      <c r="VZH65" s="349"/>
      <c r="VZI65" s="349"/>
      <c r="VZJ65" s="349"/>
      <c r="VZK65" s="349"/>
      <c r="VZL65" s="349"/>
      <c r="VZM65" s="349"/>
      <c r="VZN65" s="349"/>
      <c r="VZO65" s="349"/>
      <c r="VZP65" s="349"/>
      <c r="VZQ65" s="349"/>
      <c r="VZR65" s="349"/>
      <c r="VZS65" s="349"/>
      <c r="VZT65" s="349"/>
      <c r="VZU65" s="349"/>
      <c r="VZV65" s="349"/>
      <c r="VZW65" s="349"/>
      <c r="VZX65" s="349"/>
      <c r="VZY65" s="349"/>
      <c r="VZZ65" s="349"/>
      <c r="WAA65" s="349"/>
      <c r="WAB65" s="349"/>
      <c r="WAC65" s="349"/>
      <c r="WAD65" s="349"/>
      <c r="WAE65" s="349"/>
      <c r="WAF65" s="349"/>
      <c r="WAG65" s="349"/>
      <c r="WAH65" s="349"/>
      <c r="WAI65" s="349"/>
      <c r="WAJ65" s="349"/>
      <c r="WAK65" s="349"/>
      <c r="WAL65" s="349"/>
      <c r="WAM65" s="349"/>
      <c r="WAN65" s="349"/>
      <c r="WAO65" s="349"/>
      <c r="WAP65" s="349"/>
      <c r="WAQ65" s="349"/>
      <c r="WAR65" s="349"/>
      <c r="WAS65" s="349"/>
      <c r="WAT65" s="349"/>
      <c r="WAU65" s="349"/>
      <c r="WAV65" s="349"/>
      <c r="WAW65" s="349"/>
      <c r="WAX65" s="349"/>
      <c r="WAY65" s="349"/>
      <c r="WAZ65" s="349"/>
      <c r="WBA65" s="349"/>
      <c r="WBB65" s="349"/>
      <c r="WBC65" s="349"/>
      <c r="WBD65" s="349"/>
      <c r="WBE65" s="349"/>
      <c r="WBF65" s="349"/>
      <c r="WBG65" s="349"/>
      <c r="WBH65" s="349"/>
      <c r="WBI65" s="349"/>
      <c r="WBJ65" s="349"/>
      <c r="WBK65" s="349"/>
      <c r="WBL65" s="349"/>
      <c r="WBM65" s="349"/>
      <c r="WBN65" s="349"/>
      <c r="WBO65" s="349"/>
      <c r="WBP65" s="349"/>
      <c r="WBQ65" s="349"/>
      <c r="WBR65" s="349"/>
      <c r="WBS65" s="349"/>
      <c r="WBT65" s="349"/>
      <c r="WBU65" s="349"/>
      <c r="WBV65" s="349"/>
      <c r="WBW65" s="349"/>
      <c r="WBX65" s="349"/>
      <c r="WBY65" s="349"/>
      <c r="WBZ65" s="349"/>
      <c r="WCA65" s="349"/>
      <c r="WCB65" s="349"/>
      <c r="WCC65" s="349"/>
      <c r="WCD65" s="349"/>
      <c r="WCE65" s="349"/>
      <c r="WCF65" s="349"/>
      <c r="WCG65" s="349"/>
      <c r="WCH65" s="349"/>
      <c r="WCI65" s="349"/>
      <c r="WCJ65" s="349"/>
      <c r="WCK65" s="349"/>
      <c r="WCL65" s="349"/>
      <c r="WCM65" s="349"/>
      <c r="WCN65" s="349"/>
      <c r="WCO65" s="349"/>
      <c r="WCP65" s="349"/>
      <c r="WCQ65" s="349"/>
      <c r="WCR65" s="349"/>
      <c r="WCS65" s="349"/>
      <c r="WCT65" s="349"/>
      <c r="WCU65" s="349"/>
      <c r="WCV65" s="349"/>
      <c r="WCW65" s="349"/>
      <c r="WCX65" s="349"/>
      <c r="WCY65" s="349"/>
      <c r="WCZ65" s="349"/>
      <c r="WDA65" s="349"/>
      <c r="WDB65" s="349"/>
      <c r="WDC65" s="349"/>
      <c r="WDD65" s="349"/>
      <c r="WDE65" s="349"/>
      <c r="WDF65" s="349"/>
      <c r="WDG65" s="349"/>
      <c r="WDH65" s="349"/>
      <c r="WDI65" s="349"/>
      <c r="WDJ65" s="349"/>
      <c r="WDK65" s="349"/>
      <c r="WDL65" s="349"/>
      <c r="WDM65" s="349"/>
      <c r="WDN65" s="349"/>
      <c r="WDO65" s="349"/>
      <c r="WDP65" s="349"/>
      <c r="WDQ65" s="349"/>
      <c r="WDR65" s="349"/>
      <c r="WDS65" s="349"/>
      <c r="WDT65" s="349"/>
      <c r="WDU65" s="349"/>
      <c r="WDV65" s="349"/>
      <c r="WDW65" s="349"/>
      <c r="WDX65" s="349"/>
      <c r="WDY65" s="349"/>
      <c r="WDZ65" s="349"/>
      <c r="WEA65" s="349"/>
      <c r="WEB65" s="349"/>
      <c r="WEC65" s="349"/>
      <c r="WED65" s="349"/>
      <c r="WEE65" s="349"/>
      <c r="WEF65" s="349"/>
      <c r="WEG65" s="349"/>
      <c r="WEH65" s="349"/>
      <c r="WEI65" s="349"/>
      <c r="WEJ65" s="349"/>
      <c r="WEK65" s="349"/>
      <c r="WEL65" s="349"/>
      <c r="WEM65" s="349"/>
      <c r="WEN65" s="349"/>
      <c r="WEO65" s="349"/>
      <c r="WEP65" s="349"/>
      <c r="WEQ65" s="349"/>
      <c r="WER65" s="349"/>
      <c r="WES65" s="349"/>
      <c r="WET65" s="349"/>
      <c r="WEU65" s="349"/>
      <c r="WEV65" s="349"/>
      <c r="WEW65" s="349"/>
      <c r="WEX65" s="349"/>
      <c r="WEY65" s="349"/>
      <c r="WEZ65" s="349"/>
      <c r="WFA65" s="349"/>
      <c r="WFB65" s="349"/>
      <c r="WFC65" s="349"/>
      <c r="WFD65" s="349"/>
      <c r="WFE65" s="349"/>
      <c r="WFF65" s="349"/>
      <c r="WFG65" s="349"/>
      <c r="WFH65" s="349"/>
      <c r="WFI65" s="349"/>
      <c r="WFJ65" s="349"/>
      <c r="WFK65" s="349"/>
      <c r="WFL65" s="349"/>
      <c r="WFM65" s="349"/>
      <c r="WFN65" s="349"/>
      <c r="WFO65" s="349"/>
      <c r="WFP65" s="349"/>
      <c r="WFQ65" s="349"/>
      <c r="WFR65" s="349"/>
      <c r="WFS65" s="349"/>
      <c r="WFT65" s="349"/>
      <c r="WFU65" s="349"/>
      <c r="WFV65" s="349"/>
      <c r="WFW65" s="349"/>
      <c r="WFX65" s="349"/>
      <c r="WFY65" s="349"/>
      <c r="WFZ65" s="349"/>
      <c r="WGA65" s="349"/>
      <c r="WGB65" s="349"/>
      <c r="WGC65" s="349"/>
      <c r="WGD65" s="349"/>
      <c r="WGE65" s="349"/>
      <c r="WGF65" s="349"/>
      <c r="WGG65" s="349"/>
      <c r="WGH65" s="349"/>
      <c r="WGI65" s="349"/>
      <c r="WGJ65" s="349"/>
      <c r="WGK65" s="349"/>
      <c r="WGL65" s="349"/>
      <c r="WGM65" s="349"/>
      <c r="WGN65" s="349"/>
      <c r="WGO65" s="349"/>
      <c r="WGP65" s="349"/>
      <c r="WGQ65" s="349"/>
      <c r="WGR65" s="349"/>
      <c r="WGS65" s="349"/>
      <c r="WGT65" s="349"/>
      <c r="WGU65" s="349"/>
      <c r="WGV65" s="349"/>
      <c r="WGW65" s="349"/>
      <c r="WGX65" s="349"/>
      <c r="WGY65" s="349"/>
      <c r="WGZ65" s="349"/>
      <c r="WHA65" s="349"/>
      <c r="WHB65" s="349"/>
      <c r="WHC65" s="349"/>
      <c r="WHD65" s="349"/>
      <c r="WHE65" s="349"/>
      <c r="WHF65" s="349"/>
      <c r="WHG65" s="349"/>
      <c r="WHH65" s="349"/>
      <c r="WHI65" s="349"/>
      <c r="WHJ65" s="349"/>
      <c r="WHK65" s="349"/>
      <c r="WHL65" s="349"/>
      <c r="WHM65" s="349"/>
      <c r="WHN65" s="349"/>
      <c r="WHO65" s="349"/>
      <c r="WHP65" s="349"/>
      <c r="WHQ65" s="349"/>
      <c r="WHR65" s="349"/>
      <c r="WHS65" s="349"/>
      <c r="WHT65" s="349"/>
      <c r="WHU65" s="349"/>
      <c r="WHV65" s="349"/>
      <c r="WHW65" s="349"/>
      <c r="WHX65" s="349"/>
      <c r="WHY65" s="349"/>
      <c r="WHZ65" s="349"/>
      <c r="WIA65" s="349"/>
      <c r="WIB65" s="349"/>
      <c r="WIC65" s="349"/>
      <c r="WID65" s="349"/>
      <c r="WIE65" s="349"/>
      <c r="WIF65" s="349"/>
      <c r="WIG65" s="349"/>
      <c r="WIH65" s="349"/>
      <c r="WII65" s="349"/>
      <c r="WIJ65" s="349"/>
      <c r="WIK65" s="349"/>
      <c r="WIL65" s="349"/>
      <c r="WIM65" s="349"/>
      <c r="WIN65" s="349"/>
      <c r="WIO65" s="349"/>
      <c r="WIP65" s="349"/>
      <c r="WIQ65" s="349"/>
      <c r="WIR65" s="349"/>
      <c r="WIS65" s="349"/>
      <c r="WIT65" s="349"/>
      <c r="WIU65" s="349"/>
      <c r="WIV65" s="349"/>
      <c r="WIW65" s="349"/>
      <c r="WIX65" s="349"/>
      <c r="WIY65" s="349"/>
      <c r="WIZ65" s="349"/>
      <c r="WJA65" s="349"/>
      <c r="WJB65" s="349"/>
      <c r="WJC65" s="349"/>
      <c r="WJD65" s="349"/>
      <c r="WJE65" s="349"/>
      <c r="WJF65" s="349"/>
      <c r="WJG65" s="349"/>
      <c r="WJH65" s="349"/>
      <c r="WJI65" s="349"/>
      <c r="WJJ65" s="349"/>
      <c r="WJK65" s="349"/>
      <c r="WJL65" s="349"/>
      <c r="WJM65" s="349"/>
      <c r="WJN65" s="349"/>
      <c r="WJO65" s="349"/>
      <c r="WJP65" s="349"/>
      <c r="WJQ65" s="349"/>
      <c r="WJR65" s="349"/>
      <c r="WJS65" s="349"/>
      <c r="WJT65" s="349"/>
      <c r="WJU65" s="349"/>
      <c r="WJV65" s="349"/>
      <c r="WJW65" s="349"/>
      <c r="WJX65" s="349"/>
      <c r="WJY65" s="349"/>
      <c r="WJZ65" s="349"/>
      <c r="WKA65" s="349"/>
      <c r="WKB65" s="349"/>
      <c r="WKC65" s="349"/>
      <c r="WKD65" s="349"/>
      <c r="WKE65" s="349"/>
      <c r="WKF65" s="349"/>
      <c r="WKG65" s="349"/>
      <c r="WKH65" s="349"/>
      <c r="WKI65" s="349"/>
      <c r="WKJ65" s="349"/>
      <c r="WKK65" s="349"/>
      <c r="WKL65" s="349"/>
      <c r="WKM65" s="349"/>
      <c r="WKN65" s="349"/>
      <c r="WKO65" s="349"/>
      <c r="WKP65" s="349"/>
      <c r="WKQ65" s="349"/>
      <c r="WKR65" s="349"/>
      <c r="WKS65" s="349"/>
      <c r="WKT65" s="349"/>
      <c r="WKU65" s="349"/>
      <c r="WKV65" s="349"/>
      <c r="WKW65" s="349"/>
      <c r="WKX65" s="349"/>
      <c r="WKY65" s="349"/>
      <c r="WKZ65" s="349"/>
      <c r="WLA65" s="349"/>
      <c r="WLB65" s="349"/>
      <c r="WLC65" s="349"/>
      <c r="WLD65" s="349"/>
      <c r="WLE65" s="349"/>
      <c r="WLF65" s="349"/>
      <c r="WLG65" s="349"/>
      <c r="WLH65" s="349"/>
      <c r="WLI65" s="349"/>
      <c r="WLJ65" s="349"/>
      <c r="WLK65" s="349"/>
      <c r="WLL65" s="349"/>
      <c r="WLM65" s="349"/>
      <c r="WLN65" s="349"/>
      <c r="WLO65" s="349"/>
      <c r="WLP65" s="349"/>
      <c r="WLQ65" s="349"/>
      <c r="WLR65" s="349"/>
      <c r="WLS65" s="349"/>
      <c r="WLT65" s="349"/>
      <c r="WLU65" s="349"/>
      <c r="WLV65" s="349"/>
      <c r="WLW65" s="349"/>
      <c r="WLX65" s="349"/>
      <c r="WLY65" s="349"/>
      <c r="WLZ65" s="349"/>
      <c r="WMA65" s="349"/>
      <c r="WMB65" s="349"/>
      <c r="WMC65" s="349"/>
      <c r="WMD65" s="349"/>
      <c r="WME65" s="349"/>
      <c r="WMF65" s="349"/>
      <c r="WMG65" s="349"/>
      <c r="WMH65" s="349"/>
      <c r="WMI65" s="349"/>
      <c r="WMJ65" s="349"/>
      <c r="WMK65" s="349"/>
      <c r="WML65" s="349"/>
      <c r="WMM65" s="349"/>
      <c r="WMN65" s="349"/>
      <c r="WMO65" s="349"/>
      <c r="WMP65" s="349"/>
      <c r="WMQ65" s="349"/>
      <c r="WMR65" s="349"/>
      <c r="WMS65" s="349"/>
      <c r="WMT65" s="349"/>
      <c r="WMU65" s="349"/>
      <c r="WMV65" s="349"/>
      <c r="WMW65" s="349"/>
      <c r="WMX65" s="349"/>
      <c r="WMY65" s="349"/>
      <c r="WMZ65" s="349"/>
      <c r="WNA65" s="349"/>
      <c r="WNB65" s="349"/>
      <c r="WNC65" s="349"/>
      <c r="WND65" s="349"/>
      <c r="WNE65" s="349"/>
      <c r="WNF65" s="349"/>
      <c r="WNG65" s="349"/>
      <c r="WNH65" s="349"/>
      <c r="WNI65" s="349"/>
      <c r="WNJ65" s="349"/>
      <c r="WNK65" s="349"/>
      <c r="WNL65" s="349"/>
      <c r="WNM65" s="349"/>
      <c r="WNN65" s="349"/>
      <c r="WNO65" s="349"/>
      <c r="WNP65" s="349"/>
      <c r="WNQ65" s="349"/>
      <c r="WNR65" s="349"/>
      <c r="WNS65" s="349"/>
      <c r="WNT65" s="349"/>
      <c r="WNU65" s="349"/>
      <c r="WNV65" s="349"/>
      <c r="WNW65" s="349"/>
      <c r="WNX65" s="349"/>
      <c r="WNY65" s="349"/>
      <c r="WNZ65" s="349"/>
      <c r="WOA65" s="349"/>
      <c r="WOB65" s="349"/>
      <c r="WOC65" s="349"/>
      <c r="WOD65" s="349"/>
      <c r="WOE65" s="349"/>
      <c r="WOF65" s="349"/>
      <c r="WOG65" s="349"/>
      <c r="WOH65" s="349"/>
      <c r="WOI65" s="349"/>
      <c r="WOJ65" s="349"/>
      <c r="WOK65" s="349"/>
      <c r="WOL65" s="349"/>
      <c r="WOM65" s="349"/>
      <c r="WON65" s="349"/>
      <c r="WOO65" s="349"/>
      <c r="WOP65" s="349"/>
      <c r="WOQ65" s="349"/>
      <c r="WOR65" s="349"/>
      <c r="WOS65" s="349"/>
      <c r="WOT65" s="349"/>
      <c r="WOU65" s="349"/>
      <c r="WOV65" s="349"/>
      <c r="WOW65" s="349"/>
      <c r="WOX65" s="349"/>
      <c r="WOY65" s="349"/>
      <c r="WOZ65" s="349"/>
      <c r="WPA65" s="349"/>
      <c r="WPB65" s="349"/>
      <c r="WPC65" s="349"/>
      <c r="WPD65" s="349"/>
      <c r="WPE65" s="349"/>
      <c r="WPF65" s="349"/>
      <c r="WPG65" s="349"/>
      <c r="WPH65" s="349"/>
      <c r="WPI65" s="349"/>
      <c r="WPJ65" s="349"/>
      <c r="WPK65" s="349"/>
      <c r="WPL65" s="349"/>
      <c r="WPM65" s="349"/>
      <c r="WPN65" s="349"/>
      <c r="WPO65" s="349"/>
      <c r="WPP65" s="349"/>
      <c r="WPQ65" s="349"/>
      <c r="WPR65" s="349"/>
      <c r="WPS65" s="349"/>
      <c r="WPT65" s="349"/>
      <c r="WPU65" s="349"/>
      <c r="WPV65" s="349"/>
      <c r="WPW65" s="349"/>
      <c r="WPX65" s="349"/>
      <c r="WPY65" s="349"/>
      <c r="WPZ65" s="349"/>
      <c r="WQA65" s="349"/>
      <c r="WQB65" s="349"/>
      <c r="WQC65" s="349"/>
      <c r="WQD65" s="349"/>
      <c r="WQE65" s="349"/>
      <c r="WQF65" s="349"/>
      <c r="WQG65" s="349"/>
      <c r="WQH65" s="349"/>
      <c r="WQI65" s="349"/>
      <c r="WQJ65" s="349"/>
      <c r="WQK65" s="349"/>
      <c r="WQL65" s="349"/>
      <c r="WQM65" s="349"/>
      <c r="WQN65" s="349"/>
      <c r="WQO65" s="349"/>
      <c r="WQP65" s="349"/>
      <c r="WQQ65" s="349"/>
      <c r="WQR65" s="349"/>
      <c r="WQS65" s="349"/>
      <c r="WQT65" s="349"/>
      <c r="WQU65" s="349"/>
      <c r="WQV65" s="349"/>
      <c r="WQW65" s="349"/>
      <c r="WQX65" s="349"/>
      <c r="WQY65" s="349"/>
      <c r="WQZ65" s="349"/>
      <c r="WRA65" s="349"/>
      <c r="WRB65" s="349"/>
      <c r="WRC65" s="349"/>
      <c r="WRD65" s="349"/>
      <c r="WRE65" s="349"/>
      <c r="WRF65" s="349"/>
      <c r="WRG65" s="349"/>
      <c r="WRH65" s="349"/>
      <c r="WRI65" s="349"/>
      <c r="WRJ65" s="349"/>
      <c r="WRK65" s="349"/>
      <c r="WRL65" s="349"/>
      <c r="WRM65" s="349"/>
      <c r="WRN65" s="349"/>
      <c r="WRO65" s="349"/>
      <c r="WRP65" s="349"/>
      <c r="WRQ65" s="349"/>
      <c r="WRR65" s="349"/>
      <c r="WRS65" s="349"/>
      <c r="WRT65" s="349"/>
      <c r="WRU65" s="349"/>
      <c r="WRV65" s="349"/>
      <c r="WRW65" s="349"/>
      <c r="WRX65" s="349"/>
      <c r="WRY65" s="349"/>
      <c r="WRZ65" s="349"/>
      <c r="WSA65" s="349"/>
      <c r="WSB65" s="349"/>
      <c r="WSC65" s="349"/>
      <c r="WSD65" s="349"/>
      <c r="WSE65" s="349"/>
      <c r="WSF65" s="349"/>
      <c r="WSG65" s="349"/>
      <c r="WSH65" s="349"/>
      <c r="WSI65" s="349"/>
      <c r="WSJ65" s="349"/>
      <c r="WSK65" s="349"/>
      <c r="WSL65" s="349"/>
      <c r="WSM65" s="349"/>
      <c r="WSN65" s="349"/>
      <c r="WSO65" s="349"/>
      <c r="WSP65" s="349"/>
      <c r="WSQ65" s="349"/>
      <c r="WSR65" s="349"/>
      <c r="WSS65" s="349"/>
      <c r="WST65" s="349"/>
      <c r="WSU65" s="349"/>
      <c r="WSV65" s="349"/>
      <c r="WSW65" s="349"/>
      <c r="WSX65" s="349"/>
      <c r="WSY65" s="349"/>
      <c r="WSZ65" s="349"/>
      <c r="WTA65" s="349"/>
      <c r="WTB65" s="349"/>
      <c r="WTC65" s="349"/>
      <c r="WTD65" s="349"/>
      <c r="WTE65" s="349"/>
      <c r="WTF65" s="349"/>
      <c r="WTG65" s="349"/>
      <c r="WTH65" s="349"/>
      <c r="WTI65" s="349"/>
      <c r="WTJ65" s="349"/>
      <c r="WTK65" s="349"/>
      <c r="WTL65" s="349"/>
      <c r="WTM65" s="349"/>
      <c r="WTN65" s="349"/>
      <c r="WTO65" s="349"/>
      <c r="WTP65" s="349"/>
      <c r="WTQ65" s="349"/>
      <c r="WTR65" s="349"/>
      <c r="WTS65" s="349"/>
      <c r="WTT65" s="349"/>
      <c r="WTU65" s="349"/>
      <c r="WTV65" s="349"/>
      <c r="WTW65" s="349"/>
      <c r="WTX65" s="349"/>
      <c r="WTY65" s="349"/>
      <c r="WTZ65" s="349"/>
      <c r="WUA65" s="349"/>
      <c r="WUB65" s="349"/>
      <c r="WUC65" s="349"/>
      <c r="WUD65" s="349"/>
      <c r="WUE65" s="349"/>
      <c r="WUF65" s="349"/>
      <c r="WUG65" s="349"/>
      <c r="WUH65" s="349"/>
      <c r="WUI65" s="349"/>
      <c r="WUJ65" s="349"/>
      <c r="WUK65" s="349"/>
      <c r="WUL65" s="349"/>
      <c r="WUM65" s="349"/>
      <c r="WUN65" s="349"/>
      <c r="WUO65" s="349"/>
      <c r="WUP65" s="349"/>
      <c r="WUQ65" s="349"/>
      <c r="WUR65" s="349"/>
      <c r="WUS65" s="349"/>
      <c r="WUT65" s="349"/>
      <c r="WUU65" s="349"/>
      <c r="WUV65" s="349"/>
      <c r="WUW65" s="349"/>
      <c r="WUX65" s="349"/>
      <c r="WUY65" s="349"/>
      <c r="WUZ65" s="349"/>
      <c r="WVA65" s="349"/>
      <c r="WVB65" s="349"/>
      <c r="WVC65" s="349"/>
      <c r="WVD65" s="349"/>
      <c r="WVE65" s="349"/>
      <c r="WVF65" s="349"/>
      <c r="WVG65" s="349"/>
      <c r="WVH65" s="349"/>
      <c r="WVI65" s="349"/>
      <c r="WVJ65" s="349"/>
      <c r="WVK65" s="349"/>
      <c r="WVL65" s="349"/>
      <c r="WVM65" s="349"/>
      <c r="WVN65" s="349"/>
      <c r="WVO65" s="349"/>
      <c r="WVP65" s="349"/>
      <c r="WVQ65" s="349"/>
      <c r="WVR65" s="349"/>
      <c r="WVS65" s="349"/>
      <c r="WVT65" s="349"/>
      <c r="WVU65" s="349"/>
      <c r="WVV65" s="349"/>
      <c r="WVW65" s="349"/>
      <c r="WVX65" s="349"/>
      <c r="WVY65" s="349"/>
      <c r="WVZ65" s="349"/>
      <c r="WWA65" s="349"/>
      <c r="WWB65" s="349"/>
      <c r="WWC65" s="349"/>
      <c r="WWD65" s="349"/>
      <c r="WWE65" s="349"/>
      <c r="WWF65" s="349"/>
      <c r="WWG65" s="349"/>
      <c r="WWH65" s="349"/>
      <c r="WWI65" s="349"/>
      <c r="WWJ65" s="349"/>
      <c r="WWK65" s="349"/>
      <c r="WWL65" s="349"/>
      <c r="WWM65" s="349"/>
      <c r="WWN65" s="349"/>
      <c r="WWO65" s="349"/>
      <c r="WWP65" s="349"/>
      <c r="WWQ65" s="349"/>
      <c r="WWR65" s="349"/>
      <c r="WWS65" s="349"/>
      <c r="WWT65" s="349"/>
      <c r="WWU65" s="349"/>
      <c r="WWV65" s="349"/>
      <c r="WWW65" s="349"/>
      <c r="WWX65" s="349"/>
      <c r="WWY65" s="349"/>
      <c r="WWZ65" s="349"/>
      <c r="WXA65" s="349"/>
      <c r="WXB65" s="349"/>
      <c r="WXC65" s="349"/>
      <c r="WXD65" s="349"/>
      <c r="WXE65" s="349"/>
      <c r="WXF65" s="349"/>
      <c r="WXG65" s="349"/>
      <c r="WXH65" s="349"/>
      <c r="WXI65" s="349"/>
      <c r="WXJ65" s="349"/>
      <c r="WXK65" s="349"/>
      <c r="WXL65" s="349"/>
      <c r="WXM65" s="349"/>
      <c r="WXN65" s="349"/>
      <c r="WXO65" s="349"/>
      <c r="WXP65" s="349"/>
      <c r="WXQ65" s="349"/>
      <c r="WXR65" s="349"/>
      <c r="WXS65" s="349"/>
      <c r="WXT65" s="349"/>
      <c r="WXU65" s="349"/>
      <c r="WXV65" s="349"/>
      <c r="WXW65" s="349"/>
      <c r="WXX65" s="349"/>
      <c r="WXY65" s="349"/>
      <c r="WXZ65" s="349"/>
      <c r="WYA65" s="349"/>
      <c r="WYB65" s="349"/>
      <c r="WYC65" s="349"/>
      <c r="WYD65" s="349"/>
      <c r="WYE65" s="349"/>
      <c r="WYF65" s="349"/>
      <c r="WYG65" s="349"/>
      <c r="WYH65" s="349"/>
      <c r="WYI65" s="349"/>
      <c r="WYJ65" s="349"/>
      <c r="WYK65" s="349"/>
      <c r="WYL65" s="349"/>
      <c r="WYM65" s="349"/>
      <c r="WYN65" s="349"/>
      <c r="WYO65" s="349"/>
      <c r="WYP65" s="349"/>
      <c r="WYQ65" s="349"/>
      <c r="WYR65" s="349"/>
      <c r="WYS65" s="349"/>
      <c r="WYT65" s="349"/>
      <c r="WYU65" s="349"/>
      <c r="WYV65" s="349"/>
      <c r="WYW65" s="349"/>
      <c r="WYX65" s="349"/>
      <c r="WYY65" s="349"/>
      <c r="WYZ65" s="349"/>
      <c r="WZA65" s="349"/>
      <c r="WZB65" s="349"/>
      <c r="WZC65" s="349"/>
      <c r="WZD65" s="349"/>
      <c r="WZE65" s="349"/>
      <c r="WZF65" s="349"/>
      <c r="WZG65" s="349"/>
      <c r="WZH65" s="349"/>
      <c r="WZI65" s="349"/>
      <c r="WZJ65" s="349"/>
      <c r="WZK65" s="349"/>
      <c r="WZL65" s="349"/>
      <c r="WZM65" s="349"/>
      <c r="WZN65" s="349"/>
      <c r="WZO65" s="349"/>
      <c r="WZP65" s="349"/>
      <c r="WZQ65" s="349"/>
      <c r="WZR65" s="349"/>
      <c r="WZS65" s="349"/>
      <c r="WZT65" s="349"/>
      <c r="WZU65" s="349"/>
      <c r="WZV65" s="349"/>
      <c r="WZW65" s="349"/>
      <c r="WZX65" s="349"/>
      <c r="WZY65" s="349"/>
      <c r="WZZ65" s="349"/>
      <c r="XAA65" s="349"/>
      <c r="XAB65" s="349"/>
      <c r="XAC65" s="349"/>
      <c r="XAD65" s="349"/>
      <c r="XAE65" s="349"/>
      <c r="XAF65" s="349"/>
      <c r="XAG65" s="349"/>
      <c r="XAH65" s="349"/>
      <c r="XAI65" s="349"/>
      <c r="XAJ65" s="349"/>
      <c r="XAK65" s="349"/>
      <c r="XAL65" s="349"/>
      <c r="XAM65" s="349"/>
      <c r="XAN65" s="349"/>
      <c r="XAO65" s="349"/>
      <c r="XAP65" s="349"/>
      <c r="XAQ65" s="349"/>
      <c r="XAR65" s="349"/>
      <c r="XAS65" s="349"/>
      <c r="XAT65" s="349"/>
      <c r="XAU65" s="349"/>
      <c r="XAV65" s="349"/>
      <c r="XAW65" s="349"/>
      <c r="XAX65" s="349"/>
      <c r="XAY65" s="349"/>
      <c r="XAZ65" s="349"/>
      <c r="XBA65" s="349"/>
      <c r="XBB65" s="349"/>
      <c r="XBC65" s="349"/>
      <c r="XBD65" s="349"/>
      <c r="XBE65" s="349"/>
      <c r="XBF65" s="349"/>
      <c r="XBG65" s="349"/>
      <c r="XBH65" s="349"/>
      <c r="XBI65" s="349"/>
      <c r="XBJ65" s="349"/>
      <c r="XBK65" s="349"/>
      <c r="XBL65" s="349"/>
      <c r="XBM65" s="349"/>
      <c r="XBN65" s="349"/>
      <c r="XBO65" s="349"/>
      <c r="XBP65" s="349"/>
      <c r="XBQ65" s="349"/>
      <c r="XBR65" s="349"/>
      <c r="XBS65" s="349"/>
      <c r="XBT65" s="349"/>
      <c r="XBU65" s="349"/>
      <c r="XBV65" s="349"/>
      <c r="XBW65" s="349"/>
      <c r="XBX65" s="349"/>
      <c r="XBY65" s="349"/>
      <c r="XBZ65" s="349"/>
      <c r="XCA65" s="349"/>
      <c r="XCB65" s="349"/>
      <c r="XCC65" s="349"/>
      <c r="XCD65" s="349"/>
      <c r="XCE65" s="349"/>
      <c r="XCF65" s="349"/>
      <c r="XCG65" s="349"/>
      <c r="XCH65" s="349"/>
      <c r="XCI65" s="349"/>
      <c r="XCJ65" s="349"/>
      <c r="XCK65" s="349"/>
      <c r="XCL65" s="349"/>
      <c r="XCM65" s="349"/>
      <c r="XCN65" s="349"/>
      <c r="XCO65" s="349"/>
      <c r="XCP65" s="349"/>
      <c r="XCQ65" s="349"/>
      <c r="XCR65" s="349"/>
      <c r="XCS65" s="349"/>
      <c r="XCT65" s="349"/>
      <c r="XCU65" s="349"/>
      <c r="XCV65" s="349"/>
      <c r="XCW65" s="349"/>
      <c r="XCX65" s="349"/>
      <c r="XCY65" s="349"/>
      <c r="XCZ65" s="349"/>
      <c r="XDA65" s="349"/>
      <c r="XDB65" s="349"/>
      <c r="XDC65" s="349"/>
      <c r="XDD65" s="349"/>
      <c r="XDE65" s="349"/>
      <c r="XDF65" s="349"/>
      <c r="XDG65" s="349"/>
      <c r="XDH65" s="349"/>
      <c r="XDI65" s="349"/>
      <c r="XDJ65" s="349"/>
      <c r="XDK65" s="349"/>
      <c r="XDL65" s="349"/>
      <c r="XDM65" s="349"/>
      <c r="XDN65" s="349"/>
      <c r="XDO65" s="349"/>
      <c r="XDP65" s="349"/>
      <c r="XDQ65" s="349"/>
      <c r="XDR65" s="349"/>
      <c r="XDS65" s="349"/>
      <c r="XDT65" s="349"/>
      <c r="XDU65" s="349"/>
      <c r="XDV65" s="349"/>
      <c r="XDW65" s="349"/>
      <c r="XDX65" s="349"/>
      <c r="XDY65" s="349"/>
      <c r="XDZ65" s="349"/>
      <c r="XEA65" s="349"/>
      <c r="XEB65" s="349"/>
      <c r="XEC65" s="349"/>
      <c r="XED65" s="349"/>
      <c r="XEE65" s="349"/>
      <c r="XEF65" s="349"/>
      <c r="XEG65" s="349"/>
      <c r="XEH65" s="349"/>
      <c r="XEI65" s="349"/>
      <c r="XEJ65" s="349"/>
      <c r="XEK65" s="349"/>
      <c r="XEL65" s="349"/>
      <c r="XEM65" s="349"/>
      <c r="XEN65" s="349"/>
      <c r="XEO65" s="349"/>
      <c r="XEP65" s="349"/>
      <c r="XEQ65" s="349"/>
    </row>
    <row r="66" spans="1:16371" ht="15" customHeight="1">
      <c r="A66" s="625" t="s">
        <v>920</v>
      </c>
      <c r="B66" s="56"/>
      <c r="C66" s="56"/>
      <c r="D66" s="56"/>
      <c r="E66" s="509"/>
      <c r="F66" s="57"/>
      <c r="G66" s="57"/>
      <c r="H66" s="63"/>
      <c r="I66"/>
      <c r="J66" s="63">
        <v>0</v>
      </c>
      <c r="K66" s="63"/>
      <c r="L66" s="63"/>
      <c r="M66" s="349"/>
      <c r="N66" s="63">
        <v>0</v>
      </c>
      <c r="O66" s="63"/>
      <c r="P66" s="63"/>
      <c r="Q66" s="2131"/>
      <c r="R66" s="2192"/>
      <c r="S66" s="349"/>
      <c r="T66" s="349"/>
      <c r="U66" s="349"/>
      <c r="V66" s="349"/>
      <c r="W66" s="349"/>
      <c r="X66" s="349"/>
      <c r="Y66" s="349"/>
      <c r="Z66" s="349"/>
      <c r="AA66" s="349"/>
      <c r="AB66" s="349"/>
      <c r="AC66" s="349"/>
      <c r="AD66" s="349"/>
      <c r="AE66" s="349"/>
      <c r="AF66" s="349"/>
      <c r="AG66" s="349"/>
      <c r="AH66" s="349"/>
      <c r="AI66" s="349"/>
      <c r="AJ66" s="349"/>
      <c r="AK66" s="349"/>
      <c r="AL66" s="349"/>
      <c r="AM66" s="349"/>
      <c r="AN66" s="349"/>
      <c r="AO66" s="349"/>
      <c r="AP66" s="349"/>
      <c r="AQ66" s="349"/>
      <c r="AR66" s="349"/>
      <c r="AS66" s="349"/>
      <c r="AT66" s="349"/>
      <c r="AU66" s="349"/>
      <c r="AV66" s="349"/>
      <c r="AW66" s="349"/>
      <c r="AX66" s="349"/>
      <c r="AY66" s="349"/>
      <c r="AZ66" s="349"/>
      <c r="BA66" s="349"/>
      <c r="BB66" s="349"/>
      <c r="BC66" s="349"/>
      <c r="BD66" s="349"/>
      <c r="BE66" s="349"/>
      <c r="BF66" s="349"/>
      <c r="BG66" s="349"/>
      <c r="BH66" s="349"/>
      <c r="BI66" s="349"/>
      <c r="BJ66" s="349"/>
      <c r="BK66" s="349"/>
      <c r="BL66" s="349"/>
      <c r="BM66" s="349"/>
      <c r="BN66" s="349"/>
      <c r="BO66" s="349"/>
      <c r="BP66" s="349"/>
      <c r="BQ66" s="349"/>
      <c r="BR66" s="349"/>
      <c r="BS66" s="349"/>
      <c r="BT66" s="349"/>
      <c r="BU66" s="349"/>
      <c r="BV66" s="349"/>
      <c r="BW66" s="349"/>
      <c r="BX66" s="349"/>
      <c r="BY66" s="349"/>
      <c r="BZ66" s="349"/>
      <c r="CA66" s="349"/>
      <c r="CB66" s="349"/>
      <c r="CC66" s="349"/>
      <c r="CD66" s="349"/>
      <c r="CE66" s="349"/>
      <c r="CF66" s="349"/>
      <c r="CG66" s="349"/>
      <c r="CH66" s="349"/>
      <c r="CI66" s="349"/>
      <c r="CJ66" s="349"/>
      <c r="CK66" s="349"/>
      <c r="CL66" s="349"/>
      <c r="CM66" s="349"/>
      <c r="CN66" s="349"/>
      <c r="CO66" s="349"/>
      <c r="CP66" s="349"/>
      <c r="CQ66" s="349"/>
      <c r="CR66" s="349"/>
      <c r="CS66" s="349"/>
      <c r="CT66" s="349"/>
      <c r="CU66" s="349"/>
      <c r="CV66" s="349"/>
      <c r="CW66" s="349"/>
      <c r="CX66" s="349"/>
      <c r="CY66" s="349"/>
      <c r="CZ66" s="349"/>
      <c r="DA66" s="349"/>
      <c r="DB66" s="349"/>
      <c r="DC66" s="349"/>
      <c r="DD66" s="349"/>
      <c r="DE66" s="349"/>
      <c r="DF66" s="349"/>
      <c r="DG66" s="349"/>
      <c r="DH66" s="349"/>
      <c r="DI66" s="349"/>
      <c r="DJ66" s="349"/>
      <c r="DK66" s="349"/>
      <c r="DL66" s="349"/>
      <c r="DM66" s="349"/>
      <c r="DN66" s="349"/>
      <c r="DO66" s="349"/>
      <c r="DP66" s="349"/>
      <c r="DQ66" s="349"/>
      <c r="DR66" s="349"/>
      <c r="DS66" s="349"/>
      <c r="DT66" s="349"/>
      <c r="DU66" s="349"/>
      <c r="DV66" s="349"/>
      <c r="DW66" s="349"/>
      <c r="DX66" s="349"/>
      <c r="DY66" s="349"/>
      <c r="DZ66" s="349"/>
      <c r="EA66" s="349"/>
      <c r="EB66" s="349"/>
      <c r="EC66" s="349"/>
      <c r="ED66" s="349"/>
      <c r="EE66" s="349"/>
      <c r="EF66" s="349"/>
      <c r="EG66" s="349"/>
      <c r="EH66" s="349"/>
      <c r="EI66" s="349"/>
      <c r="EJ66" s="349"/>
      <c r="EK66" s="349"/>
      <c r="EL66" s="349"/>
      <c r="EM66" s="349"/>
      <c r="EN66" s="349"/>
      <c r="EO66" s="349"/>
      <c r="EP66" s="349"/>
      <c r="EQ66" s="349"/>
      <c r="ER66" s="349"/>
      <c r="ES66" s="349"/>
      <c r="ET66" s="349"/>
      <c r="EU66" s="349"/>
      <c r="EV66" s="349"/>
      <c r="EW66" s="349"/>
      <c r="EX66" s="349"/>
      <c r="EY66" s="349"/>
      <c r="EZ66" s="349"/>
      <c r="FA66" s="349"/>
      <c r="FB66" s="349"/>
      <c r="FC66" s="349"/>
      <c r="FD66" s="349"/>
      <c r="FE66" s="349"/>
      <c r="FF66" s="349"/>
      <c r="FG66" s="349"/>
      <c r="FH66" s="349"/>
      <c r="FI66" s="349"/>
      <c r="FJ66" s="349"/>
      <c r="FK66" s="349"/>
      <c r="FL66" s="349"/>
      <c r="FM66" s="349"/>
      <c r="FN66" s="349"/>
      <c r="FO66" s="349"/>
      <c r="FP66" s="349"/>
      <c r="FQ66" s="349"/>
      <c r="FR66" s="349"/>
      <c r="FS66" s="349"/>
      <c r="FT66" s="349"/>
      <c r="FU66" s="349"/>
      <c r="FV66" s="349"/>
      <c r="FW66" s="349"/>
      <c r="FX66" s="349"/>
      <c r="FY66" s="349"/>
      <c r="FZ66" s="349"/>
      <c r="GA66" s="349"/>
      <c r="GB66" s="349"/>
      <c r="GC66" s="349"/>
      <c r="GD66" s="349"/>
      <c r="GE66" s="349"/>
      <c r="GF66" s="349"/>
      <c r="GG66" s="349"/>
      <c r="GH66" s="349"/>
      <c r="GI66" s="349"/>
      <c r="GJ66" s="349"/>
      <c r="GK66" s="349"/>
      <c r="GL66" s="349"/>
      <c r="GM66" s="349"/>
      <c r="GN66" s="349"/>
      <c r="GO66" s="349"/>
      <c r="GP66" s="349"/>
      <c r="GQ66" s="349"/>
      <c r="GR66" s="349"/>
      <c r="GS66" s="349"/>
      <c r="GT66" s="349"/>
      <c r="GU66" s="349"/>
      <c r="GV66" s="349"/>
      <c r="GW66" s="349"/>
      <c r="GX66" s="349"/>
      <c r="GY66" s="349"/>
      <c r="GZ66" s="349"/>
      <c r="HA66" s="349"/>
      <c r="HB66" s="349"/>
      <c r="HC66" s="349"/>
      <c r="HD66" s="349"/>
      <c r="HE66" s="349"/>
      <c r="HF66" s="349"/>
      <c r="HG66" s="349"/>
      <c r="HH66" s="349"/>
      <c r="HI66" s="349"/>
      <c r="HJ66" s="349"/>
      <c r="HK66" s="349"/>
      <c r="HL66" s="349"/>
      <c r="HM66" s="349"/>
      <c r="HN66" s="349"/>
      <c r="HO66" s="349"/>
      <c r="HP66" s="349"/>
      <c r="HQ66" s="349"/>
      <c r="HR66" s="349"/>
      <c r="HS66" s="349"/>
      <c r="HT66" s="349"/>
      <c r="HU66" s="349"/>
      <c r="HV66" s="349"/>
      <c r="HW66" s="349"/>
      <c r="HX66" s="349"/>
      <c r="HY66" s="349"/>
      <c r="HZ66" s="349"/>
      <c r="IA66" s="349"/>
      <c r="IB66" s="349"/>
      <c r="IC66" s="349"/>
      <c r="ID66" s="349"/>
      <c r="IE66" s="349"/>
      <c r="IF66" s="349"/>
      <c r="IG66" s="349"/>
      <c r="IH66" s="349"/>
      <c r="II66" s="349"/>
      <c r="IJ66" s="349"/>
      <c r="IK66" s="349"/>
      <c r="IL66" s="349"/>
      <c r="IM66" s="349"/>
      <c r="IN66" s="349"/>
      <c r="IO66" s="349"/>
      <c r="IP66" s="349"/>
      <c r="IQ66" s="349"/>
      <c r="IR66" s="349"/>
      <c r="IS66" s="349"/>
      <c r="IT66" s="349"/>
      <c r="IU66" s="349"/>
      <c r="IV66" s="349"/>
      <c r="IW66" s="349"/>
      <c r="IX66" s="349"/>
      <c r="IY66" s="349"/>
      <c r="IZ66" s="349"/>
      <c r="JA66" s="349"/>
      <c r="JB66" s="349"/>
      <c r="JC66" s="349"/>
      <c r="JD66" s="349"/>
      <c r="JE66" s="349"/>
      <c r="JF66" s="349"/>
      <c r="JG66" s="349"/>
      <c r="JH66" s="349"/>
      <c r="JI66" s="349"/>
      <c r="JJ66" s="349"/>
      <c r="JK66" s="349"/>
      <c r="JL66" s="349"/>
      <c r="JM66" s="349"/>
      <c r="JN66" s="349"/>
      <c r="JO66" s="349"/>
      <c r="JP66" s="349"/>
      <c r="JQ66" s="349"/>
      <c r="JR66" s="349"/>
      <c r="JS66" s="349"/>
      <c r="JT66" s="349"/>
      <c r="JU66" s="349"/>
      <c r="JV66" s="349"/>
      <c r="JW66" s="349"/>
      <c r="JX66" s="349"/>
      <c r="JY66" s="349"/>
      <c r="JZ66" s="349"/>
      <c r="KA66" s="349"/>
      <c r="KB66" s="349"/>
      <c r="KC66" s="349"/>
      <c r="KD66" s="349"/>
      <c r="KE66" s="349"/>
      <c r="KF66" s="349"/>
      <c r="KG66" s="349"/>
      <c r="KH66" s="349"/>
      <c r="KI66" s="349"/>
      <c r="KJ66" s="349"/>
      <c r="KK66" s="349"/>
      <c r="KL66" s="349"/>
      <c r="KM66" s="349"/>
      <c r="KN66" s="349"/>
      <c r="KO66" s="349"/>
      <c r="KP66" s="349"/>
      <c r="KQ66" s="349"/>
      <c r="KR66" s="349"/>
      <c r="KS66" s="349"/>
      <c r="KT66" s="349"/>
      <c r="KU66" s="349"/>
      <c r="KV66" s="349"/>
      <c r="KW66" s="349"/>
      <c r="KX66" s="349"/>
      <c r="KY66" s="349"/>
      <c r="KZ66" s="349"/>
      <c r="LA66" s="349"/>
      <c r="LB66" s="349"/>
      <c r="LC66" s="349"/>
      <c r="LD66" s="349"/>
      <c r="LE66" s="349"/>
      <c r="LF66" s="349"/>
      <c r="LG66" s="349"/>
      <c r="LH66" s="349"/>
      <c r="LI66" s="349"/>
      <c r="LJ66" s="349"/>
      <c r="LK66" s="349"/>
      <c r="LL66" s="349"/>
      <c r="LM66" s="349"/>
      <c r="LN66" s="349"/>
      <c r="LO66" s="349"/>
      <c r="LP66" s="349"/>
      <c r="LQ66" s="349"/>
      <c r="LR66" s="349"/>
      <c r="LS66" s="349"/>
      <c r="LT66" s="349"/>
      <c r="LU66" s="349"/>
      <c r="LV66" s="349"/>
      <c r="LW66" s="349"/>
      <c r="LX66" s="349"/>
      <c r="LY66" s="349"/>
      <c r="LZ66" s="349"/>
      <c r="MA66" s="349"/>
      <c r="MB66" s="349"/>
      <c r="MC66" s="349"/>
      <c r="MD66" s="349"/>
      <c r="ME66" s="349"/>
      <c r="MF66" s="349"/>
      <c r="MG66" s="349"/>
      <c r="MH66" s="349"/>
      <c r="MI66" s="349"/>
      <c r="MJ66" s="349"/>
      <c r="MK66" s="349"/>
      <c r="ML66" s="349"/>
      <c r="MM66" s="349"/>
      <c r="MN66" s="349"/>
      <c r="MO66" s="349"/>
      <c r="MP66" s="349"/>
      <c r="MQ66" s="349"/>
      <c r="MR66" s="349"/>
      <c r="MS66" s="349"/>
      <c r="MT66" s="349"/>
      <c r="MU66" s="349"/>
      <c r="MV66" s="349"/>
      <c r="MW66" s="349"/>
      <c r="MX66" s="349"/>
      <c r="MY66" s="349"/>
      <c r="MZ66" s="349"/>
      <c r="NA66" s="349"/>
      <c r="NB66" s="349"/>
      <c r="NC66" s="349"/>
      <c r="ND66" s="349"/>
      <c r="NE66" s="349"/>
      <c r="NF66" s="349"/>
      <c r="NG66" s="349"/>
      <c r="NH66" s="349"/>
      <c r="NI66" s="349"/>
      <c r="NJ66" s="349"/>
      <c r="NK66" s="349"/>
      <c r="NL66" s="349"/>
      <c r="NM66" s="349"/>
      <c r="NN66" s="349"/>
      <c r="NO66" s="349"/>
      <c r="NP66" s="349"/>
      <c r="NQ66" s="349"/>
      <c r="NR66" s="349"/>
      <c r="NS66" s="349"/>
      <c r="NT66" s="349"/>
      <c r="NU66" s="349"/>
      <c r="NV66" s="349"/>
      <c r="NW66" s="349"/>
      <c r="NX66" s="349"/>
      <c r="NY66" s="349"/>
      <c r="NZ66" s="349"/>
      <c r="OA66" s="349"/>
      <c r="OB66" s="349"/>
      <c r="OC66" s="349"/>
      <c r="OD66" s="349"/>
      <c r="OE66" s="349"/>
      <c r="OF66" s="349"/>
      <c r="OG66" s="349"/>
      <c r="OH66" s="349"/>
      <c r="OI66" s="349"/>
      <c r="OJ66" s="349"/>
      <c r="OK66" s="349"/>
      <c r="OL66" s="349"/>
      <c r="OM66" s="349"/>
      <c r="ON66" s="349"/>
      <c r="OO66" s="349"/>
      <c r="OP66" s="349"/>
      <c r="OQ66" s="349"/>
      <c r="OR66" s="349"/>
      <c r="OS66" s="349"/>
      <c r="OT66" s="349"/>
      <c r="OU66" s="349"/>
      <c r="OV66" s="349"/>
      <c r="OW66" s="349"/>
      <c r="OX66" s="349"/>
      <c r="OY66" s="349"/>
      <c r="OZ66" s="349"/>
      <c r="PA66" s="349"/>
      <c r="PB66" s="349"/>
      <c r="PC66" s="349"/>
      <c r="PD66" s="349"/>
      <c r="PE66" s="349"/>
      <c r="PF66" s="349"/>
      <c r="PG66" s="349"/>
      <c r="PH66" s="349"/>
      <c r="PI66" s="349"/>
      <c r="PJ66" s="349"/>
      <c r="PK66" s="349"/>
      <c r="PL66" s="349"/>
      <c r="PM66" s="349"/>
      <c r="PN66" s="349"/>
      <c r="PO66" s="349"/>
      <c r="PP66" s="349"/>
      <c r="PQ66" s="349"/>
      <c r="PR66" s="349"/>
      <c r="PS66" s="349"/>
      <c r="PT66" s="349"/>
      <c r="PU66" s="349"/>
      <c r="PV66" s="349"/>
      <c r="PW66" s="349"/>
      <c r="PX66" s="349"/>
      <c r="PY66" s="349"/>
      <c r="PZ66" s="349"/>
      <c r="QA66" s="349"/>
      <c r="QB66" s="349"/>
      <c r="QC66" s="349"/>
      <c r="QD66" s="349"/>
      <c r="QE66" s="349"/>
      <c r="QF66" s="349"/>
      <c r="QG66" s="349"/>
      <c r="QH66" s="349"/>
      <c r="QI66" s="349"/>
      <c r="QJ66" s="349"/>
      <c r="QK66" s="349"/>
      <c r="QL66" s="349"/>
      <c r="QM66" s="349"/>
      <c r="QN66" s="349"/>
      <c r="QO66" s="349"/>
      <c r="QP66" s="349"/>
      <c r="QQ66" s="349"/>
      <c r="QR66" s="349"/>
      <c r="QS66" s="349"/>
      <c r="QT66" s="349"/>
      <c r="QU66" s="349"/>
      <c r="QV66" s="349"/>
      <c r="QW66" s="349"/>
      <c r="QX66" s="349"/>
      <c r="QY66" s="349"/>
      <c r="QZ66" s="349"/>
      <c r="RA66" s="349"/>
      <c r="RB66" s="349"/>
      <c r="RC66" s="349"/>
      <c r="RD66" s="349"/>
      <c r="RE66" s="349"/>
      <c r="RF66" s="349"/>
      <c r="RG66" s="349"/>
      <c r="RH66" s="349"/>
      <c r="RI66" s="349"/>
      <c r="RJ66" s="349"/>
      <c r="RK66" s="349"/>
      <c r="RL66" s="349"/>
      <c r="RM66" s="349"/>
      <c r="RN66" s="349"/>
      <c r="RO66" s="349"/>
      <c r="RP66" s="349"/>
      <c r="RQ66" s="349"/>
      <c r="RR66" s="349"/>
      <c r="RS66" s="349"/>
      <c r="RT66" s="349"/>
      <c r="RU66" s="349"/>
      <c r="RV66" s="349"/>
      <c r="RW66" s="349"/>
      <c r="RX66" s="349"/>
      <c r="RY66" s="349"/>
      <c r="RZ66" s="349"/>
      <c r="SA66" s="349"/>
      <c r="SB66" s="349"/>
      <c r="SC66" s="349"/>
      <c r="SD66" s="349"/>
      <c r="SE66" s="349"/>
      <c r="SF66" s="349"/>
      <c r="SG66" s="349"/>
      <c r="SH66" s="349"/>
      <c r="SI66" s="349"/>
      <c r="SJ66" s="349"/>
      <c r="SK66" s="349"/>
      <c r="SL66" s="349"/>
      <c r="SM66" s="349"/>
      <c r="SN66" s="349"/>
      <c r="SO66" s="349"/>
      <c r="SP66" s="349"/>
      <c r="SQ66" s="349"/>
      <c r="SR66" s="349"/>
      <c r="SS66" s="349"/>
      <c r="ST66" s="349"/>
      <c r="SU66" s="349"/>
      <c r="SV66" s="349"/>
      <c r="SW66" s="349"/>
      <c r="SX66" s="349"/>
      <c r="SY66" s="349"/>
      <c r="SZ66" s="349"/>
      <c r="TA66" s="349"/>
      <c r="TB66" s="349"/>
      <c r="TC66" s="349"/>
      <c r="TD66" s="349"/>
      <c r="TE66" s="349"/>
      <c r="TF66" s="349"/>
      <c r="TG66" s="349"/>
      <c r="TH66" s="349"/>
      <c r="TI66" s="349"/>
      <c r="TJ66" s="349"/>
      <c r="TK66" s="349"/>
      <c r="TL66" s="349"/>
      <c r="TM66" s="349"/>
      <c r="TN66" s="349"/>
      <c r="TO66" s="349"/>
      <c r="TP66" s="349"/>
      <c r="TQ66" s="349"/>
      <c r="TR66" s="349"/>
      <c r="TS66" s="349"/>
      <c r="TT66" s="349"/>
      <c r="TU66" s="349"/>
      <c r="TV66" s="349"/>
      <c r="TW66" s="349"/>
      <c r="TX66" s="349"/>
      <c r="TY66" s="349"/>
      <c r="TZ66" s="349"/>
      <c r="UA66" s="349"/>
      <c r="UB66" s="349"/>
      <c r="UC66" s="349"/>
      <c r="UD66" s="349"/>
      <c r="UE66" s="349"/>
      <c r="UF66" s="349"/>
      <c r="UG66" s="349"/>
      <c r="UH66" s="349"/>
      <c r="UI66" s="349"/>
      <c r="UJ66" s="349"/>
      <c r="UK66" s="349"/>
      <c r="UL66" s="349"/>
      <c r="UM66" s="349"/>
      <c r="UN66" s="349"/>
      <c r="UO66" s="349"/>
      <c r="UP66" s="349"/>
      <c r="UQ66" s="349"/>
      <c r="UR66" s="349"/>
      <c r="US66" s="349"/>
      <c r="UT66" s="349"/>
      <c r="UU66" s="349"/>
      <c r="UV66" s="349"/>
      <c r="UW66" s="349"/>
      <c r="UX66" s="349"/>
      <c r="UY66" s="349"/>
      <c r="UZ66" s="349"/>
      <c r="VA66" s="349"/>
      <c r="VB66" s="349"/>
      <c r="VC66" s="349"/>
      <c r="VD66" s="349"/>
      <c r="VE66" s="349"/>
      <c r="VF66" s="349"/>
      <c r="VG66" s="349"/>
      <c r="VH66" s="349"/>
      <c r="VI66" s="349"/>
      <c r="VJ66" s="349"/>
      <c r="VK66" s="349"/>
      <c r="VL66" s="349"/>
      <c r="VM66" s="349"/>
      <c r="VN66" s="349"/>
      <c r="VO66" s="349"/>
      <c r="VP66" s="349"/>
      <c r="VQ66" s="349"/>
      <c r="VR66" s="349"/>
      <c r="VS66" s="349"/>
      <c r="VT66" s="349"/>
      <c r="VU66" s="349"/>
      <c r="VV66" s="349"/>
      <c r="VW66" s="349"/>
      <c r="VX66" s="349"/>
      <c r="VY66" s="349"/>
      <c r="VZ66" s="349"/>
      <c r="WA66" s="349"/>
      <c r="WB66" s="349"/>
      <c r="WC66" s="349"/>
      <c r="WD66" s="349"/>
      <c r="WE66" s="349"/>
      <c r="WF66" s="349"/>
      <c r="WG66" s="349"/>
      <c r="WH66" s="349"/>
      <c r="WI66" s="349"/>
      <c r="WJ66" s="349"/>
      <c r="WK66" s="349"/>
      <c r="WL66" s="349"/>
      <c r="WM66" s="349"/>
      <c r="WN66" s="349"/>
      <c r="WO66" s="349"/>
      <c r="WP66" s="349"/>
      <c r="WQ66" s="349"/>
      <c r="WR66" s="349"/>
      <c r="WS66" s="349"/>
      <c r="WT66" s="349"/>
      <c r="WU66" s="349"/>
      <c r="WV66" s="349"/>
      <c r="WW66" s="349"/>
      <c r="WX66" s="349"/>
      <c r="WY66" s="349"/>
      <c r="WZ66" s="349"/>
      <c r="XA66" s="349"/>
      <c r="XB66" s="349"/>
      <c r="XC66" s="349"/>
      <c r="XD66" s="349"/>
      <c r="XE66" s="349"/>
      <c r="XF66" s="349"/>
      <c r="XG66" s="349"/>
      <c r="XH66" s="349"/>
      <c r="XI66" s="349"/>
      <c r="XJ66" s="349"/>
      <c r="XK66" s="349"/>
      <c r="XL66" s="349"/>
      <c r="XM66" s="349"/>
      <c r="XN66" s="349"/>
      <c r="XO66" s="349"/>
      <c r="XP66" s="349"/>
      <c r="XQ66" s="349"/>
      <c r="XR66" s="349"/>
      <c r="XS66" s="349"/>
      <c r="XT66" s="349"/>
      <c r="XU66" s="349"/>
      <c r="XV66" s="349"/>
      <c r="XW66" s="349"/>
      <c r="XX66" s="349"/>
      <c r="XY66" s="349"/>
      <c r="XZ66" s="349"/>
      <c r="YA66" s="349"/>
      <c r="YB66" s="349"/>
      <c r="YC66" s="349"/>
      <c r="YD66" s="349"/>
      <c r="YE66" s="349"/>
      <c r="YF66" s="349"/>
      <c r="YG66" s="349"/>
      <c r="YH66" s="349"/>
      <c r="YI66" s="349"/>
      <c r="YJ66" s="349"/>
      <c r="YK66" s="349"/>
      <c r="YL66" s="349"/>
      <c r="YM66" s="349"/>
      <c r="YN66" s="349"/>
      <c r="YO66" s="349"/>
      <c r="YP66" s="349"/>
      <c r="YQ66" s="349"/>
      <c r="YR66" s="349"/>
      <c r="YS66" s="349"/>
      <c r="YT66" s="349"/>
      <c r="YU66" s="349"/>
      <c r="YV66" s="349"/>
      <c r="YW66" s="349"/>
      <c r="YX66" s="349"/>
      <c r="YY66" s="349"/>
      <c r="YZ66" s="349"/>
      <c r="ZA66" s="349"/>
      <c r="ZB66" s="349"/>
      <c r="ZC66" s="349"/>
      <c r="ZD66" s="349"/>
      <c r="ZE66" s="349"/>
      <c r="ZF66" s="349"/>
      <c r="ZG66" s="349"/>
      <c r="ZH66" s="349"/>
      <c r="ZI66" s="349"/>
      <c r="ZJ66" s="349"/>
      <c r="ZK66" s="349"/>
      <c r="ZL66" s="349"/>
      <c r="ZM66" s="349"/>
      <c r="ZN66" s="349"/>
      <c r="ZO66" s="349"/>
      <c r="ZP66" s="349"/>
      <c r="ZQ66" s="349"/>
      <c r="ZR66" s="349"/>
      <c r="ZS66" s="349"/>
      <c r="ZT66" s="349"/>
      <c r="ZU66" s="349"/>
      <c r="ZV66" s="349"/>
      <c r="ZW66" s="349"/>
      <c r="ZX66" s="349"/>
      <c r="ZY66" s="349"/>
      <c r="ZZ66" s="349"/>
      <c r="AAA66" s="349"/>
      <c r="AAB66" s="349"/>
      <c r="AAC66" s="349"/>
      <c r="AAD66" s="349"/>
      <c r="AAE66" s="349"/>
      <c r="AAF66" s="349"/>
      <c r="AAG66" s="349"/>
      <c r="AAH66" s="349"/>
      <c r="AAI66" s="349"/>
      <c r="AAJ66" s="349"/>
      <c r="AAK66" s="349"/>
      <c r="AAL66" s="349"/>
      <c r="AAM66" s="349"/>
      <c r="AAN66" s="349"/>
      <c r="AAO66" s="349"/>
      <c r="AAP66" s="349"/>
      <c r="AAQ66" s="349"/>
      <c r="AAR66" s="349"/>
      <c r="AAS66" s="349"/>
      <c r="AAT66" s="349"/>
      <c r="AAU66" s="349"/>
      <c r="AAV66" s="349"/>
      <c r="AAW66" s="349"/>
      <c r="AAX66" s="349"/>
      <c r="AAY66" s="349"/>
      <c r="AAZ66" s="349"/>
      <c r="ABA66" s="349"/>
      <c r="ABB66" s="349"/>
      <c r="ABC66" s="349"/>
      <c r="ABD66" s="349"/>
      <c r="ABE66" s="349"/>
      <c r="ABF66" s="349"/>
      <c r="ABG66" s="349"/>
      <c r="ABH66" s="349"/>
      <c r="ABI66" s="349"/>
      <c r="ABJ66" s="349"/>
      <c r="ABK66" s="349"/>
      <c r="ABL66" s="349"/>
      <c r="ABM66" s="349"/>
      <c r="ABN66" s="349"/>
      <c r="ABO66" s="349"/>
      <c r="ABP66" s="349"/>
      <c r="ABQ66" s="349"/>
      <c r="ABR66" s="349"/>
      <c r="ABS66" s="349"/>
      <c r="ABT66" s="349"/>
      <c r="ABU66" s="349"/>
      <c r="ABV66" s="349"/>
      <c r="ABW66" s="349"/>
      <c r="ABX66" s="349"/>
      <c r="ABY66" s="349"/>
      <c r="ABZ66" s="349"/>
      <c r="ACA66" s="349"/>
      <c r="ACB66" s="349"/>
      <c r="ACC66" s="349"/>
      <c r="ACD66" s="349"/>
      <c r="ACE66" s="349"/>
      <c r="ACF66" s="349"/>
      <c r="ACG66" s="349"/>
      <c r="ACH66" s="349"/>
      <c r="ACI66" s="349"/>
      <c r="ACJ66" s="349"/>
      <c r="ACK66" s="349"/>
      <c r="ACL66" s="349"/>
      <c r="ACM66" s="349"/>
      <c r="ACN66" s="349"/>
      <c r="ACO66" s="349"/>
      <c r="ACP66" s="349"/>
      <c r="ACQ66" s="349"/>
      <c r="ACR66" s="349"/>
      <c r="ACS66" s="349"/>
      <c r="ACT66" s="349"/>
      <c r="ACU66" s="349"/>
      <c r="ACV66" s="349"/>
      <c r="ACW66" s="349"/>
      <c r="ACX66" s="349"/>
      <c r="ACY66" s="349"/>
      <c r="ACZ66" s="349"/>
      <c r="ADA66" s="349"/>
      <c r="ADB66" s="349"/>
      <c r="ADC66" s="349"/>
      <c r="ADD66" s="349"/>
      <c r="ADE66" s="349"/>
      <c r="ADF66" s="349"/>
      <c r="ADG66" s="349"/>
      <c r="ADH66" s="349"/>
      <c r="ADI66" s="349"/>
      <c r="ADJ66" s="349"/>
      <c r="ADK66" s="349"/>
      <c r="ADL66" s="349"/>
      <c r="ADM66" s="349"/>
      <c r="ADN66" s="349"/>
      <c r="ADO66" s="349"/>
      <c r="ADP66" s="349"/>
      <c r="ADQ66" s="349"/>
      <c r="ADR66" s="349"/>
      <c r="ADS66" s="349"/>
      <c r="ADT66" s="349"/>
      <c r="ADU66" s="349"/>
      <c r="ADV66" s="349"/>
      <c r="ADW66" s="349"/>
      <c r="ADX66" s="349"/>
      <c r="ADY66" s="349"/>
      <c r="ADZ66" s="349"/>
      <c r="AEA66" s="349"/>
      <c r="AEB66" s="349"/>
      <c r="AEC66" s="349"/>
      <c r="AED66" s="349"/>
      <c r="AEE66" s="349"/>
      <c r="AEF66" s="349"/>
      <c r="AEG66" s="349"/>
      <c r="AEH66" s="349"/>
      <c r="AEI66" s="349"/>
      <c r="AEJ66" s="349"/>
      <c r="AEK66" s="349"/>
      <c r="AEL66" s="349"/>
      <c r="AEM66" s="349"/>
      <c r="AEN66" s="349"/>
      <c r="AEO66" s="349"/>
      <c r="AEP66" s="349"/>
      <c r="AEQ66" s="349"/>
      <c r="AER66" s="349"/>
      <c r="AES66" s="349"/>
      <c r="AET66" s="349"/>
      <c r="AEU66" s="349"/>
      <c r="AEV66" s="349"/>
      <c r="AEW66" s="349"/>
      <c r="AEX66" s="349"/>
      <c r="AEY66" s="349"/>
      <c r="AEZ66" s="349"/>
      <c r="AFA66" s="349"/>
      <c r="AFB66" s="349"/>
      <c r="AFC66" s="349"/>
      <c r="AFD66" s="349"/>
      <c r="AFE66" s="349"/>
      <c r="AFF66" s="349"/>
      <c r="AFG66" s="349"/>
      <c r="AFH66" s="349"/>
      <c r="AFI66" s="349"/>
      <c r="AFJ66" s="349"/>
      <c r="AFK66" s="349"/>
      <c r="AFL66" s="349"/>
      <c r="AFM66" s="349"/>
      <c r="AFN66" s="349"/>
      <c r="AFO66" s="349"/>
      <c r="AFP66" s="349"/>
      <c r="AFQ66" s="349"/>
      <c r="AFR66" s="349"/>
      <c r="AFS66" s="349"/>
      <c r="AFT66" s="349"/>
      <c r="AFU66" s="349"/>
      <c r="AFV66" s="349"/>
      <c r="AFW66" s="349"/>
      <c r="AFX66" s="349"/>
      <c r="AFY66" s="349"/>
      <c r="AFZ66" s="349"/>
      <c r="AGA66" s="349"/>
      <c r="AGB66" s="349"/>
      <c r="AGC66" s="349"/>
      <c r="AGD66" s="349"/>
      <c r="AGE66" s="349"/>
      <c r="AGF66" s="349"/>
      <c r="AGG66" s="349"/>
      <c r="AGH66" s="349"/>
      <c r="AGI66" s="349"/>
      <c r="AGJ66" s="349"/>
      <c r="AGK66" s="349"/>
      <c r="AGL66" s="349"/>
      <c r="AGM66" s="349"/>
      <c r="AGN66" s="349"/>
      <c r="AGO66" s="349"/>
      <c r="AGP66" s="349"/>
      <c r="AGQ66" s="349"/>
      <c r="AGR66" s="349"/>
      <c r="AGS66" s="349"/>
      <c r="AGT66" s="349"/>
      <c r="AGU66" s="349"/>
      <c r="AGV66" s="349"/>
      <c r="AGW66" s="349"/>
      <c r="AGX66" s="349"/>
      <c r="AGY66" s="349"/>
      <c r="AGZ66" s="349"/>
      <c r="AHA66" s="349"/>
      <c r="AHB66" s="349"/>
      <c r="AHC66" s="349"/>
      <c r="AHD66" s="349"/>
      <c r="AHE66" s="349"/>
      <c r="AHF66" s="349"/>
      <c r="AHG66" s="349"/>
      <c r="AHH66" s="349"/>
      <c r="AHI66" s="349"/>
      <c r="AHJ66" s="349"/>
      <c r="AHK66" s="349"/>
      <c r="AHL66" s="349"/>
      <c r="AHM66" s="349"/>
      <c r="AHN66" s="349"/>
      <c r="AHO66" s="349"/>
      <c r="AHP66" s="349"/>
      <c r="AHQ66" s="349"/>
      <c r="AHR66" s="349"/>
      <c r="AHS66" s="349"/>
      <c r="AHT66" s="349"/>
      <c r="AHU66" s="349"/>
      <c r="AHV66" s="349"/>
      <c r="AHW66" s="349"/>
      <c r="AHX66" s="349"/>
      <c r="AHY66" s="349"/>
      <c r="AHZ66" s="349"/>
      <c r="AIA66" s="349"/>
      <c r="AIB66" s="349"/>
      <c r="AIC66" s="349"/>
      <c r="AID66" s="349"/>
      <c r="AIE66" s="349"/>
      <c r="AIF66" s="349"/>
      <c r="AIG66" s="349"/>
      <c r="AIH66" s="349"/>
      <c r="AII66" s="349"/>
      <c r="AIJ66" s="349"/>
      <c r="AIK66" s="349"/>
      <c r="AIL66" s="349"/>
      <c r="AIM66" s="349"/>
      <c r="AIN66" s="349"/>
      <c r="AIO66" s="349"/>
      <c r="AIP66" s="349"/>
      <c r="AIQ66" s="349"/>
      <c r="AIR66" s="349"/>
      <c r="AIS66" s="349"/>
      <c r="AIT66" s="349"/>
      <c r="AIU66" s="349"/>
      <c r="AIV66" s="349"/>
      <c r="AIW66" s="349"/>
      <c r="AIX66" s="349"/>
      <c r="AIY66" s="349"/>
      <c r="AIZ66" s="349"/>
      <c r="AJA66" s="349"/>
      <c r="AJB66" s="349"/>
      <c r="AJC66" s="349"/>
      <c r="AJD66" s="349"/>
      <c r="AJE66" s="349"/>
      <c r="AJF66" s="349"/>
      <c r="AJG66" s="349"/>
      <c r="AJH66" s="349"/>
      <c r="AJI66" s="349"/>
      <c r="AJJ66" s="349"/>
      <c r="AJK66" s="349"/>
      <c r="AJL66" s="349"/>
      <c r="AJM66" s="349"/>
      <c r="AJN66" s="349"/>
      <c r="AJO66" s="349"/>
      <c r="AJP66" s="349"/>
      <c r="AJQ66" s="349"/>
      <c r="AJR66" s="349"/>
      <c r="AJS66" s="349"/>
      <c r="AJT66" s="349"/>
      <c r="AJU66" s="349"/>
      <c r="AJV66" s="349"/>
      <c r="AJW66" s="349"/>
      <c r="AJX66" s="349"/>
      <c r="AJY66" s="349"/>
      <c r="AJZ66" s="349"/>
      <c r="AKA66" s="349"/>
      <c r="AKB66" s="349"/>
      <c r="AKC66" s="349"/>
      <c r="AKD66" s="349"/>
      <c r="AKE66" s="349"/>
      <c r="AKF66" s="349"/>
      <c r="AKG66" s="349"/>
      <c r="AKH66" s="349"/>
      <c r="AKI66" s="349"/>
      <c r="AKJ66" s="349"/>
      <c r="AKK66" s="349"/>
      <c r="AKL66" s="349"/>
      <c r="AKM66" s="349"/>
      <c r="AKN66" s="349"/>
      <c r="AKO66" s="349"/>
      <c r="AKP66" s="349"/>
      <c r="AKQ66" s="349"/>
      <c r="AKR66" s="349"/>
      <c r="AKS66" s="349"/>
      <c r="AKT66" s="349"/>
      <c r="AKU66" s="349"/>
      <c r="AKV66" s="349"/>
      <c r="AKW66" s="349"/>
      <c r="AKX66" s="349"/>
      <c r="AKY66" s="349"/>
      <c r="AKZ66" s="349"/>
      <c r="ALA66" s="349"/>
      <c r="ALB66" s="349"/>
      <c r="ALC66" s="349"/>
      <c r="ALD66" s="349"/>
      <c r="ALE66" s="349"/>
      <c r="ALF66" s="349"/>
      <c r="ALG66" s="349"/>
      <c r="ALH66" s="349"/>
      <c r="ALI66" s="349"/>
      <c r="ALJ66" s="349"/>
      <c r="ALK66" s="349"/>
      <c r="ALL66" s="349"/>
      <c r="ALM66" s="349"/>
      <c r="ALN66" s="349"/>
      <c r="ALO66" s="349"/>
      <c r="ALP66" s="349"/>
      <c r="ALQ66" s="349"/>
      <c r="ALR66" s="349"/>
      <c r="ALS66" s="349"/>
      <c r="ALT66" s="349"/>
      <c r="ALU66" s="349"/>
      <c r="ALV66" s="349"/>
      <c r="ALW66" s="349"/>
      <c r="ALX66" s="349"/>
      <c r="ALY66" s="349"/>
      <c r="ALZ66" s="349"/>
      <c r="AMA66" s="349"/>
      <c r="AMB66" s="349"/>
      <c r="AMC66" s="349"/>
      <c r="AMD66" s="349"/>
      <c r="AME66" s="349"/>
      <c r="AMF66" s="349"/>
      <c r="AMG66" s="349"/>
      <c r="AMH66" s="349"/>
      <c r="AMI66" s="349"/>
      <c r="AMJ66" s="349"/>
      <c r="AMK66" s="349"/>
      <c r="AML66" s="349"/>
      <c r="AMM66" s="349"/>
      <c r="AMN66" s="349"/>
      <c r="AMO66" s="349"/>
      <c r="AMP66" s="349"/>
      <c r="AMQ66" s="349"/>
      <c r="AMR66" s="349"/>
      <c r="AMS66" s="349"/>
      <c r="AMT66" s="349"/>
      <c r="AMU66" s="349"/>
      <c r="AMV66" s="349"/>
      <c r="AMW66" s="349"/>
      <c r="AMX66" s="349"/>
      <c r="AMY66" s="349"/>
      <c r="AMZ66" s="349"/>
      <c r="ANA66" s="349"/>
      <c r="ANB66" s="349"/>
      <c r="ANC66" s="349"/>
      <c r="AND66" s="349"/>
      <c r="ANE66" s="349"/>
      <c r="ANF66" s="349"/>
      <c r="ANG66" s="349"/>
      <c r="ANH66" s="349"/>
      <c r="ANI66" s="349"/>
      <c r="ANJ66" s="349"/>
      <c r="ANK66" s="349"/>
      <c r="ANL66" s="349"/>
      <c r="ANM66" s="349"/>
      <c r="ANN66" s="349"/>
      <c r="ANO66" s="349"/>
      <c r="ANP66" s="349"/>
      <c r="ANQ66" s="349"/>
      <c r="ANR66" s="349"/>
      <c r="ANS66" s="349"/>
      <c r="ANT66" s="349"/>
      <c r="ANU66" s="349"/>
      <c r="ANV66" s="349"/>
      <c r="ANW66" s="349"/>
      <c r="ANX66" s="349"/>
      <c r="ANY66" s="349"/>
      <c r="ANZ66" s="349"/>
      <c r="AOA66" s="349"/>
      <c r="AOB66" s="349"/>
      <c r="AOC66" s="349"/>
      <c r="AOD66" s="349"/>
      <c r="AOE66" s="349"/>
      <c r="AOF66" s="349"/>
      <c r="AOG66" s="349"/>
      <c r="AOH66" s="349"/>
      <c r="AOI66" s="349"/>
      <c r="AOJ66" s="349"/>
      <c r="AOK66" s="349"/>
      <c r="AOL66" s="349"/>
      <c r="AOM66" s="349"/>
      <c r="AON66" s="349"/>
      <c r="AOO66" s="349"/>
      <c r="AOP66" s="349"/>
      <c r="AOQ66" s="349"/>
      <c r="AOR66" s="349"/>
      <c r="AOS66" s="349"/>
      <c r="AOT66" s="349"/>
      <c r="AOU66" s="349"/>
      <c r="AOV66" s="349"/>
      <c r="AOW66" s="349"/>
      <c r="AOX66" s="349"/>
      <c r="AOY66" s="349"/>
      <c r="AOZ66" s="349"/>
      <c r="APA66" s="349"/>
      <c r="APB66" s="349"/>
      <c r="APC66" s="349"/>
      <c r="APD66" s="349"/>
      <c r="APE66" s="349"/>
      <c r="APF66" s="349"/>
      <c r="APG66" s="349"/>
      <c r="APH66" s="349"/>
      <c r="API66" s="349"/>
      <c r="APJ66" s="349"/>
      <c r="APK66" s="349"/>
      <c r="APL66" s="349"/>
      <c r="APM66" s="349"/>
      <c r="APN66" s="349"/>
      <c r="APO66" s="349"/>
      <c r="APP66" s="349"/>
      <c r="APQ66" s="349"/>
      <c r="APR66" s="349"/>
      <c r="APS66" s="349"/>
      <c r="APT66" s="349"/>
      <c r="APU66" s="349"/>
      <c r="APV66" s="349"/>
      <c r="APW66" s="349"/>
      <c r="APX66" s="349"/>
      <c r="APY66" s="349"/>
      <c r="APZ66" s="349"/>
      <c r="AQA66" s="349"/>
      <c r="AQB66" s="349"/>
      <c r="AQC66" s="349"/>
      <c r="AQD66" s="349"/>
      <c r="AQE66" s="349"/>
      <c r="AQF66" s="349"/>
      <c r="AQG66" s="349"/>
      <c r="AQH66" s="349"/>
      <c r="AQI66" s="349"/>
      <c r="AQJ66" s="349"/>
      <c r="AQK66" s="349"/>
      <c r="AQL66" s="349"/>
      <c r="AQM66" s="349"/>
      <c r="AQN66" s="349"/>
      <c r="AQO66" s="349"/>
      <c r="AQP66" s="349"/>
      <c r="AQQ66" s="349"/>
      <c r="AQR66" s="349"/>
      <c r="AQS66" s="349"/>
      <c r="AQT66" s="349"/>
      <c r="AQU66" s="349"/>
      <c r="AQV66" s="349"/>
      <c r="AQW66" s="349"/>
      <c r="AQX66" s="349"/>
      <c r="AQY66" s="349"/>
      <c r="AQZ66" s="349"/>
      <c r="ARA66" s="349"/>
      <c r="ARB66" s="349"/>
      <c r="ARC66" s="349"/>
      <c r="ARD66" s="349"/>
      <c r="ARE66" s="349"/>
      <c r="ARF66" s="349"/>
      <c r="ARG66" s="349"/>
      <c r="ARH66" s="349"/>
      <c r="ARI66" s="349"/>
      <c r="ARJ66" s="349"/>
      <c r="ARK66" s="349"/>
      <c r="ARL66" s="349"/>
      <c r="ARM66" s="349"/>
      <c r="ARN66" s="349"/>
      <c r="ARO66" s="349"/>
      <c r="ARP66" s="349"/>
      <c r="ARQ66" s="349"/>
      <c r="ARR66" s="349"/>
      <c r="ARS66" s="349"/>
      <c r="ART66" s="349"/>
      <c r="ARU66" s="349"/>
      <c r="ARV66" s="349"/>
      <c r="ARW66" s="349"/>
      <c r="ARX66" s="349"/>
      <c r="ARY66" s="349"/>
      <c r="ARZ66" s="349"/>
      <c r="ASA66" s="349"/>
      <c r="ASB66" s="349"/>
      <c r="ASC66" s="349"/>
      <c r="ASD66" s="349"/>
      <c r="ASE66" s="349"/>
      <c r="ASF66" s="349"/>
      <c r="ASG66" s="349"/>
      <c r="ASH66" s="349"/>
      <c r="ASI66" s="349"/>
      <c r="ASJ66" s="349"/>
      <c r="ASK66" s="349"/>
      <c r="ASL66" s="349"/>
      <c r="ASM66" s="349"/>
      <c r="ASN66" s="349"/>
      <c r="ASO66" s="349"/>
      <c r="ASP66" s="349"/>
      <c r="ASQ66" s="349"/>
      <c r="ASR66" s="349"/>
      <c r="ASS66" s="349"/>
      <c r="AST66" s="349"/>
      <c r="ASU66" s="349"/>
      <c r="ASV66" s="349"/>
      <c r="ASW66" s="349"/>
      <c r="ASX66" s="349"/>
      <c r="ASY66" s="349"/>
      <c r="ASZ66" s="349"/>
      <c r="ATA66" s="349"/>
      <c r="ATB66" s="349"/>
      <c r="ATC66" s="349"/>
      <c r="ATD66" s="349"/>
      <c r="ATE66" s="349"/>
      <c r="ATF66" s="349"/>
      <c r="ATG66" s="349"/>
      <c r="ATH66" s="349"/>
      <c r="ATI66" s="349"/>
      <c r="ATJ66" s="349"/>
      <c r="ATK66" s="349"/>
      <c r="ATL66" s="349"/>
      <c r="ATM66" s="349"/>
      <c r="ATN66" s="349"/>
      <c r="ATO66" s="349"/>
      <c r="ATP66" s="349"/>
      <c r="ATQ66" s="349"/>
      <c r="ATR66" s="349"/>
      <c r="ATS66" s="349"/>
      <c r="ATT66" s="349"/>
      <c r="ATU66" s="349"/>
      <c r="ATV66" s="349"/>
      <c r="ATW66" s="349"/>
      <c r="ATX66" s="349"/>
      <c r="ATY66" s="349"/>
      <c r="ATZ66" s="349"/>
      <c r="AUA66" s="349"/>
      <c r="AUB66" s="349"/>
      <c r="AUC66" s="349"/>
      <c r="AUD66" s="349"/>
      <c r="AUE66" s="349"/>
      <c r="AUF66" s="349"/>
      <c r="AUG66" s="349"/>
      <c r="AUH66" s="349"/>
      <c r="AUI66" s="349"/>
      <c r="AUJ66" s="349"/>
      <c r="AUK66" s="349"/>
      <c r="AUL66" s="349"/>
      <c r="AUM66" s="349"/>
      <c r="AUN66" s="349"/>
      <c r="AUO66" s="349"/>
      <c r="AUP66" s="349"/>
      <c r="AUQ66" s="349"/>
      <c r="AUR66" s="349"/>
      <c r="AUS66" s="349"/>
      <c r="AUT66" s="349"/>
      <c r="AUU66" s="349"/>
      <c r="AUV66" s="349"/>
      <c r="AUW66" s="349"/>
      <c r="AUX66" s="349"/>
      <c r="AUY66" s="349"/>
      <c r="AUZ66" s="349"/>
      <c r="AVA66" s="349"/>
      <c r="AVB66" s="349"/>
      <c r="AVC66" s="349"/>
      <c r="AVD66" s="349"/>
      <c r="AVE66" s="349"/>
      <c r="AVF66" s="349"/>
      <c r="AVG66" s="349"/>
      <c r="AVH66" s="349"/>
      <c r="AVI66" s="349"/>
      <c r="AVJ66" s="349"/>
      <c r="AVK66" s="349"/>
      <c r="AVL66" s="349"/>
      <c r="AVM66" s="349"/>
      <c r="AVN66" s="349"/>
      <c r="AVO66" s="349"/>
      <c r="AVP66" s="349"/>
      <c r="AVQ66" s="349"/>
      <c r="AVR66" s="349"/>
      <c r="AVS66" s="349"/>
      <c r="AVT66" s="349"/>
      <c r="AVU66" s="349"/>
      <c r="AVV66" s="349"/>
      <c r="AVW66" s="349"/>
      <c r="AVX66" s="349"/>
      <c r="AVY66" s="349"/>
      <c r="AVZ66" s="349"/>
      <c r="AWA66" s="349"/>
      <c r="AWB66" s="349"/>
      <c r="AWC66" s="349"/>
      <c r="AWD66" s="349"/>
      <c r="AWE66" s="349"/>
      <c r="AWF66" s="349"/>
      <c r="AWG66" s="349"/>
      <c r="AWH66" s="349"/>
      <c r="AWI66" s="349"/>
      <c r="AWJ66" s="349"/>
      <c r="AWK66" s="349"/>
      <c r="AWL66" s="349"/>
      <c r="AWM66" s="349"/>
      <c r="AWN66" s="349"/>
      <c r="AWO66" s="349"/>
      <c r="AWP66" s="349"/>
      <c r="AWQ66" s="349"/>
      <c r="AWR66" s="349"/>
      <c r="AWS66" s="349"/>
      <c r="AWT66" s="349"/>
      <c r="AWU66" s="349"/>
      <c r="AWV66" s="349"/>
      <c r="AWW66" s="349"/>
      <c r="AWX66" s="349"/>
      <c r="AWY66" s="349"/>
      <c r="AWZ66" s="349"/>
      <c r="AXA66" s="349"/>
      <c r="AXB66" s="349"/>
      <c r="AXC66" s="349"/>
      <c r="AXD66" s="349"/>
      <c r="AXE66" s="349"/>
      <c r="AXF66" s="349"/>
      <c r="AXG66" s="349"/>
      <c r="AXH66" s="349"/>
      <c r="AXI66" s="349"/>
      <c r="AXJ66" s="349"/>
      <c r="AXK66" s="349"/>
      <c r="AXL66" s="349"/>
      <c r="AXM66" s="349"/>
      <c r="AXN66" s="349"/>
      <c r="AXO66" s="349"/>
      <c r="AXP66" s="349"/>
      <c r="AXQ66" s="349"/>
      <c r="AXR66" s="349"/>
      <c r="AXS66" s="349"/>
      <c r="AXT66" s="349"/>
      <c r="AXU66" s="349"/>
      <c r="AXV66" s="349"/>
      <c r="AXW66" s="349"/>
      <c r="AXX66" s="349"/>
      <c r="AXY66" s="349"/>
      <c r="AXZ66" s="349"/>
      <c r="AYA66" s="349"/>
      <c r="AYB66" s="349"/>
      <c r="AYC66" s="349"/>
      <c r="AYD66" s="349"/>
      <c r="AYE66" s="349"/>
      <c r="AYF66" s="349"/>
      <c r="AYG66" s="349"/>
      <c r="AYH66" s="349"/>
      <c r="AYI66" s="349"/>
      <c r="AYJ66" s="349"/>
      <c r="AYK66" s="349"/>
      <c r="AYL66" s="349"/>
      <c r="AYM66" s="349"/>
      <c r="AYN66" s="349"/>
      <c r="AYO66" s="349"/>
      <c r="AYP66" s="349"/>
      <c r="AYQ66" s="349"/>
      <c r="AYR66" s="349"/>
      <c r="AYS66" s="349"/>
      <c r="AYT66" s="349"/>
      <c r="AYU66" s="349"/>
      <c r="AYV66" s="349"/>
      <c r="AYW66" s="349"/>
      <c r="AYX66" s="349"/>
      <c r="AYY66" s="349"/>
      <c r="AYZ66" s="349"/>
      <c r="AZA66" s="349"/>
      <c r="AZB66" s="349"/>
      <c r="AZC66" s="349"/>
      <c r="AZD66" s="349"/>
      <c r="AZE66" s="349"/>
      <c r="AZF66" s="349"/>
      <c r="AZG66" s="349"/>
      <c r="AZH66" s="349"/>
      <c r="AZI66" s="349"/>
      <c r="AZJ66" s="349"/>
      <c r="AZK66" s="349"/>
      <c r="AZL66" s="349"/>
      <c r="AZM66" s="349"/>
      <c r="AZN66" s="349"/>
      <c r="AZO66" s="349"/>
      <c r="AZP66" s="349"/>
      <c r="AZQ66" s="349"/>
      <c r="AZR66" s="349"/>
      <c r="AZS66" s="349"/>
      <c r="AZT66" s="349"/>
      <c r="AZU66" s="349"/>
      <c r="AZV66" s="349"/>
      <c r="AZW66" s="349"/>
      <c r="AZX66" s="349"/>
      <c r="AZY66" s="349"/>
      <c r="AZZ66" s="349"/>
      <c r="BAA66" s="349"/>
      <c r="BAB66" s="349"/>
      <c r="BAC66" s="349"/>
      <c r="BAD66" s="349"/>
      <c r="BAE66" s="349"/>
      <c r="BAF66" s="349"/>
      <c r="BAG66" s="349"/>
      <c r="BAH66" s="349"/>
      <c r="BAI66" s="349"/>
      <c r="BAJ66" s="349"/>
      <c r="BAK66" s="349"/>
      <c r="BAL66" s="349"/>
      <c r="BAM66" s="349"/>
      <c r="BAN66" s="349"/>
      <c r="BAO66" s="349"/>
      <c r="BAP66" s="349"/>
      <c r="BAQ66" s="349"/>
      <c r="BAR66" s="349"/>
      <c r="BAS66" s="349"/>
      <c r="BAT66" s="349"/>
      <c r="BAU66" s="349"/>
      <c r="BAV66" s="349"/>
      <c r="BAW66" s="349"/>
      <c r="BAX66" s="349"/>
      <c r="BAY66" s="349"/>
      <c r="BAZ66" s="349"/>
      <c r="BBA66" s="349"/>
      <c r="BBB66" s="349"/>
      <c r="BBC66" s="349"/>
      <c r="BBD66" s="349"/>
      <c r="BBE66" s="349"/>
      <c r="BBF66" s="349"/>
      <c r="BBG66" s="349"/>
      <c r="BBH66" s="349"/>
      <c r="BBI66" s="349"/>
      <c r="BBJ66" s="349"/>
      <c r="BBK66" s="349"/>
      <c r="BBL66" s="349"/>
      <c r="BBM66" s="349"/>
      <c r="BBN66" s="349"/>
      <c r="BBO66" s="349"/>
      <c r="BBP66" s="349"/>
      <c r="BBQ66" s="349"/>
      <c r="BBR66" s="349"/>
      <c r="BBS66" s="349"/>
      <c r="BBT66" s="349"/>
      <c r="BBU66" s="349"/>
      <c r="BBV66" s="349"/>
      <c r="BBW66" s="349"/>
      <c r="BBX66" s="349"/>
      <c r="BBY66" s="349"/>
      <c r="BBZ66" s="349"/>
      <c r="BCA66" s="349"/>
      <c r="BCB66" s="349"/>
      <c r="BCC66" s="349"/>
      <c r="BCD66" s="349"/>
      <c r="BCE66" s="349"/>
      <c r="BCF66" s="349"/>
      <c r="BCG66" s="349"/>
      <c r="BCH66" s="349"/>
      <c r="BCI66" s="349"/>
      <c r="BCJ66" s="349"/>
      <c r="BCK66" s="349"/>
      <c r="BCL66" s="349"/>
      <c r="BCM66" s="349"/>
      <c r="BCN66" s="349"/>
      <c r="BCO66" s="349"/>
      <c r="BCP66" s="349"/>
      <c r="BCQ66" s="349"/>
      <c r="BCR66" s="349"/>
      <c r="BCS66" s="349"/>
      <c r="BCT66" s="349"/>
      <c r="BCU66" s="349"/>
      <c r="BCV66" s="349"/>
      <c r="BCW66" s="349"/>
      <c r="BCX66" s="349"/>
      <c r="BCY66" s="349"/>
      <c r="BCZ66" s="349"/>
      <c r="BDA66" s="349"/>
      <c r="BDB66" s="349"/>
      <c r="BDC66" s="349"/>
      <c r="BDD66" s="349"/>
      <c r="BDE66" s="349"/>
      <c r="BDF66" s="349"/>
      <c r="BDG66" s="349"/>
      <c r="BDH66" s="349"/>
      <c r="BDI66" s="349"/>
      <c r="BDJ66" s="349"/>
      <c r="BDK66" s="349"/>
      <c r="BDL66" s="349"/>
      <c r="BDM66" s="349"/>
      <c r="BDN66" s="349"/>
      <c r="BDO66" s="349"/>
      <c r="BDP66" s="349"/>
      <c r="BDQ66" s="349"/>
      <c r="BDR66" s="349"/>
      <c r="BDS66" s="349"/>
      <c r="BDT66" s="349"/>
      <c r="BDU66" s="349"/>
      <c r="BDV66" s="349"/>
      <c r="BDW66" s="349"/>
      <c r="BDX66" s="349"/>
      <c r="BDY66" s="349"/>
      <c r="BDZ66" s="349"/>
      <c r="BEA66" s="349"/>
      <c r="BEB66" s="349"/>
      <c r="BEC66" s="349"/>
      <c r="BED66" s="349"/>
      <c r="BEE66" s="349"/>
      <c r="BEF66" s="349"/>
      <c r="BEG66" s="349"/>
      <c r="BEH66" s="349"/>
      <c r="BEI66" s="349"/>
      <c r="BEJ66" s="349"/>
      <c r="BEK66" s="349"/>
      <c r="BEL66" s="349"/>
      <c r="BEM66" s="349"/>
      <c r="BEN66" s="349"/>
      <c r="BEO66" s="349"/>
      <c r="BEP66" s="349"/>
      <c r="BEQ66" s="349"/>
      <c r="BER66" s="349"/>
      <c r="BES66" s="349"/>
      <c r="BET66" s="349"/>
      <c r="BEU66" s="349"/>
      <c r="BEV66" s="349"/>
      <c r="BEW66" s="349"/>
      <c r="BEX66" s="349"/>
      <c r="BEY66" s="349"/>
      <c r="BEZ66" s="349"/>
      <c r="BFA66" s="349"/>
      <c r="BFB66" s="349"/>
      <c r="BFC66" s="349"/>
      <c r="BFD66" s="349"/>
      <c r="BFE66" s="349"/>
      <c r="BFF66" s="349"/>
      <c r="BFG66" s="349"/>
      <c r="BFH66" s="349"/>
      <c r="BFI66" s="349"/>
      <c r="BFJ66" s="349"/>
      <c r="BFK66" s="349"/>
      <c r="BFL66" s="349"/>
      <c r="BFM66" s="349"/>
      <c r="BFN66" s="349"/>
      <c r="BFO66" s="349"/>
      <c r="BFP66" s="349"/>
      <c r="BFQ66" s="349"/>
      <c r="BFR66" s="349"/>
      <c r="BFS66" s="349"/>
      <c r="BFT66" s="349"/>
      <c r="BFU66" s="349"/>
      <c r="BFV66" s="349"/>
      <c r="BFW66" s="349"/>
      <c r="BFX66" s="349"/>
      <c r="BFY66" s="349"/>
      <c r="BFZ66" s="349"/>
      <c r="BGA66" s="349"/>
      <c r="BGB66" s="349"/>
      <c r="BGC66" s="349"/>
      <c r="BGD66" s="349"/>
      <c r="BGE66" s="349"/>
      <c r="BGF66" s="349"/>
      <c r="BGG66" s="349"/>
      <c r="BGH66" s="349"/>
      <c r="BGI66" s="349"/>
      <c r="BGJ66" s="349"/>
      <c r="BGK66" s="349"/>
      <c r="BGL66" s="349"/>
      <c r="BGM66" s="349"/>
      <c r="BGN66" s="349"/>
      <c r="BGO66" s="349"/>
      <c r="BGP66" s="349"/>
      <c r="BGQ66" s="349"/>
      <c r="BGR66" s="349"/>
      <c r="BGS66" s="349"/>
      <c r="BGT66" s="349"/>
      <c r="BGU66" s="349"/>
      <c r="BGV66" s="349"/>
      <c r="BGW66" s="349"/>
      <c r="BGX66" s="349"/>
      <c r="BGY66" s="349"/>
      <c r="BGZ66" s="349"/>
      <c r="BHA66" s="349"/>
      <c r="BHB66" s="349"/>
      <c r="BHC66" s="349"/>
      <c r="BHD66" s="349"/>
      <c r="BHE66" s="349"/>
      <c r="BHF66" s="349"/>
      <c r="BHG66" s="349"/>
      <c r="BHH66" s="349"/>
      <c r="BHI66" s="349"/>
      <c r="BHJ66" s="349"/>
      <c r="BHK66" s="349"/>
      <c r="BHL66" s="349"/>
      <c r="BHM66" s="349"/>
      <c r="BHN66" s="349"/>
      <c r="BHO66" s="349"/>
      <c r="BHP66" s="349"/>
      <c r="BHQ66" s="349"/>
      <c r="BHR66" s="349"/>
      <c r="BHS66" s="349"/>
      <c r="BHT66" s="349"/>
      <c r="BHU66" s="349"/>
      <c r="BHV66" s="349"/>
      <c r="BHW66" s="349"/>
      <c r="BHX66" s="349"/>
      <c r="BHY66" s="349"/>
      <c r="BHZ66" s="349"/>
      <c r="BIA66" s="349"/>
      <c r="BIB66" s="349"/>
      <c r="BIC66" s="349"/>
      <c r="BID66" s="349"/>
      <c r="BIE66" s="349"/>
      <c r="BIF66" s="349"/>
      <c r="BIG66" s="349"/>
      <c r="BIH66" s="349"/>
      <c r="BII66" s="349"/>
      <c r="BIJ66" s="349"/>
      <c r="BIK66" s="349"/>
      <c r="BIL66" s="349"/>
      <c r="BIM66" s="349"/>
      <c r="BIN66" s="349"/>
      <c r="BIO66" s="349"/>
      <c r="BIP66" s="349"/>
      <c r="BIQ66" s="349"/>
      <c r="BIR66" s="349"/>
      <c r="BIS66" s="349"/>
      <c r="BIT66" s="349"/>
      <c r="BIU66" s="349"/>
      <c r="BIV66" s="349"/>
      <c r="BIW66" s="349"/>
      <c r="BIX66" s="349"/>
      <c r="BIY66" s="349"/>
      <c r="BIZ66" s="349"/>
      <c r="BJA66" s="349"/>
      <c r="BJB66" s="349"/>
      <c r="BJC66" s="349"/>
      <c r="BJD66" s="349"/>
      <c r="BJE66" s="349"/>
      <c r="BJF66" s="349"/>
      <c r="BJG66" s="349"/>
      <c r="BJH66" s="349"/>
      <c r="BJI66" s="349"/>
      <c r="BJJ66" s="349"/>
      <c r="BJK66" s="349"/>
      <c r="BJL66" s="349"/>
      <c r="BJM66" s="349"/>
      <c r="BJN66" s="349"/>
      <c r="BJO66" s="349"/>
      <c r="BJP66" s="349"/>
      <c r="BJQ66" s="349"/>
      <c r="BJR66" s="349"/>
      <c r="BJS66" s="349"/>
      <c r="BJT66" s="349"/>
      <c r="BJU66" s="349"/>
      <c r="BJV66" s="349"/>
      <c r="BJW66" s="349"/>
      <c r="BJX66" s="349"/>
      <c r="BJY66" s="349"/>
      <c r="BJZ66" s="349"/>
      <c r="BKA66" s="349"/>
      <c r="BKB66" s="349"/>
      <c r="BKC66" s="349"/>
      <c r="BKD66" s="349"/>
      <c r="BKE66" s="349"/>
      <c r="BKF66" s="349"/>
      <c r="BKG66" s="349"/>
      <c r="BKH66" s="349"/>
      <c r="BKI66" s="349"/>
      <c r="BKJ66" s="349"/>
      <c r="BKK66" s="349"/>
      <c r="BKL66" s="349"/>
      <c r="BKM66" s="349"/>
      <c r="BKN66" s="349"/>
      <c r="BKO66" s="349"/>
      <c r="BKP66" s="349"/>
      <c r="BKQ66" s="349"/>
      <c r="BKR66" s="349"/>
      <c r="BKS66" s="349"/>
      <c r="BKT66" s="349"/>
      <c r="BKU66" s="349"/>
      <c r="BKV66" s="349"/>
      <c r="BKW66" s="349"/>
      <c r="BKX66" s="349"/>
      <c r="BKY66" s="349"/>
      <c r="BKZ66" s="349"/>
      <c r="BLA66" s="349"/>
      <c r="BLB66" s="349"/>
      <c r="BLC66" s="349"/>
      <c r="BLD66" s="349"/>
      <c r="BLE66" s="349"/>
      <c r="BLF66" s="349"/>
      <c r="BLG66" s="349"/>
      <c r="BLH66" s="349"/>
      <c r="BLI66" s="349"/>
      <c r="BLJ66" s="349"/>
      <c r="BLK66" s="349"/>
      <c r="BLL66" s="349"/>
      <c r="BLM66" s="349"/>
      <c r="BLN66" s="349"/>
      <c r="BLO66" s="349"/>
      <c r="BLP66" s="349"/>
      <c r="BLQ66" s="349"/>
      <c r="BLR66" s="349"/>
      <c r="BLS66" s="349"/>
      <c r="BLT66" s="349"/>
      <c r="BLU66" s="349"/>
      <c r="BLV66" s="349"/>
      <c r="BLW66" s="349"/>
      <c r="BLX66" s="349"/>
      <c r="BLY66" s="349"/>
      <c r="BLZ66" s="349"/>
      <c r="BMA66" s="349"/>
      <c r="BMB66" s="349"/>
      <c r="BMC66" s="349"/>
      <c r="BMD66" s="349"/>
      <c r="BME66" s="349"/>
      <c r="BMF66" s="349"/>
      <c r="BMG66" s="349"/>
      <c r="BMH66" s="349"/>
      <c r="BMI66" s="349"/>
      <c r="BMJ66" s="349"/>
      <c r="BMK66" s="349"/>
      <c r="BML66" s="349"/>
      <c r="BMM66" s="349"/>
      <c r="BMN66" s="349"/>
      <c r="BMO66" s="349"/>
      <c r="BMP66" s="349"/>
      <c r="BMQ66" s="349"/>
      <c r="BMR66" s="349"/>
      <c r="BMS66" s="349"/>
      <c r="BMT66" s="349"/>
      <c r="BMU66" s="349"/>
      <c r="BMV66" s="349"/>
      <c r="BMW66" s="349"/>
      <c r="BMX66" s="349"/>
      <c r="BMY66" s="349"/>
      <c r="BMZ66" s="349"/>
      <c r="BNA66" s="349"/>
      <c r="BNB66" s="349"/>
      <c r="BNC66" s="349"/>
      <c r="BND66" s="349"/>
      <c r="BNE66" s="349"/>
      <c r="BNF66" s="349"/>
      <c r="BNG66" s="349"/>
      <c r="BNH66" s="349"/>
      <c r="BNI66" s="349"/>
      <c r="BNJ66" s="349"/>
      <c r="BNK66" s="349"/>
      <c r="BNL66" s="349"/>
      <c r="BNM66" s="349"/>
      <c r="BNN66" s="349"/>
      <c r="BNO66" s="349"/>
      <c r="BNP66" s="349"/>
      <c r="BNQ66" s="349"/>
      <c r="BNR66" s="349"/>
      <c r="BNS66" s="349"/>
      <c r="BNT66" s="349"/>
      <c r="BNU66" s="349"/>
      <c r="BNV66" s="349"/>
      <c r="BNW66" s="349"/>
      <c r="BNX66" s="349"/>
      <c r="BNY66" s="349"/>
      <c r="BNZ66" s="349"/>
      <c r="BOA66" s="349"/>
      <c r="BOB66" s="349"/>
      <c r="BOC66" s="349"/>
      <c r="BOD66" s="349"/>
      <c r="BOE66" s="349"/>
      <c r="BOF66" s="349"/>
      <c r="BOG66" s="349"/>
      <c r="BOH66" s="349"/>
      <c r="BOI66" s="349"/>
      <c r="BOJ66" s="349"/>
      <c r="BOK66" s="349"/>
      <c r="BOL66" s="349"/>
      <c r="BOM66" s="349"/>
      <c r="BON66" s="349"/>
      <c r="BOO66" s="349"/>
      <c r="BOP66" s="349"/>
      <c r="BOQ66" s="349"/>
      <c r="BOR66" s="349"/>
      <c r="BOS66" s="349"/>
      <c r="BOT66" s="349"/>
      <c r="BOU66" s="349"/>
      <c r="BOV66" s="349"/>
      <c r="BOW66" s="349"/>
      <c r="BOX66" s="349"/>
      <c r="BOY66" s="349"/>
      <c r="BOZ66" s="349"/>
      <c r="BPA66" s="349"/>
      <c r="BPB66" s="349"/>
      <c r="BPC66" s="349"/>
      <c r="BPD66" s="349"/>
      <c r="BPE66" s="349"/>
      <c r="BPF66" s="349"/>
      <c r="BPG66" s="349"/>
      <c r="BPH66" s="349"/>
      <c r="BPI66" s="349"/>
      <c r="BPJ66" s="349"/>
      <c r="BPK66" s="349"/>
      <c r="BPL66" s="349"/>
      <c r="BPM66" s="349"/>
      <c r="BPN66" s="349"/>
      <c r="BPO66" s="349"/>
      <c r="BPP66" s="349"/>
      <c r="BPQ66" s="349"/>
      <c r="BPR66" s="349"/>
      <c r="BPS66" s="349"/>
      <c r="BPT66" s="349"/>
      <c r="BPU66" s="349"/>
      <c r="BPV66" s="349"/>
      <c r="BPW66" s="349"/>
      <c r="BPX66" s="349"/>
      <c r="BPY66" s="349"/>
      <c r="BPZ66" s="349"/>
      <c r="BQA66" s="349"/>
      <c r="BQB66" s="349"/>
      <c r="BQC66" s="349"/>
      <c r="BQD66" s="349"/>
      <c r="BQE66" s="349"/>
      <c r="BQF66" s="349"/>
      <c r="BQG66" s="349"/>
      <c r="BQH66" s="349"/>
      <c r="BQI66" s="349"/>
      <c r="BQJ66" s="349"/>
      <c r="BQK66" s="349"/>
      <c r="BQL66" s="349"/>
      <c r="BQM66" s="349"/>
      <c r="BQN66" s="349"/>
      <c r="BQO66" s="349"/>
      <c r="BQP66" s="349"/>
      <c r="BQQ66" s="349"/>
      <c r="BQR66" s="349"/>
      <c r="BQS66" s="349"/>
      <c r="BQT66" s="349"/>
      <c r="BQU66" s="349"/>
      <c r="BQV66" s="349"/>
      <c r="BQW66" s="349"/>
      <c r="BQX66" s="349"/>
      <c r="BQY66" s="349"/>
      <c r="BQZ66" s="349"/>
      <c r="BRA66" s="349"/>
      <c r="BRB66" s="349"/>
      <c r="BRC66" s="349"/>
      <c r="BRD66" s="349"/>
      <c r="BRE66" s="349"/>
      <c r="BRF66" s="349"/>
      <c r="BRG66" s="349"/>
      <c r="BRH66" s="349"/>
      <c r="BRI66" s="349"/>
      <c r="BRJ66" s="349"/>
      <c r="BRK66" s="349"/>
      <c r="BRL66" s="349"/>
      <c r="BRM66" s="349"/>
      <c r="BRN66" s="349"/>
      <c r="BRO66" s="349"/>
      <c r="BRP66" s="349"/>
      <c r="BRQ66" s="349"/>
      <c r="BRR66" s="349"/>
      <c r="BRS66" s="349"/>
      <c r="BRT66" s="349"/>
      <c r="BRU66" s="349"/>
      <c r="BRV66" s="349"/>
      <c r="BRW66" s="349"/>
      <c r="BRX66" s="349"/>
      <c r="BRY66" s="349"/>
      <c r="BRZ66" s="349"/>
      <c r="BSA66" s="349"/>
      <c r="BSB66" s="349"/>
      <c r="BSC66" s="349"/>
      <c r="BSD66" s="349"/>
      <c r="BSE66" s="349"/>
      <c r="BSF66" s="349"/>
      <c r="BSG66" s="349"/>
      <c r="BSH66" s="349"/>
      <c r="BSI66" s="349"/>
      <c r="BSJ66" s="349"/>
      <c r="BSK66" s="349"/>
      <c r="BSL66" s="349"/>
      <c r="BSM66" s="349"/>
      <c r="BSN66" s="349"/>
      <c r="BSO66" s="349"/>
      <c r="BSP66" s="349"/>
      <c r="BSQ66" s="349"/>
      <c r="BSR66" s="349"/>
      <c r="BSS66" s="349"/>
      <c r="BST66" s="349"/>
      <c r="BSU66" s="349"/>
      <c r="BSV66" s="349"/>
      <c r="BSW66" s="349"/>
      <c r="BSX66" s="349"/>
      <c r="BSY66" s="349"/>
      <c r="BSZ66" s="349"/>
      <c r="BTA66" s="349"/>
      <c r="BTB66" s="349"/>
      <c r="BTC66" s="349"/>
      <c r="BTD66" s="349"/>
      <c r="BTE66" s="349"/>
      <c r="BTF66" s="349"/>
      <c r="BTG66" s="349"/>
      <c r="BTH66" s="349"/>
      <c r="BTI66" s="349"/>
      <c r="BTJ66" s="349"/>
      <c r="BTK66" s="349"/>
      <c r="BTL66" s="349"/>
      <c r="BTM66" s="349"/>
      <c r="BTN66" s="349"/>
      <c r="BTO66" s="349"/>
      <c r="BTP66" s="349"/>
      <c r="BTQ66" s="349"/>
      <c r="BTR66" s="349"/>
      <c r="BTS66" s="349"/>
      <c r="BTT66" s="349"/>
      <c r="BTU66" s="349"/>
      <c r="BTV66" s="349"/>
      <c r="BTW66" s="349"/>
      <c r="BTX66" s="349"/>
      <c r="BTY66" s="349"/>
      <c r="BTZ66" s="349"/>
      <c r="BUA66" s="349"/>
      <c r="BUB66" s="349"/>
      <c r="BUC66" s="349"/>
      <c r="BUD66" s="349"/>
      <c r="BUE66" s="349"/>
      <c r="BUF66" s="349"/>
      <c r="BUG66" s="349"/>
      <c r="BUH66" s="349"/>
      <c r="BUI66" s="349"/>
      <c r="BUJ66" s="349"/>
      <c r="BUK66" s="349"/>
      <c r="BUL66" s="349"/>
      <c r="BUM66" s="349"/>
      <c r="BUN66" s="349"/>
      <c r="BUO66" s="349"/>
      <c r="BUP66" s="349"/>
      <c r="BUQ66" s="349"/>
      <c r="BUR66" s="349"/>
      <c r="BUS66" s="349"/>
      <c r="BUT66" s="349"/>
      <c r="BUU66" s="349"/>
      <c r="BUV66" s="349"/>
      <c r="BUW66" s="349"/>
      <c r="BUX66" s="349"/>
      <c r="BUY66" s="349"/>
      <c r="BUZ66" s="349"/>
      <c r="BVA66" s="349"/>
      <c r="BVB66" s="349"/>
      <c r="BVC66" s="349"/>
      <c r="BVD66" s="349"/>
      <c r="BVE66" s="349"/>
      <c r="BVF66" s="349"/>
      <c r="BVG66" s="349"/>
      <c r="BVH66" s="349"/>
      <c r="BVI66" s="349"/>
      <c r="BVJ66" s="349"/>
      <c r="BVK66" s="349"/>
      <c r="BVL66" s="349"/>
      <c r="BVM66" s="349"/>
      <c r="BVN66" s="349"/>
      <c r="BVO66" s="349"/>
      <c r="BVP66" s="349"/>
      <c r="BVQ66" s="349"/>
      <c r="BVR66" s="349"/>
      <c r="BVS66" s="349"/>
      <c r="BVT66" s="349"/>
      <c r="BVU66" s="349"/>
      <c r="BVV66" s="349"/>
      <c r="BVW66" s="349"/>
      <c r="BVX66" s="349"/>
      <c r="BVY66" s="349"/>
      <c r="BVZ66" s="349"/>
      <c r="BWA66" s="349"/>
      <c r="BWB66" s="349"/>
      <c r="BWC66" s="349"/>
      <c r="BWD66" s="349"/>
      <c r="BWE66" s="349"/>
      <c r="BWF66" s="349"/>
      <c r="BWG66" s="349"/>
      <c r="BWH66" s="349"/>
      <c r="BWI66" s="349"/>
      <c r="BWJ66" s="349"/>
      <c r="BWK66" s="349"/>
      <c r="BWL66" s="349"/>
      <c r="BWM66" s="349"/>
      <c r="BWN66" s="349"/>
      <c r="BWO66" s="349"/>
      <c r="BWP66" s="349"/>
      <c r="BWQ66" s="349"/>
      <c r="BWR66" s="349"/>
      <c r="BWS66" s="349"/>
      <c r="BWT66" s="349"/>
      <c r="BWU66" s="349"/>
      <c r="BWV66" s="349"/>
      <c r="BWW66" s="349"/>
      <c r="BWX66" s="349"/>
      <c r="BWY66" s="349"/>
      <c r="BWZ66" s="349"/>
      <c r="BXA66" s="349"/>
      <c r="BXB66" s="349"/>
      <c r="BXC66" s="349"/>
      <c r="BXD66" s="349"/>
      <c r="BXE66" s="349"/>
      <c r="BXF66" s="349"/>
      <c r="BXG66" s="349"/>
      <c r="BXH66" s="349"/>
      <c r="BXI66" s="349"/>
      <c r="BXJ66" s="349"/>
      <c r="BXK66" s="349"/>
      <c r="BXL66" s="349"/>
      <c r="BXM66" s="349"/>
      <c r="BXN66" s="349"/>
      <c r="BXO66" s="349"/>
      <c r="BXP66" s="349"/>
      <c r="BXQ66" s="349"/>
      <c r="BXR66" s="349"/>
      <c r="BXS66" s="349"/>
      <c r="BXT66" s="349"/>
      <c r="BXU66" s="349"/>
      <c r="BXV66" s="349"/>
      <c r="BXW66" s="349"/>
      <c r="BXX66" s="349"/>
      <c r="BXY66" s="349"/>
      <c r="BXZ66" s="349"/>
      <c r="BYA66" s="349"/>
      <c r="BYB66" s="349"/>
      <c r="BYC66" s="349"/>
      <c r="BYD66" s="349"/>
      <c r="BYE66" s="349"/>
      <c r="BYF66" s="349"/>
      <c r="BYG66" s="349"/>
      <c r="BYH66" s="349"/>
      <c r="BYI66" s="349"/>
      <c r="BYJ66" s="349"/>
      <c r="BYK66" s="349"/>
      <c r="BYL66" s="349"/>
      <c r="BYM66" s="349"/>
      <c r="BYN66" s="349"/>
      <c r="BYO66" s="349"/>
      <c r="BYP66" s="349"/>
      <c r="BYQ66" s="349"/>
      <c r="BYR66" s="349"/>
      <c r="BYS66" s="349"/>
      <c r="BYT66" s="349"/>
      <c r="BYU66" s="349"/>
      <c r="BYV66" s="349"/>
      <c r="BYW66" s="349"/>
      <c r="BYX66" s="349"/>
      <c r="BYY66" s="349"/>
      <c r="BYZ66" s="349"/>
      <c r="BZA66" s="349"/>
      <c r="BZB66" s="349"/>
      <c r="BZC66" s="349"/>
      <c r="BZD66" s="349"/>
      <c r="BZE66" s="349"/>
      <c r="BZF66" s="349"/>
      <c r="BZG66" s="349"/>
      <c r="BZH66" s="349"/>
      <c r="BZI66" s="349"/>
      <c r="BZJ66" s="349"/>
      <c r="BZK66" s="349"/>
      <c r="BZL66" s="349"/>
      <c r="BZM66" s="349"/>
      <c r="BZN66" s="349"/>
      <c r="BZO66" s="349"/>
      <c r="BZP66" s="349"/>
      <c r="BZQ66" s="349"/>
      <c r="BZR66" s="349"/>
      <c r="BZS66" s="349"/>
      <c r="BZT66" s="349"/>
      <c r="BZU66" s="349"/>
      <c r="BZV66" s="349"/>
      <c r="BZW66" s="349"/>
      <c r="BZX66" s="349"/>
      <c r="BZY66" s="349"/>
      <c r="BZZ66" s="349"/>
      <c r="CAA66" s="349"/>
      <c r="CAB66" s="349"/>
      <c r="CAC66" s="349"/>
      <c r="CAD66" s="349"/>
      <c r="CAE66" s="349"/>
      <c r="CAF66" s="349"/>
      <c r="CAG66" s="349"/>
      <c r="CAH66" s="349"/>
      <c r="CAI66" s="349"/>
      <c r="CAJ66" s="349"/>
      <c r="CAK66" s="349"/>
      <c r="CAL66" s="349"/>
      <c r="CAM66" s="349"/>
      <c r="CAN66" s="349"/>
      <c r="CAO66" s="349"/>
      <c r="CAP66" s="349"/>
      <c r="CAQ66" s="349"/>
      <c r="CAR66" s="349"/>
      <c r="CAS66" s="349"/>
      <c r="CAT66" s="349"/>
      <c r="CAU66" s="349"/>
      <c r="CAV66" s="349"/>
      <c r="CAW66" s="349"/>
      <c r="CAX66" s="349"/>
      <c r="CAY66" s="349"/>
      <c r="CAZ66" s="349"/>
      <c r="CBA66" s="349"/>
      <c r="CBB66" s="349"/>
      <c r="CBC66" s="349"/>
      <c r="CBD66" s="349"/>
      <c r="CBE66" s="349"/>
      <c r="CBF66" s="349"/>
      <c r="CBG66" s="349"/>
      <c r="CBH66" s="349"/>
      <c r="CBI66" s="349"/>
      <c r="CBJ66" s="349"/>
      <c r="CBK66" s="349"/>
      <c r="CBL66" s="349"/>
      <c r="CBM66" s="349"/>
      <c r="CBN66" s="349"/>
      <c r="CBO66" s="349"/>
      <c r="CBP66" s="349"/>
      <c r="CBQ66" s="349"/>
      <c r="CBR66" s="349"/>
      <c r="CBS66" s="349"/>
      <c r="CBT66" s="349"/>
      <c r="CBU66" s="349"/>
      <c r="CBV66" s="349"/>
      <c r="CBW66" s="349"/>
      <c r="CBX66" s="349"/>
      <c r="CBY66" s="349"/>
      <c r="CBZ66" s="349"/>
      <c r="CCA66" s="349"/>
      <c r="CCB66" s="349"/>
      <c r="CCC66" s="349"/>
      <c r="CCD66" s="349"/>
      <c r="CCE66" s="349"/>
      <c r="CCF66" s="349"/>
      <c r="CCG66" s="349"/>
      <c r="CCH66" s="349"/>
      <c r="CCI66" s="349"/>
      <c r="CCJ66" s="349"/>
      <c r="CCK66" s="349"/>
      <c r="CCL66" s="349"/>
      <c r="CCM66" s="349"/>
      <c r="CCN66" s="349"/>
      <c r="CCO66" s="349"/>
      <c r="CCP66" s="349"/>
      <c r="CCQ66" s="349"/>
      <c r="CCR66" s="349"/>
      <c r="CCS66" s="349"/>
      <c r="CCT66" s="349"/>
      <c r="CCU66" s="349"/>
      <c r="CCV66" s="349"/>
      <c r="CCW66" s="349"/>
      <c r="CCX66" s="349"/>
      <c r="CCY66" s="349"/>
      <c r="CCZ66" s="349"/>
      <c r="CDA66" s="349"/>
      <c r="CDB66" s="349"/>
      <c r="CDC66" s="349"/>
      <c r="CDD66" s="349"/>
      <c r="CDE66" s="349"/>
      <c r="CDF66" s="349"/>
      <c r="CDG66" s="349"/>
      <c r="CDH66" s="349"/>
      <c r="CDI66" s="349"/>
      <c r="CDJ66" s="349"/>
      <c r="CDK66" s="349"/>
      <c r="CDL66" s="349"/>
      <c r="CDM66" s="349"/>
      <c r="CDN66" s="349"/>
      <c r="CDO66" s="349"/>
      <c r="CDP66" s="349"/>
      <c r="CDQ66" s="349"/>
      <c r="CDR66" s="349"/>
      <c r="CDS66" s="349"/>
      <c r="CDT66" s="349"/>
      <c r="CDU66" s="349"/>
      <c r="CDV66" s="349"/>
      <c r="CDW66" s="349"/>
      <c r="CDX66" s="349"/>
      <c r="CDY66" s="349"/>
      <c r="CDZ66" s="349"/>
      <c r="CEA66" s="349"/>
      <c r="CEB66" s="349"/>
      <c r="CEC66" s="349"/>
      <c r="CED66" s="349"/>
      <c r="CEE66" s="349"/>
      <c r="CEF66" s="349"/>
      <c r="CEG66" s="349"/>
      <c r="CEH66" s="349"/>
      <c r="CEI66" s="349"/>
      <c r="CEJ66" s="349"/>
      <c r="CEK66" s="349"/>
      <c r="CEL66" s="349"/>
      <c r="CEM66" s="349"/>
      <c r="CEN66" s="349"/>
      <c r="CEO66" s="349"/>
      <c r="CEP66" s="349"/>
      <c r="CEQ66" s="349"/>
      <c r="CER66" s="349"/>
      <c r="CES66" s="349"/>
      <c r="CET66" s="349"/>
      <c r="CEU66" s="349"/>
      <c r="CEV66" s="349"/>
      <c r="CEW66" s="349"/>
      <c r="CEX66" s="349"/>
      <c r="CEY66" s="349"/>
      <c r="CEZ66" s="349"/>
      <c r="CFA66" s="349"/>
      <c r="CFB66" s="349"/>
      <c r="CFC66" s="349"/>
      <c r="CFD66" s="349"/>
      <c r="CFE66" s="349"/>
      <c r="CFF66" s="349"/>
      <c r="CFG66" s="349"/>
      <c r="CFH66" s="349"/>
      <c r="CFI66" s="349"/>
      <c r="CFJ66" s="349"/>
      <c r="CFK66" s="349"/>
      <c r="CFL66" s="349"/>
      <c r="CFM66" s="349"/>
      <c r="CFN66" s="349"/>
      <c r="CFO66" s="349"/>
      <c r="CFP66" s="349"/>
      <c r="CFQ66" s="349"/>
      <c r="CFR66" s="349"/>
      <c r="CFS66" s="349"/>
      <c r="CFT66" s="349"/>
      <c r="CFU66" s="349"/>
      <c r="CFV66" s="349"/>
      <c r="CFW66" s="349"/>
      <c r="CFX66" s="349"/>
      <c r="CFY66" s="349"/>
      <c r="CFZ66" s="349"/>
      <c r="CGA66" s="349"/>
      <c r="CGB66" s="349"/>
      <c r="CGC66" s="349"/>
      <c r="CGD66" s="349"/>
      <c r="CGE66" s="349"/>
      <c r="CGF66" s="349"/>
      <c r="CGG66" s="349"/>
      <c r="CGH66" s="349"/>
      <c r="CGI66" s="349"/>
      <c r="CGJ66" s="349"/>
      <c r="CGK66" s="349"/>
      <c r="CGL66" s="349"/>
      <c r="CGM66" s="349"/>
      <c r="CGN66" s="349"/>
      <c r="CGO66" s="349"/>
      <c r="CGP66" s="349"/>
      <c r="CGQ66" s="349"/>
      <c r="CGR66" s="349"/>
      <c r="CGS66" s="349"/>
      <c r="CGT66" s="349"/>
      <c r="CGU66" s="349"/>
      <c r="CGV66" s="349"/>
      <c r="CGW66" s="349"/>
      <c r="CGX66" s="349"/>
      <c r="CGY66" s="349"/>
      <c r="CGZ66" s="349"/>
      <c r="CHA66" s="349"/>
      <c r="CHB66" s="349"/>
      <c r="CHC66" s="349"/>
      <c r="CHD66" s="349"/>
      <c r="CHE66" s="349"/>
      <c r="CHF66" s="349"/>
      <c r="CHG66" s="349"/>
      <c r="CHH66" s="349"/>
      <c r="CHI66" s="349"/>
      <c r="CHJ66" s="349"/>
      <c r="CHK66" s="349"/>
      <c r="CHL66" s="349"/>
      <c r="CHM66" s="349"/>
      <c r="CHN66" s="349"/>
      <c r="CHO66" s="349"/>
      <c r="CHP66" s="349"/>
      <c r="CHQ66" s="349"/>
      <c r="CHR66" s="349"/>
      <c r="CHS66" s="349"/>
      <c r="CHT66" s="349"/>
      <c r="CHU66" s="349"/>
      <c r="CHV66" s="349"/>
      <c r="CHW66" s="349"/>
      <c r="CHX66" s="349"/>
      <c r="CHY66" s="349"/>
      <c r="CHZ66" s="349"/>
      <c r="CIA66" s="349"/>
      <c r="CIB66" s="349"/>
      <c r="CIC66" s="349"/>
      <c r="CID66" s="349"/>
      <c r="CIE66" s="349"/>
      <c r="CIF66" s="349"/>
      <c r="CIG66" s="349"/>
      <c r="CIH66" s="349"/>
      <c r="CII66" s="349"/>
      <c r="CIJ66" s="349"/>
      <c r="CIK66" s="349"/>
      <c r="CIL66" s="349"/>
      <c r="CIM66" s="349"/>
      <c r="CIN66" s="349"/>
      <c r="CIO66" s="349"/>
      <c r="CIP66" s="349"/>
      <c r="CIQ66" s="349"/>
      <c r="CIR66" s="349"/>
      <c r="CIS66" s="349"/>
      <c r="CIT66" s="349"/>
      <c r="CIU66" s="349"/>
      <c r="CIV66" s="349"/>
      <c r="CIW66" s="349"/>
      <c r="CIX66" s="349"/>
      <c r="CIY66" s="349"/>
      <c r="CIZ66" s="349"/>
      <c r="CJA66" s="349"/>
      <c r="CJB66" s="349"/>
      <c r="CJC66" s="349"/>
      <c r="CJD66" s="349"/>
      <c r="CJE66" s="349"/>
      <c r="CJF66" s="349"/>
      <c r="CJG66" s="349"/>
      <c r="CJH66" s="349"/>
      <c r="CJI66" s="349"/>
      <c r="CJJ66" s="349"/>
      <c r="CJK66" s="349"/>
      <c r="CJL66" s="349"/>
      <c r="CJM66" s="349"/>
      <c r="CJN66" s="349"/>
      <c r="CJO66" s="349"/>
      <c r="CJP66" s="349"/>
      <c r="CJQ66" s="349"/>
      <c r="CJR66" s="349"/>
      <c r="CJS66" s="349"/>
      <c r="CJT66" s="349"/>
      <c r="CJU66" s="349"/>
      <c r="CJV66" s="349"/>
      <c r="CJW66" s="349"/>
      <c r="CJX66" s="349"/>
      <c r="CJY66" s="349"/>
      <c r="CJZ66" s="349"/>
      <c r="CKA66" s="349"/>
      <c r="CKB66" s="349"/>
      <c r="CKC66" s="349"/>
      <c r="CKD66" s="349"/>
      <c r="CKE66" s="349"/>
      <c r="CKF66" s="349"/>
      <c r="CKG66" s="349"/>
      <c r="CKH66" s="349"/>
      <c r="CKI66" s="349"/>
      <c r="CKJ66" s="349"/>
      <c r="CKK66" s="349"/>
      <c r="CKL66" s="349"/>
      <c r="CKM66" s="349"/>
      <c r="CKN66" s="349"/>
      <c r="CKO66" s="349"/>
      <c r="CKP66" s="349"/>
      <c r="CKQ66" s="349"/>
      <c r="CKR66" s="349"/>
      <c r="CKS66" s="349"/>
      <c r="CKT66" s="349"/>
      <c r="CKU66" s="349"/>
      <c r="CKV66" s="349"/>
      <c r="CKW66" s="349"/>
      <c r="CKX66" s="349"/>
      <c r="CKY66" s="349"/>
      <c r="CKZ66" s="349"/>
      <c r="CLA66" s="349"/>
      <c r="CLB66" s="349"/>
      <c r="CLC66" s="349"/>
      <c r="CLD66" s="349"/>
      <c r="CLE66" s="349"/>
      <c r="CLF66" s="349"/>
      <c r="CLG66" s="349"/>
      <c r="CLH66" s="349"/>
      <c r="CLI66" s="349"/>
      <c r="CLJ66" s="349"/>
      <c r="CLK66" s="349"/>
      <c r="CLL66" s="349"/>
      <c r="CLM66" s="349"/>
      <c r="CLN66" s="349"/>
      <c r="CLO66" s="349"/>
      <c r="CLP66" s="349"/>
      <c r="CLQ66" s="349"/>
      <c r="CLR66" s="349"/>
      <c r="CLS66" s="349"/>
      <c r="CLT66" s="349"/>
      <c r="CLU66" s="349"/>
      <c r="CLV66" s="349"/>
      <c r="CLW66" s="349"/>
      <c r="CLX66" s="349"/>
      <c r="CLY66" s="349"/>
      <c r="CLZ66" s="349"/>
      <c r="CMA66" s="349"/>
      <c r="CMB66" s="349"/>
      <c r="CMC66" s="349"/>
      <c r="CMD66" s="349"/>
      <c r="CME66" s="349"/>
      <c r="CMF66" s="349"/>
      <c r="CMG66" s="349"/>
      <c r="CMH66" s="349"/>
      <c r="CMI66" s="349"/>
      <c r="CMJ66" s="349"/>
      <c r="CMK66" s="349"/>
      <c r="CML66" s="349"/>
      <c r="CMM66" s="349"/>
      <c r="CMN66" s="349"/>
      <c r="CMO66" s="349"/>
      <c r="CMP66" s="349"/>
      <c r="CMQ66" s="349"/>
      <c r="CMR66" s="349"/>
      <c r="CMS66" s="349"/>
      <c r="CMT66" s="349"/>
      <c r="CMU66" s="349"/>
      <c r="CMV66" s="349"/>
      <c r="CMW66" s="349"/>
      <c r="CMX66" s="349"/>
      <c r="CMY66" s="349"/>
      <c r="CMZ66" s="349"/>
      <c r="CNA66" s="349"/>
      <c r="CNB66" s="349"/>
      <c r="CNC66" s="349"/>
      <c r="CND66" s="349"/>
      <c r="CNE66" s="349"/>
      <c r="CNF66" s="349"/>
      <c r="CNG66" s="349"/>
      <c r="CNH66" s="349"/>
      <c r="CNI66" s="349"/>
      <c r="CNJ66" s="349"/>
      <c r="CNK66" s="349"/>
      <c r="CNL66" s="349"/>
      <c r="CNM66" s="349"/>
      <c r="CNN66" s="349"/>
      <c r="CNO66" s="349"/>
      <c r="CNP66" s="349"/>
      <c r="CNQ66" s="349"/>
      <c r="CNR66" s="349"/>
      <c r="CNS66" s="349"/>
      <c r="CNT66" s="349"/>
      <c r="CNU66" s="349"/>
      <c r="CNV66" s="349"/>
      <c r="CNW66" s="349"/>
      <c r="CNX66" s="349"/>
      <c r="CNY66" s="349"/>
      <c r="CNZ66" s="349"/>
      <c r="COA66" s="349"/>
      <c r="COB66" s="349"/>
      <c r="COC66" s="349"/>
      <c r="COD66" s="349"/>
      <c r="COE66" s="349"/>
      <c r="COF66" s="349"/>
      <c r="COG66" s="349"/>
      <c r="COH66" s="349"/>
      <c r="COI66" s="349"/>
      <c r="COJ66" s="349"/>
      <c r="COK66" s="349"/>
      <c r="COL66" s="349"/>
      <c r="COM66" s="349"/>
      <c r="CON66" s="349"/>
      <c r="COO66" s="349"/>
      <c r="COP66" s="349"/>
      <c r="COQ66" s="349"/>
      <c r="COR66" s="349"/>
      <c r="COS66" s="349"/>
      <c r="COT66" s="349"/>
      <c r="COU66" s="349"/>
      <c r="COV66" s="349"/>
      <c r="COW66" s="349"/>
      <c r="COX66" s="349"/>
      <c r="COY66" s="349"/>
      <c r="COZ66" s="349"/>
      <c r="CPA66" s="349"/>
      <c r="CPB66" s="349"/>
      <c r="CPC66" s="349"/>
      <c r="CPD66" s="349"/>
      <c r="CPE66" s="349"/>
      <c r="CPF66" s="349"/>
      <c r="CPG66" s="349"/>
      <c r="CPH66" s="349"/>
      <c r="CPI66" s="349"/>
      <c r="CPJ66" s="349"/>
      <c r="CPK66" s="349"/>
      <c r="CPL66" s="349"/>
      <c r="CPM66" s="349"/>
      <c r="CPN66" s="349"/>
      <c r="CPO66" s="349"/>
      <c r="CPP66" s="349"/>
      <c r="CPQ66" s="349"/>
      <c r="CPR66" s="349"/>
      <c r="CPS66" s="349"/>
      <c r="CPT66" s="349"/>
      <c r="CPU66" s="349"/>
      <c r="CPV66" s="349"/>
      <c r="CPW66" s="349"/>
      <c r="CPX66" s="349"/>
      <c r="CPY66" s="349"/>
      <c r="CPZ66" s="349"/>
      <c r="CQA66" s="349"/>
      <c r="CQB66" s="349"/>
      <c r="CQC66" s="349"/>
      <c r="CQD66" s="349"/>
      <c r="CQE66" s="349"/>
      <c r="CQF66" s="349"/>
      <c r="CQG66" s="349"/>
      <c r="CQH66" s="349"/>
      <c r="CQI66" s="349"/>
      <c r="CQJ66" s="349"/>
      <c r="CQK66" s="349"/>
      <c r="CQL66" s="349"/>
      <c r="CQM66" s="349"/>
      <c r="CQN66" s="349"/>
      <c r="CQO66" s="349"/>
      <c r="CQP66" s="349"/>
      <c r="CQQ66" s="349"/>
      <c r="CQR66" s="349"/>
      <c r="CQS66" s="349"/>
      <c r="CQT66" s="349"/>
      <c r="CQU66" s="349"/>
      <c r="CQV66" s="349"/>
      <c r="CQW66" s="349"/>
      <c r="CQX66" s="349"/>
      <c r="CQY66" s="349"/>
      <c r="CQZ66" s="349"/>
      <c r="CRA66" s="349"/>
      <c r="CRB66" s="349"/>
      <c r="CRC66" s="349"/>
      <c r="CRD66" s="349"/>
      <c r="CRE66" s="349"/>
      <c r="CRF66" s="349"/>
      <c r="CRG66" s="349"/>
      <c r="CRH66" s="349"/>
      <c r="CRI66" s="349"/>
      <c r="CRJ66" s="349"/>
      <c r="CRK66" s="349"/>
      <c r="CRL66" s="349"/>
      <c r="CRM66" s="349"/>
      <c r="CRN66" s="349"/>
      <c r="CRO66" s="349"/>
      <c r="CRP66" s="349"/>
      <c r="CRQ66" s="349"/>
      <c r="CRR66" s="349"/>
      <c r="CRS66" s="349"/>
      <c r="CRT66" s="349"/>
      <c r="CRU66" s="349"/>
      <c r="CRV66" s="349"/>
      <c r="CRW66" s="349"/>
      <c r="CRX66" s="349"/>
      <c r="CRY66" s="349"/>
      <c r="CRZ66" s="349"/>
      <c r="CSA66" s="349"/>
      <c r="CSB66" s="349"/>
      <c r="CSC66" s="349"/>
      <c r="CSD66" s="349"/>
      <c r="CSE66" s="349"/>
      <c r="CSF66" s="349"/>
      <c r="CSG66" s="349"/>
      <c r="CSH66" s="349"/>
      <c r="CSI66" s="349"/>
      <c r="CSJ66" s="349"/>
      <c r="CSK66" s="349"/>
      <c r="CSL66" s="349"/>
      <c r="CSM66" s="349"/>
      <c r="CSN66" s="349"/>
      <c r="CSO66" s="349"/>
      <c r="CSP66" s="349"/>
      <c r="CSQ66" s="349"/>
      <c r="CSR66" s="349"/>
      <c r="CSS66" s="349"/>
      <c r="CST66" s="349"/>
      <c r="CSU66" s="349"/>
      <c r="CSV66" s="349"/>
      <c r="CSW66" s="349"/>
      <c r="CSX66" s="349"/>
      <c r="CSY66" s="349"/>
      <c r="CSZ66" s="349"/>
      <c r="CTA66" s="349"/>
      <c r="CTB66" s="349"/>
      <c r="CTC66" s="349"/>
      <c r="CTD66" s="349"/>
      <c r="CTE66" s="349"/>
      <c r="CTF66" s="349"/>
      <c r="CTG66" s="349"/>
      <c r="CTH66" s="349"/>
      <c r="CTI66" s="349"/>
      <c r="CTJ66" s="349"/>
      <c r="CTK66" s="349"/>
      <c r="CTL66" s="349"/>
      <c r="CTM66" s="349"/>
      <c r="CTN66" s="349"/>
      <c r="CTO66" s="349"/>
      <c r="CTP66" s="349"/>
      <c r="CTQ66" s="349"/>
      <c r="CTR66" s="349"/>
      <c r="CTS66" s="349"/>
      <c r="CTT66" s="349"/>
      <c r="CTU66" s="349"/>
      <c r="CTV66" s="349"/>
      <c r="CTW66" s="349"/>
      <c r="CTX66" s="349"/>
      <c r="CTY66" s="349"/>
      <c r="CTZ66" s="349"/>
      <c r="CUA66" s="349"/>
      <c r="CUB66" s="349"/>
      <c r="CUC66" s="349"/>
      <c r="CUD66" s="349"/>
      <c r="CUE66" s="349"/>
      <c r="CUF66" s="349"/>
      <c r="CUG66" s="349"/>
      <c r="CUH66" s="349"/>
      <c r="CUI66" s="349"/>
      <c r="CUJ66" s="349"/>
      <c r="CUK66" s="349"/>
      <c r="CUL66" s="349"/>
      <c r="CUM66" s="349"/>
      <c r="CUN66" s="349"/>
      <c r="CUO66" s="349"/>
      <c r="CUP66" s="349"/>
      <c r="CUQ66" s="349"/>
      <c r="CUR66" s="349"/>
      <c r="CUS66" s="349"/>
      <c r="CUT66" s="349"/>
      <c r="CUU66" s="349"/>
      <c r="CUV66" s="349"/>
      <c r="CUW66" s="349"/>
      <c r="CUX66" s="349"/>
      <c r="CUY66" s="349"/>
      <c r="CUZ66" s="349"/>
      <c r="CVA66" s="349"/>
      <c r="CVB66" s="349"/>
      <c r="CVC66" s="349"/>
      <c r="CVD66" s="349"/>
      <c r="CVE66" s="349"/>
      <c r="CVF66" s="349"/>
      <c r="CVG66" s="349"/>
      <c r="CVH66" s="349"/>
      <c r="CVI66" s="349"/>
      <c r="CVJ66" s="349"/>
      <c r="CVK66" s="349"/>
      <c r="CVL66" s="349"/>
      <c r="CVM66" s="349"/>
      <c r="CVN66" s="349"/>
      <c r="CVO66" s="349"/>
      <c r="CVP66" s="349"/>
      <c r="CVQ66" s="349"/>
      <c r="CVR66" s="349"/>
      <c r="CVS66" s="349"/>
      <c r="CVT66" s="349"/>
      <c r="CVU66" s="349"/>
      <c r="CVV66" s="349"/>
      <c r="CVW66" s="349"/>
      <c r="CVX66" s="349"/>
      <c r="CVY66" s="349"/>
      <c r="CVZ66" s="349"/>
      <c r="CWA66" s="349"/>
      <c r="CWB66" s="349"/>
      <c r="CWC66" s="349"/>
      <c r="CWD66" s="349"/>
      <c r="CWE66" s="349"/>
      <c r="CWF66" s="349"/>
      <c r="CWG66" s="349"/>
      <c r="CWH66" s="349"/>
      <c r="CWI66" s="349"/>
      <c r="CWJ66" s="349"/>
      <c r="CWK66" s="349"/>
      <c r="CWL66" s="349"/>
      <c r="CWM66" s="349"/>
      <c r="CWN66" s="349"/>
      <c r="CWO66" s="349"/>
      <c r="CWP66" s="349"/>
      <c r="CWQ66" s="349"/>
      <c r="CWR66" s="349"/>
      <c r="CWS66" s="349"/>
      <c r="CWT66" s="349"/>
      <c r="CWU66" s="349"/>
      <c r="CWV66" s="349"/>
      <c r="CWW66" s="349"/>
      <c r="CWX66" s="349"/>
      <c r="CWY66" s="349"/>
      <c r="CWZ66" s="349"/>
      <c r="CXA66" s="349"/>
      <c r="CXB66" s="349"/>
      <c r="CXC66" s="349"/>
      <c r="CXD66" s="349"/>
      <c r="CXE66" s="349"/>
      <c r="CXF66" s="349"/>
      <c r="CXG66" s="349"/>
      <c r="CXH66" s="349"/>
      <c r="CXI66" s="349"/>
      <c r="CXJ66" s="349"/>
      <c r="CXK66" s="349"/>
      <c r="CXL66" s="349"/>
      <c r="CXM66" s="349"/>
      <c r="CXN66" s="349"/>
      <c r="CXO66" s="349"/>
      <c r="CXP66" s="349"/>
      <c r="CXQ66" s="349"/>
      <c r="CXR66" s="349"/>
      <c r="CXS66" s="349"/>
      <c r="CXT66" s="349"/>
      <c r="CXU66" s="349"/>
      <c r="CXV66" s="349"/>
      <c r="CXW66" s="349"/>
      <c r="CXX66" s="349"/>
      <c r="CXY66" s="349"/>
      <c r="CXZ66" s="349"/>
      <c r="CYA66" s="349"/>
      <c r="CYB66" s="349"/>
      <c r="CYC66" s="349"/>
      <c r="CYD66" s="349"/>
      <c r="CYE66" s="349"/>
      <c r="CYF66" s="349"/>
      <c r="CYG66" s="349"/>
      <c r="CYH66" s="349"/>
      <c r="CYI66" s="349"/>
      <c r="CYJ66" s="349"/>
      <c r="CYK66" s="349"/>
      <c r="CYL66" s="349"/>
      <c r="CYM66" s="349"/>
      <c r="CYN66" s="349"/>
      <c r="CYO66" s="349"/>
      <c r="CYP66" s="349"/>
      <c r="CYQ66" s="349"/>
      <c r="CYR66" s="349"/>
      <c r="CYS66" s="349"/>
      <c r="CYT66" s="349"/>
      <c r="CYU66" s="349"/>
      <c r="CYV66" s="349"/>
      <c r="CYW66" s="349"/>
      <c r="CYX66" s="349"/>
      <c r="CYY66" s="349"/>
      <c r="CYZ66" s="349"/>
      <c r="CZA66" s="349"/>
      <c r="CZB66" s="349"/>
      <c r="CZC66" s="349"/>
      <c r="CZD66" s="349"/>
      <c r="CZE66" s="349"/>
      <c r="CZF66" s="349"/>
      <c r="CZG66" s="349"/>
      <c r="CZH66" s="349"/>
      <c r="CZI66" s="349"/>
      <c r="CZJ66" s="349"/>
      <c r="CZK66" s="349"/>
      <c r="CZL66" s="349"/>
      <c r="CZM66" s="349"/>
      <c r="CZN66" s="349"/>
      <c r="CZO66" s="349"/>
      <c r="CZP66" s="349"/>
      <c r="CZQ66" s="349"/>
      <c r="CZR66" s="349"/>
      <c r="CZS66" s="349"/>
      <c r="CZT66" s="349"/>
      <c r="CZU66" s="349"/>
      <c r="CZV66" s="349"/>
      <c r="CZW66" s="349"/>
      <c r="CZX66" s="349"/>
      <c r="CZY66" s="349"/>
      <c r="CZZ66" s="349"/>
      <c r="DAA66" s="349"/>
      <c r="DAB66" s="349"/>
      <c r="DAC66" s="349"/>
      <c r="DAD66" s="349"/>
      <c r="DAE66" s="349"/>
      <c r="DAF66" s="349"/>
      <c r="DAG66" s="349"/>
      <c r="DAH66" s="349"/>
      <c r="DAI66" s="349"/>
      <c r="DAJ66" s="349"/>
      <c r="DAK66" s="349"/>
      <c r="DAL66" s="349"/>
      <c r="DAM66" s="349"/>
      <c r="DAN66" s="349"/>
      <c r="DAO66" s="349"/>
      <c r="DAP66" s="349"/>
      <c r="DAQ66" s="349"/>
      <c r="DAR66" s="349"/>
      <c r="DAS66" s="349"/>
      <c r="DAT66" s="349"/>
      <c r="DAU66" s="349"/>
      <c r="DAV66" s="349"/>
      <c r="DAW66" s="349"/>
      <c r="DAX66" s="349"/>
      <c r="DAY66" s="349"/>
      <c r="DAZ66" s="349"/>
      <c r="DBA66" s="349"/>
      <c r="DBB66" s="349"/>
      <c r="DBC66" s="349"/>
      <c r="DBD66" s="349"/>
      <c r="DBE66" s="349"/>
      <c r="DBF66" s="349"/>
      <c r="DBG66" s="349"/>
      <c r="DBH66" s="349"/>
      <c r="DBI66" s="349"/>
      <c r="DBJ66" s="349"/>
      <c r="DBK66" s="349"/>
      <c r="DBL66" s="349"/>
      <c r="DBM66" s="349"/>
      <c r="DBN66" s="349"/>
      <c r="DBO66" s="349"/>
      <c r="DBP66" s="349"/>
      <c r="DBQ66" s="349"/>
      <c r="DBR66" s="349"/>
      <c r="DBS66" s="349"/>
      <c r="DBT66" s="349"/>
      <c r="DBU66" s="349"/>
      <c r="DBV66" s="349"/>
      <c r="DBW66" s="349"/>
      <c r="DBX66" s="349"/>
      <c r="DBY66" s="349"/>
      <c r="DBZ66" s="349"/>
      <c r="DCA66" s="349"/>
      <c r="DCB66" s="349"/>
      <c r="DCC66" s="349"/>
      <c r="DCD66" s="349"/>
      <c r="DCE66" s="349"/>
      <c r="DCF66" s="349"/>
      <c r="DCG66" s="349"/>
      <c r="DCH66" s="349"/>
      <c r="DCI66" s="349"/>
      <c r="DCJ66" s="349"/>
      <c r="DCK66" s="349"/>
      <c r="DCL66" s="349"/>
      <c r="DCM66" s="349"/>
      <c r="DCN66" s="349"/>
      <c r="DCO66" s="349"/>
      <c r="DCP66" s="349"/>
      <c r="DCQ66" s="349"/>
      <c r="DCR66" s="349"/>
      <c r="DCS66" s="349"/>
      <c r="DCT66" s="349"/>
      <c r="DCU66" s="349"/>
      <c r="DCV66" s="349"/>
      <c r="DCW66" s="349"/>
      <c r="DCX66" s="349"/>
      <c r="DCY66" s="349"/>
      <c r="DCZ66" s="349"/>
      <c r="DDA66" s="349"/>
      <c r="DDB66" s="349"/>
      <c r="DDC66" s="349"/>
      <c r="DDD66" s="349"/>
      <c r="DDE66" s="349"/>
      <c r="DDF66" s="349"/>
      <c r="DDG66" s="349"/>
      <c r="DDH66" s="349"/>
      <c r="DDI66" s="349"/>
      <c r="DDJ66" s="349"/>
      <c r="DDK66" s="349"/>
      <c r="DDL66" s="349"/>
      <c r="DDM66" s="349"/>
      <c r="DDN66" s="349"/>
      <c r="DDO66" s="349"/>
      <c r="DDP66" s="349"/>
      <c r="DDQ66" s="349"/>
      <c r="DDR66" s="349"/>
      <c r="DDS66" s="349"/>
      <c r="DDT66" s="349"/>
      <c r="DDU66" s="349"/>
      <c r="DDV66" s="349"/>
      <c r="DDW66" s="349"/>
      <c r="DDX66" s="349"/>
      <c r="DDY66" s="349"/>
      <c r="DDZ66" s="349"/>
      <c r="DEA66" s="349"/>
      <c r="DEB66" s="349"/>
      <c r="DEC66" s="349"/>
      <c r="DED66" s="349"/>
      <c r="DEE66" s="349"/>
      <c r="DEF66" s="349"/>
      <c r="DEG66" s="349"/>
      <c r="DEH66" s="349"/>
      <c r="DEI66" s="349"/>
      <c r="DEJ66" s="349"/>
      <c r="DEK66" s="349"/>
      <c r="DEL66" s="349"/>
      <c r="DEM66" s="349"/>
      <c r="DEN66" s="349"/>
      <c r="DEO66" s="349"/>
      <c r="DEP66" s="349"/>
      <c r="DEQ66" s="349"/>
      <c r="DER66" s="349"/>
      <c r="DES66" s="349"/>
      <c r="DET66" s="349"/>
      <c r="DEU66" s="349"/>
      <c r="DEV66" s="349"/>
      <c r="DEW66" s="349"/>
      <c r="DEX66" s="349"/>
      <c r="DEY66" s="349"/>
      <c r="DEZ66" s="349"/>
      <c r="DFA66" s="349"/>
      <c r="DFB66" s="349"/>
      <c r="DFC66" s="349"/>
      <c r="DFD66" s="349"/>
      <c r="DFE66" s="349"/>
      <c r="DFF66" s="349"/>
      <c r="DFG66" s="349"/>
      <c r="DFH66" s="349"/>
      <c r="DFI66" s="349"/>
      <c r="DFJ66" s="349"/>
      <c r="DFK66" s="349"/>
      <c r="DFL66" s="349"/>
      <c r="DFM66" s="349"/>
      <c r="DFN66" s="349"/>
      <c r="DFO66" s="349"/>
      <c r="DFP66" s="349"/>
      <c r="DFQ66" s="349"/>
      <c r="DFR66" s="349"/>
      <c r="DFS66" s="349"/>
      <c r="DFT66" s="349"/>
      <c r="DFU66" s="349"/>
      <c r="DFV66" s="349"/>
      <c r="DFW66" s="349"/>
      <c r="DFX66" s="349"/>
      <c r="DFY66" s="349"/>
      <c r="DFZ66" s="349"/>
      <c r="DGA66" s="349"/>
      <c r="DGB66" s="349"/>
      <c r="DGC66" s="349"/>
      <c r="DGD66" s="349"/>
      <c r="DGE66" s="349"/>
      <c r="DGF66" s="349"/>
      <c r="DGG66" s="349"/>
      <c r="DGH66" s="349"/>
      <c r="DGI66" s="349"/>
      <c r="DGJ66" s="349"/>
      <c r="DGK66" s="349"/>
      <c r="DGL66" s="349"/>
      <c r="DGM66" s="349"/>
      <c r="DGN66" s="349"/>
      <c r="DGO66" s="349"/>
      <c r="DGP66" s="349"/>
      <c r="DGQ66" s="349"/>
      <c r="DGR66" s="349"/>
      <c r="DGS66" s="349"/>
      <c r="DGT66" s="349"/>
      <c r="DGU66" s="349"/>
      <c r="DGV66" s="349"/>
      <c r="DGW66" s="349"/>
      <c r="DGX66" s="349"/>
      <c r="DGY66" s="349"/>
      <c r="DGZ66" s="349"/>
      <c r="DHA66" s="349"/>
      <c r="DHB66" s="349"/>
      <c r="DHC66" s="349"/>
      <c r="DHD66" s="349"/>
      <c r="DHE66" s="349"/>
      <c r="DHF66" s="349"/>
      <c r="DHG66" s="349"/>
      <c r="DHH66" s="349"/>
      <c r="DHI66" s="349"/>
      <c r="DHJ66" s="349"/>
      <c r="DHK66" s="349"/>
      <c r="DHL66" s="349"/>
      <c r="DHM66" s="349"/>
      <c r="DHN66" s="349"/>
      <c r="DHO66" s="349"/>
      <c r="DHP66" s="349"/>
      <c r="DHQ66" s="349"/>
      <c r="DHR66" s="349"/>
      <c r="DHS66" s="349"/>
      <c r="DHT66" s="349"/>
      <c r="DHU66" s="349"/>
      <c r="DHV66" s="349"/>
      <c r="DHW66" s="349"/>
      <c r="DHX66" s="349"/>
      <c r="DHY66" s="349"/>
      <c r="DHZ66" s="349"/>
      <c r="DIA66" s="349"/>
      <c r="DIB66" s="349"/>
      <c r="DIC66" s="349"/>
      <c r="DID66" s="349"/>
      <c r="DIE66" s="349"/>
      <c r="DIF66" s="349"/>
      <c r="DIG66" s="349"/>
      <c r="DIH66" s="349"/>
      <c r="DII66" s="349"/>
      <c r="DIJ66" s="349"/>
      <c r="DIK66" s="349"/>
      <c r="DIL66" s="349"/>
      <c r="DIM66" s="349"/>
      <c r="DIN66" s="349"/>
      <c r="DIO66" s="349"/>
      <c r="DIP66" s="349"/>
      <c r="DIQ66" s="349"/>
      <c r="DIR66" s="349"/>
      <c r="DIS66" s="349"/>
      <c r="DIT66" s="349"/>
      <c r="DIU66" s="349"/>
      <c r="DIV66" s="349"/>
      <c r="DIW66" s="349"/>
      <c r="DIX66" s="349"/>
      <c r="DIY66" s="349"/>
      <c r="DIZ66" s="349"/>
      <c r="DJA66" s="349"/>
      <c r="DJB66" s="349"/>
      <c r="DJC66" s="349"/>
      <c r="DJD66" s="349"/>
      <c r="DJE66" s="349"/>
      <c r="DJF66" s="349"/>
      <c r="DJG66" s="349"/>
      <c r="DJH66" s="349"/>
      <c r="DJI66" s="349"/>
      <c r="DJJ66" s="349"/>
      <c r="DJK66" s="349"/>
      <c r="DJL66" s="349"/>
      <c r="DJM66" s="349"/>
      <c r="DJN66" s="349"/>
      <c r="DJO66" s="349"/>
      <c r="DJP66" s="349"/>
      <c r="DJQ66" s="349"/>
      <c r="DJR66" s="349"/>
      <c r="DJS66" s="349"/>
      <c r="DJT66" s="349"/>
      <c r="DJU66" s="349"/>
      <c r="DJV66" s="349"/>
      <c r="DJW66" s="349"/>
      <c r="DJX66" s="349"/>
      <c r="DJY66" s="349"/>
      <c r="DJZ66" s="349"/>
      <c r="DKA66" s="349"/>
      <c r="DKB66" s="349"/>
      <c r="DKC66" s="349"/>
      <c r="DKD66" s="349"/>
      <c r="DKE66" s="349"/>
      <c r="DKF66" s="349"/>
      <c r="DKG66" s="349"/>
      <c r="DKH66" s="349"/>
      <c r="DKI66" s="349"/>
      <c r="DKJ66" s="349"/>
      <c r="DKK66" s="349"/>
      <c r="DKL66" s="349"/>
      <c r="DKM66" s="349"/>
      <c r="DKN66" s="349"/>
      <c r="DKO66" s="349"/>
      <c r="DKP66" s="349"/>
      <c r="DKQ66" s="349"/>
      <c r="DKR66" s="349"/>
      <c r="DKS66" s="349"/>
      <c r="DKT66" s="349"/>
      <c r="DKU66" s="349"/>
      <c r="DKV66" s="349"/>
      <c r="DKW66" s="349"/>
      <c r="DKX66" s="349"/>
      <c r="DKY66" s="349"/>
      <c r="DKZ66" s="349"/>
      <c r="DLA66" s="349"/>
      <c r="DLB66" s="349"/>
      <c r="DLC66" s="349"/>
      <c r="DLD66" s="349"/>
      <c r="DLE66" s="349"/>
      <c r="DLF66" s="349"/>
      <c r="DLG66" s="349"/>
      <c r="DLH66" s="349"/>
      <c r="DLI66" s="349"/>
      <c r="DLJ66" s="349"/>
      <c r="DLK66" s="349"/>
      <c r="DLL66" s="349"/>
      <c r="DLM66" s="349"/>
      <c r="DLN66" s="349"/>
      <c r="DLO66" s="349"/>
      <c r="DLP66" s="349"/>
      <c r="DLQ66" s="349"/>
      <c r="DLR66" s="349"/>
      <c r="DLS66" s="349"/>
      <c r="DLT66" s="349"/>
      <c r="DLU66" s="349"/>
      <c r="DLV66" s="349"/>
      <c r="DLW66" s="349"/>
      <c r="DLX66" s="349"/>
      <c r="DLY66" s="349"/>
      <c r="DLZ66" s="349"/>
      <c r="DMA66" s="349"/>
      <c r="DMB66" s="349"/>
      <c r="DMC66" s="349"/>
      <c r="DMD66" s="349"/>
      <c r="DME66" s="349"/>
      <c r="DMF66" s="349"/>
      <c r="DMG66" s="349"/>
      <c r="DMH66" s="349"/>
      <c r="DMI66" s="349"/>
      <c r="DMJ66" s="349"/>
      <c r="DMK66" s="349"/>
      <c r="DML66" s="349"/>
      <c r="DMM66" s="349"/>
      <c r="DMN66" s="349"/>
      <c r="DMO66" s="349"/>
      <c r="DMP66" s="349"/>
      <c r="DMQ66" s="349"/>
      <c r="DMR66" s="349"/>
      <c r="DMS66" s="349"/>
      <c r="DMT66" s="349"/>
      <c r="DMU66" s="349"/>
      <c r="DMV66" s="349"/>
      <c r="DMW66" s="349"/>
      <c r="DMX66" s="349"/>
      <c r="DMY66" s="349"/>
      <c r="DMZ66" s="349"/>
      <c r="DNA66" s="349"/>
      <c r="DNB66" s="349"/>
      <c r="DNC66" s="349"/>
      <c r="DND66" s="349"/>
      <c r="DNE66" s="349"/>
      <c r="DNF66" s="349"/>
      <c r="DNG66" s="349"/>
      <c r="DNH66" s="349"/>
      <c r="DNI66" s="349"/>
      <c r="DNJ66" s="349"/>
      <c r="DNK66" s="349"/>
      <c r="DNL66" s="349"/>
      <c r="DNM66" s="349"/>
      <c r="DNN66" s="349"/>
      <c r="DNO66" s="349"/>
      <c r="DNP66" s="349"/>
      <c r="DNQ66" s="349"/>
      <c r="DNR66" s="349"/>
      <c r="DNS66" s="349"/>
      <c r="DNT66" s="349"/>
      <c r="DNU66" s="349"/>
      <c r="DNV66" s="349"/>
      <c r="DNW66" s="349"/>
      <c r="DNX66" s="349"/>
      <c r="DNY66" s="349"/>
      <c r="DNZ66" s="349"/>
      <c r="DOA66" s="349"/>
      <c r="DOB66" s="349"/>
      <c r="DOC66" s="349"/>
      <c r="DOD66" s="349"/>
      <c r="DOE66" s="349"/>
      <c r="DOF66" s="349"/>
      <c r="DOG66" s="349"/>
      <c r="DOH66" s="349"/>
      <c r="DOI66" s="349"/>
      <c r="DOJ66" s="349"/>
      <c r="DOK66" s="349"/>
      <c r="DOL66" s="349"/>
      <c r="DOM66" s="349"/>
      <c r="DON66" s="349"/>
      <c r="DOO66" s="349"/>
      <c r="DOP66" s="349"/>
      <c r="DOQ66" s="349"/>
      <c r="DOR66" s="349"/>
      <c r="DOS66" s="349"/>
      <c r="DOT66" s="349"/>
      <c r="DOU66" s="349"/>
      <c r="DOV66" s="349"/>
      <c r="DOW66" s="349"/>
      <c r="DOX66" s="349"/>
      <c r="DOY66" s="349"/>
      <c r="DOZ66" s="349"/>
      <c r="DPA66" s="349"/>
      <c r="DPB66" s="349"/>
      <c r="DPC66" s="349"/>
      <c r="DPD66" s="349"/>
      <c r="DPE66" s="349"/>
      <c r="DPF66" s="349"/>
      <c r="DPG66" s="349"/>
      <c r="DPH66" s="349"/>
      <c r="DPI66" s="349"/>
      <c r="DPJ66" s="349"/>
      <c r="DPK66" s="349"/>
      <c r="DPL66" s="349"/>
      <c r="DPM66" s="349"/>
      <c r="DPN66" s="349"/>
      <c r="DPO66" s="349"/>
      <c r="DPP66" s="349"/>
      <c r="DPQ66" s="349"/>
      <c r="DPR66" s="349"/>
      <c r="DPS66" s="349"/>
      <c r="DPT66" s="349"/>
      <c r="DPU66" s="349"/>
      <c r="DPV66" s="349"/>
      <c r="DPW66" s="349"/>
      <c r="DPX66" s="349"/>
      <c r="DPY66" s="349"/>
      <c r="DPZ66" s="349"/>
      <c r="DQA66" s="349"/>
      <c r="DQB66" s="349"/>
      <c r="DQC66" s="349"/>
      <c r="DQD66" s="349"/>
      <c r="DQE66" s="349"/>
      <c r="DQF66" s="349"/>
      <c r="DQG66" s="349"/>
      <c r="DQH66" s="349"/>
      <c r="DQI66" s="349"/>
      <c r="DQJ66" s="349"/>
      <c r="DQK66" s="349"/>
      <c r="DQL66" s="349"/>
      <c r="DQM66" s="349"/>
      <c r="DQN66" s="349"/>
      <c r="DQO66" s="349"/>
      <c r="DQP66" s="349"/>
      <c r="DQQ66" s="349"/>
      <c r="DQR66" s="349"/>
      <c r="DQS66" s="349"/>
      <c r="DQT66" s="349"/>
      <c r="DQU66" s="349"/>
      <c r="DQV66" s="349"/>
      <c r="DQW66" s="349"/>
      <c r="DQX66" s="349"/>
      <c r="DQY66" s="349"/>
      <c r="DQZ66" s="349"/>
      <c r="DRA66" s="349"/>
      <c r="DRB66" s="349"/>
      <c r="DRC66" s="349"/>
      <c r="DRD66" s="349"/>
      <c r="DRE66" s="349"/>
      <c r="DRF66" s="349"/>
      <c r="DRG66" s="349"/>
      <c r="DRH66" s="349"/>
      <c r="DRI66" s="349"/>
      <c r="DRJ66" s="349"/>
      <c r="DRK66" s="349"/>
      <c r="DRL66" s="349"/>
      <c r="DRM66" s="349"/>
      <c r="DRN66" s="349"/>
      <c r="DRO66" s="349"/>
      <c r="DRP66" s="349"/>
      <c r="DRQ66" s="349"/>
      <c r="DRR66" s="349"/>
      <c r="DRS66" s="349"/>
      <c r="DRT66" s="349"/>
      <c r="DRU66" s="349"/>
      <c r="DRV66" s="349"/>
      <c r="DRW66" s="349"/>
      <c r="DRX66" s="349"/>
      <c r="DRY66" s="349"/>
      <c r="DRZ66" s="349"/>
      <c r="DSA66" s="349"/>
      <c r="DSB66" s="349"/>
      <c r="DSC66" s="349"/>
      <c r="DSD66" s="349"/>
      <c r="DSE66" s="349"/>
      <c r="DSF66" s="349"/>
      <c r="DSG66" s="349"/>
      <c r="DSH66" s="349"/>
      <c r="DSI66" s="349"/>
      <c r="DSJ66" s="349"/>
      <c r="DSK66" s="349"/>
      <c r="DSL66" s="349"/>
      <c r="DSM66" s="349"/>
      <c r="DSN66" s="349"/>
      <c r="DSO66" s="349"/>
      <c r="DSP66" s="349"/>
      <c r="DSQ66" s="349"/>
      <c r="DSR66" s="349"/>
      <c r="DSS66" s="349"/>
      <c r="DST66" s="349"/>
      <c r="DSU66" s="349"/>
      <c r="DSV66" s="349"/>
      <c r="DSW66" s="349"/>
      <c r="DSX66" s="349"/>
      <c r="DSY66" s="349"/>
      <c r="DSZ66" s="349"/>
      <c r="DTA66" s="349"/>
      <c r="DTB66" s="349"/>
      <c r="DTC66" s="349"/>
      <c r="DTD66" s="349"/>
      <c r="DTE66" s="349"/>
      <c r="DTF66" s="349"/>
      <c r="DTG66" s="349"/>
      <c r="DTH66" s="349"/>
      <c r="DTI66" s="349"/>
      <c r="DTJ66" s="349"/>
      <c r="DTK66" s="349"/>
      <c r="DTL66" s="349"/>
      <c r="DTM66" s="349"/>
      <c r="DTN66" s="349"/>
      <c r="DTO66" s="349"/>
      <c r="DTP66" s="349"/>
      <c r="DTQ66" s="349"/>
      <c r="DTR66" s="349"/>
      <c r="DTS66" s="349"/>
      <c r="DTT66" s="349"/>
      <c r="DTU66" s="349"/>
      <c r="DTV66" s="349"/>
      <c r="DTW66" s="349"/>
      <c r="DTX66" s="349"/>
      <c r="DTY66" s="349"/>
      <c r="DTZ66" s="349"/>
      <c r="DUA66" s="349"/>
      <c r="DUB66" s="349"/>
      <c r="DUC66" s="349"/>
      <c r="DUD66" s="349"/>
      <c r="DUE66" s="349"/>
      <c r="DUF66" s="349"/>
      <c r="DUG66" s="349"/>
      <c r="DUH66" s="349"/>
      <c r="DUI66" s="349"/>
      <c r="DUJ66" s="349"/>
      <c r="DUK66" s="349"/>
      <c r="DUL66" s="349"/>
      <c r="DUM66" s="349"/>
      <c r="DUN66" s="349"/>
      <c r="DUO66" s="349"/>
      <c r="DUP66" s="349"/>
      <c r="DUQ66" s="349"/>
      <c r="DUR66" s="349"/>
      <c r="DUS66" s="349"/>
      <c r="DUT66" s="349"/>
      <c r="DUU66" s="349"/>
      <c r="DUV66" s="349"/>
      <c r="DUW66" s="349"/>
      <c r="DUX66" s="349"/>
      <c r="DUY66" s="349"/>
      <c r="DUZ66" s="349"/>
      <c r="DVA66" s="349"/>
      <c r="DVB66" s="349"/>
      <c r="DVC66" s="349"/>
      <c r="DVD66" s="349"/>
      <c r="DVE66" s="349"/>
      <c r="DVF66" s="349"/>
      <c r="DVG66" s="349"/>
      <c r="DVH66" s="349"/>
      <c r="DVI66" s="349"/>
      <c r="DVJ66" s="349"/>
      <c r="DVK66" s="349"/>
      <c r="DVL66" s="349"/>
      <c r="DVM66" s="349"/>
      <c r="DVN66" s="349"/>
      <c r="DVO66" s="349"/>
      <c r="DVP66" s="349"/>
      <c r="DVQ66" s="349"/>
      <c r="DVR66" s="349"/>
      <c r="DVS66" s="349"/>
      <c r="DVT66" s="349"/>
      <c r="DVU66" s="349"/>
      <c r="DVV66" s="349"/>
      <c r="DVW66" s="349"/>
      <c r="DVX66" s="349"/>
      <c r="DVY66" s="349"/>
      <c r="DVZ66" s="349"/>
      <c r="DWA66" s="349"/>
      <c r="DWB66" s="349"/>
      <c r="DWC66" s="349"/>
      <c r="DWD66" s="349"/>
      <c r="DWE66" s="349"/>
      <c r="DWF66" s="349"/>
      <c r="DWG66" s="349"/>
      <c r="DWH66" s="349"/>
      <c r="DWI66" s="349"/>
      <c r="DWJ66" s="349"/>
      <c r="DWK66" s="349"/>
      <c r="DWL66" s="349"/>
      <c r="DWM66" s="349"/>
      <c r="DWN66" s="349"/>
      <c r="DWO66" s="349"/>
      <c r="DWP66" s="349"/>
      <c r="DWQ66" s="349"/>
      <c r="DWR66" s="349"/>
      <c r="DWS66" s="349"/>
      <c r="DWT66" s="349"/>
      <c r="DWU66" s="349"/>
      <c r="DWV66" s="349"/>
      <c r="DWW66" s="349"/>
      <c r="DWX66" s="349"/>
      <c r="DWY66" s="349"/>
      <c r="DWZ66" s="349"/>
      <c r="DXA66" s="349"/>
      <c r="DXB66" s="349"/>
      <c r="DXC66" s="349"/>
      <c r="DXD66" s="349"/>
      <c r="DXE66" s="349"/>
      <c r="DXF66" s="349"/>
      <c r="DXG66" s="349"/>
      <c r="DXH66" s="349"/>
      <c r="DXI66" s="349"/>
      <c r="DXJ66" s="349"/>
      <c r="DXK66" s="349"/>
      <c r="DXL66" s="349"/>
      <c r="DXM66" s="349"/>
      <c r="DXN66" s="349"/>
      <c r="DXO66" s="349"/>
      <c r="DXP66" s="349"/>
      <c r="DXQ66" s="349"/>
      <c r="DXR66" s="349"/>
      <c r="DXS66" s="349"/>
      <c r="DXT66" s="349"/>
      <c r="DXU66" s="349"/>
      <c r="DXV66" s="349"/>
      <c r="DXW66" s="349"/>
      <c r="DXX66" s="349"/>
      <c r="DXY66" s="349"/>
      <c r="DXZ66" s="349"/>
      <c r="DYA66" s="349"/>
      <c r="DYB66" s="349"/>
      <c r="DYC66" s="349"/>
      <c r="DYD66" s="349"/>
      <c r="DYE66" s="349"/>
      <c r="DYF66" s="349"/>
      <c r="DYG66" s="349"/>
      <c r="DYH66" s="349"/>
      <c r="DYI66" s="349"/>
      <c r="DYJ66" s="349"/>
      <c r="DYK66" s="349"/>
      <c r="DYL66" s="349"/>
      <c r="DYM66" s="349"/>
      <c r="DYN66" s="349"/>
      <c r="DYO66" s="349"/>
      <c r="DYP66" s="349"/>
      <c r="DYQ66" s="349"/>
      <c r="DYR66" s="349"/>
      <c r="DYS66" s="349"/>
      <c r="DYT66" s="349"/>
      <c r="DYU66" s="349"/>
      <c r="DYV66" s="349"/>
      <c r="DYW66" s="349"/>
      <c r="DYX66" s="349"/>
      <c r="DYY66" s="349"/>
      <c r="DYZ66" s="349"/>
      <c r="DZA66" s="349"/>
      <c r="DZB66" s="349"/>
      <c r="DZC66" s="349"/>
      <c r="DZD66" s="349"/>
      <c r="DZE66" s="349"/>
      <c r="DZF66" s="349"/>
      <c r="DZG66" s="349"/>
      <c r="DZH66" s="349"/>
      <c r="DZI66" s="349"/>
      <c r="DZJ66" s="349"/>
      <c r="DZK66" s="349"/>
      <c r="DZL66" s="349"/>
      <c r="DZM66" s="349"/>
      <c r="DZN66" s="349"/>
      <c r="DZO66" s="349"/>
      <c r="DZP66" s="349"/>
      <c r="DZQ66" s="349"/>
      <c r="DZR66" s="349"/>
      <c r="DZS66" s="349"/>
      <c r="DZT66" s="349"/>
      <c r="DZU66" s="349"/>
      <c r="DZV66" s="349"/>
      <c r="DZW66" s="349"/>
      <c r="DZX66" s="349"/>
      <c r="DZY66" s="349"/>
      <c r="DZZ66" s="349"/>
      <c r="EAA66" s="349"/>
      <c r="EAB66" s="349"/>
      <c r="EAC66" s="349"/>
      <c r="EAD66" s="349"/>
      <c r="EAE66" s="349"/>
      <c r="EAF66" s="349"/>
      <c r="EAG66" s="349"/>
      <c r="EAH66" s="349"/>
      <c r="EAI66" s="349"/>
      <c r="EAJ66" s="349"/>
      <c r="EAK66" s="349"/>
      <c r="EAL66" s="349"/>
      <c r="EAM66" s="349"/>
      <c r="EAN66" s="349"/>
      <c r="EAO66" s="349"/>
      <c r="EAP66" s="349"/>
      <c r="EAQ66" s="349"/>
      <c r="EAR66" s="349"/>
      <c r="EAS66" s="349"/>
      <c r="EAT66" s="349"/>
      <c r="EAU66" s="349"/>
      <c r="EAV66" s="349"/>
      <c r="EAW66" s="349"/>
      <c r="EAX66" s="349"/>
      <c r="EAY66" s="349"/>
      <c r="EAZ66" s="349"/>
      <c r="EBA66" s="349"/>
      <c r="EBB66" s="349"/>
      <c r="EBC66" s="349"/>
      <c r="EBD66" s="349"/>
      <c r="EBE66" s="349"/>
      <c r="EBF66" s="349"/>
      <c r="EBG66" s="349"/>
      <c r="EBH66" s="349"/>
      <c r="EBI66" s="349"/>
      <c r="EBJ66" s="349"/>
      <c r="EBK66" s="349"/>
      <c r="EBL66" s="349"/>
      <c r="EBM66" s="349"/>
      <c r="EBN66" s="349"/>
      <c r="EBO66" s="349"/>
      <c r="EBP66" s="349"/>
      <c r="EBQ66" s="349"/>
      <c r="EBR66" s="349"/>
      <c r="EBS66" s="349"/>
      <c r="EBT66" s="349"/>
      <c r="EBU66" s="349"/>
      <c r="EBV66" s="349"/>
      <c r="EBW66" s="349"/>
      <c r="EBX66" s="349"/>
      <c r="EBY66" s="349"/>
      <c r="EBZ66" s="349"/>
      <c r="ECA66" s="349"/>
      <c r="ECB66" s="349"/>
      <c r="ECC66" s="349"/>
      <c r="ECD66" s="349"/>
      <c r="ECE66" s="349"/>
      <c r="ECF66" s="349"/>
      <c r="ECG66" s="349"/>
      <c r="ECH66" s="349"/>
      <c r="ECI66" s="349"/>
      <c r="ECJ66" s="349"/>
      <c r="ECK66" s="349"/>
      <c r="ECL66" s="349"/>
      <c r="ECM66" s="349"/>
      <c r="ECN66" s="349"/>
      <c r="ECO66" s="349"/>
      <c r="ECP66" s="349"/>
      <c r="ECQ66" s="349"/>
      <c r="ECR66" s="349"/>
      <c r="ECS66" s="349"/>
      <c r="ECT66" s="349"/>
      <c r="ECU66" s="349"/>
      <c r="ECV66" s="349"/>
      <c r="ECW66" s="349"/>
      <c r="ECX66" s="349"/>
      <c r="ECY66" s="349"/>
      <c r="ECZ66" s="349"/>
      <c r="EDA66" s="349"/>
      <c r="EDB66" s="349"/>
      <c r="EDC66" s="349"/>
      <c r="EDD66" s="349"/>
      <c r="EDE66" s="349"/>
      <c r="EDF66" s="349"/>
      <c r="EDG66" s="349"/>
      <c r="EDH66" s="349"/>
      <c r="EDI66" s="349"/>
      <c r="EDJ66" s="349"/>
      <c r="EDK66" s="349"/>
      <c r="EDL66" s="349"/>
      <c r="EDM66" s="349"/>
      <c r="EDN66" s="349"/>
      <c r="EDO66" s="349"/>
      <c r="EDP66" s="349"/>
      <c r="EDQ66" s="349"/>
      <c r="EDR66" s="349"/>
      <c r="EDS66" s="349"/>
      <c r="EDT66" s="349"/>
      <c r="EDU66" s="349"/>
      <c r="EDV66" s="349"/>
      <c r="EDW66" s="349"/>
      <c r="EDX66" s="349"/>
      <c r="EDY66" s="349"/>
      <c r="EDZ66" s="349"/>
      <c r="EEA66" s="349"/>
      <c r="EEB66" s="349"/>
      <c r="EEC66" s="349"/>
      <c r="EED66" s="349"/>
      <c r="EEE66" s="349"/>
      <c r="EEF66" s="349"/>
      <c r="EEG66" s="349"/>
      <c r="EEH66" s="349"/>
      <c r="EEI66" s="349"/>
      <c r="EEJ66" s="349"/>
      <c r="EEK66" s="349"/>
      <c r="EEL66" s="349"/>
      <c r="EEM66" s="349"/>
      <c r="EEN66" s="349"/>
      <c r="EEO66" s="349"/>
      <c r="EEP66" s="349"/>
      <c r="EEQ66" s="349"/>
      <c r="EER66" s="349"/>
      <c r="EES66" s="349"/>
      <c r="EET66" s="349"/>
      <c r="EEU66" s="349"/>
      <c r="EEV66" s="349"/>
      <c r="EEW66" s="349"/>
      <c r="EEX66" s="349"/>
      <c r="EEY66" s="349"/>
      <c r="EEZ66" s="349"/>
      <c r="EFA66" s="349"/>
      <c r="EFB66" s="349"/>
      <c r="EFC66" s="349"/>
      <c r="EFD66" s="349"/>
      <c r="EFE66" s="349"/>
      <c r="EFF66" s="349"/>
      <c r="EFG66" s="349"/>
      <c r="EFH66" s="349"/>
      <c r="EFI66" s="349"/>
      <c r="EFJ66" s="349"/>
      <c r="EFK66" s="349"/>
      <c r="EFL66" s="349"/>
      <c r="EFM66" s="349"/>
      <c r="EFN66" s="349"/>
      <c r="EFO66" s="349"/>
      <c r="EFP66" s="349"/>
      <c r="EFQ66" s="349"/>
      <c r="EFR66" s="349"/>
      <c r="EFS66" s="349"/>
      <c r="EFT66" s="349"/>
      <c r="EFU66" s="349"/>
      <c r="EFV66" s="349"/>
      <c r="EFW66" s="349"/>
      <c r="EFX66" s="349"/>
      <c r="EFY66" s="349"/>
      <c r="EFZ66" s="349"/>
      <c r="EGA66" s="349"/>
      <c r="EGB66" s="349"/>
      <c r="EGC66" s="349"/>
      <c r="EGD66" s="349"/>
      <c r="EGE66" s="349"/>
      <c r="EGF66" s="349"/>
      <c r="EGG66" s="349"/>
      <c r="EGH66" s="349"/>
      <c r="EGI66" s="349"/>
      <c r="EGJ66" s="349"/>
      <c r="EGK66" s="349"/>
      <c r="EGL66" s="349"/>
      <c r="EGM66" s="349"/>
      <c r="EGN66" s="349"/>
      <c r="EGO66" s="349"/>
      <c r="EGP66" s="349"/>
      <c r="EGQ66" s="349"/>
      <c r="EGR66" s="349"/>
      <c r="EGS66" s="349"/>
      <c r="EGT66" s="349"/>
      <c r="EGU66" s="349"/>
      <c r="EGV66" s="349"/>
      <c r="EGW66" s="349"/>
      <c r="EGX66" s="349"/>
      <c r="EGY66" s="349"/>
      <c r="EGZ66" s="349"/>
      <c r="EHA66" s="349"/>
      <c r="EHB66" s="349"/>
      <c r="EHC66" s="349"/>
      <c r="EHD66" s="349"/>
      <c r="EHE66" s="349"/>
      <c r="EHF66" s="349"/>
      <c r="EHG66" s="349"/>
      <c r="EHH66" s="349"/>
      <c r="EHI66" s="349"/>
      <c r="EHJ66" s="349"/>
      <c r="EHK66" s="349"/>
      <c r="EHL66" s="349"/>
      <c r="EHM66" s="349"/>
      <c r="EHN66" s="349"/>
      <c r="EHO66" s="349"/>
      <c r="EHP66" s="349"/>
      <c r="EHQ66" s="349"/>
      <c r="EHR66" s="349"/>
      <c r="EHS66" s="349"/>
      <c r="EHT66" s="349"/>
      <c r="EHU66" s="349"/>
      <c r="EHV66" s="349"/>
      <c r="EHW66" s="349"/>
      <c r="EHX66" s="349"/>
      <c r="EHY66" s="349"/>
      <c r="EHZ66" s="349"/>
      <c r="EIA66" s="349"/>
      <c r="EIB66" s="349"/>
      <c r="EIC66" s="349"/>
      <c r="EID66" s="349"/>
      <c r="EIE66" s="349"/>
      <c r="EIF66" s="349"/>
      <c r="EIG66" s="349"/>
      <c r="EIH66" s="349"/>
      <c r="EII66" s="349"/>
      <c r="EIJ66" s="349"/>
      <c r="EIK66" s="349"/>
      <c r="EIL66" s="349"/>
      <c r="EIM66" s="349"/>
      <c r="EIN66" s="349"/>
      <c r="EIO66" s="349"/>
      <c r="EIP66" s="349"/>
      <c r="EIQ66" s="349"/>
      <c r="EIR66" s="349"/>
      <c r="EIS66" s="349"/>
      <c r="EIT66" s="349"/>
      <c r="EIU66" s="349"/>
      <c r="EIV66" s="349"/>
      <c r="EIW66" s="349"/>
      <c r="EIX66" s="349"/>
      <c r="EIY66" s="349"/>
      <c r="EIZ66" s="349"/>
      <c r="EJA66" s="349"/>
      <c r="EJB66" s="349"/>
      <c r="EJC66" s="349"/>
      <c r="EJD66" s="349"/>
      <c r="EJE66" s="349"/>
      <c r="EJF66" s="349"/>
      <c r="EJG66" s="349"/>
      <c r="EJH66" s="349"/>
      <c r="EJI66" s="349"/>
      <c r="EJJ66" s="349"/>
      <c r="EJK66" s="349"/>
      <c r="EJL66" s="349"/>
      <c r="EJM66" s="349"/>
      <c r="EJN66" s="349"/>
      <c r="EJO66" s="349"/>
      <c r="EJP66" s="349"/>
      <c r="EJQ66" s="349"/>
      <c r="EJR66" s="349"/>
      <c r="EJS66" s="349"/>
      <c r="EJT66" s="349"/>
      <c r="EJU66" s="349"/>
      <c r="EJV66" s="349"/>
      <c r="EJW66" s="349"/>
      <c r="EJX66" s="349"/>
      <c r="EJY66" s="349"/>
      <c r="EJZ66" s="349"/>
      <c r="EKA66" s="349"/>
      <c r="EKB66" s="349"/>
      <c r="EKC66" s="349"/>
      <c r="EKD66" s="349"/>
      <c r="EKE66" s="349"/>
      <c r="EKF66" s="349"/>
      <c r="EKG66" s="349"/>
      <c r="EKH66" s="349"/>
      <c r="EKI66" s="349"/>
      <c r="EKJ66" s="349"/>
      <c r="EKK66" s="349"/>
      <c r="EKL66" s="349"/>
      <c r="EKM66" s="349"/>
      <c r="EKN66" s="349"/>
      <c r="EKO66" s="349"/>
      <c r="EKP66" s="349"/>
      <c r="EKQ66" s="349"/>
      <c r="EKR66" s="349"/>
      <c r="EKS66" s="349"/>
      <c r="EKT66" s="349"/>
      <c r="EKU66" s="349"/>
      <c r="EKV66" s="349"/>
      <c r="EKW66" s="349"/>
      <c r="EKX66" s="349"/>
      <c r="EKY66" s="349"/>
      <c r="EKZ66" s="349"/>
      <c r="ELA66" s="349"/>
      <c r="ELB66" s="349"/>
      <c r="ELC66" s="349"/>
      <c r="ELD66" s="349"/>
      <c r="ELE66" s="349"/>
      <c r="ELF66" s="349"/>
      <c r="ELG66" s="349"/>
      <c r="ELH66" s="349"/>
      <c r="ELI66" s="349"/>
      <c r="ELJ66" s="349"/>
      <c r="ELK66" s="349"/>
      <c r="ELL66" s="349"/>
      <c r="ELM66" s="349"/>
      <c r="ELN66" s="349"/>
      <c r="ELO66" s="349"/>
      <c r="ELP66" s="349"/>
      <c r="ELQ66" s="349"/>
      <c r="ELR66" s="349"/>
      <c r="ELS66" s="349"/>
      <c r="ELT66" s="349"/>
      <c r="ELU66" s="349"/>
      <c r="ELV66" s="349"/>
      <c r="ELW66" s="349"/>
      <c r="ELX66" s="349"/>
      <c r="ELY66" s="349"/>
      <c r="ELZ66" s="349"/>
      <c r="EMA66" s="349"/>
      <c r="EMB66" s="349"/>
      <c r="EMC66" s="349"/>
      <c r="EMD66" s="349"/>
      <c r="EME66" s="349"/>
      <c r="EMF66" s="349"/>
      <c r="EMG66" s="349"/>
      <c r="EMH66" s="349"/>
      <c r="EMI66" s="349"/>
      <c r="EMJ66" s="349"/>
      <c r="EMK66" s="349"/>
      <c r="EML66" s="349"/>
      <c r="EMM66" s="349"/>
      <c r="EMN66" s="349"/>
      <c r="EMO66" s="349"/>
      <c r="EMP66" s="349"/>
      <c r="EMQ66" s="349"/>
      <c r="EMR66" s="349"/>
      <c r="EMS66" s="349"/>
      <c r="EMT66" s="349"/>
      <c r="EMU66" s="349"/>
      <c r="EMV66" s="349"/>
      <c r="EMW66" s="349"/>
      <c r="EMX66" s="349"/>
      <c r="EMY66" s="349"/>
      <c r="EMZ66" s="349"/>
      <c r="ENA66" s="349"/>
      <c r="ENB66" s="349"/>
      <c r="ENC66" s="349"/>
      <c r="END66" s="349"/>
      <c r="ENE66" s="349"/>
      <c r="ENF66" s="349"/>
      <c r="ENG66" s="349"/>
      <c r="ENH66" s="349"/>
      <c r="ENI66" s="349"/>
      <c r="ENJ66" s="349"/>
      <c r="ENK66" s="349"/>
      <c r="ENL66" s="349"/>
      <c r="ENM66" s="349"/>
      <c r="ENN66" s="349"/>
      <c r="ENO66" s="349"/>
      <c r="ENP66" s="349"/>
      <c r="ENQ66" s="349"/>
      <c r="ENR66" s="349"/>
      <c r="ENS66" s="349"/>
      <c r="ENT66" s="349"/>
      <c r="ENU66" s="349"/>
      <c r="ENV66" s="349"/>
      <c r="ENW66" s="349"/>
      <c r="ENX66" s="349"/>
      <c r="ENY66" s="349"/>
      <c r="ENZ66" s="349"/>
      <c r="EOA66" s="349"/>
      <c r="EOB66" s="349"/>
      <c r="EOC66" s="349"/>
      <c r="EOD66" s="349"/>
      <c r="EOE66" s="349"/>
      <c r="EOF66" s="349"/>
      <c r="EOG66" s="349"/>
      <c r="EOH66" s="349"/>
      <c r="EOI66" s="349"/>
      <c r="EOJ66" s="349"/>
      <c r="EOK66" s="349"/>
      <c r="EOL66" s="349"/>
      <c r="EOM66" s="349"/>
      <c r="EON66" s="349"/>
      <c r="EOO66" s="349"/>
      <c r="EOP66" s="349"/>
      <c r="EOQ66" s="349"/>
      <c r="EOR66" s="349"/>
      <c r="EOS66" s="349"/>
      <c r="EOT66" s="349"/>
      <c r="EOU66" s="349"/>
      <c r="EOV66" s="349"/>
      <c r="EOW66" s="349"/>
      <c r="EOX66" s="349"/>
      <c r="EOY66" s="349"/>
      <c r="EOZ66" s="349"/>
      <c r="EPA66" s="349"/>
      <c r="EPB66" s="349"/>
      <c r="EPC66" s="349"/>
      <c r="EPD66" s="349"/>
      <c r="EPE66" s="349"/>
      <c r="EPF66" s="349"/>
      <c r="EPG66" s="349"/>
      <c r="EPH66" s="349"/>
      <c r="EPI66" s="349"/>
      <c r="EPJ66" s="349"/>
      <c r="EPK66" s="349"/>
      <c r="EPL66" s="349"/>
      <c r="EPM66" s="349"/>
      <c r="EPN66" s="349"/>
      <c r="EPO66" s="349"/>
      <c r="EPP66" s="349"/>
      <c r="EPQ66" s="349"/>
      <c r="EPR66" s="349"/>
      <c r="EPS66" s="349"/>
      <c r="EPT66" s="349"/>
      <c r="EPU66" s="349"/>
      <c r="EPV66" s="349"/>
      <c r="EPW66" s="349"/>
      <c r="EPX66" s="349"/>
      <c r="EPY66" s="349"/>
      <c r="EPZ66" s="349"/>
      <c r="EQA66" s="349"/>
      <c r="EQB66" s="349"/>
      <c r="EQC66" s="349"/>
      <c r="EQD66" s="349"/>
      <c r="EQE66" s="349"/>
      <c r="EQF66" s="349"/>
      <c r="EQG66" s="349"/>
      <c r="EQH66" s="349"/>
      <c r="EQI66" s="349"/>
      <c r="EQJ66" s="349"/>
      <c r="EQK66" s="349"/>
      <c r="EQL66" s="349"/>
      <c r="EQM66" s="349"/>
      <c r="EQN66" s="349"/>
      <c r="EQO66" s="349"/>
      <c r="EQP66" s="349"/>
      <c r="EQQ66" s="349"/>
      <c r="EQR66" s="349"/>
      <c r="EQS66" s="349"/>
      <c r="EQT66" s="349"/>
      <c r="EQU66" s="349"/>
      <c r="EQV66" s="349"/>
      <c r="EQW66" s="349"/>
      <c r="EQX66" s="349"/>
      <c r="EQY66" s="349"/>
      <c r="EQZ66" s="349"/>
      <c r="ERA66" s="349"/>
      <c r="ERB66" s="349"/>
      <c r="ERC66" s="349"/>
      <c r="ERD66" s="349"/>
      <c r="ERE66" s="349"/>
      <c r="ERF66" s="349"/>
      <c r="ERG66" s="349"/>
      <c r="ERH66" s="349"/>
      <c r="ERI66" s="349"/>
      <c r="ERJ66" s="349"/>
      <c r="ERK66" s="349"/>
      <c r="ERL66" s="349"/>
      <c r="ERM66" s="349"/>
      <c r="ERN66" s="349"/>
      <c r="ERO66" s="349"/>
      <c r="ERP66" s="349"/>
      <c r="ERQ66" s="349"/>
      <c r="ERR66" s="349"/>
      <c r="ERS66" s="349"/>
      <c r="ERT66" s="349"/>
      <c r="ERU66" s="349"/>
      <c r="ERV66" s="349"/>
      <c r="ERW66" s="349"/>
      <c r="ERX66" s="349"/>
      <c r="ERY66" s="349"/>
      <c r="ERZ66" s="349"/>
      <c r="ESA66" s="349"/>
      <c r="ESB66" s="349"/>
      <c r="ESC66" s="349"/>
      <c r="ESD66" s="349"/>
      <c r="ESE66" s="349"/>
      <c r="ESF66" s="349"/>
      <c r="ESG66" s="349"/>
      <c r="ESH66" s="349"/>
      <c r="ESI66" s="349"/>
      <c r="ESJ66" s="349"/>
      <c r="ESK66" s="349"/>
      <c r="ESL66" s="349"/>
      <c r="ESM66" s="349"/>
      <c r="ESN66" s="349"/>
      <c r="ESO66" s="349"/>
      <c r="ESP66" s="349"/>
      <c r="ESQ66" s="349"/>
      <c r="ESR66" s="349"/>
      <c r="ESS66" s="349"/>
      <c r="EST66" s="349"/>
      <c r="ESU66" s="349"/>
      <c r="ESV66" s="349"/>
      <c r="ESW66" s="349"/>
      <c r="ESX66" s="349"/>
      <c r="ESY66" s="349"/>
      <c r="ESZ66" s="349"/>
      <c r="ETA66" s="349"/>
      <c r="ETB66" s="349"/>
      <c r="ETC66" s="349"/>
      <c r="ETD66" s="349"/>
      <c r="ETE66" s="349"/>
      <c r="ETF66" s="349"/>
      <c r="ETG66" s="349"/>
      <c r="ETH66" s="349"/>
      <c r="ETI66" s="349"/>
      <c r="ETJ66" s="349"/>
      <c r="ETK66" s="349"/>
      <c r="ETL66" s="349"/>
      <c r="ETM66" s="349"/>
      <c r="ETN66" s="349"/>
      <c r="ETO66" s="349"/>
      <c r="ETP66" s="349"/>
      <c r="ETQ66" s="349"/>
      <c r="ETR66" s="349"/>
      <c r="ETS66" s="349"/>
      <c r="ETT66" s="349"/>
      <c r="ETU66" s="349"/>
      <c r="ETV66" s="349"/>
      <c r="ETW66" s="349"/>
      <c r="ETX66" s="349"/>
      <c r="ETY66" s="349"/>
      <c r="ETZ66" s="349"/>
      <c r="EUA66" s="349"/>
      <c r="EUB66" s="349"/>
      <c r="EUC66" s="349"/>
      <c r="EUD66" s="349"/>
      <c r="EUE66" s="349"/>
      <c r="EUF66" s="349"/>
      <c r="EUG66" s="349"/>
      <c r="EUH66" s="349"/>
      <c r="EUI66" s="349"/>
      <c r="EUJ66" s="349"/>
      <c r="EUK66" s="349"/>
      <c r="EUL66" s="349"/>
      <c r="EUM66" s="349"/>
      <c r="EUN66" s="349"/>
      <c r="EUO66" s="349"/>
      <c r="EUP66" s="349"/>
      <c r="EUQ66" s="349"/>
      <c r="EUR66" s="349"/>
      <c r="EUS66" s="349"/>
      <c r="EUT66" s="349"/>
      <c r="EUU66" s="349"/>
      <c r="EUV66" s="349"/>
      <c r="EUW66" s="349"/>
      <c r="EUX66" s="349"/>
      <c r="EUY66" s="349"/>
      <c r="EUZ66" s="349"/>
      <c r="EVA66" s="349"/>
      <c r="EVB66" s="349"/>
      <c r="EVC66" s="349"/>
      <c r="EVD66" s="349"/>
      <c r="EVE66" s="349"/>
      <c r="EVF66" s="349"/>
      <c r="EVG66" s="349"/>
      <c r="EVH66" s="349"/>
      <c r="EVI66" s="349"/>
      <c r="EVJ66" s="349"/>
      <c r="EVK66" s="349"/>
      <c r="EVL66" s="349"/>
      <c r="EVM66" s="349"/>
      <c r="EVN66" s="349"/>
      <c r="EVO66" s="349"/>
      <c r="EVP66" s="349"/>
      <c r="EVQ66" s="349"/>
      <c r="EVR66" s="349"/>
      <c r="EVS66" s="349"/>
      <c r="EVT66" s="349"/>
      <c r="EVU66" s="349"/>
      <c r="EVV66" s="349"/>
      <c r="EVW66" s="349"/>
      <c r="EVX66" s="349"/>
      <c r="EVY66" s="349"/>
      <c r="EVZ66" s="349"/>
      <c r="EWA66" s="349"/>
      <c r="EWB66" s="349"/>
      <c r="EWC66" s="349"/>
      <c r="EWD66" s="349"/>
      <c r="EWE66" s="349"/>
      <c r="EWF66" s="349"/>
      <c r="EWG66" s="349"/>
      <c r="EWH66" s="349"/>
      <c r="EWI66" s="349"/>
      <c r="EWJ66" s="349"/>
      <c r="EWK66" s="349"/>
      <c r="EWL66" s="349"/>
      <c r="EWM66" s="349"/>
      <c r="EWN66" s="349"/>
      <c r="EWO66" s="349"/>
      <c r="EWP66" s="349"/>
      <c r="EWQ66" s="349"/>
      <c r="EWR66" s="349"/>
      <c r="EWS66" s="349"/>
      <c r="EWT66" s="349"/>
      <c r="EWU66" s="349"/>
      <c r="EWV66" s="349"/>
      <c r="EWW66" s="349"/>
      <c r="EWX66" s="349"/>
      <c r="EWY66" s="349"/>
      <c r="EWZ66" s="349"/>
      <c r="EXA66" s="349"/>
      <c r="EXB66" s="349"/>
      <c r="EXC66" s="349"/>
      <c r="EXD66" s="349"/>
      <c r="EXE66" s="349"/>
      <c r="EXF66" s="349"/>
      <c r="EXG66" s="349"/>
      <c r="EXH66" s="349"/>
      <c r="EXI66" s="349"/>
      <c r="EXJ66" s="349"/>
      <c r="EXK66" s="349"/>
      <c r="EXL66" s="349"/>
      <c r="EXM66" s="349"/>
      <c r="EXN66" s="349"/>
      <c r="EXO66" s="349"/>
      <c r="EXP66" s="349"/>
      <c r="EXQ66" s="349"/>
      <c r="EXR66" s="349"/>
      <c r="EXS66" s="349"/>
      <c r="EXT66" s="349"/>
      <c r="EXU66" s="349"/>
      <c r="EXV66" s="349"/>
      <c r="EXW66" s="349"/>
      <c r="EXX66" s="349"/>
      <c r="EXY66" s="349"/>
      <c r="EXZ66" s="349"/>
      <c r="EYA66" s="349"/>
      <c r="EYB66" s="349"/>
      <c r="EYC66" s="349"/>
      <c r="EYD66" s="349"/>
      <c r="EYE66" s="349"/>
      <c r="EYF66" s="349"/>
      <c r="EYG66" s="349"/>
      <c r="EYH66" s="349"/>
      <c r="EYI66" s="349"/>
      <c r="EYJ66" s="349"/>
      <c r="EYK66" s="349"/>
      <c r="EYL66" s="349"/>
      <c r="EYM66" s="349"/>
      <c r="EYN66" s="349"/>
      <c r="EYO66" s="349"/>
      <c r="EYP66" s="349"/>
      <c r="EYQ66" s="349"/>
      <c r="EYR66" s="349"/>
      <c r="EYS66" s="349"/>
      <c r="EYT66" s="349"/>
      <c r="EYU66" s="349"/>
      <c r="EYV66" s="349"/>
      <c r="EYW66" s="349"/>
      <c r="EYX66" s="349"/>
      <c r="EYY66" s="349"/>
      <c r="EYZ66" s="349"/>
      <c r="EZA66" s="349"/>
      <c r="EZB66" s="349"/>
      <c r="EZC66" s="349"/>
      <c r="EZD66" s="349"/>
      <c r="EZE66" s="349"/>
      <c r="EZF66" s="349"/>
      <c r="EZG66" s="349"/>
      <c r="EZH66" s="349"/>
      <c r="EZI66" s="349"/>
      <c r="EZJ66" s="349"/>
      <c r="EZK66" s="349"/>
      <c r="EZL66" s="349"/>
      <c r="EZM66" s="349"/>
      <c r="EZN66" s="349"/>
      <c r="EZO66" s="349"/>
      <c r="EZP66" s="349"/>
      <c r="EZQ66" s="349"/>
      <c r="EZR66" s="349"/>
      <c r="EZS66" s="349"/>
      <c r="EZT66" s="349"/>
      <c r="EZU66" s="349"/>
      <c r="EZV66" s="349"/>
      <c r="EZW66" s="349"/>
      <c r="EZX66" s="349"/>
      <c r="EZY66" s="349"/>
      <c r="EZZ66" s="349"/>
      <c r="FAA66" s="349"/>
      <c r="FAB66" s="349"/>
      <c r="FAC66" s="349"/>
      <c r="FAD66" s="349"/>
      <c r="FAE66" s="349"/>
      <c r="FAF66" s="349"/>
      <c r="FAG66" s="349"/>
      <c r="FAH66" s="349"/>
      <c r="FAI66" s="349"/>
      <c r="FAJ66" s="349"/>
      <c r="FAK66" s="349"/>
      <c r="FAL66" s="349"/>
      <c r="FAM66" s="349"/>
      <c r="FAN66" s="349"/>
      <c r="FAO66" s="349"/>
      <c r="FAP66" s="349"/>
      <c r="FAQ66" s="349"/>
      <c r="FAR66" s="349"/>
      <c r="FAS66" s="349"/>
      <c r="FAT66" s="349"/>
      <c r="FAU66" s="349"/>
      <c r="FAV66" s="349"/>
      <c r="FAW66" s="349"/>
      <c r="FAX66" s="349"/>
      <c r="FAY66" s="349"/>
      <c r="FAZ66" s="349"/>
      <c r="FBA66" s="349"/>
      <c r="FBB66" s="349"/>
      <c r="FBC66" s="349"/>
      <c r="FBD66" s="349"/>
      <c r="FBE66" s="349"/>
      <c r="FBF66" s="349"/>
      <c r="FBG66" s="349"/>
      <c r="FBH66" s="349"/>
      <c r="FBI66" s="349"/>
      <c r="FBJ66" s="349"/>
      <c r="FBK66" s="349"/>
      <c r="FBL66" s="349"/>
      <c r="FBM66" s="349"/>
      <c r="FBN66" s="349"/>
      <c r="FBO66" s="349"/>
      <c r="FBP66" s="349"/>
      <c r="FBQ66" s="349"/>
      <c r="FBR66" s="349"/>
      <c r="FBS66" s="349"/>
      <c r="FBT66" s="349"/>
      <c r="FBU66" s="349"/>
      <c r="FBV66" s="349"/>
      <c r="FBW66" s="349"/>
      <c r="FBX66" s="349"/>
      <c r="FBY66" s="349"/>
      <c r="FBZ66" s="349"/>
      <c r="FCA66" s="349"/>
      <c r="FCB66" s="349"/>
      <c r="FCC66" s="349"/>
      <c r="FCD66" s="349"/>
      <c r="FCE66" s="349"/>
      <c r="FCF66" s="349"/>
      <c r="FCG66" s="349"/>
      <c r="FCH66" s="349"/>
      <c r="FCI66" s="349"/>
      <c r="FCJ66" s="349"/>
      <c r="FCK66" s="349"/>
      <c r="FCL66" s="349"/>
      <c r="FCM66" s="349"/>
      <c r="FCN66" s="349"/>
      <c r="FCO66" s="349"/>
      <c r="FCP66" s="349"/>
      <c r="FCQ66" s="349"/>
      <c r="FCR66" s="349"/>
      <c r="FCS66" s="349"/>
      <c r="FCT66" s="349"/>
      <c r="FCU66" s="349"/>
      <c r="FCV66" s="349"/>
      <c r="FCW66" s="349"/>
      <c r="FCX66" s="349"/>
      <c r="FCY66" s="349"/>
      <c r="FCZ66" s="349"/>
      <c r="FDA66" s="349"/>
      <c r="FDB66" s="349"/>
      <c r="FDC66" s="349"/>
      <c r="FDD66" s="349"/>
      <c r="FDE66" s="349"/>
      <c r="FDF66" s="349"/>
      <c r="FDG66" s="349"/>
      <c r="FDH66" s="349"/>
      <c r="FDI66" s="349"/>
      <c r="FDJ66" s="349"/>
      <c r="FDK66" s="349"/>
      <c r="FDL66" s="349"/>
      <c r="FDM66" s="349"/>
      <c r="FDN66" s="349"/>
      <c r="FDO66" s="349"/>
      <c r="FDP66" s="349"/>
      <c r="FDQ66" s="349"/>
      <c r="FDR66" s="349"/>
      <c r="FDS66" s="349"/>
      <c r="FDT66" s="349"/>
      <c r="FDU66" s="349"/>
      <c r="FDV66" s="349"/>
      <c r="FDW66" s="349"/>
      <c r="FDX66" s="349"/>
      <c r="FDY66" s="349"/>
      <c r="FDZ66" s="349"/>
      <c r="FEA66" s="349"/>
      <c r="FEB66" s="349"/>
      <c r="FEC66" s="349"/>
      <c r="FED66" s="349"/>
      <c r="FEE66" s="349"/>
      <c r="FEF66" s="349"/>
      <c r="FEG66" s="349"/>
      <c r="FEH66" s="349"/>
      <c r="FEI66" s="349"/>
      <c r="FEJ66" s="349"/>
      <c r="FEK66" s="349"/>
      <c r="FEL66" s="349"/>
      <c r="FEM66" s="349"/>
      <c r="FEN66" s="349"/>
      <c r="FEO66" s="349"/>
      <c r="FEP66" s="349"/>
      <c r="FEQ66" s="349"/>
      <c r="FER66" s="349"/>
      <c r="FES66" s="349"/>
      <c r="FET66" s="349"/>
      <c r="FEU66" s="349"/>
      <c r="FEV66" s="349"/>
      <c r="FEW66" s="349"/>
      <c r="FEX66" s="349"/>
      <c r="FEY66" s="349"/>
      <c r="FEZ66" s="349"/>
      <c r="FFA66" s="349"/>
      <c r="FFB66" s="349"/>
      <c r="FFC66" s="349"/>
      <c r="FFD66" s="349"/>
      <c r="FFE66" s="349"/>
      <c r="FFF66" s="349"/>
      <c r="FFG66" s="349"/>
      <c r="FFH66" s="349"/>
      <c r="FFI66" s="349"/>
      <c r="FFJ66" s="349"/>
      <c r="FFK66" s="349"/>
      <c r="FFL66" s="349"/>
      <c r="FFM66" s="349"/>
      <c r="FFN66" s="349"/>
      <c r="FFO66" s="349"/>
      <c r="FFP66" s="349"/>
      <c r="FFQ66" s="349"/>
      <c r="FFR66" s="349"/>
      <c r="FFS66" s="349"/>
      <c r="FFT66" s="349"/>
      <c r="FFU66" s="349"/>
      <c r="FFV66" s="349"/>
      <c r="FFW66" s="349"/>
      <c r="FFX66" s="349"/>
      <c r="FFY66" s="349"/>
      <c r="FFZ66" s="349"/>
      <c r="FGA66" s="349"/>
      <c r="FGB66" s="349"/>
      <c r="FGC66" s="349"/>
      <c r="FGD66" s="349"/>
      <c r="FGE66" s="349"/>
      <c r="FGF66" s="349"/>
      <c r="FGG66" s="349"/>
      <c r="FGH66" s="349"/>
      <c r="FGI66" s="349"/>
      <c r="FGJ66" s="349"/>
      <c r="FGK66" s="349"/>
      <c r="FGL66" s="349"/>
      <c r="FGM66" s="349"/>
      <c r="FGN66" s="349"/>
      <c r="FGO66" s="349"/>
      <c r="FGP66" s="349"/>
      <c r="FGQ66" s="349"/>
      <c r="FGR66" s="349"/>
      <c r="FGS66" s="349"/>
      <c r="FGT66" s="349"/>
      <c r="FGU66" s="349"/>
      <c r="FGV66" s="349"/>
      <c r="FGW66" s="349"/>
      <c r="FGX66" s="349"/>
      <c r="FGY66" s="349"/>
      <c r="FGZ66" s="349"/>
      <c r="FHA66" s="349"/>
      <c r="FHB66" s="349"/>
      <c r="FHC66" s="349"/>
      <c r="FHD66" s="349"/>
      <c r="FHE66" s="349"/>
      <c r="FHF66" s="349"/>
      <c r="FHG66" s="349"/>
      <c r="FHH66" s="349"/>
      <c r="FHI66" s="349"/>
      <c r="FHJ66" s="349"/>
      <c r="FHK66" s="349"/>
      <c r="FHL66" s="349"/>
      <c r="FHM66" s="349"/>
      <c r="FHN66" s="349"/>
      <c r="FHO66" s="349"/>
      <c r="FHP66" s="349"/>
      <c r="FHQ66" s="349"/>
      <c r="FHR66" s="349"/>
      <c r="FHS66" s="349"/>
      <c r="FHT66" s="349"/>
      <c r="FHU66" s="349"/>
      <c r="FHV66" s="349"/>
      <c r="FHW66" s="349"/>
      <c r="FHX66" s="349"/>
      <c r="FHY66" s="349"/>
      <c r="FHZ66" s="349"/>
      <c r="FIA66" s="349"/>
      <c r="FIB66" s="349"/>
      <c r="FIC66" s="349"/>
      <c r="FID66" s="349"/>
      <c r="FIE66" s="349"/>
      <c r="FIF66" s="349"/>
      <c r="FIG66" s="349"/>
      <c r="FIH66" s="349"/>
      <c r="FII66" s="349"/>
      <c r="FIJ66" s="349"/>
      <c r="FIK66" s="349"/>
      <c r="FIL66" s="349"/>
      <c r="FIM66" s="349"/>
      <c r="FIN66" s="349"/>
      <c r="FIO66" s="349"/>
      <c r="FIP66" s="349"/>
      <c r="FIQ66" s="349"/>
      <c r="FIR66" s="349"/>
      <c r="FIS66" s="349"/>
      <c r="FIT66" s="349"/>
      <c r="FIU66" s="349"/>
      <c r="FIV66" s="349"/>
      <c r="FIW66" s="349"/>
      <c r="FIX66" s="349"/>
      <c r="FIY66" s="349"/>
      <c r="FIZ66" s="349"/>
      <c r="FJA66" s="349"/>
      <c r="FJB66" s="349"/>
      <c r="FJC66" s="349"/>
      <c r="FJD66" s="349"/>
      <c r="FJE66" s="349"/>
      <c r="FJF66" s="349"/>
      <c r="FJG66" s="349"/>
      <c r="FJH66" s="349"/>
      <c r="FJI66" s="349"/>
      <c r="FJJ66" s="349"/>
      <c r="FJK66" s="349"/>
      <c r="FJL66" s="349"/>
      <c r="FJM66" s="349"/>
      <c r="FJN66" s="349"/>
      <c r="FJO66" s="349"/>
      <c r="FJP66" s="349"/>
      <c r="FJQ66" s="349"/>
      <c r="FJR66" s="349"/>
      <c r="FJS66" s="349"/>
      <c r="FJT66" s="349"/>
      <c r="FJU66" s="349"/>
      <c r="FJV66" s="349"/>
      <c r="FJW66" s="349"/>
      <c r="FJX66" s="349"/>
      <c r="FJY66" s="349"/>
      <c r="FJZ66" s="349"/>
      <c r="FKA66" s="349"/>
      <c r="FKB66" s="349"/>
      <c r="FKC66" s="349"/>
      <c r="FKD66" s="349"/>
      <c r="FKE66" s="349"/>
      <c r="FKF66" s="349"/>
      <c r="FKG66" s="349"/>
      <c r="FKH66" s="349"/>
      <c r="FKI66" s="349"/>
      <c r="FKJ66" s="349"/>
      <c r="FKK66" s="349"/>
      <c r="FKL66" s="349"/>
      <c r="FKM66" s="349"/>
      <c r="FKN66" s="349"/>
      <c r="FKO66" s="349"/>
      <c r="FKP66" s="349"/>
      <c r="FKQ66" s="349"/>
      <c r="FKR66" s="349"/>
      <c r="FKS66" s="349"/>
      <c r="FKT66" s="349"/>
      <c r="FKU66" s="349"/>
      <c r="FKV66" s="349"/>
      <c r="FKW66" s="349"/>
      <c r="FKX66" s="349"/>
      <c r="FKY66" s="349"/>
      <c r="FKZ66" s="349"/>
      <c r="FLA66" s="349"/>
      <c r="FLB66" s="349"/>
      <c r="FLC66" s="349"/>
      <c r="FLD66" s="349"/>
      <c r="FLE66" s="349"/>
      <c r="FLF66" s="349"/>
      <c r="FLG66" s="349"/>
      <c r="FLH66" s="349"/>
      <c r="FLI66" s="349"/>
      <c r="FLJ66" s="349"/>
      <c r="FLK66" s="349"/>
      <c r="FLL66" s="349"/>
      <c r="FLM66" s="349"/>
      <c r="FLN66" s="349"/>
      <c r="FLO66" s="349"/>
      <c r="FLP66" s="349"/>
      <c r="FLQ66" s="349"/>
      <c r="FLR66" s="349"/>
      <c r="FLS66" s="349"/>
      <c r="FLT66" s="349"/>
      <c r="FLU66" s="349"/>
      <c r="FLV66" s="349"/>
      <c r="FLW66" s="349"/>
      <c r="FLX66" s="349"/>
      <c r="FLY66" s="349"/>
      <c r="FLZ66" s="349"/>
      <c r="FMA66" s="349"/>
      <c r="FMB66" s="349"/>
      <c r="FMC66" s="349"/>
      <c r="FMD66" s="349"/>
      <c r="FME66" s="349"/>
      <c r="FMF66" s="349"/>
      <c r="FMG66" s="349"/>
      <c r="FMH66" s="349"/>
      <c r="FMI66" s="349"/>
      <c r="FMJ66" s="349"/>
      <c r="FMK66" s="349"/>
      <c r="FML66" s="349"/>
      <c r="FMM66" s="349"/>
      <c r="FMN66" s="349"/>
      <c r="FMO66" s="349"/>
      <c r="FMP66" s="349"/>
      <c r="FMQ66" s="349"/>
      <c r="FMR66" s="349"/>
      <c r="FMS66" s="349"/>
      <c r="FMT66" s="349"/>
      <c r="FMU66" s="349"/>
      <c r="FMV66" s="349"/>
      <c r="FMW66" s="349"/>
      <c r="FMX66" s="349"/>
      <c r="FMY66" s="349"/>
      <c r="FMZ66" s="349"/>
      <c r="FNA66" s="349"/>
      <c r="FNB66" s="349"/>
      <c r="FNC66" s="349"/>
      <c r="FND66" s="349"/>
      <c r="FNE66" s="349"/>
      <c r="FNF66" s="349"/>
      <c r="FNG66" s="349"/>
      <c r="FNH66" s="349"/>
      <c r="FNI66" s="349"/>
      <c r="FNJ66" s="349"/>
      <c r="FNK66" s="349"/>
      <c r="FNL66" s="349"/>
      <c r="FNM66" s="349"/>
      <c r="FNN66" s="349"/>
      <c r="FNO66" s="349"/>
      <c r="FNP66" s="349"/>
      <c r="FNQ66" s="349"/>
      <c r="FNR66" s="349"/>
      <c r="FNS66" s="349"/>
      <c r="FNT66" s="349"/>
      <c r="FNU66" s="349"/>
      <c r="FNV66" s="349"/>
      <c r="FNW66" s="349"/>
      <c r="FNX66" s="349"/>
      <c r="FNY66" s="349"/>
      <c r="FNZ66" s="349"/>
      <c r="FOA66" s="349"/>
      <c r="FOB66" s="349"/>
      <c r="FOC66" s="349"/>
      <c r="FOD66" s="349"/>
      <c r="FOE66" s="349"/>
      <c r="FOF66" s="349"/>
      <c r="FOG66" s="349"/>
      <c r="FOH66" s="349"/>
      <c r="FOI66" s="349"/>
      <c r="FOJ66" s="349"/>
      <c r="FOK66" s="349"/>
      <c r="FOL66" s="349"/>
      <c r="FOM66" s="349"/>
      <c r="FON66" s="349"/>
      <c r="FOO66" s="349"/>
      <c r="FOP66" s="349"/>
      <c r="FOQ66" s="349"/>
      <c r="FOR66" s="349"/>
      <c r="FOS66" s="349"/>
      <c r="FOT66" s="349"/>
      <c r="FOU66" s="349"/>
      <c r="FOV66" s="349"/>
      <c r="FOW66" s="349"/>
      <c r="FOX66" s="349"/>
      <c r="FOY66" s="349"/>
      <c r="FOZ66" s="349"/>
      <c r="FPA66" s="349"/>
      <c r="FPB66" s="349"/>
      <c r="FPC66" s="349"/>
      <c r="FPD66" s="349"/>
      <c r="FPE66" s="349"/>
      <c r="FPF66" s="349"/>
      <c r="FPG66" s="349"/>
      <c r="FPH66" s="349"/>
      <c r="FPI66" s="349"/>
      <c r="FPJ66" s="349"/>
      <c r="FPK66" s="349"/>
      <c r="FPL66" s="349"/>
      <c r="FPM66" s="349"/>
      <c r="FPN66" s="349"/>
      <c r="FPO66" s="349"/>
      <c r="FPP66" s="349"/>
      <c r="FPQ66" s="349"/>
      <c r="FPR66" s="349"/>
      <c r="FPS66" s="349"/>
      <c r="FPT66" s="349"/>
      <c r="FPU66" s="349"/>
      <c r="FPV66" s="349"/>
      <c r="FPW66" s="349"/>
      <c r="FPX66" s="349"/>
      <c r="FPY66" s="349"/>
      <c r="FPZ66" s="349"/>
      <c r="FQA66" s="349"/>
      <c r="FQB66" s="349"/>
      <c r="FQC66" s="349"/>
      <c r="FQD66" s="349"/>
      <c r="FQE66" s="349"/>
      <c r="FQF66" s="349"/>
      <c r="FQG66" s="349"/>
      <c r="FQH66" s="349"/>
      <c r="FQI66" s="349"/>
      <c r="FQJ66" s="349"/>
      <c r="FQK66" s="349"/>
      <c r="FQL66" s="349"/>
      <c r="FQM66" s="349"/>
      <c r="FQN66" s="349"/>
      <c r="FQO66" s="349"/>
      <c r="FQP66" s="349"/>
      <c r="FQQ66" s="349"/>
      <c r="FQR66" s="349"/>
      <c r="FQS66" s="349"/>
      <c r="FQT66" s="349"/>
      <c r="FQU66" s="349"/>
      <c r="FQV66" s="349"/>
      <c r="FQW66" s="349"/>
      <c r="FQX66" s="349"/>
      <c r="FQY66" s="349"/>
      <c r="FQZ66" s="349"/>
      <c r="FRA66" s="349"/>
      <c r="FRB66" s="349"/>
      <c r="FRC66" s="349"/>
      <c r="FRD66" s="349"/>
      <c r="FRE66" s="349"/>
      <c r="FRF66" s="349"/>
      <c r="FRG66" s="349"/>
      <c r="FRH66" s="349"/>
      <c r="FRI66" s="349"/>
      <c r="FRJ66" s="349"/>
      <c r="FRK66" s="349"/>
      <c r="FRL66" s="349"/>
      <c r="FRM66" s="349"/>
      <c r="FRN66" s="349"/>
      <c r="FRO66" s="349"/>
      <c r="FRP66" s="349"/>
      <c r="FRQ66" s="349"/>
      <c r="FRR66" s="349"/>
      <c r="FRS66" s="349"/>
      <c r="FRT66" s="349"/>
      <c r="FRU66" s="349"/>
      <c r="FRV66" s="349"/>
      <c r="FRW66" s="349"/>
      <c r="FRX66" s="349"/>
      <c r="FRY66" s="349"/>
      <c r="FRZ66" s="349"/>
      <c r="FSA66" s="349"/>
      <c r="FSB66" s="349"/>
      <c r="FSC66" s="349"/>
      <c r="FSD66" s="349"/>
      <c r="FSE66" s="349"/>
      <c r="FSF66" s="349"/>
      <c r="FSG66" s="349"/>
      <c r="FSH66" s="349"/>
      <c r="FSI66" s="349"/>
      <c r="FSJ66" s="349"/>
      <c r="FSK66" s="349"/>
      <c r="FSL66" s="349"/>
      <c r="FSM66" s="349"/>
      <c r="FSN66" s="349"/>
      <c r="FSO66" s="349"/>
      <c r="FSP66" s="349"/>
      <c r="FSQ66" s="349"/>
      <c r="FSR66" s="349"/>
      <c r="FSS66" s="349"/>
      <c r="FST66" s="349"/>
      <c r="FSU66" s="349"/>
      <c r="FSV66" s="349"/>
      <c r="FSW66" s="349"/>
      <c r="FSX66" s="349"/>
      <c r="FSY66" s="349"/>
      <c r="FSZ66" s="349"/>
      <c r="FTA66" s="349"/>
      <c r="FTB66" s="349"/>
      <c r="FTC66" s="349"/>
      <c r="FTD66" s="349"/>
      <c r="FTE66" s="349"/>
      <c r="FTF66" s="349"/>
      <c r="FTG66" s="349"/>
      <c r="FTH66" s="349"/>
      <c r="FTI66" s="349"/>
      <c r="FTJ66" s="349"/>
      <c r="FTK66" s="349"/>
      <c r="FTL66" s="349"/>
      <c r="FTM66" s="349"/>
      <c r="FTN66" s="349"/>
      <c r="FTO66" s="349"/>
      <c r="FTP66" s="349"/>
      <c r="FTQ66" s="349"/>
      <c r="FTR66" s="349"/>
      <c r="FTS66" s="349"/>
      <c r="FTT66" s="349"/>
      <c r="FTU66" s="349"/>
      <c r="FTV66" s="349"/>
      <c r="FTW66" s="349"/>
      <c r="FTX66" s="349"/>
      <c r="FTY66" s="349"/>
      <c r="FTZ66" s="349"/>
      <c r="FUA66" s="349"/>
      <c r="FUB66" s="349"/>
      <c r="FUC66" s="349"/>
      <c r="FUD66" s="349"/>
      <c r="FUE66" s="349"/>
      <c r="FUF66" s="349"/>
      <c r="FUG66" s="349"/>
      <c r="FUH66" s="349"/>
      <c r="FUI66" s="349"/>
      <c r="FUJ66" s="349"/>
      <c r="FUK66" s="349"/>
      <c r="FUL66" s="349"/>
      <c r="FUM66" s="349"/>
      <c r="FUN66" s="349"/>
      <c r="FUO66" s="349"/>
      <c r="FUP66" s="349"/>
      <c r="FUQ66" s="349"/>
      <c r="FUR66" s="349"/>
      <c r="FUS66" s="349"/>
      <c r="FUT66" s="349"/>
      <c r="FUU66" s="349"/>
      <c r="FUV66" s="349"/>
      <c r="FUW66" s="349"/>
      <c r="FUX66" s="349"/>
      <c r="FUY66" s="349"/>
      <c r="FUZ66" s="349"/>
      <c r="FVA66" s="349"/>
      <c r="FVB66" s="349"/>
      <c r="FVC66" s="349"/>
      <c r="FVD66" s="349"/>
      <c r="FVE66" s="349"/>
      <c r="FVF66" s="349"/>
      <c r="FVG66" s="349"/>
      <c r="FVH66" s="349"/>
      <c r="FVI66" s="349"/>
      <c r="FVJ66" s="349"/>
      <c r="FVK66" s="349"/>
      <c r="FVL66" s="349"/>
      <c r="FVM66" s="349"/>
      <c r="FVN66" s="349"/>
      <c r="FVO66" s="349"/>
      <c r="FVP66" s="349"/>
      <c r="FVQ66" s="349"/>
      <c r="FVR66" s="349"/>
      <c r="FVS66" s="349"/>
      <c r="FVT66" s="349"/>
      <c r="FVU66" s="349"/>
      <c r="FVV66" s="349"/>
      <c r="FVW66" s="349"/>
      <c r="FVX66" s="349"/>
      <c r="FVY66" s="349"/>
      <c r="FVZ66" s="349"/>
      <c r="FWA66" s="349"/>
      <c r="FWB66" s="349"/>
      <c r="FWC66" s="349"/>
      <c r="FWD66" s="349"/>
      <c r="FWE66" s="349"/>
      <c r="FWF66" s="349"/>
      <c r="FWG66" s="349"/>
      <c r="FWH66" s="349"/>
      <c r="FWI66" s="349"/>
      <c r="FWJ66" s="349"/>
      <c r="FWK66" s="349"/>
      <c r="FWL66" s="349"/>
      <c r="FWM66" s="349"/>
      <c r="FWN66" s="349"/>
      <c r="FWO66" s="349"/>
      <c r="FWP66" s="349"/>
      <c r="FWQ66" s="349"/>
      <c r="FWR66" s="349"/>
      <c r="FWS66" s="349"/>
      <c r="FWT66" s="349"/>
      <c r="FWU66" s="349"/>
      <c r="FWV66" s="349"/>
      <c r="FWW66" s="349"/>
      <c r="FWX66" s="349"/>
      <c r="FWY66" s="349"/>
      <c r="FWZ66" s="349"/>
      <c r="FXA66" s="349"/>
      <c r="FXB66" s="349"/>
      <c r="FXC66" s="349"/>
      <c r="FXD66" s="349"/>
      <c r="FXE66" s="349"/>
      <c r="FXF66" s="349"/>
      <c r="FXG66" s="349"/>
      <c r="FXH66" s="349"/>
      <c r="FXI66" s="349"/>
      <c r="FXJ66" s="349"/>
      <c r="FXK66" s="349"/>
      <c r="FXL66" s="349"/>
      <c r="FXM66" s="349"/>
      <c r="FXN66" s="349"/>
      <c r="FXO66" s="349"/>
      <c r="FXP66" s="349"/>
      <c r="FXQ66" s="349"/>
      <c r="FXR66" s="349"/>
      <c r="FXS66" s="349"/>
      <c r="FXT66" s="349"/>
      <c r="FXU66" s="349"/>
      <c r="FXV66" s="349"/>
      <c r="FXW66" s="349"/>
      <c r="FXX66" s="349"/>
      <c r="FXY66" s="349"/>
      <c r="FXZ66" s="349"/>
      <c r="FYA66" s="349"/>
      <c r="FYB66" s="349"/>
      <c r="FYC66" s="349"/>
      <c r="FYD66" s="349"/>
      <c r="FYE66" s="349"/>
      <c r="FYF66" s="349"/>
      <c r="FYG66" s="349"/>
      <c r="FYH66" s="349"/>
      <c r="FYI66" s="349"/>
      <c r="FYJ66" s="349"/>
      <c r="FYK66" s="349"/>
      <c r="FYL66" s="349"/>
      <c r="FYM66" s="349"/>
      <c r="FYN66" s="349"/>
      <c r="FYO66" s="349"/>
      <c r="FYP66" s="349"/>
      <c r="FYQ66" s="349"/>
      <c r="FYR66" s="349"/>
      <c r="FYS66" s="349"/>
      <c r="FYT66" s="349"/>
      <c r="FYU66" s="349"/>
      <c r="FYV66" s="349"/>
      <c r="FYW66" s="349"/>
      <c r="FYX66" s="349"/>
      <c r="FYY66" s="349"/>
      <c r="FYZ66" s="349"/>
      <c r="FZA66" s="349"/>
      <c r="FZB66" s="349"/>
      <c r="FZC66" s="349"/>
      <c r="FZD66" s="349"/>
      <c r="FZE66" s="349"/>
      <c r="FZF66" s="349"/>
      <c r="FZG66" s="349"/>
      <c r="FZH66" s="349"/>
      <c r="FZI66" s="349"/>
      <c r="FZJ66" s="349"/>
      <c r="FZK66" s="349"/>
      <c r="FZL66" s="349"/>
      <c r="FZM66" s="349"/>
      <c r="FZN66" s="349"/>
      <c r="FZO66" s="349"/>
      <c r="FZP66" s="349"/>
      <c r="FZQ66" s="349"/>
      <c r="FZR66" s="349"/>
      <c r="FZS66" s="349"/>
      <c r="FZT66" s="349"/>
      <c r="FZU66" s="349"/>
      <c r="FZV66" s="349"/>
      <c r="FZW66" s="349"/>
      <c r="FZX66" s="349"/>
      <c r="FZY66" s="349"/>
      <c r="FZZ66" s="349"/>
      <c r="GAA66" s="349"/>
      <c r="GAB66" s="349"/>
      <c r="GAC66" s="349"/>
      <c r="GAD66" s="349"/>
      <c r="GAE66" s="349"/>
      <c r="GAF66" s="349"/>
      <c r="GAG66" s="349"/>
      <c r="GAH66" s="349"/>
      <c r="GAI66" s="349"/>
      <c r="GAJ66" s="349"/>
      <c r="GAK66" s="349"/>
      <c r="GAL66" s="349"/>
      <c r="GAM66" s="349"/>
      <c r="GAN66" s="349"/>
      <c r="GAO66" s="349"/>
      <c r="GAP66" s="349"/>
      <c r="GAQ66" s="349"/>
      <c r="GAR66" s="349"/>
      <c r="GAS66" s="349"/>
      <c r="GAT66" s="349"/>
      <c r="GAU66" s="349"/>
      <c r="GAV66" s="349"/>
      <c r="GAW66" s="349"/>
      <c r="GAX66" s="349"/>
      <c r="GAY66" s="349"/>
      <c r="GAZ66" s="349"/>
      <c r="GBA66" s="349"/>
      <c r="GBB66" s="349"/>
      <c r="GBC66" s="349"/>
      <c r="GBD66" s="349"/>
      <c r="GBE66" s="349"/>
      <c r="GBF66" s="349"/>
      <c r="GBG66" s="349"/>
      <c r="GBH66" s="349"/>
      <c r="GBI66" s="349"/>
      <c r="GBJ66" s="349"/>
      <c r="GBK66" s="349"/>
      <c r="GBL66" s="349"/>
      <c r="GBM66" s="349"/>
      <c r="GBN66" s="349"/>
      <c r="GBO66" s="349"/>
      <c r="GBP66" s="349"/>
      <c r="GBQ66" s="349"/>
      <c r="GBR66" s="349"/>
      <c r="GBS66" s="349"/>
      <c r="GBT66" s="349"/>
      <c r="GBU66" s="349"/>
      <c r="GBV66" s="349"/>
      <c r="GBW66" s="349"/>
      <c r="GBX66" s="349"/>
      <c r="GBY66" s="349"/>
      <c r="GBZ66" s="349"/>
      <c r="GCA66" s="349"/>
      <c r="GCB66" s="349"/>
      <c r="GCC66" s="349"/>
      <c r="GCD66" s="349"/>
      <c r="GCE66" s="349"/>
      <c r="GCF66" s="349"/>
      <c r="GCG66" s="349"/>
      <c r="GCH66" s="349"/>
      <c r="GCI66" s="349"/>
      <c r="GCJ66" s="349"/>
      <c r="GCK66" s="349"/>
      <c r="GCL66" s="349"/>
      <c r="GCM66" s="349"/>
      <c r="GCN66" s="349"/>
      <c r="GCO66" s="349"/>
      <c r="GCP66" s="349"/>
      <c r="GCQ66" s="349"/>
      <c r="GCR66" s="349"/>
      <c r="GCS66" s="349"/>
      <c r="GCT66" s="349"/>
      <c r="GCU66" s="349"/>
      <c r="GCV66" s="349"/>
      <c r="GCW66" s="349"/>
      <c r="GCX66" s="349"/>
      <c r="GCY66" s="349"/>
      <c r="GCZ66" s="349"/>
      <c r="GDA66" s="349"/>
      <c r="GDB66" s="349"/>
      <c r="GDC66" s="349"/>
      <c r="GDD66" s="349"/>
      <c r="GDE66" s="349"/>
      <c r="GDF66" s="349"/>
      <c r="GDG66" s="349"/>
      <c r="GDH66" s="349"/>
      <c r="GDI66" s="349"/>
      <c r="GDJ66" s="349"/>
      <c r="GDK66" s="349"/>
      <c r="GDL66" s="349"/>
      <c r="GDM66" s="349"/>
      <c r="GDN66" s="349"/>
      <c r="GDO66" s="349"/>
      <c r="GDP66" s="349"/>
      <c r="GDQ66" s="349"/>
      <c r="GDR66" s="349"/>
      <c r="GDS66" s="349"/>
      <c r="GDT66" s="349"/>
      <c r="GDU66" s="349"/>
      <c r="GDV66" s="349"/>
      <c r="GDW66" s="349"/>
      <c r="GDX66" s="349"/>
      <c r="GDY66" s="349"/>
      <c r="GDZ66" s="349"/>
      <c r="GEA66" s="349"/>
      <c r="GEB66" s="349"/>
      <c r="GEC66" s="349"/>
      <c r="GED66" s="349"/>
      <c r="GEE66" s="349"/>
      <c r="GEF66" s="349"/>
      <c r="GEG66" s="349"/>
      <c r="GEH66" s="349"/>
      <c r="GEI66" s="349"/>
      <c r="GEJ66" s="349"/>
      <c r="GEK66" s="349"/>
      <c r="GEL66" s="349"/>
      <c r="GEM66" s="349"/>
      <c r="GEN66" s="349"/>
      <c r="GEO66" s="349"/>
      <c r="GEP66" s="349"/>
      <c r="GEQ66" s="349"/>
      <c r="GER66" s="349"/>
      <c r="GES66" s="349"/>
      <c r="GET66" s="349"/>
      <c r="GEU66" s="349"/>
      <c r="GEV66" s="349"/>
      <c r="GEW66" s="349"/>
      <c r="GEX66" s="349"/>
      <c r="GEY66" s="349"/>
      <c r="GEZ66" s="349"/>
      <c r="GFA66" s="349"/>
      <c r="GFB66" s="349"/>
      <c r="GFC66" s="349"/>
      <c r="GFD66" s="349"/>
      <c r="GFE66" s="349"/>
      <c r="GFF66" s="349"/>
      <c r="GFG66" s="349"/>
      <c r="GFH66" s="349"/>
      <c r="GFI66" s="349"/>
      <c r="GFJ66" s="349"/>
      <c r="GFK66" s="349"/>
      <c r="GFL66" s="349"/>
      <c r="GFM66" s="349"/>
      <c r="GFN66" s="349"/>
      <c r="GFO66" s="349"/>
      <c r="GFP66" s="349"/>
      <c r="GFQ66" s="349"/>
      <c r="GFR66" s="349"/>
      <c r="GFS66" s="349"/>
      <c r="GFT66" s="349"/>
      <c r="GFU66" s="349"/>
      <c r="GFV66" s="349"/>
      <c r="GFW66" s="349"/>
      <c r="GFX66" s="349"/>
      <c r="GFY66" s="349"/>
      <c r="GFZ66" s="349"/>
      <c r="GGA66" s="349"/>
      <c r="GGB66" s="349"/>
      <c r="GGC66" s="349"/>
      <c r="GGD66" s="349"/>
      <c r="GGE66" s="349"/>
      <c r="GGF66" s="349"/>
      <c r="GGG66" s="349"/>
      <c r="GGH66" s="349"/>
      <c r="GGI66" s="349"/>
      <c r="GGJ66" s="349"/>
      <c r="GGK66" s="349"/>
      <c r="GGL66" s="349"/>
      <c r="GGM66" s="349"/>
      <c r="GGN66" s="349"/>
      <c r="GGO66" s="349"/>
      <c r="GGP66" s="349"/>
      <c r="GGQ66" s="349"/>
      <c r="GGR66" s="349"/>
      <c r="GGS66" s="349"/>
      <c r="GGT66" s="349"/>
      <c r="GGU66" s="349"/>
      <c r="GGV66" s="349"/>
      <c r="GGW66" s="349"/>
      <c r="GGX66" s="349"/>
      <c r="GGY66" s="349"/>
      <c r="GGZ66" s="349"/>
      <c r="GHA66" s="349"/>
      <c r="GHB66" s="349"/>
      <c r="GHC66" s="349"/>
      <c r="GHD66" s="349"/>
      <c r="GHE66" s="349"/>
      <c r="GHF66" s="349"/>
      <c r="GHG66" s="349"/>
      <c r="GHH66" s="349"/>
      <c r="GHI66" s="349"/>
      <c r="GHJ66" s="349"/>
      <c r="GHK66" s="349"/>
      <c r="GHL66" s="349"/>
      <c r="GHM66" s="349"/>
      <c r="GHN66" s="349"/>
      <c r="GHO66" s="349"/>
      <c r="GHP66" s="349"/>
      <c r="GHQ66" s="349"/>
      <c r="GHR66" s="349"/>
      <c r="GHS66" s="349"/>
      <c r="GHT66" s="349"/>
      <c r="GHU66" s="349"/>
      <c r="GHV66" s="349"/>
      <c r="GHW66" s="349"/>
      <c r="GHX66" s="349"/>
      <c r="GHY66" s="349"/>
      <c r="GHZ66" s="349"/>
      <c r="GIA66" s="349"/>
      <c r="GIB66" s="349"/>
      <c r="GIC66" s="349"/>
      <c r="GID66" s="349"/>
      <c r="GIE66" s="349"/>
      <c r="GIF66" s="349"/>
      <c r="GIG66" s="349"/>
      <c r="GIH66" s="349"/>
      <c r="GII66" s="349"/>
      <c r="GIJ66" s="349"/>
      <c r="GIK66" s="349"/>
      <c r="GIL66" s="349"/>
      <c r="GIM66" s="349"/>
      <c r="GIN66" s="349"/>
      <c r="GIO66" s="349"/>
      <c r="GIP66" s="349"/>
      <c r="GIQ66" s="349"/>
      <c r="GIR66" s="349"/>
      <c r="GIS66" s="349"/>
      <c r="GIT66" s="349"/>
      <c r="GIU66" s="349"/>
      <c r="GIV66" s="349"/>
      <c r="GIW66" s="349"/>
      <c r="GIX66" s="349"/>
      <c r="GIY66" s="349"/>
      <c r="GIZ66" s="349"/>
      <c r="GJA66" s="349"/>
      <c r="GJB66" s="349"/>
      <c r="GJC66" s="349"/>
      <c r="GJD66" s="349"/>
      <c r="GJE66" s="349"/>
      <c r="GJF66" s="349"/>
      <c r="GJG66" s="349"/>
      <c r="GJH66" s="349"/>
      <c r="GJI66" s="349"/>
      <c r="GJJ66" s="349"/>
      <c r="GJK66" s="349"/>
      <c r="GJL66" s="349"/>
      <c r="GJM66" s="349"/>
      <c r="GJN66" s="349"/>
      <c r="GJO66" s="349"/>
      <c r="GJP66" s="349"/>
      <c r="GJQ66" s="349"/>
      <c r="GJR66" s="349"/>
      <c r="GJS66" s="349"/>
      <c r="GJT66" s="349"/>
      <c r="GJU66" s="349"/>
      <c r="GJV66" s="349"/>
      <c r="GJW66" s="349"/>
      <c r="GJX66" s="349"/>
      <c r="GJY66" s="349"/>
      <c r="GJZ66" s="349"/>
      <c r="GKA66" s="349"/>
      <c r="GKB66" s="349"/>
      <c r="GKC66" s="349"/>
      <c r="GKD66" s="349"/>
      <c r="GKE66" s="349"/>
      <c r="GKF66" s="349"/>
      <c r="GKG66" s="349"/>
      <c r="GKH66" s="349"/>
      <c r="GKI66" s="349"/>
      <c r="GKJ66" s="349"/>
      <c r="GKK66" s="349"/>
      <c r="GKL66" s="349"/>
      <c r="GKM66" s="349"/>
      <c r="GKN66" s="349"/>
      <c r="GKO66" s="349"/>
      <c r="GKP66" s="349"/>
      <c r="GKQ66" s="349"/>
      <c r="GKR66" s="349"/>
      <c r="GKS66" s="349"/>
      <c r="GKT66" s="349"/>
      <c r="GKU66" s="349"/>
      <c r="GKV66" s="349"/>
      <c r="GKW66" s="349"/>
      <c r="GKX66" s="349"/>
      <c r="GKY66" s="349"/>
      <c r="GKZ66" s="349"/>
      <c r="GLA66" s="349"/>
      <c r="GLB66" s="349"/>
      <c r="GLC66" s="349"/>
      <c r="GLD66" s="349"/>
      <c r="GLE66" s="349"/>
      <c r="GLF66" s="349"/>
      <c r="GLG66" s="349"/>
      <c r="GLH66" s="349"/>
      <c r="GLI66" s="349"/>
      <c r="GLJ66" s="349"/>
      <c r="GLK66" s="349"/>
      <c r="GLL66" s="349"/>
      <c r="GLM66" s="349"/>
      <c r="GLN66" s="349"/>
      <c r="GLO66" s="349"/>
      <c r="GLP66" s="349"/>
      <c r="GLQ66" s="349"/>
      <c r="GLR66" s="349"/>
      <c r="GLS66" s="349"/>
      <c r="GLT66" s="349"/>
      <c r="GLU66" s="349"/>
      <c r="GLV66" s="349"/>
      <c r="GLW66" s="349"/>
      <c r="GLX66" s="349"/>
      <c r="GLY66" s="349"/>
      <c r="GLZ66" s="349"/>
      <c r="GMA66" s="349"/>
      <c r="GMB66" s="349"/>
      <c r="GMC66" s="349"/>
      <c r="GMD66" s="349"/>
      <c r="GME66" s="349"/>
      <c r="GMF66" s="349"/>
      <c r="GMG66" s="349"/>
      <c r="GMH66" s="349"/>
      <c r="GMI66" s="349"/>
      <c r="GMJ66" s="349"/>
      <c r="GMK66" s="349"/>
      <c r="GML66" s="349"/>
      <c r="GMM66" s="349"/>
      <c r="GMN66" s="349"/>
      <c r="GMO66" s="349"/>
      <c r="GMP66" s="349"/>
      <c r="GMQ66" s="349"/>
      <c r="GMR66" s="349"/>
      <c r="GMS66" s="349"/>
      <c r="GMT66" s="349"/>
      <c r="GMU66" s="349"/>
      <c r="GMV66" s="349"/>
      <c r="GMW66" s="349"/>
      <c r="GMX66" s="349"/>
      <c r="GMY66" s="349"/>
      <c r="GMZ66" s="349"/>
      <c r="GNA66" s="349"/>
      <c r="GNB66" s="349"/>
      <c r="GNC66" s="349"/>
      <c r="GND66" s="349"/>
      <c r="GNE66" s="349"/>
      <c r="GNF66" s="349"/>
      <c r="GNG66" s="349"/>
      <c r="GNH66" s="349"/>
      <c r="GNI66" s="349"/>
      <c r="GNJ66" s="349"/>
      <c r="GNK66" s="349"/>
      <c r="GNL66" s="349"/>
      <c r="GNM66" s="349"/>
      <c r="GNN66" s="349"/>
      <c r="GNO66" s="349"/>
      <c r="GNP66" s="349"/>
      <c r="GNQ66" s="349"/>
      <c r="GNR66" s="349"/>
      <c r="GNS66" s="349"/>
      <c r="GNT66" s="349"/>
      <c r="GNU66" s="349"/>
      <c r="GNV66" s="349"/>
      <c r="GNW66" s="349"/>
      <c r="GNX66" s="349"/>
      <c r="GNY66" s="349"/>
      <c r="GNZ66" s="349"/>
      <c r="GOA66" s="349"/>
      <c r="GOB66" s="349"/>
      <c r="GOC66" s="349"/>
      <c r="GOD66" s="349"/>
      <c r="GOE66" s="349"/>
      <c r="GOF66" s="349"/>
      <c r="GOG66" s="349"/>
      <c r="GOH66" s="349"/>
      <c r="GOI66" s="349"/>
      <c r="GOJ66" s="349"/>
      <c r="GOK66" s="349"/>
      <c r="GOL66" s="349"/>
      <c r="GOM66" s="349"/>
      <c r="GON66" s="349"/>
      <c r="GOO66" s="349"/>
      <c r="GOP66" s="349"/>
      <c r="GOQ66" s="349"/>
      <c r="GOR66" s="349"/>
      <c r="GOS66" s="349"/>
      <c r="GOT66" s="349"/>
      <c r="GOU66" s="349"/>
      <c r="GOV66" s="349"/>
      <c r="GOW66" s="349"/>
      <c r="GOX66" s="349"/>
      <c r="GOY66" s="349"/>
      <c r="GOZ66" s="349"/>
      <c r="GPA66" s="349"/>
      <c r="GPB66" s="349"/>
      <c r="GPC66" s="349"/>
      <c r="GPD66" s="349"/>
      <c r="GPE66" s="349"/>
      <c r="GPF66" s="349"/>
      <c r="GPG66" s="349"/>
      <c r="GPH66" s="349"/>
      <c r="GPI66" s="349"/>
      <c r="GPJ66" s="349"/>
      <c r="GPK66" s="349"/>
      <c r="GPL66" s="349"/>
      <c r="GPM66" s="349"/>
      <c r="GPN66" s="349"/>
      <c r="GPO66" s="349"/>
      <c r="GPP66" s="349"/>
      <c r="GPQ66" s="349"/>
      <c r="GPR66" s="349"/>
      <c r="GPS66" s="349"/>
      <c r="GPT66" s="349"/>
      <c r="GPU66" s="349"/>
      <c r="GPV66" s="349"/>
      <c r="GPW66" s="349"/>
      <c r="GPX66" s="349"/>
      <c r="GPY66" s="349"/>
      <c r="GPZ66" s="349"/>
      <c r="GQA66" s="349"/>
      <c r="GQB66" s="349"/>
      <c r="GQC66" s="349"/>
      <c r="GQD66" s="349"/>
      <c r="GQE66" s="349"/>
      <c r="GQF66" s="349"/>
      <c r="GQG66" s="349"/>
      <c r="GQH66" s="349"/>
      <c r="GQI66" s="349"/>
      <c r="GQJ66" s="349"/>
      <c r="GQK66" s="349"/>
      <c r="GQL66" s="349"/>
      <c r="GQM66" s="349"/>
      <c r="GQN66" s="349"/>
      <c r="GQO66" s="349"/>
      <c r="GQP66" s="349"/>
      <c r="GQQ66" s="349"/>
      <c r="GQR66" s="349"/>
      <c r="GQS66" s="349"/>
      <c r="GQT66" s="349"/>
      <c r="GQU66" s="349"/>
      <c r="GQV66" s="349"/>
      <c r="GQW66" s="349"/>
      <c r="GQX66" s="349"/>
      <c r="GQY66" s="349"/>
      <c r="GQZ66" s="349"/>
      <c r="GRA66" s="349"/>
      <c r="GRB66" s="349"/>
      <c r="GRC66" s="349"/>
      <c r="GRD66" s="349"/>
      <c r="GRE66" s="349"/>
      <c r="GRF66" s="349"/>
      <c r="GRG66" s="349"/>
      <c r="GRH66" s="349"/>
      <c r="GRI66" s="349"/>
      <c r="GRJ66" s="349"/>
      <c r="GRK66" s="349"/>
      <c r="GRL66" s="349"/>
      <c r="GRM66" s="349"/>
      <c r="GRN66" s="349"/>
      <c r="GRO66" s="349"/>
      <c r="GRP66" s="349"/>
      <c r="GRQ66" s="349"/>
      <c r="GRR66" s="349"/>
      <c r="GRS66" s="349"/>
      <c r="GRT66" s="349"/>
      <c r="GRU66" s="349"/>
      <c r="GRV66" s="349"/>
      <c r="GRW66" s="349"/>
      <c r="GRX66" s="349"/>
      <c r="GRY66" s="349"/>
      <c r="GRZ66" s="349"/>
      <c r="GSA66" s="349"/>
      <c r="GSB66" s="349"/>
      <c r="GSC66" s="349"/>
      <c r="GSD66" s="349"/>
      <c r="GSE66" s="349"/>
      <c r="GSF66" s="349"/>
      <c r="GSG66" s="349"/>
      <c r="GSH66" s="349"/>
      <c r="GSI66" s="349"/>
      <c r="GSJ66" s="349"/>
      <c r="GSK66" s="349"/>
      <c r="GSL66" s="349"/>
      <c r="GSM66" s="349"/>
      <c r="GSN66" s="349"/>
      <c r="GSO66" s="349"/>
      <c r="GSP66" s="349"/>
      <c r="GSQ66" s="349"/>
      <c r="GSR66" s="349"/>
      <c r="GSS66" s="349"/>
      <c r="GST66" s="349"/>
      <c r="GSU66" s="349"/>
      <c r="GSV66" s="349"/>
      <c r="GSW66" s="349"/>
      <c r="GSX66" s="349"/>
      <c r="GSY66" s="349"/>
      <c r="GSZ66" s="349"/>
      <c r="GTA66" s="349"/>
      <c r="GTB66" s="349"/>
      <c r="GTC66" s="349"/>
      <c r="GTD66" s="349"/>
      <c r="GTE66" s="349"/>
      <c r="GTF66" s="349"/>
      <c r="GTG66" s="349"/>
      <c r="GTH66" s="349"/>
      <c r="GTI66" s="349"/>
      <c r="GTJ66" s="349"/>
      <c r="GTK66" s="349"/>
      <c r="GTL66" s="349"/>
      <c r="GTM66" s="349"/>
      <c r="GTN66" s="349"/>
      <c r="GTO66" s="349"/>
      <c r="GTP66" s="349"/>
      <c r="GTQ66" s="349"/>
      <c r="GTR66" s="349"/>
      <c r="GTS66" s="349"/>
      <c r="GTT66" s="349"/>
      <c r="GTU66" s="349"/>
      <c r="GTV66" s="349"/>
      <c r="GTW66" s="349"/>
      <c r="GTX66" s="349"/>
      <c r="GTY66" s="349"/>
      <c r="GTZ66" s="349"/>
      <c r="GUA66" s="349"/>
      <c r="GUB66" s="349"/>
      <c r="GUC66" s="349"/>
      <c r="GUD66" s="349"/>
      <c r="GUE66" s="349"/>
      <c r="GUF66" s="349"/>
      <c r="GUG66" s="349"/>
      <c r="GUH66" s="349"/>
      <c r="GUI66" s="349"/>
      <c r="GUJ66" s="349"/>
      <c r="GUK66" s="349"/>
      <c r="GUL66" s="349"/>
      <c r="GUM66" s="349"/>
      <c r="GUN66" s="349"/>
      <c r="GUO66" s="349"/>
      <c r="GUP66" s="349"/>
      <c r="GUQ66" s="349"/>
      <c r="GUR66" s="349"/>
      <c r="GUS66" s="349"/>
      <c r="GUT66" s="349"/>
      <c r="GUU66" s="349"/>
      <c r="GUV66" s="349"/>
      <c r="GUW66" s="349"/>
      <c r="GUX66" s="349"/>
      <c r="GUY66" s="349"/>
      <c r="GUZ66" s="349"/>
      <c r="GVA66" s="349"/>
      <c r="GVB66" s="349"/>
      <c r="GVC66" s="349"/>
      <c r="GVD66" s="349"/>
      <c r="GVE66" s="349"/>
      <c r="GVF66" s="349"/>
      <c r="GVG66" s="349"/>
      <c r="GVH66" s="349"/>
      <c r="GVI66" s="349"/>
      <c r="GVJ66" s="349"/>
      <c r="GVK66" s="349"/>
      <c r="GVL66" s="349"/>
      <c r="GVM66" s="349"/>
      <c r="GVN66" s="349"/>
      <c r="GVO66" s="349"/>
      <c r="GVP66" s="349"/>
      <c r="GVQ66" s="349"/>
      <c r="GVR66" s="349"/>
      <c r="GVS66" s="349"/>
      <c r="GVT66" s="349"/>
      <c r="GVU66" s="349"/>
      <c r="GVV66" s="349"/>
      <c r="GVW66" s="349"/>
      <c r="GVX66" s="349"/>
      <c r="GVY66" s="349"/>
      <c r="GVZ66" s="349"/>
      <c r="GWA66" s="349"/>
      <c r="GWB66" s="349"/>
      <c r="GWC66" s="349"/>
      <c r="GWD66" s="349"/>
      <c r="GWE66" s="349"/>
      <c r="GWF66" s="349"/>
      <c r="GWG66" s="349"/>
      <c r="GWH66" s="349"/>
      <c r="GWI66" s="349"/>
      <c r="GWJ66" s="349"/>
      <c r="GWK66" s="349"/>
      <c r="GWL66" s="349"/>
      <c r="GWM66" s="349"/>
      <c r="GWN66" s="349"/>
      <c r="GWO66" s="349"/>
      <c r="GWP66" s="349"/>
      <c r="GWQ66" s="349"/>
      <c r="GWR66" s="349"/>
      <c r="GWS66" s="349"/>
      <c r="GWT66" s="349"/>
      <c r="GWU66" s="349"/>
      <c r="GWV66" s="349"/>
      <c r="GWW66" s="349"/>
      <c r="GWX66" s="349"/>
      <c r="GWY66" s="349"/>
      <c r="GWZ66" s="349"/>
      <c r="GXA66" s="349"/>
      <c r="GXB66" s="349"/>
      <c r="GXC66" s="349"/>
      <c r="GXD66" s="349"/>
      <c r="GXE66" s="349"/>
      <c r="GXF66" s="349"/>
      <c r="GXG66" s="349"/>
      <c r="GXH66" s="349"/>
      <c r="GXI66" s="349"/>
      <c r="GXJ66" s="349"/>
      <c r="GXK66" s="349"/>
      <c r="GXL66" s="349"/>
      <c r="GXM66" s="349"/>
      <c r="GXN66" s="349"/>
      <c r="GXO66" s="349"/>
      <c r="GXP66" s="349"/>
      <c r="GXQ66" s="349"/>
      <c r="GXR66" s="349"/>
      <c r="GXS66" s="349"/>
      <c r="GXT66" s="349"/>
      <c r="GXU66" s="349"/>
      <c r="GXV66" s="349"/>
      <c r="GXW66" s="349"/>
      <c r="GXX66" s="349"/>
      <c r="GXY66" s="349"/>
      <c r="GXZ66" s="349"/>
      <c r="GYA66" s="349"/>
      <c r="GYB66" s="349"/>
      <c r="GYC66" s="349"/>
      <c r="GYD66" s="349"/>
      <c r="GYE66" s="349"/>
      <c r="GYF66" s="349"/>
      <c r="GYG66" s="349"/>
      <c r="GYH66" s="349"/>
      <c r="GYI66" s="349"/>
      <c r="GYJ66" s="349"/>
      <c r="GYK66" s="349"/>
      <c r="GYL66" s="349"/>
      <c r="GYM66" s="349"/>
      <c r="GYN66" s="349"/>
      <c r="GYO66" s="349"/>
      <c r="GYP66" s="349"/>
      <c r="GYQ66" s="349"/>
      <c r="GYR66" s="349"/>
      <c r="GYS66" s="349"/>
      <c r="GYT66" s="349"/>
      <c r="GYU66" s="349"/>
      <c r="GYV66" s="349"/>
      <c r="GYW66" s="349"/>
      <c r="GYX66" s="349"/>
      <c r="GYY66" s="349"/>
      <c r="GYZ66" s="349"/>
      <c r="GZA66" s="349"/>
      <c r="GZB66" s="349"/>
      <c r="GZC66" s="349"/>
      <c r="GZD66" s="349"/>
      <c r="GZE66" s="349"/>
      <c r="GZF66" s="349"/>
      <c r="GZG66" s="349"/>
      <c r="GZH66" s="349"/>
      <c r="GZI66" s="349"/>
      <c r="GZJ66" s="349"/>
      <c r="GZK66" s="349"/>
      <c r="GZL66" s="349"/>
      <c r="GZM66" s="349"/>
      <c r="GZN66" s="349"/>
      <c r="GZO66" s="349"/>
      <c r="GZP66" s="349"/>
      <c r="GZQ66" s="349"/>
      <c r="GZR66" s="349"/>
      <c r="GZS66" s="349"/>
      <c r="GZT66" s="349"/>
      <c r="GZU66" s="349"/>
      <c r="GZV66" s="349"/>
      <c r="GZW66" s="349"/>
      <c r="GZX66" s="349"/>
      <c r="GZY66" s="349"/>
      <c r="GZZ66" s="349"/>
      <c r="HAA66" s="349"/>
      <c r="HAB66" s="349"/>
      <c r="HAC66" s="349"/>
      <c r="HAD66" s="349"/>
      <c r="HAE66" s="349"/>
      <c r="HAF66" s="349"/>
      <c r="HAG66" s="349"/>
      <c r="HAH66" s="349"/>
      <c r="HAI66" s="349"/>
      <c r="HAJ66" s="349"/>
      <c r="HAK66" s="349"/>
      <c r="HAL66" s="349"/>
      <c r="HAM66" s="349"/>
      <c r="HAN66" s="349"/>
      <c r="HAO66" s="349"/>
      <c r="HAP66" s="349"/>
      <c r="HAQ66" s="349"/>
      <c r="HAR66" s="349"/>
      <c r="HAS66" s="349"/>
      <c r="HAT66" s="349"/>
      <c r="HAU66" s="349"/>
      <c r="HAV66" s="349"/>
      <c r="HAW66" s="349"/>
      <c r="HAX66" s="349"/>
      <c r="HAY66" s="349"/>
      <c r="HAZ66" s="349"/>
      <c r="HBA66" s="349"/>
      <c r="HBB66" s="349"/>
      <c r="HBC66" s="349"/>
      <c r="HBD66" s="349"/>
      <c r="HBE66" s="349"/>
      <c r="HBF66" s="349"/>
      <c r="HBG66" s="349"/>
      <c r="HBH66" s="349"/>
      <c r="HBI66" s="349"/>
      <c r="HBJ66" s="349"/>
      <c r="HBK66" s="349"/>
      <c r="HBL66" s="349"/>
      <c r="HBM66" s="349"/>
      <c r="HBN66" s="349"/>
      <c r="HBO66" s="349"/>
      <c r="HBP66" s="349"/>
      <c r="HBQ66" s="349"/>
      <c r="HBR66" s="349"/>
      <c r="HBS66" s="349"/>
      <c r="HBT66" s="349"/>
      <c r="HBU66" s="349"/>
      <c r="HBV66" s="349"/>
      <c r="HBW66" s="349"/>
      <c r="HBX66" s="349"/>
      <c r="HBY66" s="349"/>
      <c r="HBZ66" s="349"/>
      <c r="HCA66" s="349"/>
      <c r="HCB66" s="349"/>
      <c r="HCC66" s="349"/>
      <c r="HCD66" s="349"/>
      <c r="HCE66" s="349"/>
      <c r="HCF66" s="349"/>
      <c r="HCG66" s="349"/>
      <c r="HCH66" s="349"/>
      <c r="HCI66" s="349"/>
      <c r="HCJ66" s="349"/>
      <c r="HCK66" s="349"/>
      <c r="HCL66" s="349"/>
      <c r="HCM66" s="349"/>
      <c r="HCN66" s="349"/>
      <c r="HCO66" s="349"/>
      <c r="HCP66" s="349"/>
      <c r="HCQ66" s="349"/>
      <c r="HCR66" s="349"/>
      <c r="HCS66" s="349"/>
      <c r="HCT66" s="349"/>
      <c r="HCU66" s="349"/>
      <c r="HCV66" s="349"/>
      <c r="HCW66" s="349"/>
      <c r="HCX66" s="349"/>
      <c r="HCY66" s="349"/>
      <c r="HCZ66" s="349"/>
      <c r="HDA66" s="349"/>
      <c r="HDB66" s="349"/>
      <c r="HDC66" s="349"/>
      <c r="HDD66" s="349"/>
      <c r="HDE66" s="349"/>
      <c r="HDF66" s="349"/>
      <c r="HDG66" s="349"/>
      <c r="HDH66" s="349"/>
      <c r="HDI66" s="349"/>
      <c r="HDJ66" s="349"/>
      <c r="HDK66" s="349"/>
      <c r="HDL66" s="349"/>
      <c r="HDM66" s="349"/>
      <c r="HDN66" s="349"/>
      <c r="HDO66" s="349"/>
      <c r="HDP66" s="349"/>
      <c r="HDQ66" s="349"/>
      <c r="HDR66" s="349"/>
      <c r="HDS66" s="349"/>
      <c r="HDT66" s="349"/>
      <c r="HDU66" s="349"/>
      <c r="HDV66" s="349"/>
      <c r="HDW66" s="349"/>
      <c r="HDX66" s="349"/>
      <c r="HDY66" s="349"/>
      <c r="HDZ66" s="349"/>
      <c r="HEA66" s="349"/>
      <c r="HEB66" s="349"/>
      <c r="HEC66" s="349"/>
      <c r="HED66" s="349"/>
      <c r="HEE66" s="349"/>
      <c r="HEF66" s="349"/>
      <c r="HEG66" s="349"/>
      <c r="HEH66" s="349"/>
      <c r="HEI66" s="349"/>
      <c r="HEJ66" s="349"/>
      <c r="HEK66" s="349"/>
      <c r="HEL66" s="349"/>
      <c r="HEM66" s="349"/>
      <c r="HEN66" s="349"/>
      <c r="HEO66" s="349"/>
      <c r="HEP66" s="349"/>
      <c r="HEQ66" s="349"/>
      <c r="HER66" s="349"/>
      <c r="HES66" s="349"/>
      <c r="HET66" s="349"/>
      <c r="HEU66" s="349"/>
      <c r="HEV66" s="349"/>
      <c r="HEW66" s="349"/>
      <c r="HEX66" s="349"/>
      <c r="HEY66" s="349"/>
      <c r="HEZ66" s="349"/>
      <c r="HFA66" s="349"/>
      <c r="HFB66" s="349"/>
      <c r="HFC66" s="349"/>
      <c r="HFD66" s="349"/>
      <c r="HFE66" s="349"/>
      <c r="HFF66" s="349"/>
      <c r="HFG66" s="349"/>
      <c r="HFH66" s="349"/>
      <c r="HFI66" s="349"/>
      <c r="HFJ66" s="349"/>
      <c r="HFK66" s="349"/>
      <c r="HFL66" s="349"/>
      <c r="HFM66" s="349"/>
      <c r="HFN66" s="349"/>
      <c r="HFO66" s="349"/>
      <c r="HFP66" s="349"/>
      <c r="HFQ66" s="349"/>
      <c r="HFR66" s="349"/>
      <c r="HFS66" s="349"/>
      <c r="HFT66" s="349"/>
      <c r="HFU66" s="349"/>
      <c r="HFV66" s="349"/>
      <c r="HFW66" s="349"/>
      <c r="HFX66" s="349"/>
      <c r="HFY66" s="349"/>
      <c r="HFZ66" s="349"/>
      <c r="HGA66" s="349"/>
      <c r="HGB66" s="349"/>
      <c r="HGC66" s="349"/>
      <c r="HGD66" s="349"/>
      <c r="HGE66" s="349"/>
      <c r="HGF66" s="349"/>
      <c r="HGG66" s="349"/>
      <c r="HGH66" s="349"/>
      <c r="HGI66" s="349"/>
      <c r="HGJ66" s="349"/>
      <c r="HGK66" s="349"/>
      <c r="HGL66" s="349"/>
      <c r="HGM66" s="349"/>
      <c r="HGN66" s="349"/>
      <c r="HGO66" s="349"/>
      <c r="HGP66" s="349"/>
      <c r="HGQ66" s="349"/>
      <c r="HGR66" s="349"/>
      <c r="HGS66" s="349"/>
      <c r="HGT66" s="349"/>
      <c r="HGU66" s="349"/>
      <c r="HGV66" s="349"/>
      <c r="HGW66" s="349"/>
      <c r="HGX66" s="349"/>
      <c r="HGY66" s="349"/>
      <c r="HGZ66" s="349"/>
      <c r="HHA66" s="349"/>
      <c r="HHB66" s="349"/>
      <c r="HHC66" s="349"/>
      <c r="HHD66" s="349"/>
      <c r="HHE66" s="349"/>
      <c r="HHF66" s="349"/>
      <c r="HHG66" s="349"/>
      <c r="HHH66" s="349"/>
      <c r="HHI66" s="349"/>
      <c r="HHJ66" s="349"/>
      <c r="HHK66" s="349"/>
      <c r="HHL66" s="349"/>
      <c r="HHM66" s="349"/>
      <c r="HHN66" s="349"/>
      <c r="HHO66" s="349"/>
      <c r="HHP66" s="349"/>
      <c r="HHQ66" s="349"/>
      <c r="HHR66" s="349"/>
      <c r="HHS66" s="349"/>
      <c r="HHT66" s="349"/>
      <c r="HHU66" s="349"/>
      <c r="HHV66" s="349"/>
      <c r="HHW66" s="349"/>
      <c r="HHX66" s="349"/>
      <c r="HHY66" s="349"/>
      <c r="HHZ66" s="349"/>
      <c r="HIA66" s="349"/>
      <c r="HIB66" s="349"/>
      <c r="HIC66" s="349"/>
      <c r="HID66" s="349"/>
      <c r="HIE66" s="349"/>
      <c r="HIF66" s="349"/>
      <c r="HIG66" s="349"/>
      <c r="HIH66" s="349"/>
      <c r="HII66" s="349"/>
      <c r="HIJ66" s="349"/>
      <c r="HIK66" s="349"/>
      <c r="HIL66" s="349"/>
      <c r="HIM66" s="349"/>
      <c r="HIN66" s="349"/>
      <c r="HIO66" s="349"/>
      <c r="HIP66" s="349"/>
      <c r="HIQ66" s="349"/>
      <c r="HIR66" s="349"/>
      <c r="HIS66" s="349"/>
      <c r="HIT66" s="349"/>
      <c r="HIU66" s="349"/>
      <c r="HIV66" s="349"/>
      <c r="HIW66" s="349"/>
      <c r="HIX66" s="349"/>
      <c r="HIY66" s="349"/>
      <c r="HIZ66" s="349"/>
      <c r="HJA66" s="349"/>
      <c r="HJB66" s="349"/>
      <c r="HJC66" s="349"/>
      <c r="HJD66" s="349"/>
      <c r="HJE66" s="349"/>
      <c r="HJF66" s="349"/>
      <c r="HJG66" s="349"/>
      <c r="HJH66" s="349"/>
      <c r="HJI66" s="349"/>
      <c r="HJJ66" s="349"/>
      <c r="HJK66" s="349"/>
      <c r="HJL66" s="349"/>
      <c r="HJM66" s="349"/>
      <c r="HJN66" s="349"/>
      <c r="HJO66" s="349"/>
      <c r="HJP66" s="349"/>
      <c r="HJQ66" s="349"/>
      <c r="HJR66" s="349"/>
      <c r="HJS66" s="349"/>
      <c r="HJT66" s="349"/>
      <c r="HJU66" s="349"/>
      <c r="HJV66" s="349"/>
      <c r="HJW66" s="349"/>
      <c r="HJX66" s="349"/>
      <c r="HJY66" s="349"/>
      <c r="HJZ66" s="349"/>
      <c r="HKA66" s="349"/>
      <c r="HKB66" s="349"/>
      <c r="HKC66" s="349"/>
      <c r="HKD66" s="349"/>
      <c r="HKE66" s="349"/>
      <c r="HKF66" s="349"/>
      <c r="HKG66" s="349"/>
      <c r="HKH66" s="349"/>
      <c r="HKI66" s="349"/>
      <c r="HKJ66" s="349"/>
      <c r="HKK66" s="349"/>
      <c r="HKL66" s="349"/>
      <c r="HKM66" s="349"/>
      <c r="HKN66" s="349"/>
      <c r="HKO66" s="349"/>
      <c r="HKP66" s="349"/>
      <c r="HKQ66" s="349"/>
      <c r="HKR66" s="349"/>
      <c r="HKS66" s="349"/>
      <c r="HKT66" s="349"/>
      <c r="HKU66" s="349"/>
      <c r="HKV66" s="349"/>
      <c r="HKW66" s="349"/>
      <c r="HKX66" s="349"/>
      <c r="HKY66" s="349"/>
      <c r="HKZ66" s="349"/>
      <c r="HLA66" s="349"/>
      <c r="HLB66" s="349"/>
      <c r="HLC66" s="349"/>
      <c r="HLD66" s="349"/>
      <c r="HLE66" s="349"/>
      <c r="HLF66" s="349"/>
      <c r="HLG66" s="349"/>
      <c r="HLH66" s="349"/>
      <c r="HLI66" s="349"/>
      <c r="HLJ66" s="349"/>
      <c r="HLK66" s="349"/>
      <c r="HLL66" s="349"/>
      <c r="HLM66" s="349"/>
      <c r="HLN66" s="349"/>
      <c r="HLO66" s="349"/>
      <c r="HLP66" s="349"/>
      <c r="HLQ66" s="349"/>
      <c r="HLR66" s="349"/>
      <c r="HLS66" s="349"/>
      <c r="HLT66" s="349"/>
      <c r="HLU66" s="349"/>
      <c r="HLV66" s="349"/>
      <c r="HLW66" s="349"/>
      <c r="HLX66" s="349"/>
      <c r="HLY66" s="349"/>
      <c r="HLZ66" s="349"/>
      <c r="HMA66" s="349"/>
      <c r="HMB66" s="349"/>
      <c r="HMC66" s="349"/>
      <c r="HMD66" s="349"/>
      <c r="HME66" s="349"/>
      <c r="HMF66" s="349"/>
      <c r="HMG66" s="349"/>
      <c r="HMH66" s="349"/>
      <c r="HMI66" s="349"/>
      <c r="HMJ66" s="349"/>
      <c r="HMK66" s="349"/>
      <c r="HML66" s="349"/>
      <c r="HMM66" s="349"/>
      <c r="HMN66" s="349"/>
      <c r="HMO66" s="349"/>
      <c r="HMP66" s="349"/>
      <c r="HMQ66" s="349"/>
      <c r="HMR66" s="349"/>
      <c r="HMS66" s="349"/>
      <c r="HMT66" s="349"/>
      <c r="HMU66" s="349"/>
      <c r="HMV66" s="349"/>
      <c r="HMW66" s="349"/>
      <c r="HMX66" s="349"/>
      <c r="HMY66" s="349"/>
      <c r="HMZ66" s="349"/>
      <c r="HNA66" s="349"/>
      <c r="HNB66" s="349"/>
      <c r="HNC66" s="349"/>
      <c r="HND66" s="349"/>
      <c r="HNE66" s="349"/>
      <c r="HNF66" s="349"/>
      <c r="HNG66" s="349"/>
      <c r="HNH66" s="349"/>
      <c r="HNI66" s="349"/>
      <c r="HNJ66" s="349"/>
      <c r="HNK66" s="349"/>
      <c r="HNL66" s="349"/>
      <c r="HNM66" s="349"/>
      <c r="HNN66" s="349"/>
      <c r="HNO66" s="349"/>
      <c r="HNP66" s="349"/>
      <c r="HNQ66" s="349"/>
      <c r="HNR66" s="349"/>
      <c r="HNS66" s="349"/>
      <c r="HNT66" s="349"/>
      <c r="HNU66" s="349"/>
      <c r="HNV66" s="349"/>
      <c r="HNW66" s="349"/>
      <c r="HNX66" s="349"/>
      <c r="HNY66" s="349"/>
      <c r="HNZ66" s="349"/>
      <c r="HOA66" s="349"/>
      <c r="HOB66" s="349"/>
      <c r="HOC66" s="349"/>
      <c r="HOD66" s="349"/>
      <c r="HOE66" s="349"/>
      <c r="HOF66" s="349"/>
      <c r="HOG66" s="349"/>
      <c r="HOH66" s="349"/>
      <c r="HOI66" s="349"/>
      <c r="HOJ66" s="349"/>
      <c r="HOK66" s="349"/>
      <c r="HOL66" s="349"/>
      <c r="HOM66" s="349"/>
      <c r="HON66" s="349"/>
      <c r="HOO66" s="349"/>
      <c r="HOP66" s="349"/>
      <c r="HOQ66" s="349"/>
      <c r="HOR66" s="349"/>
      <c r="HOS66" s="349"/>
      <c r="HOT66" s="349"/>
      <c r="HOU66" s="349"/>
      <c r="HOV66" s="349"/>
      <c r="HOW66" s="349"/>
      <c r="HOX66" s="349"/>
      <c r="HOY66" s="349"/>
      <c r="HOZ66" s="349"/>
      <c r="HPA66" s="349"/>
      <c r="HPB66" s="349"/>
      <c r="HPC66" s="349"/>
      <c r="HPD66" s="349"/>
      <c r="HPE66" s="349"/>
      <c r="HPF66" s="349"/>
      <c r="HPG66" s="349"/>
      <c r="HPH66" s="349"/>
      <c r="HPI66" s="349"/>
      <c r="HPJ66" s="349"/>
      <c r="HPK66" s="349"/>
      <c r="HPL66" s="349"/>
      <c r="HPM66" s="349"/>
      <c r="HPN66" s="349"/>
      <c r="HPO66" s="349"/>
      <c r="HPP66" s="349"/>
      <c r="HPQ66" s="349"/>
      <c r="HPR66" s="349"/>
      <c r="HPS66" s="349"/>
      <c r="HPT66" s="349"/>
      <c r="HPU66" s="349"/>
      <c r="HPV66" s="349"/>
      <c r="HPW66" s="349"/>
      <c r="HPX66" s="349"/>
      <c r="HPY66" s="349"/>
      <c r="HPZ66" s="349"/>
      <c r="HQA66" s="349"/>
      <c r="HQB66" s="349"/>
      <c r="HQC66" s="349"/>
      <c r="HQD66" s="349"/>
      <c r="HQE66" s="349"/>
      <c r="HQF66" s="349"/>
      <c r="HQG66" s="349"/>
      <c r="HQH66" s="349"/>
      <c r="HQI66" s="349"/>
      <c r="HQJ66" s="349"/>
      <c r="HQK66" s="349"/>
      <c r="HQL66" s="349"/>
      <c r="HQM66" s="349"/>
      <c r="HQN66" s="349"/>
      <c r="HQO66" s="349"/>
      <c r="HQP66" s="349"/>
      <c r="HQQ66" s="349"/>
      <c r="HQR66" s="349"/>
      <c r="HQS66" s="349"/>
      <c r="HQT66" s="349"/>
      <c r="HQU66" s="349"/>
      <c r="HQV66" s="349"/>
      <c r="HQW66" s="349"/>
      <c r="HQX66" s="349"/>
      <c r="HQY66" s="349"/>
      <c r="HQZ66" s="349"/>
      <c r="HRA66" s="349"/>
      <c r="HRB66" s="349"/>
      <c r="HRC66" s="349"/>
      <c r="HRD66" s="349"/>
      <c r="HRE66" s="349"/>
      <c r="HRF66" s="349"/>
      <c r="HRG66" s="349"/>
      <c r="HRH66" s="349"/>
      <c r="HRI66" s="349"/>
      <c r="HRJ66" s="349"/>
      <c r="HRK66" s="349"/>
      <c r="HRL66" s="349"/>
      <c r="HRM66" s="349"/>
      <c r="HRN66" s="349"/>
      <c r="HRO66" s="349"/>
      <c r="HRP66" s="349"/>
      <c r="HRQ66" s="349"/>
      <c r="HRR66" s="349"/>
      <c r="HRS66" s="349"/>
      <c r="HRT66" s="349"/>
      <c r="HRU66" s="349"/>
      <c r="HRV66" s="349"/>
      <c r="HRW66" s="349"/>
      <c r="HRX66" s="349"/>
      <c r="HRY66" s="349"/>
      <c r="HRZ66" s="349"/>
      <c r="HSA66" s="349"/>
      <c r="HSB66" s="349"/>
      <c r="HSC66" s="349"/>
      <c r="HSD66" s="349"/>
      <c r="HSE66" s="349"/>
      <c r="HSF66" s="349"/>
      <c r="HSG66" s="349"/>
      <c r="HSH66" s="349"/>
      <c r="HSI66" s="349"/>
      <c r="HSJ66" s="349"/>
      <c r="HSK66" s="349"/>
      <c r="HSL66" s="349"/>
      <c r="HSM66" s="349"/>
      <c r="HSN66" s="349"/>
      <c r="HSO66" s="349"/>
      <c r="HSP66" s="349"/>
      <c r="HSQ66" s="349"/>
      <c r="HSR66" s="349"/>
      <c r="HSS66" s="349"/>
      <c r="HST66" s="349"/>
      <c r="HSU66" s="349"/>
      <c r="HSV66" s="349"/>
      <c r="HSW66" s="349"/>
      <c r="HSX66" s="349"/>
      <c r="HSY66" s="349"/>
      <c r="HSZ66" s="349"/>
      <c r="HTA66" s="349"/>
      <c r="HTB66" s="349"/>
      <c r="HTC66" s="349"/>
      <c r="HTD66" s="349"/>
      <c r="HTE66" s="349"/>
      <c r="HTF66" s="349"/>
      <c r="HTG66" s="349"/>
      <c r="HTH66" s="349"/>
      <c r="HTI66" s="349"/>
      <c r="HTJ66" s="349"/>
      <c r="HTK66" s="349"/>
      <c r="HTL66" s="349"/>
      <c r="HTM66" s="349"/>
      <c r="HTN66" s="349"/>
      <c r="HTO66" s="349"/>
      <c r="HTP66" s="349"/>
      <c r="HTQ66" s="349"/>
      <c r="HTR66" s="349"/>
      <c r="HTS66" s="349"/>
      <c r="HTT66" s="349"/>
      <c r="HTU66" s="349"/>
      <c r="HTV66" s="349"/>
      <c r="HTW66" s="349"/>
      <c r="HTX66" s="349"/>
      <c r="HTY66" s="349"/>
      <c r="HTZ66" s="349"/>
      <c r="HUA66" s="349"/>
      <c r="HUB66" s="349"/>
      <c r="HUC66" s="349"/>
      <c r="HUD66" s="349"/>
      <c r="HUE66" s="349"/>
      <c r="HUF66" s="349"/>
      <c r="HUG66" s="349"/>
      <c r="HUH66" s="349"/>
      <c r="HUI66" s="349"/>
      <c r="HUJ66" s="349"/>
      <c r="HUK66" s="349"/>
      <c r="HUL66" s="349"/>
      <c r="HUM66" s="349"/>
      <c r="HUN66" s="349"/>
      <c r="HUO66" s="349"/>
      <c r="HUP66" s="349"/>
      <c r="HUQ66" s="349"/>
      <c r="HUR66" s="349"/>
      <c r="HUS66" s="349"/>
      <c r="HUT66" s="349"/>
      <c r="HUU66" s="349"/>
      <c r="HUV66" s="349"/>
      <c r="HUW66" s="349"/>
      <c r="HUX66" s="349"/>
      <c r="HUY66" s="349"/>
      <c r="HUZ66" s="349"/>
      <c r="HVA66" s="349"/>
      <c r="HVB66" s="349"/>
      <c r="HVC66" s="349"/>
      <c r="HVD66" s="349"/>
      <c r="HVE66" s="349"/>
      <c r="HVF66" s="349"/>
      <c r="HVG66" s="349"/>
      <c r="HVH66" s="349"/>
      <c r="HVI66" s="349"/>
      <c r="HVJ66" s="349"/>
      <c r="HVK66" s="349"/>
      <c r="HVL66" s="349"/>
      <c r="HVM66" s="349"/>
      <c r="HVN66" s="349"/>
      <c r="HVO66" s="349"/>
      <c r="HVP66" s="349"/>
      <c r="HVQ66" s="349"/>
      <c r="HVR66" s="349"/>
      <c r="HVS66" s="349"/>
      <c r="HVT66" s="349"/>
      <c r="HVU66" s="349"/>
      <c r="HVV66" s="349"/>
      <c r="HVW66" s="349"/>
      <c r="HVX66" s="349"/>
      <c r="HVY66" s="349"/>
      <c r="HVZ66" s="349"/>
      <c r="HWA66" s="349"/>
      <c r="HWB66" s="349"/>
      <c r="HWC66" s="349"/>
      <c r="HWD66" s="349"/>
      <c r="HWE66" s="349"/>
      <c r="HWF66" s="349"/>
      <c r="HWG66" s="349"/>
      <c r="HWH66" s="349"/>
      <c r="HWI66" s="349"/>
      <c r="HWJ66" s="349"/>
      <c r="HWK66" s="349"/>
      <c r="HWL66" s="349"/>
      <c r="HWM66" s="349"/>
      <c r="HWN66" s="349"/>
      <c r="HWO66" s="349"/>
      <c r="HWP66" s="349"/>
      <c r="HWQ66" s="349"/>
      <c r="HWR66" s="349"/>
      <c r="HWS66" s="349"/>
      <c r="HWT66" s="349"/>
      <c r="HWU66" s="349"/>
      <c r="HWV66" s="349"/>
      <c r="HWW66" s="349"/>
      <c r="HWX66" s="349"/>
      <c r="HWY66" s="349"/>
      <c r="HWZ66" s="349"/>
      <c r="HXA66" s="349"/>
      <c r="HXB66" s="349"/>
      <c r="HXC66" s="349"/>
      <c r="HXD66" s="349"/>
      <c r="HXE66" s="349"/>
      <c r="HXF66" s="349"/>
      <c r="HXG66" s="349"/>
      <c r="HXH66" s="349"/>
      <c r="HXI66" s="349"/>
      <c r="HXJ66" s="349"/>
      <c r="HXK66" s="349"/>
      <c r="HXL66" s="349"/>
      <c r="HXM66" s="349"/>
      <c r="HXN66" s="349"/>
      <c r="HXO66" s="349"/>
      <c r="HXP66" s="349"/>
      <c r="HXQ66" s="349"/>
      <c r="HXR66" s="349"/>
      <c r="HXS66" s="349"/>
      <c r="HXT66" s="349"/>
      <c r="HXU66" s="349"/>
      <c r="HXV66" s="349"/>
      <c r="HXW66" s="349"/>
      <c r="HXX66" s="349"/>
      <c r="HXY66" s="349"/>
      <c r="HXZ66" s="349"/>
      <c r="HYA66" s="349"/>
      <c r="HYB66" s="349"/>
      <c r="HYC66" s="349"/>
      <c r="HYD66" s="349"/>
      <c r="HYE66" s="349"/>
      <c r="HYF66" s="349"/>
      <c r="HYG66" s="349"/>
      <c r="HYH66" s="349"/>
      <c r="HYI66" s="349"/>
      <c r="HYJ66" s="349"/>
      <c r="HYK66" s="349"/>
      <c r="HYL66" s="349"/>
      <c r="HYM66" s="349"/>
      <c r="HYN66" s="349"/>
      <c r="HYO66" s="349"/>
      <c r="HYP66" s="349"/>
      <c r="HYQ66" s="349"/>
      <c r="HYR66" s="349"/>
      <c r="HYS66" s="349"/>
      <c r="HYT66" s="349"/>
      <c r="HYU66" s="349"/>
      <c r="HYV66" s="349"/>
      <c r="HYW66" s="349"/>
      <c r="HYX66" s="349"/>
      <c r="HYY66" s="349"/>
      <c r="HYZ66" s="349"/>
      <c r="HZA66" s="349"/>
      <c r="HZB66" s="349"/>
      <c r="HZC66" s="349"/>
      <c r="HZD66" s="349"/>
      <c r="HZE66" s="349"/>
      <c r="HZF66" s="349"/>
      <c r="HZG66" s="349"/>
      <c r="HZH66" s="349"/>
      <c r="HZI66" s="349"/>
      <c r="HZJ66" s="349"/>
      <c r="HZK66" s="349"/>
      <c r="HZL66" s="349"/>
      <c r="HZM66" s="349"/>
      <c r="HZN66" s="349"/>
      <c r="HZO66" s="349"/>
      <c r="HZP66" s="349"/>
      <c r="HZQ66" s="349"/>
      <c r="HZR66" s="349"/>
      <c r="HZS66" s="349"/>
      <c r="HZT66" s="349"/>
      <c r="HZU66" s="349"/>
      <c r="HZV66" s="349"/>
      <c r="HZW66" s="349"/>
      <c r="HZX66" s="349"/>
      <c r="HZY66" s="349"/>
      <c r="HZZ66" s="349"/>
      <c r="IAA66" s="349"/>
      <c r="IAB66" s="349"/>
      <c r="IAC66" s="349"/>
      <c r="IAD66" s="349"/>
      <c r="IAE66" s="349"/>
      <c r="IAF66" s="349"/>
      <c r="IAG66" s="349"/>
      <c r="IAH66" s="349"/>
      <c r="IAI66" s="349"/>
      <c r="IAJ66" s="349"/>
      <c r="IAK66" s="349"/>
      <c r="IAL66" s="349"/>
      <c r="IAM66" s="349"/>
      <c r="IAN66" s="349"/>
      <c r="IAO66" s="349"/>
      <c r="IAP66" s="349"/>
      <c r="IAQ66" s="349"/>
      <c r="IAR66" s="349"/>
      <c r="IAS66" s="349"/>
      <c r="IAT66" s="349"/>
      <c r="IAU66" s="349"/>
      <c r="IAV66" s="349"/>
      <c r="IAW66" s="349"/>
      <c r="IAX66" s="349"/>
      <c r="IAY66" s="349"/>
      <c r="IAZ66" s="349"/>
      <c r="IBA66" s="349"/>
      <c r="IBB66" s="349"/>
      <c r="IBC66" s="349"/>
      <c r="IBD66" s="349"/>
      <c r="IBE66" s="349"/>
      <c r="IBF66" s="349"/>
      <c r="IBG66" s="349"/>
      <c r="IBH66" s="349"/>
      <c r="IBI66" s="349"/>
      <c r="IBJ66" s="349"/>
      <c r="IBK66" s="349"/>
      <c r="IBL66" s="349"/>
      <c r="IBM66" s="349"/>
      <c r="IBN66" s="349"/>
      <c r="IBO66" s="349"/>
      <c r="IBP66" s="349"/>
      <c r="IBQ66" s="349"/>
      <c r="IBR66" s="349"/>
      <c r="IBS66" s="349"/>
      <c r="IBT66" s="349"/>
      <c r="IBU66" s="349"/>
      <c r="IBV66" s="349"/>
      <c r="IBW66" s="349"/>
      <c r="IBX66" s="349"/>
      <c r="IBY66" s="349"/>
      <c r="IBZ66" s="349"/>
      <c r="ICA66" s="349"/>
      <c r="ICB66" s="349"/>
      <c r="ICC66" s="349"/>
      <c r="ICD66" s="349"/>
      <c r="ICE66" s="349"/>
      <c r="ICF66" s="349"/>
      <c r="ICG66" s="349"/>
      <c r="ICH66" s="349"/>
      <c r="ICI66" s="349"/>
      <c r="ICJ66" s="349"/>
      <c r="ICK66" s="349"/>
      <c r="ICL66" s="349"/>
      <c r="ICM66" s="349"/>
      <c r="ICN66" s="349"/>
      <c r="ICO66" s="349"/>
      <c r="ICP66" s="349"/>
      <c r="ICQ66" s="349"/>
      <c r="ICR66" s="349"/>
      <c r="ICS66" s="349"/>
      <c r="ICT66" s="349"/>
      <c r="ICU66" s="349"/>
      <c r="ICV66" s="349"/>
      <c r="ICW66" s="349"/>
      <c r="ICX66" s="349"/>
      <c r="ICY66" s="349"/>
      <c r="ICZ66" s="349"/>
      <c r="IDA66" s="349"/>
      <c r="IDB66" s="349"/>
      <c r="IDC66" s="349"/>
      <c r="IDD66" s="349"/>
      <c r="IDE66" s="349"/>
      <c r="IDF66" s="349"/>
      <c r="IDG66" s="349"/>
      <c r="IDH66" s="349"/>
      <c r="IDI66" s="349"/>
      <c r="IDJ66" s="349"/>
      <c r="IDK66" s="349"/>
      <c r="IDL66" s="349"/>
      <c r="IDM66" s="349"/>
      <c r="IDN66" s="349"/>
      <c r="IDO66" s="349"/>
      <c r="IDP66" s="349"/>
      <c r="IDQ66" s="349"/>
      <c r="IDR66" s="349"/>
      <c r="IDS66" s="349"/>
      <c r="IDT66" s="349"/>
      <c r="IDU66" s="349"/>
      <c r="IDV66" s="349"/>
      <c r="IDW66" s="349"/>
      <c r="IDX66" s="349"/>
      <c r="IDY66" s="349"/>
      <c r="IDZ66" s="349"/>
      <c r="IEA66" s="349"/>
      <c r="IEB66" s="349"/>
      <c r="IEC66" s="349"/>
      <c r="IED66" s="349"/>
      <c r="IEE66" s="349"/>
      <c r="IEF66" s="349"/>
      <c r="IEG66" s="349"/>
      <c r="IEH66" s="349"/>
      <c r="IEI66" s="349"/>
      <c r="IEJ66" s="349"/>
      <c r="IEK66" s="349"/>
      <c r="IEL66" s="349"/>
      <c r="IEM66" s="349"/>
      <c r="IEN66" s="349"/>
      <c r="IEO66" s="349"/>
      <c r="IEP66" s="349"/>
      <c r="IEQ66" s="349"/>
      <c r="IER66" s="349"/>
      <c r="IES66" s="349"/>
      <c r="IET66" s="349"/>
      <c r="IEU66" s="349"/>
      <c r="IEV66" s="349"/>
      <c r="IEW66" s="349"/>
      <c r="IEX66" s="349"/>
      <c r="IEY66" s="349"/>
      <c r="IEZ66" s="349"/>
      <c r="IFA66" s="349"/>
      <c r="IFB66" s="349"/>
      <c r="IFC66" s="349"/>
      <c r="IFD66" s="349"/>
      <c r="IFE66" s="349"/>
      <c r="IFF66" s="349"/>
      <c r="IFG66" s="349"/>
      <c r="IFH66" s="349"/>
      <c r="IFI66" s="349"/>
      <c r="IFJ66" s="349"/>
      <c r="IFK66" s="349"/>
      <c r="IFL66" s="349"/>
      <c r="IFM66" s="349"/>
      <c r="IFN66" s="349"/>
      <c r="IFO66" s="349"/>
      <c r="IFP66" s="349"/>
      <c r="IFQ66" s="349"/>
      <c r="IFR66" s="349"/>
      <c r="IFS66" s="349"/>
      <c r="IFT66" s="349"/>
      <c r="IFU66" s="349"/>
      <c r="IFV66" s="349"/>
      <c r="IFW66" s="349"/>
      <c r="IFX66" s="349"/>
      <c r="IFY66" s="349"/>
      <c r="IFZ66" s="349"/>
      <c r="IGA66" s="349"/>
      <c r="IGB66" s="349"/>
      <c r="IGC66" s="349"/>
      <c r="IGD66" s="349"/>
      <c r="IGE66" s="349"/>
      <c r="IGF66" s="349"/>
      <c r="IGG66" s="349"/>
      <c r="IGH66" s="349"/>
      <c r="IGI66" s="349"/>
      <c r="IGJ66" s="349"/>
      <c r="IGK66" s="349"/>
      <c r="IGL66" s="349"/>
      <c r="IGM66" s="349"/>
      <c r="IGN66" s="349"/>
      <c r="IGO66" s="349"/>
      <c r="IGP66" s="349"/>
      <c r="IGQ66" s="349"/>
      <c r="IGR66" s="349"/>
      <c r="IGS66" s="349"/>
      <c r="IGT66" s="349"/>
      <c r="IGU66" s="349"/>
      <c r="IGV66" s="349"/>
      <c r="IGW66" s="349"/>
      <c r="IGX66" s="349"/>
      <c r="IGY66" s="349"/>
      <c r="IGZ66" s="349"/>
      <c r="IHA66" s="349"/>
      <c r="IHB66" s="349"/>
      <c r="IHC66" s="349"/>
      <c r="IHD66" s="349"/>
      <c r="IHE66" s="349"/>
      <c r="IHF66" s="349"/>
      <c r="IHG66" s="349"/>
      <c r="IHH66" s="349"/>
      <c r="IHI66" s="349"/>
      <c r="IHJ66" s="349"/>
      <c r="IHK66" s="349"/>
      <c r="IHL66" s="349"/>
      <c r="IHM66" s="349"/>
      <c r="IHN66" s="349"/>
      <c r="IHO66" s="349"/>
      <c r="IHP66" s="349"/>
      <c r="IHQ66" s="349"/>
      <c r="IHR66" s="349"/>
      <c r="IHS66" s="349"/>
      <c r="IHT66" s="349"/>
      <c r="IHU66" s="349"/>
      <c r="IHV66" s="349"/>
      <c r="IHW66" s="349"/>
      <c r="IHX66" s="349"/>
      <c r="IHY66" s="349"/>
      <c r="IHZ66" s="349"/>
      <c r="IIA66" s="349"/>
      <c r="IIB66" s="349"/>
      <c r="IIC66" s="349"/>
      <c r="IID66" s="349"/>
      <c r="IIE66" s="349"/>
      <c r="IIF66" s="349"/>
      <c r="IIG66" s="349"/>
      <c r="IIH66" s="349"/>
      <c r="III66" s="349"/>
      <c r="IIJ66" s="349"/>
      <c r="IIK66" s="349"/>
      <c r="IIL66" s="349"/>
      <c r="IIM66" s="349"/>
      <c r="IIN66" s="349"/>
      <c r="IIO66" s="349"/>
      <c r="IIP66" s="349"/>
      <c r="IIQ66" s="349"/>
      <c r="IIR66" s="349"/>
      <c r="IIS66" s="349"/>
      <c r="IIT66" s="349"/>
      <c r="IIU66" s="349"/>
      <c r="IIV66" s="349"/>
      <c r="IIW66" s="349"/>
      <c r="IIX66" s="349"/>
      <c r="IIY66" s="349"/>
      <c r="IIZ66" s="349"/>
      <c r="IJA66" s="349"/>
      <c r="IJB66" s="349"/>
      <c r="IJC66" s="349"/>
      <c r="IJD66" s="349"/>
      <c r="IJE66" s="349"/>
      <c r="IJF66" s="349"/>
      <c r="IJG66" s="349"/>
      <c r="IJH66" s="349"/>
      <c r="IJI66" s="349"/>
      <c r="IJJ66" s="349"/>
      <c r="IJK66" s="349"/>
      <c r="IJL66" s="349"/>
      <c r="IJM66" s="349"/>
      <c r="IJN66" s="349"/>
      <c r="IJO66" s="349"/>
      <c r="IJP66" s="349"/>
      <c r="IJQ66" s="349"/>
      <c r="IJR66" s="349"/>
      <c r="IJS66" s="349"/>
      <c r="IJT66" s="349"/>
      <c r="IJU66" s="349"/>
      <c r="IJV66" s="349"/>
      <c r="IJW66" s="349"/>
      <c r="IJX66" s="349"/>
      <c r="IJY66" s="349"/>
      <c r="IJZ66" s="349"/>
      <c r="IKA66" s="349"/>
      <c r="IKB66" s="349"/>
      <c r="IKC66" s="349"/>
      <c r="IKD66" s="349"/>
      <c r="IKE66" s="349"/>
      <c r="IKF66" s="349"/>
      <c r="IKG66" s="349"/>
      <c r="IKH66" s="349"/>
      <c r="IKI66" s="349"/>
      <c r="IKJ66" s="349"/>
      <c r="IKK66" s="349"/>
      <c r="IKL66" s="349"/>
      <c r="IKM66" s="349"/>
      <c r="IKN66" s="349"/>
      <c r="IKO66" s="349"/>
      <c r="IKP66" s="349"/>
      <c r="IKQ66" s="349"/>
      <c r="IKR66" s="349"/>
      <c r="IKS66" s="349"/>
      <c r="IKT66" s="349"/>
      <c r="IKU66" s="349"/>
      <c r="IKV66" s="349"/>
      <c r="IKW66" s="349"/>
      <c r="IKX66" s="349"/>
      <c r="IKY66" s="349"/>
      <c r="IKZ66" s="349"/>
      <c r="ILA66" s="349"/>
      <c r="ILB66" s="349"/>
      <c r="ILC66" s="349"/>
      <c r="ILD66" s="349"/>
      <c r="ILE66" s="349"/>
      <c r="ILF66" s="349"/>
      <c r="ILG66" s="349"/>
      <c r="ILH66" s="349"/>
      <c r="ILI66" s="349"/>
      <c r="ILJ66" s="349"/>
      <c r="ILK66" s="349"/>
      <c r="ILL66" s="349"/>
      <c r="ILM66" s="349"/>
      <c r="ILN66" s="349"/>
      <c r="ILO66" s="349"/>
      <c r="ILP66" s="349"/>
      <c r="ILQ66" s="349"/>
      <c r="ILR66" s="349"/>
      <c r="ILS66" s="349"/>
      <c r="ILT66" s="349"/>
      <c r="ILU66" s="349"/>
      <c r="ILV66" s="349"/>
      <c r="ILW66" s="349"/>
      <c r="ILX66" s="349"/>
      <c r="ILY66" s="349"/>
      <c r="ILZ66" s="349"/>
      <c r="IMA66" s="349"/>
      <c r="IMB66" s="349"/>
      <c r="IMC66" s="349"/>
      <c r="IMD66" s="349"/>
      <c r="IME66" s="349"/>
      <c r="IMF66" s="349"/>
      <c r="IMG66" s="349"/>
      <c r="IMH66" s="349"/>
      <c r="IMI66" s="349"/>
      <c r="IMJ66" s="349"/>
      <c r="IMK66" s="349"/>
      <c r="IML66" s="349"/>
      <c r="IMM66" s="349"/>
      <c r="IMN66" s="349"/>
      <c r="IMO66" s="349"/>
      <c r="IMP66" s="349"/>
      <c r="IMQ66" s="349"/>
      <c r="IMR66" s="349"/>
      <c r="IMS66" s="349"/>
      <c r="IMT66" s="349"/>
      <c r="IMU66" s="349"/>
      <c r="IMV66" s="349"/>
      <c r="IMW66" s="349"/>
      <c r="IMX66" s="349"/>
      <c r="IMY66" s="349"/>
      <c r="IMZ66" s="349"/>
      <c r="INA66" s="349"/>
      <c r="INB66" s="349"/>
      <c r="INC66" s="349"/>
      <c r="IND66" s="349"/>
      <c r="INE66" s="349"/>
      <c r="INF66" s="349"/>
      <c r="ING66" s="349"/>
      <c r="INH66" s="349"/>
      <c r="INI66" s="349"/>
      <c r="INJ66" s="349"/>
      <c r="INK66" s="349"/>
      <c r="INL66" s="349"/>
      <c r="INM66" s="349"/>
      <c r="INN66" s="349"/>
      <c r="INO66" s="349"/>
      <c r="INP66" s="349"/>
      <c r="INQ66" s="349"/>
      <c r="INR66" s="349"/>
      <c r="INS66" s="349"/>
      <c r="INT66" s="349"/>
      <c r="INU66" s="349"/>
      <c r="INV66" s="349"/>
      <c r="INW66" s="349"/>
      <c r="INX66" s="349"/>
      <c r="INY66" s="349"/>
      <c r="INZ66" s="349"/>
      <c r="IOA66" s="349"/>
      <c r="IOB66" s="349"/>
      <c r="IOC66" s="349"/>
      <c r="IOD66" s="349"/>
      <c r="IOE66" s="349"/>
      <c r="IOF66" s="349"/>
      <c r="IOG66" s="349"/>
      <c r="IOH66" s="349"/>
      <c r="IOI66" s="349"/>
      <c r="IOJ66" s="349"/>
      <c r="IOK66" s="349"/>
      <c r="IOL66" s="349"/>
      <c r="IOM66" s="349"/>
      <c r="ION66" s="349"/>
      <c r="IOO66" s="349"/>
      <c r="IOP66" s="349"/>
      <c r="IOQ66" s="349"/>
      <c r="IOR66" s="349"/>
      <c r="IOS66" s="349"/>
      <c r="IOT66" s="349"/>
      <c r="IOU66" s="349"/>
      <c r="IOV66" s="349"/>
      <c r="IOW66" s="349"/>
      <c r="IOX66" s="349"/>
      <c r="IOY66" s="349"/>
      <c r="IOZ66" s="349"/>
      <c r="IPA66" s="349"/>
      <c r="IPB66" s="349"/>
      <c r="IPC66" s="349"/>
      <c r="IPD66" s="349"/>
      <c r="IPE66" s="349"/>
      <c r="IPF66" s="349"/>
      <c r="IPG66" s="349"/>
      <c r="IPH66" s="349"/>
      <c r="IPI66" s="349"/>
      <c r="IPJ66" s="349"/>
      <c r="IPK66" s="349"/>
      <c r="IPL66" s="349"/>
      <c r="IPM66" s="349"/>
      <c r="IPN66" s="349"/>
      <c r="IPO66" s="349"/>
      <c r="IPP66" s="349"/>
      <c r="IPQ66" s="349"/>
      <c r="IPR66" s="349"/>
      <c r="IPS66" s="349"/>
      <c r="IPT66" s="349"/>
      <c r="IPU66" s="349"/>
      <c r="IPV66" s="349"/>
      <c r="IPW66" s="349"/>
      <c r="IPX66" s="349"/>
      <c r="IPY66" s="349"/>
      <c r="IPZ66" s="349"/>
      <c r="IQA66" s="349"/>
      <c r="IQB66" s="349"/>
      <c r="IQC66" s="349"/>
      <c r="IQD66" s="349"/>
      <c r="IQE66" s="349"/>
      <c r="IQF66" s="349"/>
      <c r="IQG66" s="349"/>
      <c r="IQH66" s="349"/>
      <c r="IQI66" s="349"/>
      <c r="IQJ66" s="349"/>
      <c r="IQK66" s="349"/>
      <c r="IQL66" s="349"/>
      <c r="IQM66" s="349"/>
      <c r="IQN66" s="349"/>
      <c r="IQO66" s="349"/>
      <c r="IQP66" s="349"/>
      <c r="IQQ66" s="349"/>
      <c r="IQR66" s="349"/>
      <c r="IQS66" s="349"/>
      <c r="IQT66" s="349"/>
      <c r="IQU66" s="349"/>
      <c r="IQV66" s="349"/>
      <c r="IQW66" s="349"/>
      <c r="IQX66" s="349"/>
      <c r="IQY66" s="349"/>
      <c r="IQZ66" s="349"/>
      <c r="IRA66" s="349"/>
      <c r="IRB66" s="349"/>
      <c r="IRC66" s="349"/>
      <c r="IRD66" s="349"/>
      <c r="IRE66" s="349"/>
      <c r="IRF66" s="349"/>
      <c r="IRG66" s="349"/>
      <c r="IRH66" s="349"/>
      <c r="IRI66" s="349"/>
      <c r="IRJ66" s="349"/>
      <c r="IRK66" s="349"/>
      <c r="IRL66" s="349"/>
      <c r="IRM66" s="349"/>
      <c r="IRN66" s="349"/>
      <c r="IRO66" s="349"/>
      <c r="IRP66" s="349"/>
      <c r="IRQ66" s="349"/>
      <c r="IRR66" s="349"/>
      <c r="IRS66" s="349"/>
      <c r="IRT66" s="349"/>
      <c r="IRU66" s="349"/>
      <c r="IRV66" s="349"/>
      <c r="IRW66" s="349"/>
      <c r="IRX66" s="349"/>
      <c r="IRY66" s="349"/>
      <c r="IRZ66" s="349"/>
      <c r="ISA66" s="349"/>
      <c r="ISB66" s="349"/>
      <c r="ISC66" s="349"/>
      <c r="ISD66" s="349"/>
      <c r="ISE66" s="349"/>
      <c r="ISF66" s="349"/>
      <c r="ISG66" s="349"/>
      <c r="ISH66" s="349"/>
      <c r="ISI66" s="349"/>
      <c r="ISJ66" s="349"/>
      <c r="ISK66" s="349"/>
      <c r="ISL66" s="349"/>
      <c r="ISM66" s="349"/>
      <c r="ISN66" s="349"/>
      <c r="ISO66" s="349"/>
      <c r="ISP66" s="349"/>
      <c r="ISQ66" s="349"/>
      <c r="ISR66" s="349"/>
      <c r="ISS66" s="349"/>
      <c r="IST66" s="349"/>
      <c r="ISU66" s="349"/>
      <c r="ISV66" s="349"/>
      <c r="ISW66" s="349"/>
      <c r="ISX66" s="349"/>
      <c r="ISY66" s="349"/>
      <c r="ISZ66" s="349"/>
      <c r="ITA66" s="349"/>
      <c r="ITB66" s="349"/>
      <c r="ITC66" s="349"/>
      <c r="ITD66" s="349"/>
      <c r="ITE66" s="349"/>
      <c r="ITF66" s="349"/>
      <c r="ITG66" s="349"/>
      <c r="ITH66" s="349"/>
      <c r="ITI66" s="349"/>
      <c r="ITJ66" s="349"/>
      <c r="ITK66" s="349"/>
      <c r="ITL66" s="349"/>
      <c r="ITM66" s="349"/>
      <c r="ITN66" s="349"/>
      <c r="ITO66" s="349"/>
      <c r="ITP66" s="349"/>
      <c r="ITQ66" s="349"/>
      <c r="ITR66" s="349"/>
      <c r="ITS66" s="349"/>
      <c r="ITT66" s="349"/>
      <c r="ITU66" s="349"/>
      <c r="ITV66" s="349"/>
      <c r="ITW66" s="349"/>
      <c r="ITX66" s="349"/>
      <c r="ITY66" s="349"/>
      <c r="ITZ66" s="349"/>
      <c r="IUA66" s="349"/>
      <c r="IUB66" s="349"/>
      <c r="IUC66" s="349"/>
      <c r="IUD66" s="349"/>
      <c r="IUE66" s="349"/>
      <c r="IUF66" s="349"/>
      <c r="IUG66" s="349"/>
      <c r="IUH66" s="349"/>
      <c r="IUI66" s="349"/>
      <c r="IUJ66" s="349"/>
      <c r="IUK66" s="349"/>
      <c r="IUL66" s="349"/>
      <c r="IUM66" s="349"/>
      <c r="IUN66" s="349"/>
      <c r="IUO66" s="349"/>
      <c r="IUP66" s="349"/>
      <c r="IUQ66" s="349"/>
      <c r="IUR66" s="349"/>
      <c r="IUS66" s="349"/>
      <c r="IUT66" s="349"/>
      <c r="IUU66" s="349"/>
      <c r="IUV66" s="349"/>
      <c r="IUW66" s="349"/>
      <c r="IUX66" s="349"/>
      <c r="IUY66" s="349"/>
      <c r="IUZ66" s="349"/>
      <c r="IVA66" s="349"/>
      <c r="IVB66" s="349"/>
      <c r="IVC66" s="349"/>
      <c r="IVD66" s="349"/>
      <c r="IVE66" s="349"/>
      <c r="IVF66" s="349"/>
      <c r="IVG66" s="349"/>
      <c r="IVH66" s="349"/>
      <c r="IVI66" s="349"/>
      <c r="IVJ66" s="349"/>
      <c r="IVK66" s="349"/>
      <c r="IVL66" s="349"/>
      <c r="IVM66" s="349"/>
      <c r="IVN66" s="349"/>
      <c r="IVO66" s="349"/>
      <c r="IVP66" s="349"/>
      <c r="IVQ66" s="349"/>
      <c r="IVR66" s="349"/>
      <c r="IVS66" s="349"/>
      <c r="IVT66" s="349"/>
      <c r="IVU66" s="349"/>
      <c r="IVV66" s="349"/>
      <c r="IVW66" s="349"/>
      <c r="IVX66" s="349"/>
      <c r="IVY66" s="349"/>
      <c r="IVZ66" s="349"/>
      <c r="IWA66" s="349"/>
      <c r="IWB66" s="349"/>
      <c r="IWC66" s="349"/>
      <c r="IWD66" s="349"/>
      <c r="IWE66" s="349"/>
      <c r="IWF66" s="349"/>
      <c r="IWG66" s="349"/>
      <c r="IWH66" s="349"/>
      <c r="IWI66" s="349"/>
      <c r="IWJ66" s="349"/>
      <c r="IWK66" s="349"/>
      <c r="IWL66" s="349"/>
      <c r="IWM66" s="349"/>
      <c r="IWN66" s="349"/>
      <c r="IWO66" s="349"/>
      <c r="IWP66" s="349"/>
      <c r="IWQ66" s="349"/>
      <c r="IWR66" s="349"/>
      <c r="IWS66" s="349"/>
      <c r="IWT66" s="349"/>
      <c r="IWU66" s="349"/>
      <c r="IWV66" s="349"/>
      <c r="IWW66" s="349"/>
      <c r="IWX66" s="349"/>
      <c r="IWY66" s="349"/>
      <c r="IWZ66" s="349"/>
      <c r="IXA66" s="349"/>
      <c r="IXB66" s="349"/>
      <c r="IXC66" s="349"/>
      <c r="IXD66" s="349"/>
      <c r="IXE66" s="349"/>
      <c r="IXF66" s="349"/>
      <c r="IXG66" s="349"/>
      <c r="IXH66" s="349"/>
      <c r="IXI66" s="349"/>
      <c r="IXJ66" s="349"/>
      <c r="IXK66" s="349"/>
      <c r="IXL66" s="349"/>
      <c r="IXM66" s="349"/>
      <c r="IXN66" s="349"/>
      <c r="IXO66" s="349"/>
      <c r="IXP66" s="349"/>
      <c r="IXQ66" s="349"/>
      <c r="IXR66" s="349"/>
      <c r="IXS66" s="349"/>
      <c r="IXT66" s="349"/>
      <c r="IXU66" s="349"/>
      <c r="IXV66" s="349"/>
      <c r="IXW66" s="349"/>
      <c r="IXX66" s="349"/>
      <c r="IXY66" s="349"/>
      <c r="IXZ66" s="349"/>
      <c r="IYA66" s="349"/>
      <c r="IYB66" s="349"/>
      <c r="IYC66" s="349"/>
      <c r="IYD66" s="349"/>
      <c r="IYE66" s="349"/>
      <c r="IYF66" s="349"/>
      <c r="IYG66" s="349"/>
      <c r="IYH66" s="349"/>
      <c r="IYI66" s="349"/>
      <c r="IYJ66" s="349"/>
      <c r="IYK66" s="349"/>
      <c r="IYL66" s="349"/>
      <c r="IYM66" s="349"/>
      <c r="IYN66" s="349"/>
      <c r="IYO66" s="349"/>
      <c r="IYP66" s="349"/>
      <c r="IYQ66" s="349"/>
      <c r="IYR66" s="349"/>
      <c r="IYS66" s="349"/>
      <c r="IYT66" s="349"/>
      <c r="IYU66" s="349"/>
      <c r="IYV66" s="349"/>
      <c r="IYW66" s="349"/>
      <c r="IYX66" s="349"/>
      <c r="IYY66" s="349"/>
      <c r="IYZ66" s="349"/>
      <c r="IZA66" s="349"/>
      <c r="IZB66" s="349"/>
      <c r="IZC66" s="349"/>
      <c r="IZD66" s="349"/>
      <c r="IZE66" s="349"/>
      <c r="IZF66" s="349"/>
      <c r="IZG66" s="349"/>
      <c r="IZH66" s="349"/>
      <c r="IZI66" s="349"/>
      <c r="IZJ66" s="349"/>
      <c r="IZK66" s="349"/>
      <c r="IZL66" s="349"/>
      <c r="IZM66" s="349"/>
      <c r="IZN66" s="349"/>
      <c r="IZO66" s="349"/>
      <c r="IZP66" s="349"/>
      <c r="IZQ66" s="349"/>
      <c r="IZR66" s="349"/>
      <c r="IZS66" s="349"/>
      <c r="IZT66" s="349"/>
      <c r="IZU66" s="349"/>
      <c r="IZV66" s="349"/>
      <c r="IZW66" s="349"/>
      <c r="IZX66" s="349"/>
      <c r="IZY66" s="349"/>
      <c r="IZZ66" s="349"/>
      <c r="JAA66" s="349"/>
      <c r="JAB66" s="349"/>
      <c r="JAC66" s="349"/>
      <c r="JAD66" s="349"/>
      <c r="JAE66" s="349"/>
      <c r="JAF66" s="349"/>
      <c r="JAG66" s="349"/>
      <c r="JAH66" s="349"/>
      <c r="JAI66" s="349"/>
      <c r="JAJ66" s="349"/>
      <c r="JAK66" s="349"/>
      <c r="JAL66" s="349"/>
      <c r="JAM66" s="349"/>
      <c r="JAN66" s="349"/>
      <c r="JAO66" s="349"/>
      <c r="JAP66" s="349"/>
      <c r="JAQ66" s="349"/>
      <c r="JAR66" s="349"/>
      <c r="JAS66" s="349"/>
      <c r="JAT66" s="349"/>
      <c r="JAU66" s="349"/>
      <c r="JAV66" s="349"/>
      <c r="JAW66" s="349"/>
      <c r="JAX66" s="349"/>
      <c r="JAY66" s="349"/>
      <c r="JAZ66" s="349"/>
      <c r="JBA66" s="349"/>
      <c r="JBB66" s="349"/>
      <c r="JBC66" s="349"/>
      <c r="JBD66" s="349"/>
      <c r="JBE66" s="349"/>
      <c r="JBF66" s="349"/>
      <c r="JBG66" s="349"/>
      <c r="JBH66" s="349"/>
      <c r="JBI66" s="349"/>
      <c r="JBJ66" s="349"/>
      <c r="JBK66" s="349"/>
      <c r="JBL66" s="349"/>
      <c r="JBM66" s="349"/>
      <c r="JBN66" s="349"/>
      <c r="JBO66" s="349"/>
      <c r="JBP66" s="349"/>
      <c r="JBQ66" s="349"/>
      <c r="JBR66" s="349"/>
      <c r="JBS66" s="349"/>
      <c r="JBT66" s="349"/>
      <c r="JBU66" s="349"/>
      <c r="JBV66" s="349"/>
      <c r="JBW66" s="349"/>
      <c r="JBX66" s="349"/>
      <c r="JBY66" s="349"/>
      <c r="JBZ66" s="349"/>
      <c r="JCA66" s="349"/>
      <c r="JCB66" s="349"/>
      <c r="JCC66" s="349"/>
      <c r="JCD66" s="349"/>
      <c r="JCE66" s="349"/>
      <c r="JCF66" s="349"/>
      <c r="JCG66" s="349"/>
      <c r="JCH66" s="349"/>
      <c r="JCI66" s="349"/>
      <c r="JCJ66" s="349"/>
      <c r="JCK66" s="349"/>
      <c r="JCL66" s="349"/>
      <c r="JCM66" s="349"/>
      <c r="JCN66" s="349"/>
      <c r="JCO66" s="349"/>
      <c r="JCP66" s="349"/>
      <c r="JCQ66" s="349"/>
      <c r="JCR66" s="349"/>
      <c r="JCS66" s="349"/>
      <c r="JCT66" s="349"/>
      <c r="JCU66" s="349"/>
      <c r="JCV66" s="349"/>
      <c r="JCW66" s="349"/>
      <c r="JCX66" s="349"/>
      <c r="JCY66" s="349"/>
      <c r="JCZ66" s="349"/>
      <c r="JDA66" s="349"/>
      <c r="JDB66" s="349"/>
      <c r="JDC66" s="349"/>
      <c r="JDD66" s="349"/>
      <c r="JDE66" s="349"/>
      <c r="JDF66" s="349"/>
      <c r="JDG66" s="349"/>
      <c r="JDH66" s="349"/>
      <c r="JDI66" s="349"/>
      <c r="JDJ66" s="349"/>
      <c r="JDK66" s="349"/>
      <c r="JDL66" s="349"/>
      <c r="JDM66" s="349"/>
      <c r="JDN66" s="349"/>
      <c r="JDO66" s="349"/>
      <c r="JDP66" s="349"/>
      <c r="JDQ66" s="349"/>
      <c r="JDR66" s="349"/>
      <c r="JDS66" s="349"/>
      <c r="JDT66" s="349"/>
      <c r="JDU66" s="349"/>
      <c r="JDV66" s="349"/>
      <c r="JDW66" s="349"/>
      <c r="JDX66" s="349"/>
      <c r="JDY66" s="349"/>
      <c r="JDZ66" s="349"/>
      <c r="JEA66" s="349"/>
      <c r="JEB66" s="349"/>
      <c r="JEC66" s="349"/>
      <c r="JED66" s="349"/>
      <c r="JEE66" s="349"/>
      <c r="JEF66" s="349"/>
      <c r="JEG66" s="349"/>
      <c r="JEH66" s="349"/>
      <c r="JEI66" s="349"/>
      <c r="JEJ66" s="349"/>
      <c r="JEK66" s="349"/>
      <c r="JEL66" s="349"/>
      <c r="JEM66" s="349"/>
      <c r="JEN66" s="349"/>
      <c r="JEO66" s="349"/>
      <c r="JEP66" s="349"/>
      <c r="JEQ66" s="349"/>
      <c r="JER66" s="349"/>
      <c r="JES66" s="349"/>
      <c r="JET66" s="349"/>
      <c r="JEU66" s="349"/>
      <c r="JEV66" s="349"/>
      <c r="JEW66" s="349"/>
      <c r="JEX66" s="349"/>
      <c r="JEY66" s="349"/>
      <c r="JEZ66" s="349"/>
      <c r="JFA66" s="349"/>
      <c r="JFB66" s="349"/>
      <c r="JFC66" s="349"/>
      <c r="JFD66" s="349"/>
      <c r="JFE66" s="349"/>
      <c r="JFF66" s="349"/>
      <c r="JFG66" s="349"/>
      <c r="JFH66" s="349"/>
      <c r="JFI66" s="349"/>
      <c r="JFJ66" s="349"/>
      <c r="JFK66" s="349"/>
      <c r="JFL66" s="349"/>
      <c r="JFM66" s="349"/>
      <c r="JFN66" s="349"/>
      <c r="JFO66" s="349"/>
      <c r="JFP66" s="349"/>
      <c r="JFQ66" s="349"/>
      <c r="JFR66" s="349"/>
      <c r="JFS66" s="349"/>
      <c r="JFT66" s="349"/>
      <c r="JFU66" s="349"/>
      <c r="JFV66" s="349"/>
      <c r="JFW66" s="349"/>
      <c r="JFX66" s="349"/>
      <c r="JFY66" s="349"/>
      <c r="JFZ66" s="349"/>
      <c r="JGA66" s="349"/>
      <c r="JGB66" s="349"/>
      <c r="JGC66" s="349"/>
      <c r="JGD66" s="349"/>
      <c r="JGE66" s="349"/>
      <c r="JGF66" s="349"/>
      <c r="JGG66" s="349"/>
      <c r="JGH66" s="349"/>
      <c r="JGI66" s="349"/>
      <c r="JGJ66" s="349"/>
      <c r="JGK66" s="349"/>
      <c r="JGL66" s="349"/>
      <c r="JGM66" s="349"/>
      <c r="JGN66" s="349"/>
      <c r="JGO66" s="349"/>
      <c r="JGP66" s="349"/>
      <c r="JGQ66" s="349"/>
      <c r="JGR66" s="349"/>
      <c r="JGS66" s="349"/>
      <c r="JGT66" s="349"/>
      <c r="JGU66" s="349"/>
      <c r="JGV66" s="349"/>
      <c r="JGW66" s="349"/>
      <c r="JGX66" s="349"/>
      <c r="JGY66" s="349"/>
      <c r="JGZ66" s="349"/>
      <c r="JHA66" s="349"/>
      <c r="JHB66" s="349"/>
      <c r="JHC66" s="349"/>
      <c r="JHD66" s="349"/>
      <c r="JHE66" s="349"/>
      <c r="JHF66" s="349"/>
      <c r="JHG66" s="349"/>
      <c r="JHH66" s="349"/>
      <c r="JHI66" s="349"/>
      <c r="JHJ66" s="349"/>
      <c r="JHK66" s="349"/>
      <c r="JHL66" s="349"/>
      <c r="JHM66" s="349"/>
      <c r="JHN66" s="349"/>
      <c r="JHO66" s="349"/>
      <c r="JHP66" s="349"/>
      <c r="JHQ66" s="349"/>
      <c r="JHR66" s="349"/>
      <c r="JHS66" s="349"/>
      <c r="JHT66" s="349"/>
      <c r="JHU66" s="349"/>
      <c r="JHV66" s="349"/>
      <c r="JHW66" s="349"/>
      <c r="JHX66" s="349"/>
      <c r="JHY66" s="349"/>
      <c r="JHZ66" s="349"/>
      <c r="JIA66" s="349"/>
      <c r="JIB66" s="349"/>
      <c r="JIC66" s="349"/>
      <c r="JID66" s="349"/>
      <c r="JIE66" s="349"/>
      <c r="JIF66" s="349"/>
      <c r="JIG66" s="349"/>
      <c r="JIH66" s="349"/>
      <c r="JII66" s="349"/>
      <c r="JIJ66" s="349"/>
      <c r="JIK66" s="349"/>
      <c r="JIL66" s="349"/>
      <c r="JIM66" s="349"/>
      <c r="JIN66" s="349"/>
      <c r="JIO66" s="349"/>
      <c r="JIP66" s="349"/>
      <c r="JIQ66" s="349"/>
      <c r="JIR66" s="349"/>
      <c r="JIS66" s="349"/>
      <c r="JIT66" s="349"/>
      <c r="JIU66" s="349"/>
      <c r="JIV66" s="349"/>
      <c r="JIW66" s="349"/>
      <c r="JIX66" s="349"/>
      <c r="JIY66" s="349"/>
      <c r="JIZ66" s="349"/>
      <c r="JJA66" s="349"/>
      <c r="JJB66" s="349"/>
      <c r="JJC66" s="349"/>
      <c r="JJD66" s="349"/>
      <c r="JJE66" s="349"/>
      <c r="JJF66" s="349"/>
      <c r="JJG66" s="349"/>
      <c r="JJH66" s="349"/>
      <c r="JJI66" s="349"/>
      <c r="JJJ66" s="349"/>
      <c r="JJK66" s="349"/>
      <c r="JJL66" s="349"/>
      <c r="JJM66" s="349"/>
      <c r="JJN66" s="349"/>
      <c r="JJO66" s="349"/>
      <c r="JJP66" s="349"/>
      <c r="JJQ66" s="349"/>
      <c r="JJR66" s="349"/>
      <c r="JJS66" s="349"/>
      <c r="JJT66" s="349"/>
      <c r="JJU66" s="349"/>
      <c r="JJV66" s="349"/>
      <c r="JJW66" s="349"/>
      <c r="JJX66" s="349"/>
      <c r="JJY66" s="349"/>
      <c r="JJZ66" s="349"/>
      <c r="JKA66" s="349"/>
      <c r="JKB66" s="349"/>
      <c r="JKC66" s="349"/>
      <c r="JKD66" s="349"/>
      <c r="JKE66" s="349"/>
      <c r="JKF66" s="349"/>
      <c r="JKG66" s="349"/>
      <c r="JKH66" s="349"/>
      <c r="JKI66" s="349"/>
      <c r="JKJ66" s="349"/>
      <c r="JKK66" s="349"/>
      <c r="JKL66" s="349"/>
      <c r="JKM66" s="349"/>
      <c r="JKN66" s="349"/>
      <c r="JKO66" s="349"/>
      <c r="JKP66" s="349"/>
      <c r="JKQ66" s="349"/>
      <c r="JKR66" s="349"/>
      <c r="JKS66" s="349"/>
      <c r="JKT66" s="349"/>
      <c r="JKU66" s="349"/>
      <c r="JKV66" s="349"/>
      <c r="JKW66" s="349"/>
      <c r="JKX66" s="349"/>
      <c r="JKY66" s="349"/>
      <c r="JKZ66" s="349"/>
      <c r="JLA66" s="349"/>
      <c r="JLB66" s="349"/>
      <c r="JLC66" s="349"/>
      <c r="JLD66" s="349"/>
      <c r="JLE66" s="349"/>
      <c r="JLF66" s="349"/>
      <c r="JLG66" s="349"/>
      <c r="JLH66" s="349"/>
      <c r="JLI66" s="349"/>
      <c r="JLJ66" s="349"/>
      <c r="JLK66" s="349"/>
      <c r="JLL66" s="349"/>
      <c r="JLM66" s="349"/>
      <c r="JLN66" s="349"/>
      <c r="JLO66" s="349"/>
      <c r="JLP66" s="349"/>
      <c r="JLQ66" s="349"/>
      <c r="JLR66" s="349"/>
      <c r="JLS66" s="349"/>
      <c r="JLT66" s="349"/>
      <c r="JLU66" s="349"/>
      <c r="JLV66" s="349"/>
      <c r="JLW66" s="349"/>
      <c r="JLX66" s="349"/>
      <c r="JLY66" s="349"/>
      <c r="JLZ66" s="349"/>
      <c r="JMA66" s="349"/>
      <c r="JMB66" s="349"/>
      <c r="JMC66" s="349"/>
      <c r="JMD66" s="349"/>
      <c r="JME66" s="349"/>
      <c r="JMF66" s="349"/>
      <c r="JMG66" s="349"/>
      <c r="JMH66" s="349"/>
      <c r="JMI66" s="349"/>
      <c r="JMJ66" s="349"/>
      <c r="JMK66" s="349"/>
      <c r="JML66" s="349"/>
      <c r="JMM66" s="349"/>
      <c r="JMN66" s="349"/>
      <c r="JMO66" s="349"/>
      <c r="JMP66" s="349"/>
      <c r="JMQ66" s="349"/>
      <c r="JMR66" s="349"/>
      <c r="JMS66" s="349"/>
      <c r="JMT66" s="349"/>
      <c r="JMU66" s="349"/>
      <c r="JMV66" s="349"/>
      <c r="JMW66" s="349"/>
      <c r="JMX66" s="349"/>
      <c r="JMY66" s="349"/>
      <c r="JMZ66" s="349"/>
      <c r="JNA66" s="349"/>
      <c r="JNB66" s="349"/>
      <c r="JNC66" s="349"/>
      <c r="JND66" s="349"/>
      <c r="JNE66" s="349"/>
      <c r="JNF66" s="349"/>
      <c r="JNG66" s="349"/>
      <c r="JNH66" s="349"/>
      <c r="JNI66" s="349"/>
      <c r="JNJ66" s="349"/>
      <c r="JNK66" s="349"/>
      <c r="JNL66" s="349"/>
      <c r="JNM66" s="349"/>
      <c r="JNN66" s="349"/>
      <c r="JNO66" s="349"/>
      <c r="JNP66" s="349"/>
      <c r="JNQ66" s="349"/>
      <c r="JNR66" s="349"/>
      <c r="JNS66" s="349"/>
      <c r="JNT66" s="349"/>
      <c r="JNU66" s="349"/>
      <c r="JNV66" s="349"/>
      <c r="JNW66" s="349"/>
      <c r="JNX66" s="349"/>
      <c r="JNY66" s="349"/>
      <c r="JNZ66" s="349"/>
      <c r="JOA66" s="349"/>
      <c r="JOB66" s="349"/>
      <c r="JOC66" s="349"/>
      <c r="JOD66" s="349"/>
      <c r="JOE66" s="349"/>
      <c r="JOF66" s="349"/>
      <c r="JOG66" s="349"/>
      <c r="JOH66" s="349"/>
      <c r="JOI66" s="349"/>
      <c r="JOJ66" s="349"/>
      <c r="JOK66" s="349"/>
      <c r="JOL66" s="349"/>
      <c r="JOM66" s="349"/>
      <c r="JON66" s="349"/>
      <c r="JOO66" s="349"/>
      <c r="JOP66" s="349"/>
      <c r="JOQ66" s="349"/>
      <c r="JOR66" s="349"/>
      <c r="JOS66" s="349"/>
      <c r="JOT66" s="349"/>
      <c r="JOU66" s="349"/>
      <c r="JOV66" s="349"/>
      <c r="JOW66" s="349"/>
      <c r="JOX66" s="349"/>
      <c r="JOY66" s="349"/>
      <c r="JOZ66" s="349"/>
      <c r="JPA66" s="349"/>
      <c r="JPB66" s="349"/>
      <c r="JPC66" s="349"/>
      <c r="JPD66" s="349"/>
      <c r="JPE66" s="349"/>
      <c r="JPF66" s="349"/>
      <c r="JPG66" s="349"/>
      <c r="JPH66" s="349"/>
      <c r="JPI66" s="349"/>
      <c r="JPJ66" s="349"/>
      <c r="JPK66" s="349"/>
      <c r="JPL66" s="349"/>
      <c r="JPM66" s="349"/>
      <c r="JPN66" s="349"/>
      <c r="JPO66" s="349"/>
      <c r="JPP66" s="349"/>
      <c r="JPQ66" s="349"/>
      <c r="JPR66" s="349"/>
      <c r="JPS66" s="349"/>
      <c r="JPT66" s="349"/>
      <c r="JPU66" s="349"/>
      <c r="JPV66" s="349"/>
      <c r="JPW66" s="349"/>
      <c r="JPX66" s="349"/>
      <c r="JPY66" s="349"/>
      <c r="JPZ66" s="349"/>
      <c r="JQA66" s="349"/>
      <c r="JQB66" s="349"/>
      <c r="JQC66" s="349"/>
      <c r="JQD66" s="349"/>
      <c r="JQE66" s="349"/>
      <c r="JQF66" s="349"/>
      <c r="JQG66" s="349"/>
      <c r="JQH66" s="349"/>
      <c r="JQI66" s="349"/>
      <c r="JQJ66" s="349"/>
      <c r="JQK66" s="349"/>
      <c r="JQL66" s="349"/>
      <c r="JQM66" s="349"/>
      <c r="JQN66" s="349"/>
      <c r="JQO66" s="349"/>
      <c r="JQP66" s="349"/>
      <c r="JQQ66" s="349"/>
      <c r="JQR66" s="349"/>
      <c r="JQS66" s="349"/>
      <c r="JQT66" s="349"/>
      <c r="JQU66" s="349"/>
      <c r="JQV66" s="349"/>
      <c r="JQW66" s="349"/>
      <c r="JQX66" s="349"/>
      <c r="JQY66" s="349"/>
      <c r="JQZ66" s="349"/>
      <c r="JRA66" s="349"/>
      <c r="JRB66" s="349"/>
      <c r="JRC66" s="349"/>
      <c r="JRD66" s="349"/>
      <c r="JRE66" s="349"/>
      <c r="JRF66" s="349"/>
      <c r="JRG66" s="349"/>
      <c r="JRH66" s="349"/>
      <c r="JRI66" s="349"/>
      <c r="JRJ66" s="349"/>
      <c r="JRK66" s="349"/>
      <c r="JRL66" s="349"/>
      <c r="JRM66" s="349"/>
      <c r="JRN66" s="349"/>
      <c r="JRO66" s="349"/>
      <c r="JRP66" s="349"/>
      <c r="JRQ66" s="349"/>
      <c r="JRR66" s="349"/>
      <c r="JRS66" s="349"/>
      <c r="JRT66" s="349"/>
      <c r="JRU66" s="349"/>
      <c r="JRV66" s="349"/>
      <c r="JRW66" s="349"/>
      <c r="JRX66" s="349"/>
      <c r="JRY66" s="349"/>
      <c r="JRZ66" s="349"/>
      <c r="JSA66" s="349"/>
      <c r="JSB66" s="349"/>
      <c r="JSC66" s="349"/>
      <c r="JSD66" s="349"/>
      <c r="JSE66" s="349"/>
      <c r="JSF66" s="349"/>
      <c r="JSG66" s="349"/>
      <c r="JSH66" s="349"/>
      <c r="JSI66" s="349"/>
      <c r="JSJ66" s="349"/>
      <c r="JSK66" s="349"/>
      <c r="JSL66" s="349"/>
      <c r="JSM66" s="349"/>
      <c r="JSN66" s="349"/>
      <c r="JSO66" s="349"/>
      <c r="JSP66" s="349"/>
      <c r="JSQ66" s="349"/>
      <c r="JSR66" s="349"/>
      <c r="JSS66" s="349"/>
      <c r="JST66" s="349"/>
      <c r="JSU66" s="349"/>
      <c r="JSV66" s="349"/>
      <c r="JSW66" s="349"/>
      <c r="JSX66" s="349"/>
      <c r="JSY66" s="349"/>
      <c r="JSZ66" s="349"/>
      <c r="JTA66" s="349"/>
      <c r="JTB66" s="349"/>
      <c r="JTC66" s="349"/>
      <c r="JTD66" s="349"/>
      <c r="JTE66" s="349"/>
      <c r="JTF66" s="349"/>
      <c r="JTG66" s="349"/>
      <c r="JTH66" s="349"/>
      <c r="JTI66" s="349"/>
      <c r="JTJ66" s="349"/>
      <c r="JTK66" s="349"/>
      <c r="JTL66" s="349"/>
      <c r="JTM66" s="349"/>
      <c r="JTN66" s="349"/>
      <c r="JTO66" s="349"/>
      <c r="JTP66" s="349"/>
      <c r="JTQ66" s="349"/>
      <c r="JTR66" s="349"/>
      <c r="JTS66" s="349"/>
      <c r="JTT66" s="349"/>
      <c r="JTU66" s="349"/>
      <c r="JTV66" s="349"/>
      <c r="JTW66" s="349"/>
      <c r="JTX66" s="349"/>
      <c r="JTY66" s="349"/>
      <c r="JTZ66" s="349"/>
      <c r="JUA66" s="349"/>
      <c r="JUB66" s="349"/>
      <c r="JUC66" s="349"/>
      <c r="JUD66" s="349"/>
      <c r="JUE66" s="349"/>
      <c r="JUF66" s="349"/>
      <c r="JUG66" s="349"/>
      <c r="JUH66" s="349"/>
      <c r="JUI66" s="349"/>
      <c r="JUJ66" s="349"/>
      <c r="JUK66" s="349"/>
      <c r="JUL66" s="349"/>
      <c r="JUM66" s="349"/>
      <c r="JUN66" s="349"/>
      <c r="JUO66" s="349"/>
      <c r="JUP66" s="349"/>
      <c r="JUQ66" s="349"/>
      <c r="JUR66" s="349"/>
      <c r="JUS66" s="349"/>
      <c r="JUT66" s="349"/>
      <c r="JUU66" s="349"/>
      <c r="JUV66" s="349"/>
      <c r="JUW66" s="349"/>
      <c r="JUX66" s="349"/>
      <c r="JUY66" s="349"/>
      <c r="JUZ66" s="349"/>
      <c r="JVA66" s="349"/>
      <c r="JVB66" s="349"/>
      <c r="JVC66" s="349"/>
      <c r="JVD66" s="349"/>
      <c r="JVE66" s="349"/>
      <c r="JVF66" s="349"/>
      <c r="JVG66" s="349"/>
      <c r="JVH66" s="349"/>
      <c r="JVI66" s="349"/>
      <c r="JVJ66" s="349"/>
      <c r="JVK66" s="349"/>
      <c r="JVL66" s="349"/>
      <c r="JVM66" s="349"/>
      <c r="JVN66" s="349"/>
      <c r="JVO66" s="349"/>
      <c r="JVP66" s="349"/>
      <c r="JVQ66" s="349"/>
      <c r="JVR66" s="349"/>
      <c r="JVS66" s="349"/>
      <c r="JVT66" s="349"/>
      <c r="JVU66" s="349"/>
      <c r="JVV66" s="349"/>
      <c r="JVW66" s="349"/>
      <c r="JVX66" s="349"/>
      <c r="JVY66" s="349"/>
      <c r="JVZ66" s="349"/>
      <c r="JWA66" s="349"/>
      <c r="JWB66" s="349"/>
      <c r="JWC66" s="349"/>
      <c r="JWD66" s="349"/>
      <c r="JWE66" s="349"/>
      <c r="JWF66" s="349"/>
      <c r="JWG66" s="349"/>
      <c r="JWH66" s="349"/>
      <c r="JWI66" s="349"/>
      <c r="JWJ66" s="349"/>
      <c r="JWK66" s="349"/>
      <c r="JWL66" s="349"/>
      <c r="JWM66" s="349"/>
      <c r="JWN66" s="349"/>
      <c r="JWO66" s="349"/>
      <c r="JWP66" s="349"/>
      <c r="JWQ66" s="349"/>
      <c r="JWR66" s="349"/>
      <c r="JWS66" s="349"/>
      <c r="JWT66" s="349"/>
      <c r="JWU66" s="349"/>
      <c r="JWV66" s="349"/>
      <c r="JWW66" s="349"/>
      <c r="JWX66" s="349"/>
      <c r="JWY66" s="349"/>
      <c r="JWZ66" s="349"/>
      <c r="JXA66" s="349"/>
      <c r="JXB66" s="349"/>
      <c r="JXC66" s="349"/>
      <c r="JXD66" s="349"/>
      <c r="JXE66" s="349"/>
      <c r="JXF66" s="349"/>
      <c r="JXG66" s="349"/>
      <c r="JXH66" s="349"/>
      <c r="JXI66" s="349"/>
      <c r="JXJ66" s="349"/>
      <c r="JXK66" s="349"/>
      <c r="JXL66" s="349"/>
      <c r="JXM66" s="349"/>
      <c r="JXN66" s="349"/>
      <c r="JXO66" s="349"/>
      <c r="JXP66" s="349"/>
      <c r="JXQ66" s="349"/>
      <c r="JXR66" s="349"/>
      <c r="JXS66" s="349"/>
      <c r="JXT66" s="349"/>
      <c r="JXU66" s="349"/>
      <c r="JXV66" s="349"/>
      <c r="JXW66" s="349"/>
      <c r="JXX66" s="349"/>
      <c r="JXY66" s="349"/>
      <c r="JXZ66" s="349"/>
      <c r="JYA66" s="349"/>
      <c r="JYB66" s="349"/>
      <c r="JYC66" s="349"/>
      <c r="JYD66" s="349"/>
      <c r="JYE66" s="349"/>
      <c r="JYF66" s="349"/>
      <c r="JYG66" s="349"/>
      <c r="JYH66" s="349"/>
      <c r="JYI66" s="349"/>
      <c r="JYJ66" s="349"/>
      <c r="JYK66" s="349"/>
      <c r="JYL66" s="349"/>
      <c r="JYM66" s="349"/>
      <c r="JYN66" s="349"/>
      <c r="JYO66" s="349"/>
      <c r="JYP66" s="349"/>
      <c r="JYQ66" s="349"/>
      <c r="JYR66" s="349"/>
      <c r="JYS66" s="349"/>
      <c r="JYT66" s="349"/>
      <c r="JYU66" s="349"/>
      <c r="JYV66" s="349"/>
      <c r="JYW66" s="349"/>
      <c r="JYX66" s="349"/>
      <c r="JYY66" s="349"/>
      <c r="JYZ66" s="349"/>
      <c r="JZA66" s="349"/>
      <c r="JZB66" s="349"/>
      <c r="JZC66" s="349"/>
      <c r="JZD66" s="349"/>
      <c r="JZE66" s="349"/>
      <c r="JZF66" s="349"/>
      <c r="JZG66" s="349"/>
      <c r="JZH66" s="349"/>
      <c r="JZI66" s="349"/>
      <c r="JZJ66" s="349"/>
      <c r="JZK66" s="349"/>
      <c r="JZL66" s="349"/>
      <c r="JZM66" s="349"/>
      <c r="JZN66" s="349"/>
      <c r="JZO66" s="349"/>
      <c r="JZP66" s="349"/>
      <c r="JZQ66" s="349"/>
      <c r="JZR66" s="349"/>
      <c r="JZS66" s="349"/>
      <c r="JZT66" s="349"/>
      <c r="JZU66" s="349"/>
      <c r="JZV66" s="349"/>
      <c r="JZW66" s="349"/>
      <c r="JZX66" s="349"/>
      <c r="JZY66" s="349"/>
      <c r="JZZ66" s="349"/>
      <c r="KAA66" s="349"/>
      <c r="KAB66" s="349"/>
      <c r="KAC66" s="349"/>
      <c r="KAD66" s="349"/>
      <c r="KAE66" s="349"/>
      <c r="KAF66" s="349"/>
      <c r="KAG66" s="349"/>
      <c r="KAH66" s="349"/>
      <c r="KAI66" s="349"/>
      <c r="KAJ66" s="349"/>
      <c r="KAK66" s="349"/>
      <c r="KAL66" s="349"/>
      <c r="KAM66" s="349"/>
      <c r="KAN66" s="349"/>
      <c r="KAO66" s="349"/>
      <c r="KAP66" s="349"/>
      <c r="KAQ66" s="349"/>
      <c r="KAR66" s="349"/>
      <c r="KAS66" s="349"/>
      <c r="KAT66" s="349"/>
      <c r="KAU66" s="349"/>
      <c r="KAV66" s="349"/>
      <c r="KAW66" s="349"/>
      <c r="KAX66" s="349"/>
      <c r="KAY66" s="349"/>
      <c r="KAZ66" s="349"/>
      <c r="KBA66" s="349"/>
      <c r="KBB66" s="349"/>
      <c r="KBC66" s="349"/>
      <c r="KBD66" s="349"/>
      <c r="KBE66" s="349"/>
      <c r="KBF66" s="349"/>
      <c r="KBG66" s="349"/>
      <c r="KBH66" s="349"/>
      <c r="KBI66" s="349"/>
      <c r="KBJ66" s="349"/>
      <c r="KBK66" s="349"/>
      <c r="KBL66" s="349"/>
      <c r="KBM66" s="349"/>
      <c r="KBN66" s="349"/>
      <c r="KBO66" s="349"/>
      <c r="KBP66" s="349"/>
      <c r="KBQ66" s="349"/>
      <c r="KBR66" s="349"/>
      <c r="KBS66" s="349"/>
      <c r="KBT66" s="349"/>
      <c r="KBU66" s="349"/>
      <c r="KBV66" s="349"/>
      <c r="KBW66" s="349"/>
      <c r="KBX66" s="349"/>
      <c r="KBY66" s="349"/>
      <c r="KBZ66" s="349"/>
      <c r="KCA66" s="349"/>
      <c r="KCB66" s="349"/>
      <c r="KCC66" s="349"/>
      <c r="KCD66" s="349"/>
      <c r="KCE66" s="349"/>
      <c r="KCF66" s="349"/>
      <c r="KCG66" s="349"/>
      <c r="KCH66" s="349"/>
      <c r="KCI66" s="349"/>
      <c r="KCJ66" s="349"/>
      <c r="KCK66" s="349"/>
      <c r="KCL66" s="349"/>
      <c r="KCM66" s="349"/>
      <c r="KCN66" s="349"/>
      <c r="KCO66" s="349"/>
      <c r="KCP66" s="349"/>
      <c r="KCQ66" s="349"/>
      <c r="KCR66" s="349"/>
      <c r="KCS66" s="349"/>
      <c r="KCT66" s="349"/>
      <c r="KCU66" s="349"/>
      <c r="KCV66" s="349"/>
      <c r="KCW66" s="349"/>
      <c r="KCX66" s="349"/>
      <c r="KCY66" s="349"/>
      <c r="KCZ66" s="349"/>
      <c r="KDA66" s="349"/>
      <c r="KDB66" s="349"/>
      <c r="KDC66" s="349"/>
      <c r="KDD66" s="349"/>
      <c r="KDE66" s="349"/>
      <c r="KDF66" s="349"/>
      <c r="KDG66" s="349"/>
      <c r="KDH66" s="349"/>
      <c r="KDI66" s="349"/>
      <c r="KDJ66" s="349"/>
      <c r="KDK66" s="349"/>
      <c r="KDL66" s="349"/>
      <c r="KDM66" s="349"/>
      <c r="KDN66" s="349"/>
      <c r="KDO66" s="349"/>
      <c r="KDP66" s="349"/>
      <c r="KDQ66" s="349"/>
      <c r="KDR66" s="349"/>
      <c r="KDS66" s="349"/>
      <c r="KDT66" s="349"/>
      <c r="KDU66" s="349"/>
      <c r="KDV66" s="349"/>
      <c r="KDW66" s="349"/>
      <c r="KDX66" s="349"/>
      <c r="KDY66" s="349"/>
      <c r="KDZ66" s="349"/>
      <c r="KEA66" s="349"/>
      <c r="KEB66" s="349"/>
      <c r="KEC66" s="349"/>
      <c r="KED66" s="349"/>
      <c r="KEE66" s="349"/>
      <c r="KEF66" s="349"/>
      <c r="KEG66" s="349"/>
      <c r="KEH66" s="349"/>
      <c r="KEI66" s="349"/>
      <c r="KEJ66" s="349"/>
      <c r="KEK66" s="349"/>
      <c r="KEL66" s="349"/>
      <c r="KEM66" s="349"/>
      <c r="KEN66" s="349"/>
      <c r="KEO66" s="349"/>
      <c r="KEP66" s="349"/>
      <c r="KEQ66" s="349"/>
      <c r="KER66" s="349"/>
      <c r="KES66" s="349"/>
      <c r="KET66" s="349"/>
      <c r="KEU66" s="349"/>
      <c r="KEV66" s="349"/>
      <c r="KEW66" s="349"/>
      <c r="KEX66" s="349"/>
      <c r="KEY66" s="349"/>
      <c r="KEZ66" s="349"/>
      <c r="KFA66" s="349"/>
      <c r="KFB66" s="349"/>
      <c r="KFC66" s="349"/>
      <c r="KFD66" s="349"/>
      <c r="KFE66" s="349"/>
      <c r="KFF66" s="349"/>
      <c r="KFG66" s="349"/>
      <c r="KFH66" s="349"/>
      <c r="KFI66" s="349"/>
      <c r="KFJ66" s="349"/>
      <c r="KFK66" s="349"/>
      <c r="KFL66" s="349"/>
      <c r="KFM66" s="349"/>
      <c r="KFN66" s="349"/>
      <c r="KFO66" s="349"/>
      <c r="KFP66" s="349"/>
      <c r="KFQ66" s="349"/>
      <c r="KFR66" s="349"/>
      <c r="KFS66" s="349"/>
      <c r="KFT66" s="349"/>
      <c r="KFU66" s="349"/>
      <c r="KFV66" s="349"/>
      <c r="KFW66" s="349"/>
      <c r="KFX66" s="349"/>
      <c r="KFY66" s="349"/>
      <c r="KFZ66" s="349"/>
      <c r="KGA66" s="349"/>
      <c r="KGB66" s="349"/>
      <c r="KGC66" s="349"/>
      <c r="KGD66" s="349"/>
      <c r="KGE66" s="349"/>
      <c r="KGF66" s="349"/>
      <c r="KGG66" s="349"/>
      <c r="KGH66" s="349"/>
      <c r="KGI66" s="349"/>
      <c r="KGJ66" s="349"/>
      <c r="KGK66" s="349"/>
      <c r="KGL66" s="349"/>
      <c r="KGM66" s="349"/>
      <c r="KGN66" s="349"/>
      <c r="KGO66" s="349"/>
      <c r="KGP66" s="349"/>
      <c r="KGQ66" s="349"/>
      <c r="KGR66" s="349"/>
      <c r="KGS66" s="349"/>
      <c r="KGT66" s="349"/>
      <c r="KGU66" s="349"/>
      <c r="KGV66" s="349"/>
      <c r="KGW66" s="349"/>
      <c r="KGX66" s="349"/>
      <c r="KGY66" s="349"/>
      <c r="KGZ66" s="349"/>
      <c r="KHA66" s="349"/>
      <c r="KHB66" s="349"/>
      <c r="KHC66" s="349"/>
      <c r="KHD66" s="349"/>
      <c r="KHE66" s="349"/>
      <c r="KHF66" s="349"/>
      <c r="KHG66" s="349"/>
      <c r="KHH66" s="349"/>
      <c r="KHI66" s="349"/>
      <c r="KHJ66" s="349"/>
      <c r="KHK66" s="349"/>
      <c r="KHL66" s="349"/>
      <c r="KHM66" s="349"/>
      <c r="KHN66" s="349"/>
      <c r="KHO66" s="349"/>
      <c r="KHP66" s="349"/>
      <c r="KHQ66" s="349"/>
      <c r="KHR66" s="349"/>
      <c r="KHS66" s="349"/>
      <c r="KHT66" s="349"/>
      <c r="KHU66" s="349"/>
      <c r="KHV66" s="349"/>
      <c r="KHW66" s="349"/>
      <c r="KHX66" s="349"/>
      <c r="KHY66" s="349"/>
      <c r="KHZ66" s="349"/>
      <c r="KIA66" s="349"/>
      <c r="KIB66" s="349"/>
      <c r="KIC66" s="349"/>
      <c r="KID66" s="349"/>
      <c r="KIE66" s="349"/>
      <c r="KIF66" s="349"/>
      <c r="KIG66" s="349"/>
      <c r="KIH66" s="349"/>
      <c r="KII66" s="349"/>
      <c r="KIJ66" s="349"/>
      <c r="KIK66" s="349"/>
      <c r="KIL66" s="349"/>
      <c r="KIM66" s="349"/>
      <c r="KIN66" s="349"/>
      <c r="KIO66" s="349"/>
      <c r="KIP66" s="349"/>
      <c r="KIQ66" s="349"/>
      <c r="KIR66" s="349"/>
      <c r="KIS66" s="349"/>
      <c r="KIT66" s="349"/>
      <c r="KIU66" s="349"/>
      <c r="KIV66" s="349"/>
      <c r="KIW66" s="349"/>
      <c r="KIX66" s="349"/>
      <c r="KIY66" s="349"/>
      <c r="KIZ66" s="349"/>
      <c r="KJA66" s="349"/>
      <c r="KJB66" s="349"/>
      <c r="KJC66" s="349"/>
      <c r="KJD66" s="349"/>
      <c r="KJE66" s="349"/>
      <c r="KJF66" s="349"/>
      <c r="KJG66" s="349"/>
      <c r="KJH66" s="349"/>
      <c r="KJI66" s="349"/>
      <c r="KJJ66" s="349"/>
      <c r="KJK66" s="349"/>
      <c r="KJL66" s="349"/>
      <c r="KJM66" s="349"/>
      <c r="KJN66" s="349"/>
      <c r="KJO66" s="349"/>
      <c r="KJP66" s="349"/>
      <c r="KJQ66" s="349"/>
      <c r="KJR66" s="349"/>
      <c r="KJS66" s="349"/>
      <c r="KJT66" s="349"/>
      <c r="KJU66" s="349"/>
      <c r="KJV66" s="349"/>
      <c r="KJW66" s="349"/>
      <c r="KJX66" s="349"/>
      <c r="KJY66" s="349"/>
      <c r="KJZ66" s="349"/>
      <c r="KKA66" s="349"/>
      <c r="KKB66" s="349"/>
      <c r="KKC66" s="349"/>
      <c r="KKD66" s="349"/>
      <c r="KKE66" s="349"/>
      <c r="KKF66" s="349"/>
      <c r="KKG66" s="349"/>
      <c r="KKH66" s="349"/>
      <c r="KKI66" s="349"/>
      <c r="KKJ66" s="349"/>
      <c r="KKK66" s="349"/>
      <c r="KKL66" s="349"/>
      <c r="KKM66" s="349"/>
      <c r="KKN66" s="349"/>
      <c r="KKO66" s="349"/>
      <c r="KKP66" s="349"/>
      <c r="KKQ66" s="349"/>
      <c r="KKR66" s="349"/>
      <c r="KKS66" s="349"/>
      <c r="KKT66" s="349"/>
      <c r="KKU66" s="349"/>
      <c r="KKV66" s="349"/>
      <c r="KKW66" s="349"/>
      <c r="KKX66" s="349"/>
      <c r="KKY66" s="349"/>
      <c r="KKZ66" s="349"/>
      <c r="KLA66" s="349"/>
      <c r="KLB66" s="349"/>
      <c r="KLC66" s="349"/>
      <c r="KLD66" s="349"/>
      <c r="KLE66" s="349"/>
      <c r="KLF66" s="349"/>
      <c r="KLG66" s="349"/>
      <c r="KLH66" s="349"/>
      <c r="KLI66" s="349"/>
      <c r="KLJ66" s="349"/>
      <c r="KLK66" s="349"/>
      <c r="KLL66" s="349"/>
      <c r="KLM66" s="349"/>
      <c r="KLN66" s="349"/>
      <c r="KLO66" s="349"/>
      <c r="KLP66" s="349"/>
      <c r="KLQ66" s="349"/>
      <c r="KLR66" s="349"/>
      <c r="KLS66" s="349"/>
      <c r="KLT66" s="349"/>
      <c r="KLU66" s="349"/>
      <c r="KLV66" s="349"/>
      <c r="KLW66" s="349"/>
      <c r="KLX66" s="349"/>
      <c r="KLY66" s="349"/>
      <c r="KLZ66" s="349"/>
      <c r="KMA66" s="349"/>
      <c r="KMB66" s="349"/>
      <c r="KMC66" s="349"/>
      <c r="KMD66" s="349"/>
      <c r="KME66" s="349"/>
      <c r="KMF66" s="349"/>
      <c r="KMG66" s="349"/>
      <c r="KMH66" s="349"/>
      <c r="KMI66" s="349"/>
      <c r="KMJ66" s="349"/>
      <c r="KMK66" s="349"/>
      <c r="KML66" s="349"/>
      <c r="KMM66" s="349"/>
      <c r="KMN66" s="349"/>
      <c r="KMO66" s="349"/>
      <c r="KMP66" s="349"/>
      <c r="KMQ66" s="349"/>
      <c r="KMR66" s="349"/>
      <c r="KMS66" s="349"/>
      <c r="KMT66" s="349"/>
      <c r="KMU66" s="349"/>
      <c r="KMV66" s="349"/>
      <c r="KMW66" s="349"/>
      <c r="KMX66" s="349"/>
      <c r="KMY66" s="349"/>
      <c r="KMZ66" s="349"/>
      <c r="KNA66" s="349"/>
      <c r="KNB66" s="349"/>
      <c r="KNC66" s="349"/>
      <c r="KND66" s="349"/>
      <c r="KNE66" s="349"/>
      <c r="KNF66" s="349"/>
      <c r="KNG66" s="349"/>
      <c r="KNH66" s="349"/>
      <c r="KNI66" s="349"/>
      <c r="KNJ66" s="349"/>
      <c r="KNK66" s="349"/>
      <c r="KNL66" s="349"/>
      <c r="KNM66" s="349"/>
      <c r="KNN66" s="349"/>
      <c r="KNO66" s="349"/>
      <c r="KNP66" s="349"/>
      <c r="KNQ66" s="349"/>
      <c r="KNR66" s="349"/>
      <c r="KNS66" s="349"/>
      <c r="KNT66" s="349"/>
      <c r="KNU66" s="349"/>
      <c r="KNV66" s="349"/>
      <c r="KNW66" s="349"/>
      <c r="KNX66" s="349"/>
      <c r="KNY66" s="349"/>
      <c r="KNZ66" s="349"/>
      <c r="KOA66" s="349"/>
      <c r="KOB66" s="349"/>
      <c r="KOC66" s="349"/>
      <c r="KOD66" s="349"/>
      <c r="KOE66" s="349"/>
      <c r="KOF66" s="349"/>
      <c r="KOG66" s="349"/>
      <c r="KOH66" s="349"/>
      <c r="KOI66" s="349"/>
      <c r="KOJ66" s="349"/>
      <c r="KOK66" s="349"/>
      <c r="KOL66" s="349"/>
      <c r="KOM66" s="349"/>
      <c r="KON66" s="349"/>
      <c r="KOO66" s="349"/>
      <c r="KOP66" s="349"/>
      <c r="KOQ66" s="349"/>
      <c r="KOR66" s="349"/>
      <c r="KOS66" s="349"/>
      <c r="KOT66" s="349"/>
      <c r="KOU66" s="349"/>
      <c r="KOV66" s="349"/>
      <c r="KOW66" s="349"/>
      <c r="KOX66" s="349"/>
      <c r="KOY66" s="349"/>
      <c r="KOZ66" s="349"/>
      <c r="KPA66" s="349"/>
      <c r="KPB66" s="349"/>
      <c r="KPC66" s="349"/>
      <c r="KPD66" s="349"/>
      <c r="KPE66" s="349"/>
      <c r="KPF66" s="349"/>
      <c r="KPG66" s="349"/>
      <c r="KPH66" s="349"/>
      <c r="KPI66" s="349"/>
      <c r="KPJ66" s="349"/>
      <c r="KPK66" s="349"/>
      <c r="KPL66" s="349"/>
      <c r="KPM66" s="349"/>
      <c r="KPN66" s="349"/>
      <c r="KPO66" s="349"/>
      <c r="KPP66" s="349"/>
      <c r="KPQ66" s="349"/>
      <c r="KPR66" s="349"/>
      <c r="KPS66" s="349"/>
      <c r="KPT66" s="349"/>
      <c r="KPU66" s="349"/>
      <c r="KPV66" s="349"/>
      <c r="KPW66" s="349"/>
      <c r="KPX66" s="349"/>
      <c r="KPY66" s="349"/>
      <c r="KPZ66" s="349"/>
      <c r="KQA66" s="349"/>
      <c r="KQB66" s="349"/>
      <c r="KQC66" s="349"/>
      <c r="KQD66" s="349"/>
      <c r="KQE66" s="349"/>
      <c r="KQF66" s="349"/>
      <c r="KQG66" s="349"/>
      <c r="KQH66" s="349"/>
      <c r="KQI66" s="349"/>
      <c r="KQJ66" s="349"/>
      <c r="KQK66" s="349"/>
      <c r="KQL66" s="349"/>
      <c r="KQM66" s="349"/>
      <c r="KQN66" s="349"/>
      <c r="KQO66" s="349"/>
      <c r="KQP66" s="349"/>
      <c r="KQQ66" s="349"/>
      <c r="KQR66" s="349"/>
      <c r="KQS66" s="349"/>
      <c r="KQT66" s="349"/>
      <c r="KQU66" s="349"/>
      <c r="KQV66" s="349"/>
      <c r="KQW66" s="349"/>
      <c r="KQX66" s="349"/>
      <c r="KQY66" s="349"/>
      <c r="KQZ66" s="349"/>
      <c r="KRA66" s="349"/>
      <c r="KRB66" s="349"/>
      <c r="KRC66" s="349"/>
      <c r="KRD66" s="349"/>
      <c r="KRE66" s="349"/>
      <c r="KRF66" s="349"/>
      <c r="KRG66" s="349"/>
      <c r="KRH66" s="349"/>
      <c r="KRI66" s="349"/>
      <c r="KRJ66" s="349"/>
      <c r="KRK66" s="349"/>
      <c r="KRL66" s="349"/>
      <c r="KRM66" s="349"/>
      <c r="KRN66" s="349"/>
      <c r="KRO66" s="349"/>
      <c r="KRP66" s="349"/>
      <c r="KRQ66" s="349"/>
      <c r="KRR66" s="349"/>
      <c r="KRS66" s="349"/>
      <c r="KRT66" s="349"/>
      <c r="KRU66" s="349"/>
      <c r="KRV66" s="349"/>
      <c r="KRW66" s="349"/>
      <c r="KRX66" s="349"/>
      <c r="KRY66" s="349"/>
      <c r="KRZ66" s="349"/>
      <c r="KSA66" s="349"/>
      <c r="KSB66" s="349"/>
      <c r="KSC66" s="349"/>
      <c r="KSD66" s="349"/>
      <c r="KSE66" s="349"/>
      <c r="KSF66" s="349"/>
      <c r="KSG66" s="349"/>
      <c r="KSH66" s="349"/>
      <c r="KSI66" s="349"/>
      <c r="KSJ66" s="349"/>
      <c r="KSK66" s="349"/>
      <c r="KSL66" s="349"/>
      <c r="KSM66" s="349"/>
      <c r="KSN66" s="349"/>
      <c r="KSO66" s="349"/>
      <c r="KSP66" s="349"/>
      <c r="KSQ66" s="349"/>
      <c r="KSR66" s="349"/>
      <c r="KSS66" s="349"/>
      <c r="KST66" s="349"/>
      <c r="KSU66" s="349"/>
      <c r="KSV66" s="349"/>
      <c r="KSW66" s="349"/>
      <c r="KSX66" s="349"/>
      <c r="KSY66" s="349"/>
      <c r="KSZ66" s="349"/>
      <c r="KTA66" s="349"/>
      <c r="KTB66" s="349"/>
      <c r="KTC66" s="349"/>
      <c r="KTD66" s="349"/>
      <c r="KTE66" s="349"/>
      <c r="KTF66" s="349"/>
      <c r="KTG66" s="349"/>
      <c r="KTH66" s="349"/>
      <c r="KTI66" s="349"/>
      <c r="KTJ66" s="349"/>
      <c r="KTK66" s="349"/>
      <c r="KTL66" s="349"/>
      <c r="KTM66" s="349"/>
      <c r="KTN66" s="349"/>
      <c r="KTO66" s="349"/>
      <c r="KTP66" s="349"/>
      <c r="KTQ66" s="349"/>
      <c r="KTR66" s="349"/>
      <c r="KTS66" s="349"/>
      <c r="KTT66" s="349"/>
      <c r="KTU66" s="349"/>
      <c r="KTV66" s="349"/>
      <c r="KTW66" s="349"/>
      <c r="KTX66" s="349"/>
      <c r="KTY66" s="349"/>
      <c r="KTZ66" s="349"/>
      <c r="KUA66" s="349"/>
      <c r="KUB66" s="349"/>
      <c r="KUC66" s="349"/>
      <c r="KUD66" s="349"/>
      <c r="KUE66" s="349"/>
      <c r="KUF66" s="349"/>
      <c r="KUG66" s="349"/>
      <c r="KUH66" s="349"/>
      <c r="KUI66" s="349"/>
      <c r="KUJ66" s="349"/>
      <c r="KUK66" s="349"/>
      <c r="KUL66" s="349"/>
      <c r="KUM66" s="349"/>
      <c r="KUN66" s="349"/>
      <c r="KUO66" s="349"/>
      <c r="KUP66" s="349"/>
      <c r="KUQ66" s="349"/>
      <c r="KUR66" s="349"/>
      <c r="KUS66" s="349"/>
      <c r="KUT66" s="349"/>
      <c r="KUU66" s="349"/>
      <c r="KUV66" s="349"/>
      <c r="KUW66" s="349"/>
      <c r="KUX66" s="349"/>
      <c r="KUY66" s="349"/>
      <c r="KUZ66" s="349"/>
      <c r="KVA66" s="349"/>
      <c r="KVB66" s="349"/>
      <c r="KVC66" s="349"/>
      <c r="KVD66" s="349"/>
      <c r="KVE66" s="349"/>
      <c r="KVF66" s="349"/>
      <c r="KVG66" s="349"/>
      <c r="KVH66" s="349"/>
      <c r="KVI66" s="349"/>
      <c r="KVJ66" s="349"/>
      <c r="KVK66" s="349"/>
      <c r="KVL66" s="349"/>
      <c r="KVM66" s="349"/>
      <c r="KVN66" s="349"/>
      <c r="KVO66" s="349"/>
      <c r="KVP66" s="349"/>
      <c r="KVQ66" s="349"/>
      <c r="KVR66" s="349"/>
      <c r="KVS66" s="349"/>
      <c r="KVT66" s="349"/>
      <c r="KVU66" s="349"/>
      <c r="KVV66" s="349"/>
      <c r="KVW66" s="349"/>
      <c r="KVX66" s="349"/>
      <c r="KVY66" s="349"/>
      <c r="KVZ66" s="349"/>
      <c r="KWA66" s="349"/>
      <c r="KWB66" s="349"/>
      <c r="KWC66" s="349"/>
      <c r="KWD66" s="349"/>
      <c r="KWE66" s="349"/>
      <c r="KWF66" s="349"/>
      <c r="KWG66" s="349"/>
      <c r="KWH66" s="349"/>
      <c r="KWI66" s="349"/>
      <c r="KWJ66" s="349"/>
      <c r="KWK66" s="349"/>
      <c r="KWL66" s="349"/>
      <c r="KWM66" s="349"/>
      <c r="KWN66" s="349"/>
      <c r="KWO66" s="349"/>
      <c r="KWP66" s="349"/>
      <c r="KWQ66" s="349"/>
      <c r="KWR66" s="349"/>
      <c r="KWS66" s="349"/>
      <c r="KWT66" s="349"/>
      <c r="KWU66" s="349"/>
      <c r="KWV66" s="349"/>
      <c r="KWW66" s="349"/>
      <c r="KWX66" s="349"/>
      <c r="KWY66" s="349"/>
      <c r="KWZ66" s="349"/>
      <c r="KXA66" s="349"/>
      <c r="KXB66" s="349"/>
      <c r="KXC66" s="349"/>
      <c r="KXD66" s="349"/>
      <c r="KXE66" s="349"/>
      <c r="KXF66" s="349"/>
      <c r="KXG66" s="349"/>
      <c r="KXH66" s="349"/>
      <c r="KXI66" s="349"/>
      <c r="KXJ66" s="349"/>
      <c r="KXK66" s="349"/>
      <c r="KXL66" s="349"/>
      <c r="KXM66" s="349"/>
      <c r="KXN66" s="349"/>
      <c r="KXO66" s="349"/>
      <c r="KXP66" s="349"/>
      <c r="KXQ66" s="349"/>
      <c r="KXR66" s="349"/>
      <c r="KXS66" s="349"/>
      <c r="KXT66" s="349"/>
      <c r="KXU66" s="349"/>
      <c r="KXV66" s="349"/>
      <c r="KXW66" s="349"/>
      <c r="KXX66" s="349"/>
      <c r="KXY66" s="349"/>
      <c r="KXZ66" s="349"/>
      <c r="KYA66" s="349"/>
      <c r="KYB66" s="349"/>
      <c r="KYC66" s="349"/>
      <c r="KYD66" s="349"/>
      <c r="KYE66" s="349"/>
      <c r="KYF66" s="349"/>
      <c r="KYG66" s="349"/>
      <c r="KYH66" s="349"/>
      <c r="KYI66" s="349"/>
      <c r="KYJ66" s="349"/>
      <c r="KYK66" s="349"/>
      <c r="KYL66" s="349"/>
      <c r="KYM66" s="349"/>
      <c r="KYN66" s="349"/>
      <c r="KYO66" s="349"/>
      <c r="KYP66" s="349"/>
      <c r="KYQ66" s="349"/>
      <c r="KYR66" s="349"/>
      <c r="KYS66" s="349"/>
      <c r="KYT66" s="349"/>
      <c r="KYU66" s="349"/>
      <c r="KYV66" s="349"/>
      <c r="KYW66" s="349"/>
      <c r="KYX66" s="349"/>
      <c r="KYY66" s="349"/>
      <c r="KYZ66" s="349"/>
      <c r="KZA66" s="349"/>
      <c r="KZB66" s="349"/>
      <c r="KZC66" s="349"/>
      <c r="KZD66" s="349"/>
      <c r="KZE66" s="349"/>
      <c r="KZF66" s="349"/>
      <c r="KZG66" s="349"/>
      <c r="KZH66" s="349"/>
      <c r="KZI66" s="349"/>
      <c r="KZJ66" s="349"/>
      <c r="KZK66" s="349"/>
      <c r="KZL66" s="349"/>
      <c r="KZM66" s="349"/>
      <c r="KZN66" s="349"/>
      <c r="KZO66" s="349"/>
      <c r="KZP66" s="349"/>
      <c r="KZQ66" s="349"/>
      <c r="KZR66" s="349"/>
      <c r="KZS66" s="349"/>
      <c r="KZT66" s="349"/>
      <c r="KZU66" s="349"/>
      <c r="KZV66" s="349"/>
      <c r="KZW66" s="349"/>
      <c r="KZX66" s="349"/>
      <c r="KZY66" s="349"/>
      <c r="KZZ66" s="349"/>
      <c r="LAA66" s="349"/>
      <c r="LAB66" s="349"/>
      <c r="LAC66" s="349"/>
      <c r="LAD66" s="349"/>
      <c r="LAE66" s="349"/>
      <c r="LAF66" s="349"/>
      <c r="LAG66" s="349"/>
      <c r="LAH66" s="349"/>
      <c r="LAI66" s="349"/>
      <c r="LAJ66" s="349"/>
      <c r="LAK66" s="349"/>
      <c r="LAL66" s="349"/>
      <c r="LAM66" s="349"/>
      <c r="LAN66" s="349"/>
      <c r="LAO66" s="349"/>
      <c r="LAP66" s="349"/>
      <c r="LAQ66" s="349"/>
      <c r="LAR66" s="349"/>
      <c r="LAS66" s="349"/>
      <c r="LAT66" s="349"/>
      <c r="LAU66" s="349"/>
      <c r="LAV66" s="349"/>
      <c r="LAW66" s="349"/>
      <c r="LAX66" s="349"/>
      <c r="LAY66" s="349"/>
      <c r="LAZ66" s="349"/>
      <c r="LBA66" s="349"/>
      <c r="LBB66" s="349"/>
      <c r="LBC66" s="349"/>
      <c r="LBD66" s="349"/>
      <c r="LBE66" s="349"/>
      <c r="LBF66" s="349"/>
      <c r="LBG66" s="349"/>
      <c r="LBH66" s="349"/>
      <c r="LBI66" s="349"/>
      <c r="LBJ66" s="349"/>
      <c r="LBK66" s="349"/>
      <c r="LBL66" s="349"/>
      <c r="LBM66" s="349"/>
      <c r="LBN66" s="349"/>
      <c r="LBO66" s="349"/>
      <c r="LBP66" s="349"/>
      <c r="LBQ66" s="349"/>
      <c r="LBR66" s="349"/>
      <c r="LBS66" s="349"/>
      <c r="LBT66" s="349"/>
      <c r="LBU66" s="349"/>
      <c r="LBV66" s="349"/>
      <c r="LBW66" s="349"/>
      <c r="LBX66" s="349"/>
      <c r="LBY66" s="349"/>
      <c r="LBZ66" s="349"/>
      <c r="LCA66" s="349"/>
      <c r="LCB66" s="349"/>
      <c r="LCC66" s="349"/>
      <c r="LCD66" s="349"/>
      <c r="LCE66" s="349"/>
      <c r="LCF66" s="349"/>
      <c r="LCG66" s="349"/>
      <c r="LCH66" s="349"/>
      <c r="LCI66" s="349"/>
      <c r="LCJ66" s="349"/>
      <c r="LCK66" s="349"/>
      <c r="LCL66" s="349"/>
      <c r="LCM66" s="349"/>
      <c r="LCN66" s="349"/>
      <c r="LCO66" s="349"/>
      <c r="LCP66" s="349"/>
      <c r="LCQ66" s="349"/>
      <c r="LCR66" s="349"/>
      <c r="LCS66" s="349"/>
      <c r="LCT66" s="349"/>
      <c r="LCU66" s="349"/>
      <c r="LCV66" s="349"/>
      <c r="LCW66" s="349"/>
      <c r="LCX66" s="349"/>
      <c r="LCY66" s="349"/>
      <c r="LCZ66" s="349"/>
      <c r="LDA66" s="349"/>
      <c r="LDB66" s="349"/>
      <c r="LDC66" s="349"/>
      <c r="LDD66" s="349"/>
      <c r="LDE66" s="349"/>
      <c r="LDF66" s="349"/>
      <c r="LDG66" s="349"/>
      <c r="LDH66" s="349"/>
      <c r="LDI66" s="349"/>
      <c r="LDJ66" s="349"/>
      <c r="LDK66" s="349"/>
      <c r="LDL66" s="349"/>
      <c r="LDM66" s="349"/>
      <c r="LDN66" s="349"/>
      <c r="LDO66" s="349"/>
      <c r="LDP66" s="349"/>
      <c r="LDQ66" s="349"/>
      <c r="LDR66" s="349"/>
      <c r="LDS66" s="349"/>
      <c r="LDT66" s="349"/>
      <c r="LDU66" s="349"/>
      <c r="LDV66" s="349"/>
      <c r="LDW66" s="349"/>
      <c r="LDX66" s="349"/>
      <c r="LDY66" s="349"/>
      <c r="LDZ66" s="349"/>
      <c r="LEA66" s="349"/>
      <c r="LEB66" s="349"/>
      <c r="LEC66" s="349"/>
      <c r="LED66" s="349"/>
      <c r="LEE66" s="349"/>
      <c r="LEF66" s="349"/>
      <c r="LEG66" s="349"/>
      <c r="LEH66" s="349"/>
      <c r="LEI66" s="349"/>
      <c r="LEJ66" s="349"/>
      <c r="LEK66" s="349"/>
      <c r="LEL66" s="349"/>
      <c r="LEM66" s="349"/>
      <c r="LEN66" s="349"/>
      <c r="LEO66" s="349"/>
      <c r="LEP66" s="349"/>
      <c r="LEQ66" s="349"/>
      <c r="LER66" s="349"/>
      <c r="LES66" s="349"/>
      <c r="LET66" s="349"/>
      <c r="LEU66" s="349"/>
      <c r="LEV66" s="349"/>
      <c r="LEW66" s="349"/>
      <c r="LEX66" s="349"/>
      <c r="LEY66" s="349"/>
      <c r="LEZ66" s="349"/>
      <c r="LFA66" s="349"/>
      <c r="LFB66" s="349"/>
      <c r="LFC66" s="349"/>
      <c r="LFD66" s="349"/>
      <c r="LFE66" s="349"/>
      <c r="LFF66" s="349"/>
      <c r="LFG66" s="349"/>
      <c r="LFH66" s="349"/>
      <c r="LFI66" s="349"/>
      <c r="LFJ66" s="349"/>
      <c r="LFK66" s="349"/>
      <c r="LFL66" s="349"/>
      <c r="LFM66" s="349"/>
      <c r="LFN66" s="349"/>
      <c r="LFO66" s="349"/>
      <c r="LFP66" s="349"/>
      <c r="LFQ66" s="349"/>
      <c r="LFR66" s="349"/>
      <c r="LFS66" s="349"/>
      <c r="LFT66" s="349"/>
      <c r="LFU66" s="349"/>
      <c r="LFV66" s="349"/>
      <c r="LFW66" s="349"/>
      <c r="LFX66" s="349"/>
      <c r="LFY66" s="349"/>
      <c r="LFZ66" s="349"/>
      <c r="LGA66" s="349"/>
      <c r="LGB66" s="349"/>
      <c r="LGC66" s="349"/>
      <c r="LGD66" s="349"/>
      <c r="LGE66" s="349"/>
      <c r="LGF66" s="349"/>
      <c r="LGG66" s="349"/>
      <c r="LGH66" s="349"/>
      <c r="LGI66" s="349"/>
      <c r="LGJ66" s="349"/>
      <c r="LGK66" s="349"/>
      <c r="LGL66" s="349"/>
      <c r="LGM66" s="349"/>
      <c r="LGN66" s="349"/>
      <c r="LGO66" s="349"/>
      <c r="LGP66" s="349"/>
      <c r="LGQ66" s="349"/>
      <c r="LGR66" s="349"/>
      <c r="LGS66" s="349"/>
      <c r="LGT66" s="349"/>
      <c r="LGU66" s="349"/>
      <c r="LGV66" s="349"/>
      <c r="LGW66" s="349"/>
      <c r="LGX66" s="349"/>
      <c r="LGY66" s="349"/>
      <c r="LGZ66" s="349"/>
      <c r="LHA66" s="349"/>
      <c r="LHB66" s="349"/>
      <c r="LHC66" s="349"/>
      <c r="LHD66" s="349"/>
      <c r="LHE66" s="349"/>
      <c r="LHF66" s="349"/>
      <c r="LHG66" s="349"/>
      <c r="LHH66" s="349"/>
      <c r="LHI66" s="349"/>
      <c r="LHJ66" s="349"/>
      <c r="LHK66" s="349"/>
      <c r="LHL66" s="349"/>
      <c r="LHM66" s="349"/>
      <c r="LHN66" s="349"/>
      <c r="LHO66" s="349"/>
      <c r="LHP66" s="349"/>
      <c r="LHQ66" s="349"/>
      <c r="LHR66" s="349"/>
      <c r="LHS66" s="349"/>
      <c r="LHT66" s="349"/>
      <c r="LHU66" s="349"/>
      <c r="LHV66" s="349"/>
      <c r="LHW66" s="349"/>
      <c r="LHX66" s="349"/>
      <c r="LHY66" s="349"/>
      <c r="LHZ66" s="349"/>
      <c r="LIA66" s="349"/>
      <c r="LIB66" s="349"/>
      <c r="LIC66" s="349"/>
      <c r="LID66" s="349"/>
      <c r="LIE66" s="349"/>
      <c r="LIF66" s="349"/>
      <c r="LIG66" s="349"/>
      <c r="LIH66" s="349"/>
      <c r="LII66" s="349"/>
      <c r="LIJ66" s="349"/>
      <c r="LIK66" s="349"/>
      <c r="LIL66" s="349"/>
      <c r="LIM66" s="349"/>
      <c r="LIN66" s="349"/>
      <c r="LIO66" s="349"/>
      <c r="LIP66" s="349"/>
      <c r="LIQ66" s="349"/>
      <c r="LIR66" s="349"/>
      <c r="LIS66" s="349"/>
      <c r="LIT66" s="349"/>
      <c r="LIU66" s="349"/>
      <c r="LIV66" s="349"/>
      <c r="LIW66" s="349"/>
      <c r="LIX66" s="349"/>
      <c r="LIY66" s="349"/>
      <c r="LIZ66" s="349"/>
      <c r="LJA66" s="349"/>
      <c r="LJB66" s="349"/>
      <c r="LJC66" s="349"/>
      <c r="LJD66" s="349"/>
      <c r="LJE66" s="349"/>
      <c r="LJF66" s="349"/>
      <c r="LJG66" s="349"/>
      <c r="LJH66" s="349"/>
      <c r="LJI66" s="349"/>
      <c r="LJJ66" s="349"/>
      <c r="LJK66" s="349"/>
      <c r="LJL66" s="349"/>
      <c r="LJM66" s="349"/>
      <c r="LJN66" s="349"/>
      <c r="LJO66" s="349"/>
      <c r="LJP66" s="349"/>
      <c r="LJQ66" s="349"/>
      <c r="LJR66" s="349"/>
      <c r="LJS66" s="349"/>
      <c r="LJT66" s="349"/>
      <c r="LJU66" s="349"/>
      <c r="LJV66" s="349"/>
      <c r="LJW66" s="349"/>
      <c r="LJX66" s="349"/>
      <c r="LJY66" s="349"/>
      <c r="LJZ66" s="349"/>
      <c r="LKA66" s="349"/>
      <c r="LKB66" s="349"/>
      <c r="LKC66" s="349"/>
      <c r="LKD66" s="349"/>
      <c r="LKE66" s="349"/>
      <c r="LKF66" s="349"/>
      <c r="LKG66" s="349"/>
      <c r="LKH66" s="349"/>
      <c r="LKI66" s="349"/>
      <c r="LKJ66" s="349"/>
      <c r="LKK66" s="349"/>
      <c r="LKL66" s="349"/>
      <c r="LKM66" s="349"/>
      <c r="LKN66" s="349"/>
      <c r="LKO66" s="349"/>
      <c r="LKP66" s="349"/>
      <c r="LKQ66" s="349"/>
      <c r="LKR66" s="349"/>
      <c r="LKS66" s="349"/>
      <c r="LKT66" s="349"/>
      <c r="LKU66" s="349"/>
      <c r="LKV66" s="349"/>
      <c r="LKW66" s="349"/>
      <c r="LKX66" s="349"/>
      <c r="LKY66" s="349"/>
      <c r="LKZ66" s="349"/>
      <c r="LLA66" s="349"/>
      <c r="LLB66" s="349"/>
      <c r="LLC66" s="349"/>
      <c r="LLD66" s="349"/>
      <c r="LLE66" s="349"/>
      <c r="LLF66" s="349"/>
      <c r="LLG66" s="349"/>
      <c r="LLH66" s="349"/>
      <c r="LLI66" s="349"/>
      <c r="LLJ66" s="349"/>
      <c r="LLK66" s="349"/>
      <c r="LLL66" s="349"/>
      <c r="LLM66" s="349"/>
      <c r="LLN66" s="349"/>
      <c r="LLO66" s="349"/>
      <c r="LLP66" s="349"/>
      <c r="LLQ66" s="349"/>
      <c r="LLR66" s="349"/>
      <c r="LLS66" s="349"/>
      <c r="LLT66" s="349"/>
      <c r="LLU66" s="349"/>
      <c r="LLV66" s="349"/>
      <c r="LLW66" s="349"/>
      <c r="LLX66" s="349"/>
      <c r="LLY66" s="349"/>
      <c r="LLZ66" s="349"/>
      <c r="LMA66" s="349"/>
      <c r="LMB66" s="349"/>
      <c r="LMC66" s="349"/>
      <c r="LMD66" s="349"/>
      <c r="LME66" s="349"/>
      <c r="LMF66" s="349"/>
      <c r="LMG66" s="349"/>
      <c r="LMH66" s="349"/>
      <c r="LMI66" s="349"/>
      <c r="LMJ66" s="349"/>
      <c r="LMK66" s="349"/>
      <c r="LML66" s="349"/>
      <c r="LMM66" s="349"/>
      <c r="LMN66" s="349"/>
      <c r="LMO66" s="349"/>
      <c r="LMP66" s="349"/>
      <c r="LMQ66" s="349"/>
      <c r="LMR66" s="349"/>
      <c r="LMS66" s="349"/>
      <c r="LMT66" s="349"/>
      <c r="LMU66" s="349"/>
      <c r="LMV66" s="349"/>
      <c r="LMW66" s="349"/>
      <c r="LMX66" s="349"/>
      <c r="LMY66" s="349"/>
      <c r="LMZ66" s="349"/>
      <c r="LNA66" s="349"/>
      <c r="LNB66" s="349"/>
      <c r="LNC66" s="349"/>
      <c r="LND66" s="349"/>
      <c r="LNE66" s="349"/>
      <c r="LNF66" s="349"/>
      <c r="LNG66" s="349"/>
      <c r="LNH66" s="349"/>
      <c r="LNI66" s="349"/>
      <c r="LNJ66" s="349"/>
      <c r="LNK66" s="349"/>
      <c r="LNL66" s="349"/>
      <c r="LNM66" s="349"/>
      <c r="LNN66" s="349"/>
      <c r="LNO66" s="349"/>
      <c r="LNP66" s="349"/>
      <c r="LNQ66" s="349"/>
      <c r="LNR66" s="349"/>
      <c r="LNS66" s="349"/>
      <c r="LNT66" s="349"/>
      <c r="LNU66" s="349"/>
      <c r="LNV66" s="349"/>
      <c r="LNW66" s="349"/>
      <c r="LNX66" s="349"/>
      <c r="LNY66" s="349"/>
      <c r="LNZ66" s="349"/>
      <c r="LOA66" s="349"/>
      <c r="LOB66" s="349"/>
      <c r="LOC66" s="349"/>
      <c r="LOD66" s="349"/>
      <c r="LOE66" s="349"/>
      <c r="LOF66" s="349"/>
      <c r="LOG66" s="349"/>
      <c r="LOH66" s="349"/>
      <c r="LOI66" s="349"/>
      <c r="LOJ66" s="349"/>
      <c r="LOK66" s="349"/>
      <c r="LOL66" s="349"/>
      <c r="LOM66" s="349"/>
      <c r="LON66" s="349"/>
      <c r="LOO66" s="349"/>
      <c r="LOP66" s="349"/>
      <c r="LOQ66" s="349"/>
      <c r="LOR66" s="349"/>
      <c r="LOS66" s="349"/>
      <c r="LOT66" s="349"/>
      <c r="LOU66" s="349"/>
      <c r="LOV66" s="349"/>
      <c r="LOW66" s="349"/>
      <c r="LOX66" s="349"/>
      <c r="LOY66" s="349"/>
      <c r="LOZ66" s="349"/>
      <c r="LPA66" s="349"/>
      <c r="LPB66" s="349"/>
      <c r="LPC66" s="349"/>
      <c r="LPD66" s="349"/>
      <c r="LPE66" s="349"/>
      <c r="LPF66" s="349"/>
      <c r="LPG66" s="349"/>
      <c r="LPH66" s="349"/>
      <c r="LPI66" s="349"/>
      <c r="LPJ66" s="349"/>
      <c r="LPK66" s="349"/>
      <c r="LPL66" s="349"/>
      <c r="LPM66" s="349"/>
      <c r="LPN66" s="349"/>
      <c r="LPO66" s="349"/>
      <c r="LPP66" s="349"/>
      <c r="LPQ66" s="349"/>
      <c r="LPR66" s="349"/>
      <c r="LPS66" s="349"/>
      <c r="LPT66" s="349"/>
      <c r="LPU66" s="349"/>
      <c r="LPV66" s="349"/>
      <c r="LPW66" s="349"/>
      <c r="LPX66" s="349"/>
      <c r="LPY66" s="349"/>
      <c r="LPZ66" s="349"/>
      <c r="LQA66" s="349"/>
      <c r="LQB66" s="349"/>
      <c r="LQC66" s="349"/>
      <c r="LQD66" s="349"/>
      <c r="LQE66" s="349"/>
      <c r="LQF66" s="349"/>
      <c r="LQG66" s="349"/>
      <c r="LQH66" s="349"/>
      <c r="LQI66" s="349"/>
      <c r="LQJ66" s="349"/>
      <c r="LQK66" s="349"/>
      <c r="LQL66" s="349"/>
      <c r="LQM66" s="349"/>
      <c r="LQN66" s="349"/>
      <c r="LQO66" s="349"/>
      <c r="LQP66" s="349"/>
      <c r="LQQ66" s="349"/>
      <c r="LQR66" s="349"/>
      <c r="LQS66" s="349"/>
      <c r="LQT66" s="349"/>
      <c r="LQU66" s="349"/>
      <c r="LQV66" s="349"/>
      <c r="LQW66" s="349"/>
      <c r="LQX66" s="349"/>
      <c r="LQY66" s="349"/>
      <c r="LQZ66" s="349"/>
      <c r="LRA66" s="349"/>
      <c r="LRB66" s="349"/>
      <c r="LRC66" s="349"/>
      <c r="LRD66" s="349"/>
      <c r="LRE66" s="349"/>
      <c r="LRF66" s="349"/>
      <c r="LRG66" s="349"/>
      <c r="LRH66" s="349"/>
      <c r="LRI66" s="349"/>
      <c r="LRJ66" s="349"/>
      <c r="LRK66" s="349"/>
      <c r="LRL66" s="349"/>
      <c r="LRM66" s="349"/>
      <c r="LRN66" s="349"/>
      <c r="LRO66" s="349"/>
      <c r="LRP66" s="349"/>
      <c r="LRQ66" s="349"/>
      <c r="LRR66" s="349"/>
      <c r="LRS66" s="349"/>
      <c r="LRT66" s="349"/>
      <c r="LRU66" s="349"/>
      <c r="LRV66" s="349"/>
      <c r="LRW66" s="349"/>
      <c r="LRX66" s="349"/>
      <c r="LRY66" s="349"/>
      <c r="LRZ66" s="349"/>
      <c r="LSA66" s="349"/>
      <c r="LSB66" s="349"/>
      <c r="LSC66" s="349"/>
      <c r="LSD66" s="349"/>
      <c r="LSE66" s="349"/>
      <c r="LSF66" s="349"/>
      <c r="LSG66" s="349"/>
      <c r="LSH66" s="349"/>
      <c r="LSI66" s="349"/>
      <c r="LSJ66" s="349"/>
      <c r="LSK66" s="349"/>
      <c r="LSL66" s="349"/>
      <c r="LSM66" s="349"/>
      <c r="LSN66" s="349"/>
      <c r="LSO66" s="349"/>
      <c r="LSP66" s="349"/>
      <c r="LSQ66" s="349"/>
      <c r="LSR66" s="349"/>
      <c r="LSS66" s="349"/>
      <c r="LST66" s="349"/>
      <c r="LSU66" s="349"/>
      <c r="LSV66" s="349"/>
      <c r="LSW66" s="349"/>
      <c r="LSX66" s="349"/>
      <c r="LSY66" s="349"/>
      <c r="LSZ66" s="349"/>
      <c r="LTA66" s="349"/>
      <c r="LTB66" s="349"/>
      <c r="LTC66" s="349"/>
      <c r="LTD66" s="349"/>
      <c r="LTE66" s="349"/>
      <c r="LTF66" s="349"/>
      <c r="LTG66" s="349"/>
      <c r="LTH66" s="349"/>
      <c r="LTI66" s="349"/>
      <c r="LTJ66" s="349"/>
      <c r="LTK66" s="349"/>
      <c r="LTL66" s="349"/>
      <c r="LTM66" s="349"/>
      <c r="LTN66" s="349"/>
      <c r="LTO66" s="349"/>
      <c r="LTP66" s="349"/>
      <c r="LTQ66" s="349"/>
      <c r="LTR66" s="349"/>
      <c r="LTS66" s="349"/>
      <c r="LTT66" s="349"/>
      <c r="LTU66" s="349"/>
      <c r="LTV66" s="349"/>
      <c r="LTW66" s="349"/>
      <c r="LTX66" s="349"/>
      <c r="LTY66" s="349"/>
      <c r="LTZ66" s="349"/>
      <c r="LUA66" s="349"/>
      <c r="LUB66" s="349"/>
      <c r="LUC66" s="349"/>
      <c r="LUD66" s="349"/>
      <c r="LUE66" s="349"/>
      <c r="LUF66" s="349"/>
      <c r="LUG66" s="349"/>
      <c r="LUH66" s="349"/>
      <c r="LUI66" s="349"/>
      <c r="LUJ66" s="349"/>
      <c r="LUK66" s="349"/>
      <c r="LUL66" s="349"/>
      <c r="LUM66" s="349"/>
      <c r="LUN66" s="349"/>
      <c r="LUO66" s="349"/>
      <c r="LUP66" s="349"/>
      <c r="LUQ66" s="349"/>
      <c r="LUR66" s="349"/>
      <c r="LUS66" s="349"/>
      <c r="LUT66" s="349"/>
      <c r="LUU66" s="349"/>
      <c r="LUV66" s="349"/>
      <c r="LUW66" s="349"/>
      <c r="LUX66" s="349"/>
      <c r="LUY66" s="349"/>
      <c r="LUZ66" s="349"/>
      <c r="LVA66" s="349"/>
      <c r="LVB66" s="349"/>
      <c r="LVC66" s="349"/>
      <c r="LVD66" s="349"/>
      <c r="LVE66" s="349"/>
      <c r="LVF66" s="349"/>
      <c r="LVG66" s="349"/>
      <c r="LVH66" s="349"/>
      <c r="LVI66" s="349"/>
      <c r="LVJ66" s="349"/>
      <c r="LVK66" s="349"/>
      <c r="LVL66" s="349"/>
      <c r="LVM66" s="349"/>
      <c r="LVN66" s="349"/>
      <c r="LVO66" s="349"/>
      <c r="LVP66" s="349"/>
      <c r="LVQ66" s="349"/>
      <c r="LVR66" s="349"/>
      <c r="LVS66" s="349"/>
      <c r="LVT66" s="349"/>
      <c r="LVU66" s="349"/>
      <c r="LVV66" s="349"/>
      <c r="LVW66" s="349"/>
      <c r="LVX66" s="349"/>
      <c r="LVY66" s="349"/>
      <c r="LVZ66" s="349"/>
      <c r="LWA66" s="349"/>
      <c r="LWB66" s="349"/>
      <c r="LWC66" s="349"/>
      <c r="LWD66" s="349"/>
      <c r="LWE66" s="349"/>
      <c r="LWF66" s="349"/>
      <c r="LWG66" s="349"/>
      <c r="LWH66" s="349"/>
      <c r="LWI66" s="349"/>
      <c r="LWJ66" s="349"/>
      <c r="LWK66" s="349"/>
      <c r="LWL66" s="349"/>
      <c r="LWM66" s="349"/>
      <c r="LWN66" s="349"/>
      <c r="LWO66" s="349"/>
      <c r="LWP66" s="349"/>
      <c r="LWQ66" s="349"/>
      <c r="LWR66" s="349"/>
      <c r="LWS66" s="349"/>
      <c r="LWT66" s="349"/>
      <c r="LWU66" s="349"/>
      <c r="LWV66" s="349"/>
      <c r="LWW66" s="349"/>
      <c r="LWX66" s="349"/>
      <c r="LWY66" s="349"/>
      <c r="LWZ66" s="349"/>
      <c r="LXA66" s="349"/>
      <c r="LXB66" s="349"/>
      <c r="LXC66" s="349"/>
      <c r="LXD66" s="349"/>
      <c r="LXE66" s="349"/>
      <c r="LXF66" s="349"/>
      <c r="LXG66" s="349"/>
      <c r="LXH66" s="349"/>
      <c r="LXI66" s="349"/>
      <c r="LXJ66" s="349"/>
      <c r="LXK66" s="349"/>
      <c r="LXL66" s="349"/>
      <c r="LXM66" s="349"/>
      <c r="LXN66" s="349"/>
      <c r="LXO66" s="349"/>
      <c r="LXP66" s="349"/>
      <c r="LXQ66" s="349"/>
      <c r="LXR66" s="349"/>
      <c r="LXS66" s="349"/>
      <c r="LXT66" s="349"/>
      <c r="LXU66" s="349"/>
      <c r="LXV66" s="349"/>
      <c r="LXW66" s="349"/>
      <c r="LXX66" s="349"/>
      <c r="LXY66" s="349"/>
      <c r="LXZ66" s="349"/>
      <c r="LYA66" s="349"/>
      <c r="LYB66" s="349"/>
      <c r="LYC66" s="349"/>
      <c r="LYD66" s="349"/>
      <c r="LYE66" s="349"/>
      <c r="LYF66" s="349"/>
      <c r="LYG66" s="349"/>
      <c r="LYH66" s="349"/>
      <c r="LYI66" s="349"/>
      <c r="LYJ66" s="349"/>
      <c r="LYK66" s="349"/>
      <c r="LYL66" s="349"/>
      <c r="LYM66" s="349"/>
      <c r="LYN66" s="349"/>
      <c r="LYO66" s="349"/>
      <c r="LYP66" s="349"/>
      <c r="LYQ66" s="349"/>
      <c r="LYR66" s="349"/>
      <c r="LYS66" s="349"/>
      <c r="LYT66" s="349"/>
      <c r="LYU66" s="349"/>
      <c r="LYV66" s="349"/>
      <c r="LYW66" s="349"/>
      <c r="LYX66" s="349"/>
      <c r="LYY66" s="349"/>
      <c r="LYZ66" s="349"/>
      <c r="LZA66" s="349"/>
      <c r="LZB66" s="349"/>
      <c r="LZC66" s="349"/>
      <c r="LZD66" s="349"/>
      <c r="LZE66" s="349"/>
      <c r="LZF66" s="349"/>
      <c r="LZG66" s="349"/>
      <c r="LZH66" s="349"/>
      <c r="LZI66" s="349"/>
      <c r="LZJ66" s="349"/>
      <c r="LZK66" s="349"/>
      <c r="LZL66" s="349"/>
      <c r="LZM66" s="349"/>
      <c r="LZN66" s="349"/>
      <c r="LZO66" s="349"/>
      <c r="LZP66" s="349"/>
      <c r="LZQ66" s="349"/>
      <c r="LZR66" s="349"/>
      <c r="LZS66" s="349"/>
      <c r="LZT66" s="349"/>
      <c r="LZU66" s="349"/>
      <c r="LZV66" s="349"/>
      <c r="LZW66" s="349"/>
      <c r="LZX66" s="349"/>
      <c r="LZY66" s="349"/>
      <c r="LZZ66" s="349"/>
      <c r="MAA66" s="349"/>
      <c r="MAB66" s="349"/>
      <c r="MAC66" s="349"/>
      <c r="MAD66" s="349"/>
      <c r="MAE66" s="349"/>
      <c r="MAF66" s="349"/>
      <c r="MAG66" s="349"/>
      <c r="MAH66" s="349"/>
      <c r="MAI66" s="349"/>
      <c r="MAJ66" s="349"/>
      <c r="MAK66" s="349"/>
      <c r="MAL66" s="349"/>
      <c r="MAM66" s="349"/>
      <c r="MAN66" s="349"/>
      <c r="MAO66" s="349"/>
      <c r="MAP66" s="349"/>
      <c r="MAQ66" s="349"/>
      <c r="MAR66" s="349"/>
      <c r="MAS66" s="349"/>
      <c r="MAT66" s="349"/>
      <c r="MAU66" s="349"/>
      <c r="MAV66" s="349"/>
      <c r="MAW66" s="349"/>
      <c r="MAX66" s="349"/>
      <c r="MAY66" s="349"/>
      <c r="MAZ66" s="349"/>
      <c r="MBA66" s="349"/>
      <c r="MBB66" s="349"/>
      <c r="MBC66" s="349"/>
      <c r="MBD66" s="349"/>
      <c r="MBE66" s="349"/>
      <c r="MBF66" s="349"/>
      <c r="MBG66" s="349"/>
      <c r="MBH66" s="349"/>
      <c r="MBI66" s="349"/>
      <c r="MBJ66" s="349"/>
      <c r="MBK66" s="349"/>
      <c r="MBL66" s="349"/>
      <c r="MBM66" s="349"/>
      <c r="MBN66" s="349"/>
      <c r="MBO66" s="349"/>
      <c r="MBP66" s="349"/>
      <c r="MBQ66" s="349"/>
      <c r="MBR66" s="349"/>
      <c r="MBS66" s="349"/>
      <c r="MBT66" s="349"/>
      <c r="MBU66" s="349"/>
      <c r="MBV66" s="349"/>
      <c r="MBW66" s="349"/>
      <c r="MBX66" s="349"/>
      <c r="MBY66" s="349"/>
      <c r="MBZ66" s="349"/>
      <c r="MCA66" s="349"/>
      <c r="MCB66" s="349"/>
      <c r="MCC66" s="349"/>
      <c r="MCD66" s="349"/>
      <c r="MCE66" s="349"/>
      <c r="MCF66" s="349"/>
      <c r="MCG66" s="349"/>
      <c r="MCH66" s="349"/>
      <c r="MCI66" s="349"/>
      <c r="MCJ66" s="349"/>
      <c r="MCK66" s="349"/>
      <c r="MCL66" s="349"/>
      <c r="MCM66" s="349"/>
      <c r="MCN66" s="349"/>
      <c r="MCO66" s="349"/>
      <c r="MCP66" s="349"/>
      <c r="MCQ66" s="349"/>
      <c r="MCR66" s="349"/>
      <c r="MCS66" s="349"/>
      <c r="MCT66" s="349"/>
      <c r="MCU66" s="349"/>
      <c r="MCV66" s="349"/>
      <c r="MCW66" s="349"/>
      <c r="MCX66" s="349"/>
      <c r="MCY66" s="349"/>
      <c r="MCZ66" s="349"/>
      <c r="MDA66" s="349"/>
      <c r="MDB66" s="349"/>
      <c r="MDC66" s="349"/>
      <c r="MDD66" s="349"/>
      <c r="MDE66" s="349"/>
      <c r="MDF66" s="349"/>
      <c r="MDG66" s="349"/>
      <c r="MDH66" s="349"/>
      <c r="MDI66" s="349"/>
      <c r="MDJ66" s="349"/>
      <c r="MDK66" s="349"/>
      <c r="MDL66" s="349"/>
      <c r="MDM66" s="349"/>
      <c r="MDN66" s="349"/>
      <c r="MDO66" s="349"/>
      <c r="MDP66" s="349"/>
      <c r="MDQ66" s="349"/>
      <c r="MDR66" s="349"/>
      <c r="MDS66" s="349"/>
      <c r="MDT66" s="349"/>
      <c r="MDU66" s="349"/>
      <c r="MDV66" s="349"/>
      <c r="MDW66" s="349"/>
      <c r="MDX66" s="349"/>
      <c r="MDY66" s="349"/>
      <c r="MDZ66" s="349"/>
      <c r="MEA66" s="349"/>
      <c r="MEB66" s="349"/>
      <c r="MEC66" s="349"/>
      <c r="MED66" s="349"/>
      <c r="MEE66" s="349"/>
      <c r="MEF66" s="349"/>
      <c r="MEG66" s="349"/>
      <c r="MEH66" s="349"/>
      <c r="MEI66" s="349"/>
      <c r="MEJ66" s="349"/>
      <c r="MEK66" s="349"/>
      <c r="MEL66" s="349"/>
      <c r="MEM66" s="349"/>
      <c r="MEN66" s="349"/>
      <c r="MEO66" s="349"/>
      <c r="MEP66" s="349"/>
      <c r="MEQ66" s="349"/>
      <c r="MER66" s="349"/>
      <c r="MES66" s="349"/>
      <c r="MET66" s="349"/>
      <c r="MEU66" s="349"/>
      <c r="MEV66" s="349"/>
      <c r="MEW66" s="349"/>
      <c r="MEX66" s="349"/>
      <c r="MEY66" s="349"/>
      <c r="MEZ66" s="349"/>
      <c r="MFA66" s="349"/>
      <c r="MFB66" s="349"/>
      <c r="MFC66" s="349"/>
      <c r="MFD66" s="349"/>
      <c r="MFE66" s="349"/>
      <c r="MFF66" s="349"/>
      <c r="MFG66" s="349"/>
      <c r="MFH66" s="349"/>
      <c r="MFI66" s="349"/>
      <c r="MFJ66" s="349"/>
      <c r="MFK66" s="349"/>
      <c r="MFL66" s="349"/>
      <c r="MFM66" s="349"/>
      <c r="MFN66" s="349"/>
      <c r="MFO66" s="349"/>
      <c r="MFP66" s="349"/>
      <c r="MFQ66" s="349"/>
      <c r="MFR66" s="349"/>
      <c r="MFS66" s="349"/>
      <c r="MFT66" s="349"/>
      <c r="MFU66" s="349"/>
      <c r="MFV66" s="349"/>
      <c r="MFW66" s="349"/>
      <c r="MFX66" s="349"/>
      <c r="MFY66" s="349"/>
      <c r="MFZ66" s="349"/>
      <c r="MGA66" s="349"/>
      <c r="MGB66" s="349"/>
      <c r="MGC66" s="349"/>
      <c r="MGD66" s="349"/>
      <c r="MGE66" s="349"/>
      <c r="MGF66" s="349"/>
      <c r="MGG66" s="349"/>
      <c r="MGH66" s="349"/>
      <c r="MGI66" s="349"/>
      <c r="MGJ66" s="349"/>
      <c r="MGK66" s="349"/>
      <c r="MGL66" s="349"/>
      <c r="MGM66" s="349"/>
      <c r="MGN66" s="349"/>
      <c r="MGO66" s="349"/>
      <c r="MGP66" s="349"/>
      <c r="MGQ66" s="349"/>
      <c r="MGR66" s="349"/>
      <c r="MGS66" s="349"/>
      <c r="MGT66" s="349"/>
      <c r="MGU66" s="349"/>
      <c r="MGV66" s="349"/>
      <c r="MGW66" s="349"/>
      <c r="MGX66" s="349"/>
      <c r="MGY66" s="349"/>
      <c r="MGZ66" s="349"/>
      <c r="MHA66" s="349"/>
      <c r="MHB66" s="349"/>
      <c r="MHC66" s="349"/>
      <c r="MHD66" s="349"/>
      <c r="MHE66" s="349"/>
      <c r="MHF66" s="349"/>
      <c r="MHG66" s="349"/>
      <c r="MHH66" s="349"/>
      <c r="MHI66" s="349"/>
      <c r="MHJ66" s="349"/>
      <c r="MHK66" s="349"/>
      <c r="MHL66" s="349"/>
      <c r="MHM66" s="349"/>
      <c r="MHN66" s="349"/>
      <c r="MHO66" s="349"/>
      <c r="MHP66" s="349"/>
      <c r="MHQ66" s="349"/>
      <c r="MHR66" s="349"/>
      <c r="MHS66" s="349"/>
      <c r="MHT66" s="349"/>
      <c r="MHU66" s="349"/>
      <c r="MHV66" s="349"/>
      <c r="MHW66" s="349"/>
      <c r="MHX66" s="349"/>
      <c r="MHY66" s="349"/>
      <c r="MHZ66" s="349"/>
      <c r="MIA66" s="349"/>
      <c r="MIB66" s="349"/>
      <c r="MIC66" s="349"/>
      <c r="MID66" s="349"/>
      <c r="MIE66" s="349"/>
      <c r="MIF66" s="349"/>
      <c r="MIG66" s="349"/>
      <c r="MIH66" s="349"/>
      <c r="MII66" s="349"/>
      <c r="MIJ66" s="349"/>
      <c r="MIK66" s="349"/>
      <c r="MIL66" s="349"/>
      <c r="MIM66" s="349"/>
      <c r="MIN66" s="349"/>
      <c r="MIO66" s="349"/>
      <c r="MIP66" s="349"/>
      <c r="MIQ66" s="349"/>
      <c r="MIR66" s="349"/>
      <c r="MIS66" s="349"/>
      <c r="MIT66" s="349"/>
      <c r="MIU66" s="349"/>
      <c r="MIV66" s="349"/>
      <c r="MIW66" s="349"/>
      <c r="MIX66" s="349"/>
      <c r="MIY66" s="349"/>
      <c r="MIZ66" s="349"/>
      <c r="MJA66" s="349"/>
      <c r="MJB66" s="349"/>
      <c r="MJC66" s="349"/>
      <c r="MJD66" s="349"/>
      <c r="MJE66" s="349"/>
      <c r="MJF66" s="349"/>
      <c r="MJG66" s="349"/>
      <c r="MJH66" s="349"/>
      <c r="MJI66" s="349"/>
      <c r="MJJ66" s="349"/>
      <c r="MJK66" s="349"/>
      <c r="MJL66" s="349"/>
      <c r="MJM66" s="349"/>
      <c r="MJN66" s="349"/>
      <c r="MJO66" s="349"/>
      <c r="MJP66" s="349"/>
      <c r="MJQ66" s="349"/>
      <c r="MJR66" s="349"/>
      <c r="MJS66" s="349"/>
      <c r="MJT66" s="349"/>
      <c r="MJU66" s="349"/>
      <c r="MJV66" s="349"/>
      <c r="MJW66" s="349"/>
      <c r="MJX66" s="349"/>
      <c r="MJY66" s="349"/>
      <c r="MJZ66" s="349"/>
      <c r="MKA66" s="349"/>
      <c r="MKB66" s="349"/>
      <c r="MKC66" s="349"/>
      <c r="MKD66" s="349"/>
      <c r="MKE66" s="349"/>
      <c r="MKF66" s="349"/>
      <c r="MKG66" s="349"/>
      <c r="MKH66" s="349"/>
      <c r="MKI66" s="349"/>
      <c r="MKJ66" s="349"/>
      <c r="MKK66" s="349"/>
      <c r="MKL66" s="349"/>
      <c r="MKM66" s="349"/>
      <c r="MKN66" s="349"/>
      <c r="MKO66" s="349"/>
      <c r="MKP66" s="349"/>
      <c r="MKQ66" s="349"/>
      <c r="MKR66" s="349"/>
      <c r="MKS66" s="349"/>
      <c r="MKT66" s="349"/>
      <c r="MKU66" s="349"/>
      <c r="MKV66" s="349"/>
      <c r="MKW66" s="349"/>
      <c r="MKX66" s="349"/>
      <c r="MKY66" s="349"/>
      <c r="MKZ66" s="349"/>
      <c r="MLA66" s="349"/>
      <c r="MLB66" s="349"/>
      <c r="MLC66" s="349"/>
      <c r="MLD66" s="349"/>
      <c r="MLE66" s="349"/>
      <c r="MLF66" s="349"/>
      <c r="MLG66" s="349"/>
      <c r="MLH66" s="349"/>
      <c r="MLI66" s="349"/>
      <c r="MLJ66" s="349"/>
      <c r="MLK66" s="349"/>
      <c r="MLL66" s="349"/>
      <c r="MLM66" s="349"/>
      <c r="MLN66" s="349"/>
      <c r="MLO66" s="349"/>
      <c r="MLP66" s="349"/>
      <c r="MLQ66" s="349"/>
      <c r="MLR66" s="349"/>
      <c r="MLS66" s="349"/>
      <c r="MLT66" s="349"/>
      <c r="MLU66" s="349"/>
      <c r="MLV66" s="349"/>
      <c r="MLW66" s="349"/>
      <c r="MLX66" s="349"/>
      <c r="MLY66" s="349"/>
      <c r="MLZ66" s="349"/>
      <c r="MMA66" s="349"/>
      <c r="MMB66" s="349"/>
      <c r="MMC66" s="349"/>
      <c r="MMD66" s="349"/>
      <c r="MME66" s="349"/>
      <c r="MMF66" s="349"/>
      <c r="MMG66" s="349"/>
      <c r="MMH66" s="349"/>
      <c r="MMI66" s="349"/>
      <c r="MMJ66" s="349"/>
      <c r="MMK66" s="349"/>
      <c r="MML66" s="349"/>
      <c r="MMM66" s="349"/>
      <c r="MMN66" s="349"/>
      <c r="MMO66" s="349"/>
      <c r="MMP66" s="349"/>
      <c r="MMQ66" s="349"/>
      <c r="MMR66" s="349"/>
      <c r="MMS66" s="349"/>
      <c r="MMT66" s="349"/>
      <c r="MMU66" s="349"/>
      <c r="MMV66" s="349"/>
      <c r="MMW66" s="349"/>
      <c r="MMX66" s="349"/>
      <c r="MMY66" s="349"/>
      <c r="MMZ66" s="349"/>
      <c r="MNA66" s="349"/>
      <c r="MNB66" s="349"/>
      <c r="MNC66" s="349"/>
      <c r="MND66" s="349"/>
      <c r="MNE66" s="349"/>
      <c r="MNF66" s="349"/>
      <c r="MNG66" s="349"/>
      <c r="MNH66" s="349"/>
      <c r="MNI66" s="349"/>
      <c r="MNJ66" s="349"/>
      <c r="MNK66" s="349"/>
      <c r="MNL66" s="349"/>
      <c r="MNM66" s="349"/>
      <c r="MNN66" s="349"/>
      <c r="MNO66" s="349"/>
      <c r="MNP66" s="349"/>
      <c r="MNQ66" s="349"/>
      <c r="MNR66" s="349"/>
      <c r="MNS66" s="349"/>
      <c r="MNT66" s="349"/>
      <c r="MNU66" s="349"/>
      <c r="MNV66" s="349"/>
      <c r="MNW66" s="349"/>
      <c r="MNX66" s="349"/>
      <c r="MNY66" s="349"/>
      <c r="MNZ66" s="349"/>
      <c r="MOA66" s="349"/>
      <c r="MOB66" s="349"/>
      <c r="MOC66" s="349"/>
      <c r="MOD66" s="349"/>
      <c r="MOE66" s="349"/>
      <c r="MOF66" s="349"/>
      <c r="MOG66" s="349"/>
      <c r="MOH66" s="349"/>
      <c r="MOI66" s="349"/>
      <c r="MOJ66" s="349"/>
      <c r="MOK66" s="349"/>
      <c r="MOL66" s="349"/>
      <c r="MOM66" s="349"/>
      <c r="MON66" s="349"/>
      <c r="MOO66" s="349"/>
      <c r="MOP66" s="349"/>
      <c r="MOQ66" s="349"/>
      <c r="MOR66" s="349"/>
      <c r="MOS66" s="349"/>
      <c r="MOT66" s="349"/>
      <c r="MOU66" s="349"/>
      <c r="MOV66" s="349"/>
      <c r="MOW66" s="349"/>
      <c r="MOX66" s="349"/>
      <c r="MOY66" s="349"/>
      <c r="MOZ66" s="349"/>
      <c r="MPA66" s="349"/>
      <c r="MPB66" s="349"/>
      <c r="MPC66" s="349"/>
      <c r="MPD66" s="349"/>
      <c r="MPE66" s="349"/>
      <c r="MPF66" s="349"/>
      <c r="MPG66" s="349"/>
      <c r="MPH66" s="349"/>
      <c r="MPI66" s="349"/>
      <c r="MPJ66" s="349"/>
      <c r="MPK66" s="349"/>
      <c r="MPL66" s="349"/>
      <c r="MPM66" s="349"/>
      <c r="MPN66" s="349"/>
      <c r="MPO66" s="349"/>
      <c r="MPP66" s="349"/>
      <c r="MPQ66" s="349"/>
      <c r="MPR66" s="349"/>
      <c r="MPS66" s="349"/>
      <c r="MPT66" s="349"/>
      <c r="MPU66" s="349"/>
      <c r="MPV66" s="349"/>
      <c r="MPW66" s="349"/>
      <c r="MPX66" s="349"/>
      <c r="MPY66" s="349"/>
      <c r="MPZ66" s="349"/>
      <c r="MQA66" s="349"/>
      <c r="MQB66" s="349"/>
      <c r="MQC66" s="349"/>
      <c r="MQD66" s="349"/>
      <c r="MQE66" s="349"/>
      <c r="MQF66" s="349"/>
      <c r="MQG66" s="349"/>
      <c r="MQH66" s="349"/>
      <c r="MQI66" s="349"/>
      <c r="MQJ66" s="349"/>
      <c r="MQK66" s="349"/>
      <c r="MQL66" s="349"/>
      <c r="MQM66" s="349"/>
      <c r="MQN66" s="349"/>
      <c r="MQO66" s="349"/>
      <c r="MQP66" s="349"/>
      <c r="MQQ66" s="349"/>
      <c r="MQR66" s="349"/>
      <c r="MQS66" s="349"/>
      <c r="MQT66" s="349"/>
      <c r="MQU66" s="349"/>
      <c r="MQV66" s="349"/>
      <c r="MQW66" s="349"/>
      <c r="MQX66" s="349"/>
      <c r="MQY66" s="349"/>
      <c r="MQZ66" s="349"/>
      <c r="MRA66" s="349"/>
      <c r="MRB66" s="349"/>
      <c r="MRC66" s="349"/>
      <c r="MRD66" s="349"/>
      <c r="MRE66" s="349"/>
      <c r="MRF66" s="349"/>
      <c r="MRG66" s="349"/>
      <c r="MRH66" s="349"/>
      <c r="MRI66" s="349"/>
      <c r="MRJ66" s="349"/>
      <c r="MRK66" s="349"/>
      <c r="MRL66" s="349"/>
      <c r="MRM66" s="349"/>
      <c r="MRN66" s="349"/>
      <c r="MRO66" s="349"/>
      <c r="MRP66" s="349"/>
      <c r="MRQ66" s="349"/>
      <c r="MRR66" s="349"/>
      <c r="MRS66" s="349"/>
      <c r="MRT66" s="349"/>
      <c r="MRU66" s="349"/>
      <c r="MRV66" s="349"/>
      <c r="MRW66" s="349"/>
      <c r="MRX66" s="349"/>
      <c r="MRY66" s="349"/>
      <c r="MRZ66" s="349"/>
      <c r="MSA66" s="349"/>
      <c r="MSB66" s="349"/>
      <c r="MSC66" s="349"/>
      <c r="MSD66" s="349"/>
      <c r="MSE66" s="349"/>
      <c r="MSF66" s="349"/>
      <c r="MSG66" s="349"/>
      <c r="MSH66" s="349"/>
      <c r="MSI66" s="349"/>
      <c r="MSJ66" s="349"/>
      <c r="MSK66" s="349"/>
      <c r="MSL66" s="349"/>
      <c r="MSM66" s="349"/>
      <c r="MSN66" s="349"/>
      <c r="MSO66" s="349"/>
      <c r="MSP66" s="349"/>
      <c r="MSQ66" s="349"/>
      <c r="MSR66" s="349"/>
      <c r="MSS66" s="349"/>
      <c r="MST66" s="349"/>
      <c r="MSU66" s="349"/>
      <c r="MSV66" s="349"/>
      <c r="MSW66" s="349"/>
      <c r="MSX66" s="349"/>
      <c r="MSY66" s="349"/>
      <c r="MSZ66" s="349"/>
      <c r="MTA66" s="349"/>
      <c r="MTB66" s="349"/>
      <c r="MTC66" s="349"/>
      <c r="MTD66" s="349"/>
      <c r="MTE66" s="349"/>
      <c r="MTF66" s="349"/>
      <c r="MTG66" s="349"/>
      <c r="MTH66" s="349"/>
      <c r="MTI66" s="349"/>
      <c r="MTJ66" s="349"/>
      <c r="MTK66" s="349"/>
      <c r="MTL66" s="349"/>
      <c r="MTM66" s="349"/>
      <c r="MTN66" s="349"/>
      <c r="MTO66" s="349"/>
      <c r="MTP66" s="349"/>
      <c r="MTQ66" s="349"/>
      <c r="MTR66" s="349"/>
      <c r="MTS66" s="349"/>
      <c r="MTT66" s="349"/>
      <c r="MTU66" s="349"/>
      <c r="MTV66" s="349"/>
      <c r="MTW66" s="349"/>
      <c r="MTX66" s="349"/>
      <c r="MTY66" s="349"/>
      <c r="MTZ66" s="349"/>
      <c r="MUA66" s="349"/>
      <c r="MUB66" s="349"/>
      <c r="MUC66" s="349"/>
      <c r="MUD66" s="349"/>
      <c r="MUE66" s="349"/>
      <c r="MUF66" s="349"/>
      <c r="MUG66" s="349"/>
      <c r="MUH66" s="349"/>
      <c r="MUI66" s="349"/>
      <c r="MUJ66" s="349"/>
      <c r="MUK66" s="349"/>
      <c r="MUL66" s="349"/>
      <c r="MUM66" s="349"/>
      <c r="MUN66" s="349"/>
      <c r="MUO66" s="349"/>
      <c r="MUP66" s="349"/>
      <c r="MUQ66" s="349"/>
      <c r="MUR66" s="349"/>
      <c r="MUS66" s="349"/>
      <c r="MUT66" s="349"/>
      <c r="MUU66" s="349"/>
      <c r="MUV66" s="349"/>
      <c r="MUW66" s="349"/>
      <c r="MUX66" s="349"/>
      <c r="MUY66" s="349"/>
      <c r="MUZ66" s="349"/>
      <c r="MVA66" s="349"/>
      <c r="MVB66" s="349"/>
      <c r="MVC66" s="349"/>
      <c r="MVD66" s="349"/>
      <c r="MVE66" s="349"/>
      <c r="MVF66" s="349"/>
      <c r="MVG66" s="349"/>
      <c r="MVH66" s="349"/>
      <c r="MVI66" s="349"/>
      <c r="MVJ66" s="349"/>
      <c r="MVK66" s="349"/>
      <c r="MVL66" s="349"/>
      <c r="MVM66" s="349"/>
      <c r="MVN66" s="349"/>
      <c r="MVO66" s="349"/>
      <c r="MVP66" s="349"/>
      <c r="MVQ66" s="349"/>
      <c r="MVR66" s="349"/>
      <c r="MVS66" s="349"/>
      <c r="MVT66" s="349"/>
      <c r="MVU66" s="349"/>
      <c r="MVV66" s="349"/>
      <c r="MVW66" s="349"/>
      <c r="MVX66" s="349"/>
      <c r="MVY66" s="349"/>
      <c r="MVZ66" s="349"/>
      <c r="MWA66" s="349"/>
      <c r="MWB66" s="349"/>
      <c r="MWC66" s="349"/>
      <c r="MWD66" s="349"/>
      <c r="MWE66" s="349"/>
      <c r="MWF66" s="349"/>
      <c r="MWG66" s="349"/>
      <c r="MWH66" s="349"/>
      <c r="MWI66" s="349"/>
      <c r="MWJ66" s="349"/>
      <c r="MWK66" s="349"/>
      <c r="MWL66" s="349"/>
      <c r="MWM66" s="349"/>
      <c r="MWN66" s="349"/>
      <c r="MWO66" s="349"/>
      <c r="MWP66" s="349"/>
      <c r="MWQ66" s="349"/>
      <c r="MWR66" s="349"/>
      <c r="MWS66" s="349"/>
      <c r="MWT66" s="349"/>
      <c r="MWU66" s="349"/>
      <c r="MWV66" s="349"/>
      <c r="MWW66" s="349"/>
      <c r="MWX66" s="349"/>
      <c r="MWY66" s="349"/>
      <c r="MWZ66" s="349"/>
      <c r="MXA66" s="349"/>
      <c r="MXB66" s="349"/>
      <c r="MXC66" s="349"/>
      <c r="MXD66" s="349"/>
      <c r="MXE66" s="349"/>
      <c r="MXF66" s="349"/>
      <c r="MXG66" s="349"/>
      <c r="MXH66" s="349"/>
      <c r="MXI66" s="349"/>
      <c r="MXJ66" s="349"/>
      <c r="MXK66" s="349"/>
      <c r="MXL66" s="349"/>
      <c r="MXM66" s="349"/>
      <c r="MXN66" s="349"/>
      <c r="MXO66" s="349"/>
      <c r="MXP66" s="349"/>
      <c r="MXQ66" s="349"/>
      <c r="MXR66" s="349"/>
      <c r="MXS66" s="349"/>
      <c r="MXT66" s="349"/>
      <c r="MXU66" s="349"/>
      <c r="MXV66" s="349"/>
      <c r="MXW66" s="349"/>
      <c r="MXX66" s="349"/>
      <c r="MXY66" s="349"/>
      <c r="MXZ66" s="349"/>
      <c r="MYA66" s="349"/>
      <c r="MYB66" s="349"/>
      <c r="MYC66" s="349"/>
      <c r="MYD66" s="349"/>
      <c r="MYE66" s="349"/>
      <c r="MYF66" s="349"/>
      <c r="MYG66" s="349"/>
      <c r="MYH66" s="349"/>
      <c r="MYI66" s="349"/>
      <c r="MYJ66" s="349"/>
      <c r="MYK66" s="349"/>
      <c r="MYL66" s="349"/>
      <c r="MYM66" s="349"/>
      <c r="MYN66" s="349"/>
      <c r="MYO66" s="349"/>
      <c r="MYP66" s="349"/>
      <c r="MYQ66" s="349"/>
      <c r="MYR66" s="349"/>
      <c r="MYS66" s="349"/>
      <c r="MYT66" s="349"/>
      <c r="MYU66" s="349"/>
      <c r="MYV66" s="349"/>
      <c r="MYW66" s="349"/>
      <c r="MYX66" s="349"/>
      <c r="MYY66" s="349"/>
      <c r="MYZ66" s="349"/>
      <c r="MZA66" s="349"/>
      <c r="MZB66" s="349"/>
      <c r="MZC66" s="349"/>
      <c r="MZD66" s="349"/>
      <c r="MZE66" s="349"/>
      <c r="MZF66" s="349"/>
      <c r="MZG66" s="349"/>
      <c r="MZH66" s="349"/>
      <c r="MZI66" s="349"/>
      <c r="MZJ66" s="349"/>
      <c r="MZK66" s="349"/>
      <c r="MZL66" s="349"/>
      <c r="MZM66" s="349"/>
      <c r="MZN66" s="349"/>
      <c r="MZO66" s="349"/>
      <c r="MZP66" s="349"/>
      <c r="MZQ66" s="349"/>
      <c r="MZR66" s="349"/>
      <c r="MZS66" s="349"/>
      <c r="MZT66" s="349"/>
      <c r="MZU66" s="349"/>
      <c r="MZV66" s="349"/>
      <c r="MZW66" s="349"/>
      <c r="MZX66" s="349"/>
      <c r="MZY66" s="349"/>
      <c r="MZZ66" s="349"/>
      <c r="NAA66" s="349"/>
      <c r="NAB66" s="349"/>
      <c r="NAC66" s="349"/>
      <c r="NAD66" s="349"/>
      <c r="NAE66" s="349"/>
      <c r="NAF66" s="349"/>
      <c r="NAG66" s="349"/>
      <c r="NAH66" s="349"/>
      <c r="NAI66" s="349"/>
      <c r="NAJ66" s="349"/>
      <c r="NAK66" s="349"/>
      <c r="NAL66" s="349"/>
      <c r="NAM66" s="349"/>
      <c r="NAN66" s="349"/>
      <c r="NAO66" s="349"/>
      <c r="NAP66" s="349"/>
      <c r="NAQ66" s="349"/>
      <c r="NAR66" s="349"/>
      <c r="NAS66" s="349"/>
      <c r="NAT66" s="349"/>
      <c r="NAU66" s="349"/>
      <c r="NAV66" s="349"/>
      <c r="NAW66" s="349"/>
      <c r="NAX66" s="349"/>
      <c r="NAY66" s="349"/>
      <c r="NAZ66" s="349"/>
      <c r="NBA66" s="349"/>
      <c r="NBB66" s="349"/>
      <c r="NBC66" s="349"/>
      <c r="NBD66" s="349"/>
      <c r="NBE66" s="349"/>
      <c r="NBF66" s="349"/>
      <c r="NBG66" s="349"/>
      <c r="NBH66" s="349"/>
      <c r="NBI66" s="349"/>
      <c r="NBJ66" s="349"/>
      <c r="NBK66" s="349"/>
      <c r="NBL66" s="349"/>
      <c r="NBM66" s="349"/>
      <c r="NBN66" s="349"/>
      <c r="NBO66" s="349"/>
      <c r="NBP66" s="349"/>
      <c r="NBQ66" s="349"/>
      <c r="NBR66" s="349"/>
      <c r="NBS66" s="349"/>
      <c r="NBT66" s="349"/>
      <c r="NBU66" s="349"/>
      <c r="NBV66" s="349"/>
      <c r="NBW66" s="349"/>
      <c r="NBX66" s="349"/>
      <c r="NBY66" s="349"/>
      <c r="NBZ66" s="349"/>
      <c r="NCA66" s="349"/>
      <c r="NCB66" s="349"/>
      <c r="NCC66" s="349"/>
      <c r="NCD66" s="349"/>
      <c r="NCE66" s="349"/>
      <c r="NCF66" s="349"/>
      <c r="NCG66" s="349"/>
      <c r="NCH66" s="349"/>
      <c r="NCI66" s="349"/>
      <c r="NCJ66" s="349"/>
      <c r="NCK66" s="349"/>
      <c r="NCL66" s="349"/>
      <c r="NCM66" s="349"/>
      <c r="NCN66" s="349"/>
      <c r="NCO66" s="349"/>
      <c r="NCP66" s="349"/>
      <c r="NCQ66" s="349"/>
      <c r="NCR66" s="349"/>
      <c r="NCS66" s="349"/>
      <c r="NCT66" s="349"/>
      <c r="NCU66" s="349"/>
      <c r="NCV66" s="349"/>
      <c r="NCW66" s="349"/>
      <c r="NCX66" s="349"/>
      <c r="NCY66" s="349"/>
      <c r="NCZ66" s="349"/>
      <c r="NDA66" s="349"/>
      <c r="NDB66" s="349"/>
      <c r="NDC66" s="349"/>
      <c r="NDD66" s="349"/>
      <c r="NDE66" s="349"/>
      <c r="NDF66" s="349"/>
      <c r="NDG66" s="349"/>
      <c r="NDH66" s="349"/>
      <c r="NDI66" s="349"/>
      <c r="NDJ66" s="349"/>
      <c r="NDK66" s="349"/>
      <c r="NDL66" s="349"/>
      <c r="NDM66" s="349"/>
      <c r="NDN66" s="349"/>
      <c r="NDO66" s="349"/>
      <c r="NDP66" s="349"/>
      <c r="NDQ66" s="349"/>
      <c r="NDR66" s="349"/>
      <c r="NDS66" s="349"/>
      <c r="NDT66" s="349"/>
      <c r="NDU66" s="349"/>
      <c r="NDV66" s="349"/>
      <c r="NDW66" s="349"/>
      <c r="NDX66" s="349"/>
      <c r="NDY66" s="349"/>
      <c r="NDZ66" s="349"/>
      <c r="NEA66" s="349"/>
      <c r="NEB66" s="349"/>
      <c r="NEC66" s="349"/>
      <c r="NED66" s="349"/>
      <c r="NEE66" s="349"/>
      <c r="NEF66" s="349"/>
      <c r="NEG66" s="349"/>
      <c r="NEH66" s="349"/>
      <c r="NEI66" s="349"/>
      <c r="NEJ66" s="349"/>
      <c r="NEK66" s="349"/>
      <c r="NEL66" s="349"/>
      <c r="NEM66" s="349"/>
      <c r="NEN66" s="349"/>
      <c r="NEO66" s="349"/>
      <c r="NEP66" s="349"/>
      <c r="NEQ66" s="349"/>
      <c r="NER66" s="349"/>
      <c r="NES66" s="349"/>
      <c r="NET66" s="349"/>
      <c r="NEU66" s="349"/>
      <c r="NEV66" s="349"/>
      <c r="NEW66" s="349"/>
      <c r="NEX66" s="349"/>
      <c r="NEY66" s="349"/>
      <c r="NEZ66" s="349"/>
      <c r="NFA66" s="349"/>
      <c r="NFB66" s="349"/>
      <c r="NFC66" s="349"/>
      <c r="NFD66" s="349"/>
      <c r="NFE66" s="349"/>
      <c r="NFF66" s="349"/>
      <c r="NFG66" s="349"/>
      <c r="NFH66" s="349"/>
      <c r="NFI66" s="349"/>
      <c r="NFJ66" s="349"/>
      <c r="NFK66" s="349"/>
      <c r="NFL66" s="349"/>
      <c r="NFM66" s="349"/>
      <c r="NFN66" s="349"/>
      <c r="NFO66" s="349"/>
      <c r="NFP66" s="349"/>
      <c r="NFQ66" s="349"/>
      <c r="NFR66" s="349"/>
      <c r="NFS66" s="349"/>
      <c r="NFT66" s="349"/>
      <c r="NFU66" s="349"/>
      <c r="NFV66" s="349"/>
      <c r="NFW66" s="349"/>
      <c r="NFX66" s="349"/>
      <c r="NFY66" s="349"/>
      <c r="NFZ66" s="349"/>
      <c r="NGA66" s="349"/>
      <c r="NGB66" s="349"/>
      <c r="NGC66" s="349"/>
      <c r="NGD66" s="349"/>
      <c r="NGE66" s="349"/>
      <c r="NGF66" s="349"/>
      <c r="NGG66" s="349"/>
      <c r="NGH66" s="349"/>
      <c r="NGI66" s="349"/>
      <c r="NGJ66" s="349"/>
      <c r="NGK66" s="349"/>
      <c r="NGL66" s="349"/>
      <c r="NGM66" s="349"/>
      <c r="NGN66" s="349"/>
      <c r="NGO66" s="349"/>
      <c r="NGP66" s="349"/>
      <c r="NGQ66" s="349"/>
      <c r="NGR66" s="349"/>
      <c r="NGS66" s="349"/>
      <c r="NGT66" s="349"/>
      <c r="NGU66" s="349"/>
      <c r="NGV66" s="349"/>
      <c r="NGW66" s="349"/>
      <c r="NGX66" s="349"/>
      <c r="NGY66" s="349"/>
      <c r="NGZ66" s="349"/>
      <c r="NHA66" s="349"/>
      <c r="NHB66" s="349"/>
      <c r="NHC66" s="349"/>
      <c r="NHD66" s="349"/>
      <c r="NHE66" s="349"/>
      <c r="NHF66" s="349"/>
      <c r="NHG66" s="349"/>
      <c r="NHH66" s="349"/>
      <c r="NHI66" s="349"/>
      <c r="NHJ66" s="349"/>
      <c r="NHK66" s="349"/>
      <c r="NHL66" s="349"/>
      <c r="NHM66" s="349"/>
      <c r="NHN66" s="349"/>
      <c r="NHO66" s="349"/>
      <c r="NHP66" s="349"/>
      <c r="NHQ66" s="349"/>
      <c r="NHR66" s="349"/>
      <c r="NHS66" s="349"/>
      <c r="NHT66" s="349"/>
      <c r="NHU66" s="349"/>
      <c r="NHV66" s="349"/>
      <c r="NHW66" s="349"/>
      <c r="NHX66" s="349"/>
      <c r="NHY66" s="349"/>
      <c r="NHZ66" s="349"/>
      <c r="NIA66" s="349"/>
      <c r="NIB66" s="349"/>
      <c r="NIC66" s="349"/>
      <c r="NID66" s="349"/>
      <c r="NIE66" s="349"/>
      <c r="NIF66" s="349"/>
      <c r="NIG66" s="349"/>
      <c r="NIH66" s="349"/>
      <c r="NII66" s="349"/>
      <c r="NIJ66" s="349"/>
      <c r="NIK66" s="349"/>
      <c r="NIL66" s="349"/>
      <c r="NIM66" s="349"/>
      <c r="NIN66" s="349"/>
      <c r="NIO66" s="349"/>
      <c r="NIP66" s="349"/>
      <c r="NIQ66" s="349"/>
      <c r="NIR66" s="349"/>
      <c r="NIS66" s="349"/>
      <c r="NIT66" s="349"/>
      <c r="NIU66" s="349"/>
      <c r="NIV66" s="349"/>
      <c r="NIW66" s="349"/>
      <c r="NIX66" s="349"/>
      <c r="NIY66" s="349"/>
      <c r="NIZ66" s="349"/>
      <c r="NJA66" s="349"/>
      <c r="NJB66" s="349"/>
      <c r="NJC66" s="349"/>
      <c r="NJD66" s="349"/>
      <c r="NJE66" s="349"/>
      <c r="NJF66" s="349"/>
      <c r="NJG66" s="349"/>
      <c r="NJH66" s="349"/>
      <c r="NJI66" s="349"/>
      <c r="NJJ66" s="349"/>
      <c r="NJK66" s="349"/>
      <c r="NJL66" s="349"/>
      <c r="NJM66" s="349"/>
      <c r="NJN66" s="349"/>
      <c r="NJO66" s="349"/>
      <c r="NJP66" s="349"/>
      <c r="NJQ66" s="349"/>
      <c r="NJR66" s="349"/>
      <c r="NJS66" s="349"/>
      <c r="NJT66" s="349"/>
      <c r="NJU66" s="349"/>
      <c r="NJV66" s="349"/>
      <c r="NJW66" s="349"/>
      <c r="NJX66" s="349"/>
      <c r="NJY66" s="349"/>
      <c r="NJZ66" s="349"/>
      <c r="NKA66" s="349"/>
      <c r="NKB66" s="349"/>
      <c r="NKC66" s="349"/>
      <c r="NKD66" s="349"/>
      <c r="NKE66" s="349"/>
      <c r="NKF66" s="349"/>
      <c r="NKG66" s="349"/>
      <c r="NKH66" s="349"/>
      <c r="NKI66" s="349"/>
      <c r="NKJ66" s="349"/>
      <c r="NKK66" s="349"/>
      <c r="NKL66" s="349"/>
      <c r="NKM66" s="349"/>
      <c r="NKN66" s="349"/>
      <c r="NKO66" s="349"/>
      <c r="NKP66" s="349"/>
      <c r="NKQ66" s="349"/>
      <c r="NKR66" s="349"/>
      <c r="NKS66" s="349"/>
      <c r="NKT66" s="349"/>
      <c r="NKU66" s="349"/>
      <c r="NKV66" s="349"/>
      <c r="NKW66" s="349"/>
      <c r="NKX66" s="349"/>
      <c r="NKY66" s="349"/>
      <c r="NKZ66" s="349"/>
      <c r="NLA66" s="349"/>
      <c r="NLB66" s="349"/>
      <c r="NLC66" s="349"/>
      <c r="NLD66" s="349"/>
      <c r="NLE66" s="349"/>
      <c r="NLF66" s="349"/>
      <c r="NLG66" s="349"/>
      <c r="NLH66" s="349"/>
      <c r="NLI66" s="349"/>
      <c r="NLJ66" s="349"/>
      <c r="NLK66" s="349"/>
      <c r="NLL66" s="349"/>
      <c r="NLM66" s="349"/>
      <c r="NLN66" s="349"/>
      <c r="NLO66" s="349"/>
      <c r="NLP66" s="349"/>
      <c r="NLQ66" s="349"/>
      <c r="NLR66" s="349"/>
      <c r="NLS66" s="349"/>
      <c r="NLT66" s="349"/>
      <c r="NLU66" s="349"/>
      <c r="NLV66" s="349"/>
      <c r="NLW66" s="349"/>
      <c r="NLX66" s="349"/>
      <c r="NLY66" s="349"/>
      <c r="NLZ66" s="349"/>
      <c r="NMA66" s="349"/>
      <c r="NMB66" s="349"/>
      <c r="NMC66" s="349"/>
      <c r="NMD66" s="349"/>
      <c r="NME66" s="349"/>
      <c r="NMF66" s="349"/>
      <c r="NMG66" s="349"/>
      <c r="NMH66" s="349"/>
      <c r="NMI66" s="349"/>
      <c r="NMJ66" s="349"/>
      <c r="NMK66" s="349"/>
      <c r="NML66" s="349"/>
      <c r="NMM66" s="349"/>
      <c r="NMN66" s="349"/>
      <c r="NMO66" s="349"/>
      <c r="NMP66" s="349"/>
      <c r="NMQ66" s="349"/>
      <c r="NMR66" s="349"/>
      <c r="NMS66" s="349"/>
      <c r="NMT66" s="349"/>
      <c r="NMU66" s="349"/>
      <c r="NMV66" s="349"/>
      <c r="NMW66" s="349"/>
      <c r="NMX66" s="349"/>
      <c r="NMY66" s="349"/>
      <c r="NMZ66" s="349"/>
      <c r="NNA66" s="349"/>
      <c r="NNB66" s="349"/>
      <c r="NNC66" s="349"/>
      <c r="NND66" s="349"/>
      <c r="NNE66" s="349"/>
      <c r="NNF66" s="349"/>
      <c r="NNG66" s="349"/>
      <c r="NNH66" s="349"/>
      <c r="NNI66" s="349"/>
      <c r="NNJ66" s="349"/>
      <c r="NNK66" s="349"/>
      <c r="NNL66" s="349"/>
      <c r="NNM66" s="349"/>
      <c r="NNN66" s="349"/>
      <c r="NNO66" s="349"/>
      <c r="NNP66" s="349"/>
      <c r="NNQ66" s="349"/>
      <c r="NNR66" s="349"/>
      <c r="NNS66" s="349"/>
      <c r="NNT66" s="349"/>
      <c r="NNU66" s="349"/>
      <c r="NNV66" s="349"/>
      <c r="NNW66" s="349"/>
      <c r="NNX66" s="349"/>
      <c r="NNY66" s="349"/>
      <c r="NNZ66" s="349"/>
      <c r="NOA66" s="349"/>
      <c r="NOB66" s="349"/>
      <c r="NOC66" s="349"/>
      <c r="NOD66" s="349"/>
      <c r="NOE66" s="349"/>
      <c r="NOF66" s="349"/>
      <c r="NOG66" s="349"/>
      <c r="NOH66" s="349"/>
      <c r="NOI66" s="349"/>
      <c r="NOJ66" s="349"/>
      <c r="NOK66" s="349"/>
      <c r="NOL66" s="349"/>
      <c r="NOM66" s="349"/>
      <c r="NON66" s="349"/>
      <c r="NOO66" s="349"/>
      <c r="NOP66" s="349"/>
      <c r="NOQ66" s="349"/>
      <c r="NOR66" s="349"/>
      <c r="NOS66" s="349"/>
      <c r="NOT66" s="349"/>
      <c r="NOU66" s="349"/>
      <c r="NOV66" s="349"/>
      <c r="NOW66" s="349"/>
      <c r="NOX66" s="349"/>
      <c r="NOY66" s="349"/>
      <c r="NOZ66" s="349"/>
      <c r="NPA66" s="349"/>
      <c r="NPB66" s="349"/>
      <c r="NPC66" s="349"/>
      <c r="NPD66" s="349"/>
      <c r="NPE66" s="349"/>
      <c r="NPF66" s="349"/>
      <c r="NPG66" s="349"/>
      <c r="NPH66" s="349"/>
      <c r="NPI66" s="349"/>
      <c r="NPJ66" s="349"/>
      <c r="NPK66" s="349"/>
      <c r="NPL66" s="349"/>
      <c r="NPM66" s="349"/>
      <c r="NPN66" s="349"/>
      <c r="NPO66" s="349"/>
      <c r="NPP66" s="349"/>
      <c r="NPQ66" s="349"/>
      <c r="NPR66" s="349"/>
      <c r="NPS66" s="349"/>
      <c r="NPT66" s="349"/>
      <c r="NPU66" s="349"/>
      <c r="NPV66" s="349"/>
      <c r="NPW66" s="349"/>
      <c r="NPX66" s="349"/>
      <c r="NPY66" s="349"/>
      <c r="NPZ66" s="349"/>
      <c r="NQA66" s="349"/>
      <c r="NQB66" s="349"/>
      <c r="NQC66" s="349"/>
      <c r="NQD66" s="349"/>
      <c r="NQE66" s="349"/>
      <c r="NQF66" s="349"/>
      <c r="NQG66" s="349"/>
      <c r="NQH66" s="349"/>
      <c r="NQI66" s="349"/>
      <c r="NQJ66" s="349"/>
      <c r="NQK66" s="349"/>
      <c r="NQL66" s="349"/>
      <c r="NQM66" s="349"/>
      <c r="NQN66" s="349"/>
      <c r="NQO66" s="349"/>
      <c r="NQP66" s="349"/>
      <c r="NQQ66" s="349"/>
      <c r="NQR66" s="349"/>
      <c r="NQS66" s="349"/>
      <c r="NQT66" s="349"/>
      <c r="NQU66" s="349"/>
      <c r="NQV66" s="349"/>
      <c r="NQW66" s="349"/>
      <c r="NQX66" s="349"/>
      <c r="NQY66" s="349"/>
      <c r="NQZ66" s="349"/>
      <c r="NRA66" s="349"/>
      <c r="NRB66" s="349"/>
      <c r="NRC66" s="349"/>
      <c r="NRD66" s="349"/>
      <c r="NRE66" s="349"/>
      <c r="NRF66" s="349"/>
      <c r="NRG66" s="349"/>
      <c r="NRH66" s="349"/>
      <c r="NRI66" s="349"/>
      <c r="NRJ66" s="349"/>
      <c r="NRK66" s="349"/>
      <c r="NRL66" s="349"/>
      <c r="NRM66" s="349"/>
      <c r="NRN66" s="349"/>
      <c r="NRO66" s="349"/>
      <c r="NRP66" s="349"/>
      <c r="NRQ66" s="349"/>
      <c r="NRR66" s="349"/>
      <c r="NRS66" s="349"/>
      <c r="NRT66" s="349"/>
      <c r="NRU66" s="349"/>
      <c r="NRV66" s="349"/>
      <c r="NRW66" s="349"/>
      <c r="NRX66" s="349"/>
      <c r="NRY66" s="349"/>
      <c r="NRZ66" s="349"/>
      <c r="NSA66" s="349"/>
      <c r="NSB66" s="349"/>
      <c r="NSC66" s="349"/>
      <c r="NSD66" s="349"/>
      <c r="NSE66" s="349"/>
      <c r="NSF66" s="349"/>
      <c r="NSG66" s="349"/>
      <c r="NSH66" s="349"/>
      <c r="NSI66" s="349"/>
      <c r="NSJ66" s="349"/>
      <c r="NSK66" s="349"/>
      <c r="NSL66" s="349"/>
      <c r="NSM66" s="349"/>
      <c r="NSN66" s="349"/>
      <c r="NSO66" s="349"/>
      <c r="NSP66" s="349"/>
      <c r="NSQ66" s="349"/>
      <c r="NSR66" s="349"/>
      <c r="NSS66" s="349"/>
      <c r="NST66" s="349"/>
      <c r="NSU66" s="349"/>
      <c r="NSV66" s="349"/>
      <c r="NSW66" s="349"/>
      <c r="NSX66" s="349"/>
      <c r="NSY66" s="349"/>
      <c r="NSZ66" s="349"/>
      <c r="NTA66" s="349"/>
      <c r="NTB66" s="349"/>
      <c r="NTC66" s="349"/>
      <c r="NTD66" s="349"/>
      <c r="NTE66" s="349"/>
      <c r="NTF66" s="349"/>
      <c r="NTG66" s="349"/>
      <c r="NTH66" s="349"/>
      <c r="NTI66" s="349"/>
      <c r="NTJ66" s="349"/>
      <c r="NTK66" s="349"/>
      <c r="NTL66" s="349"/>
      <c r="NTM66" s="349"/>
      <c r="NTN66" s="349"/>
      <c r="NTO66" s="349"/>
      <c r="NTP66" s="349"/>
      <c r="NTQ66" s="349"/>
      <c r="NTR66" s="349"/>
      <c r="NTS66" s="349"/>
      <c r="NTT66" s="349"/>
      <c r="NTU66" s="349"/>
      <c r="NTV66" s="349"/>
      <c r="NTW66" s="349"/>
      <c r="NTX66" s="349"/>
      <c r="NTY66" s="349"/>
      <c r="NTZ66" s="349"/>
      <c r="NUA66" s="349"/>
      <c r="NUB66" s="349"/>
      <c r="NUC66" s="349"/>
      <c r="NUD66" s="349"/>
      <c r="NUE66" s="349"/>
      <c r="NUF66" s="349"/>
      <c r="NUG66" s="349"/>
      <c r="NUH66" s="349"/>
      <c r="NUI66" s="349"/>
      <c r="NUJ66" s="349"/>
      <c r="NUK66" s="349"/>
      <c r="NUL66" s="349"/>
      <c r="NUM66" s="349"/>
      <c r="NUN66" s="349"/>
      <c r="NUO66" s="349"/>
      <c r="NUP66" s="349"/>
      <c r="NUQ66" s="349"/>
      <c r="NUR66" s="349"/>
      <c r="NUS66" s="349"/>
      <c r="NUT66" s="349"/>
      <c r="NUU66" s="349"/>
      <c r="NUV66" s="349"/>
      <c r="NUW66" s="349"/>
      <c r="NUX66" s="349"/>
      <c r="NUY66" s="349"/>
      <c r="NUZ66" s="349"/>
      <c r="NVA66" s="349"/>
      <c r="NVB66" s="349"/>
      <c r="NVC66" s="349"/>
      <c r="NVD66" s="349"/>
      <c r="NVE66" s="349"/>
      <c r="NVF66" s="349"/>
      <c r="NVG66" s="349"/>
      <c r="NVH66" s="349"/>
      <c r="NVI66" s="349"/>
      <c r="NVJ66" s="349"/>
      <c r="NVK66" s="349"/>
      <c r="NVL66" s="349"/>
      <c r="NVM66" s="349"/>
      <c r="NVN66" s="349"/>
      <c r="NVO66" s="349"/>
      <c r="NVP66" s="349"/>
      <c r="NVQ66" s="349"/>
      <c r="NVR66" s="349"/>
      <c r="NVS66" s="349"/>
      <c r="NVT66" s="349"/>
      <c r="NVU66" s="349"/>
      <c r="NVV66" s="349"/>
      <c r="NVW66" s="349"/>
      <c r="NVX66" s="349"/>
      <c r="NVY66" s="349"/>
      <c r="NVZ66" s="349"/>
      <c r="NWA66" s="349"/>
      <c r="NWB66" s="349"/>
      <c r="NWC66" s="349"/>
      <c r="NWD66" s="349"/>
      <c r="NWE66" s="349"/>
      <c r="NWF66" s="349"/>
      <c r="NWG66" s="349"/>
      <c r="NWH66" s="349"/>
      <c r="NWI66" s="349"/>
      <c r="NWJ66" s="349"/>
      <c r="NWK66" s="349"/>
      <c r="NWL66" s="349"/>
      <c r="NWM66" s="349"/>
      <c r="NWN66" s="349"/>
      <c r="NWO66" s="349"/>
      <c r="NWP66" s="349"/>
      <c r="NWQ66" s="349"/>
      <c r="NWR66" s="349"/>
      <c r="NWS66" s="349"/>
      <c r="NWT66" s="349"/>
      <c r="NWU66" s="349"/>
      <c r="NWV66" s="349"/>
      <c r="NWW66" s="349"/>
      <c r="NWX66" s="349"/>
      <c r="NWY66" s="349"/>
      <c r="NWZ66" s="349"/>
      <c r="NXA66" s="349"/>
      <c r="NXB66" s="349"/>
      <c r="NXC66" s="349"/>
      <c r="NXD66" s="349"/>
      <c r="NXE66" s="349"/>
      <c r="NXF66" s="349"/>
      <c r="NXG66" s="349"/>
      <c r="NXH66" s="349"/>
      <c r="NXI66" s="349"/>
      <c r="NXJ66" s="349"/>
      <c r="NXK66" s="349"/>
      <c r="NXL66" s="349"/>
      <c r="NXM66" s="349"/>
      <c r="NXN66" s="349"/>
      <c r="NXO66" s="349"/>
      <c r="NXP66" s="349"/>
      <c r="NXQ66" s="349"/>
      <c r="NXR66" s="349"/>
      <c r="NXS66" s="349"/>
      <c r="NXT66" s="349"/>
      <c r="NXU66" s="349"/>
      <c r="NXV66" s="349"/>
      <c r="NXW66" s="349"/>
      <c r="NXX66" s="349"/>
      <c r="NXY66" s="349"/>
      <c r="NXZ66" s="349"/>
      <c r="NYA66" s="349"/>
      <c r="NYB66" s="349"/>
      <c r="NYC66" s="349"/>
      <c r="NYD66" s="349"/>
      <c r="NYE66" s="349"/>
      <c r="NYF66" s="349"/>
      <c r="NYG66" s="349"/>
      <c r="NYH66" s="349"/>
      <c r="NYI66" s="349"/>
      <c r="NYJ66" s="349"/>
      <c r="NYK66" s="349"/>
      <c r="NYL66" s="349"/>
      <c r="NYM66" s="349"/>
      <c r="NYN66" s="349"/>
      <c r="NYO66" s="349"/>
      <c r="NYP66" s="349"/>
      <c r="NYQ66" s="349"/>
      <c r="NYR66" s="349"/>
      <c r="NYS66" s="349"/>
      <c r="NYT66" s="349"/>
      <c r="NYU66" s="349"/>
      <c r="NYV66" s="349"/>
      <c r="NYW66" s="349"/>
      <c r="NYX66" s="349"/>
      <c r="NYY66" s="349"/>
      <c r="NYZ66" s="349"/>
      <c r="NZA66" s="349"/>
      <c r="NZB66" s="349"/>
      <c r="NZC66" s="349"/>
      <c r="NZD66" s="349"/>
      <c r="NZE66" s="349"/>
      <c r="NZF66" s="349"/>
      <c r="NZG66" s="349"/>
      <c r="NZH66" s="349"/>
      <c r="NZI66" s="349"/>
      <c r="NZJ66" s="349"/>
      <c r="NZK66" s="349"/>
      <c r="NZL66" s="349"/>
      <c r="NZM66" s="349"/>
      <c r="NZN66" s="349"/>
      <c r="NZO66" s="349"/>
      <c r="NZP66" s="349"/>
      <c r="NZQ66" s="349"/>
      <c r="NZR66" s="349"/>
      <c r="NZS66" s="349"/>
      <c r="NZT66" s="349"/>
      <c r="NZU66" s="349"/>
      <c r="NZV66" s="349"/>
      <c r="NZW66" s="349"/>
      <c r="NZX66" s="349"/>
      <c r="NZY66" s="349"/>
      <c r="NZZ66" s="349"/>
      <c r="OAA66" s="349"/>
      <c r="OAB66" s="349"/>
      <c r="OAC66" s="349"/>
      <c r="OAD66" s="349"/>
      <c r="OAE66" s="349"/>
      <c r="OAF66" s="349"/>
      <c r="OAG66" s="349"/>
      <c r="OAH66" s="349"/>
      <c r="OAI66" s="349"/>
      <c r="OAJ66" s="349"/>
      <c r="OAK66" s="349"/>
      <c r="OAL66" s="349"/>
      <c r="OAM66" s="349"/>
      <c r="OAN66" s="349"/>
      <c r="OAO66" s="349"/>
      <c r="OAP66" s="349"/>
      <c r="OAQ66" s="349"/>
      <c r="OAR66" s="349"/>
      <c r="OAS66" s="349"/>
      <c r="OAT66" s="349"/>
      <c r="OAU66" s="349"/>
      <c r="OAV66" s="349"/>
      <c r="OAW66" s="349"/>
      <c r="OAX66" s="349"/>
      <c r="OAY66" s="349"/>
      <c r="OAZ66" s="349"/>
      <c r="OBA66" s="349"/>
      <c r="OBB66" s="349"/>
      <c r="OBC66" s="349"/>
      <c r="OBD66" s="349"/>
      <c r="OBE66" s="349"/>
      <c r="OBF66" s="349"/>
      <c r="OBG66" s="349"/>
      <c r="OBH66" s="349"/>
      <c r="OBI66" s="349"/>
      <c r="OBJ66" s="349"/>
      <c r="OBK66" s="349"/>
      <c r="OBL66" s="349"/>
      <c r="OBM66" s="349"/>
      <c r="OBN66" s="349"/>
      <c r="OBO66" s="349"/>
      <c r="OBP66" s="349"/>
      <c r="OBQ66" s="349"/>
      <c r="OBR66" s="349"/>
      <c r="OBS66" s="349"/>
      <c r="OBT66" s="349"/>
      <c r="OBU66" s="349"/>
      <c r="OBV66" s="349"/>
      <c r="OBW66" s="349"/>
      <c r="OBX66" s="349"/>
      <c r="OBY66" s="349"/>
      <c r="OBZ66" s="349"/>
      <c r="OCA66" s="349"/>
      <c r="OCB66" s="349"/>
      <c r="OCC66" s="349"/>
      <c r="OCD66" s="349"/>
      <c r="OCE66" s="349"/>
      <c r="OCF66" s="349"/>
      <c r="OCG66" s="349"/>
      <c r="OCH66" s="349"/>
      <c r="OCI66" s="349"/>
      <c r="OCJ66" s="349"/>
      <c r="OCK66" s="349"/>
      <c r="OCL66" s="349"/>
      <c r="OCM66" s="349"/>
      <c r="OCN66" s="349"/>
      <c r="OCO66" s="349"/>
      <c r="OCP66" s="349"/>
      <c r="OCQ66" s="349"/>
      <c r="OCR66" s="349"/>
      <c r="OCS66" s="349"/>
      <c r="OCT66" s="349"/>
      <c r="OCU66" s="349"/>
      <c r="OCV66" s="349"/>
      <c r="OCW66" s="349"/>
      <c r="OCX66" s="349"/>
      <c r="OCY66" s="349"/>
      <c r="OCZ66" s="349"/>
      <c r="ODA66" s="349"/>
      <c r="ODB66" s="349"/>
      <c r="ODC66" s="349"/>
      <c r="ODD66" s="349"/>
      <c r="ODE66" s="349"/>
      <c r="ODF66" s="349"/>
      <c r="ODG66" s="349"/>
      <c r="ODH66" s="349"/>
      <c r="ODI66" s="349"/>
      <c r="ODJ66" s="349"/>
      <c r="ODK66" s="349"/>
      <c r="ODL66" s="349"/>
      <c r="ODM66" s="349"/>
      <c r="ODN66" s="349"/>
      <c r="ODO66" s="349"/>
      <c r="ODP66" s="349"/>
      <c r="ODQ66" s="349"/>
      <c r="ODR66" s="349"/>
      <c r="ODS66" s="349"/>
      <c r="ODT66" s="349"/>
      <c r="ODU66" s="349"/>
      <c r="ODV66" s="349"/>
      <c r="ODW66" s="349"/>
      <c r="ODX66" s="349"/>
      <c r="ODY66" s="349"/>
      <c r="ODZ66" s="349"/>
      <c r="OEA66" s="349"/>
      <c r="OEB66" s="349"/>
      <c r="OEC66" s="349"/>
      <c r="OED66" s="349"/>
      <c r="OEE66" s="349"/>
      <c r="OEF66" s="349"/>
      <c r="OEG66" s="349"/>
      <c r="OEH66" s="349"/>
      <c r="OEI66" s="349"/>
      <c r="OEJ66" s="349"/>
      <c r="OEK66" s="349"/>
      <c r="OEL66" s="349"/>
      <c r="OEM66" s="349"/>
      <c r="OEN66" s="349"/>
      <c r="OEO66" s="349"/>
      <c r="OEP66" s="349"/>
      <c r="OEQ66" s="349"/>
      <c r="OER66" s="349"/>
      <c r="OES66" s="349"/>
      <c r="OET66" s="349"/>
      <c r="OEU66" s="349"/>
      <c r="OEV66" s="349"/>
      <c r="OEW66" s="349"/>
      <c r="OEX66" s="349"/>
      <c r="OEY66" s="349"/>
      <c r="OEZ66" s="349"/>
      <c r="OFA66" s="349"/>
      <c r="OFB66" s="349"/>
      <c r="OFC66" s="349"/>
      <c r="OFD66" s="349"/>
      <c r="OFE66" s="349"/>
      <c r="OFF66" s="349"/>
      <c r="OFG66" s="349"/>
      <c r="OFH66" s="349"/>
      <c r="OFI66" s="349"/>
      <c r="OFJ66" s="349"/>
      <c r="OFK66" s="349"/>
      <c r="OFL66" s="349"/>
      <c r="OFM66" s="349"/>
      <c r="OFN66" s="349"/>
      <c r="OFO66" s="349"/>
      <c r="OFP66" s="349"/>
      <c r="OFQ66" s="349"/>
      <c r="OFR66" s="349"/>
      <c r="OFS66" s="349"/>
      <c r="OFT66" s="349"/>
      <c r="OFU66" s="349"/>
      <c r="OFV66" s="349"/>
      <c r="OFW66" s="349"/>
      <c r="OFX66" s="349"/>
      <c r="OFY66" s="349"/>
      <c r="OFZ66" s="349"/>
      <c r="OGA66" s="349"/>
      <c r="OGB66" s="349"/>
      <c r="OGC66" s="349"/>
      <c r="OGD66" s="349"/>
      <c r="OGE66" s="349"/>
      <c r="OGF66" s="349"/>
      <c r="OGG66" s="349"/>
      <c r="OGH66" s="349"/>
      <c r="OGI66" s="349"/>
      <c r="OGJ66" s="349"/>
      <c r="OGK66" s="349"/>
      <c r="OGL66" s="349"/>
      <c r="OGM66" s="349"/>
      <c r="OGN66" s="349"/>
      <c r="OGO66" s="349"/>
      <c r="OGP66" s="349"/>
      <c r="OGQ66" s="349"/>
      <c r="OGR66" s="349"/>
      <c r="OGS66" s="349"/>
      <c r="OGT66" s="349"/>
      <c r="OGU66" s="349"/>
      <c r="OGV66" s="349"/>
      <c r="OGW66" s="349"/>
      <c r="OGX66" s="349"/>
      <c r="OGY66" s="349"/>
      <c r="OGZ66" s="349"/>
      <c r="OHA66" s="349"/>
      <c r="OHB66" s="349"/>
      <c r="OHC66" s="349"/>
      <c r="OHD66" s="349"/>
      <c r="OHE66" s="349"/>
      <c r="OHF66" s="349"/>
      <c r="OHG66" s="349"/>
      <c r="OHH66" s="349"/>
      <c r="OHI66" s="349"/>
      <c r="OHJ66" s="349"/>
      <c r="OHK66" s="349"/>
      <c r="OHL66" s="349"/>
      <c r="OHM66" s="349"/>
      <c r="OHN66" s="349"/>
      <c r="OHO66" s="349"/>
      <c r="OHP66" s="349"/>
      <c r="OHQ66" s="349"/>
      <c r="OHR66" s="349"/>
      <c r="OHS66" s="349"/>
      <c r="OHT66" s="349"/>
      <c r="OHU66" s="349"/>
      <c r="OHV66" s="349"/>
      <c r="OHW66" s="349"/>
      <c r="OHX66" s="349"/>
      <c r="OHY66" s="349"/>
      <c r="OHZ66" s="349"/>
      <c r="OIA66" s="349"/>
      <c r="OIB66" s="349"/>
      <c r="OIC66" s="349"/>
      <c r="OID66" s="349"/>
      <c r="OIE66" s="349"/>
      <c r="OIF66" s="349"/>
      <c r="OIG66" s="349"/>
      <c r="OIH66" s="349"/>
      <c r="OII66" s="349"/>
      <c r="OIJ66" s="349"/>
      <c r="OIK66" s="349"/>
      <c r="OIL66" s="349"/>
      <c r="OIM66" s="349"/>
      <c r="OIN66" s="349"/>
      <c r="OIO66" s="349"/>
      <c r="OIP66" s="349"/>
      <c r="OIQ66" s="349"/>
      <c r="OIR66" s="349"/>
      <c r="OIS66" s="349"/>
      <c r="OIT66" s="349"/>
      <c r="OIU66" s="349"/>
      <c r="OIV66" s="349"/>
      <c r="OIW66" s="349"/>
      <c r="OIX66" s="349"/>
      <c r="OIY66" s="349"/>
      <c r="OIZ66" s="349"/>
      <c r="OJA66" s="349"/>
      <c r="OJB66" s="349"/>
      <c r="OJC66" s="349"/>
      <c r="OJD66" s="349"/>
      <c r="OJE66" s="349"/>
      <c r="OJF66" s="349"/>
      <c r="OJG66" s="349"/>
      <c r="OJH66" s="349"/>
      <c r="OJI66" s="349"/>
      <c r="OJJ66" s="349"/>
      <c r="OJK66" s="349"/>
      <c r="OJL66" s="349"/>
      <c r="OJM66" s="349"/>
      <c r="OJN66" s="349"/>
      <c r="OJO66" s="349"/>
      <c r="OJP66" s="349"/>
      <c r="OJQ66" s="349"/>
      <c r="OJR66" s="349"/>
      <c r="OJS66" s="349"/>
      <c r="OJT66" s="349"/>
      <c r="OJU66" s="349"/>
      <c r="OJV66" s="349"/>
      <c r="OJW66" s="349"/>
      <c r="OJX66" s="349"/>
      <c r="OJY66" s="349"/>
      <c r="OJZ66" s="349"/>
      <c r="OKA66" s="349"/>
      <c r="OKB66" s="349"/>
      <c r="OKC66" s="349"/>
      <c r="OKD66" s="349"/>
      <c r="OKE66" s="349"/>
      <c r="OKF66" s="349"/>
      <c r="OKG66" s="349"/>
      <c r="OKH66" s="349"/>
      <c r="OKI66" s="349"/>
      <c r="OKJ66" s="349"/>
      <c r="OKK66" s="349"/>
      <c r="OKL66" s="349"/>
      <c r="OKM66" s="349"/>
      <c r="OKN66" s="349"/>
      <c r="OKO66" s="349"/>
      <c r="OKP66" s="349"/>
      <c r="OKQ66" s="349"/>
      <c r="OKR66" s="349"/>
      <c r="OKS66" s="349"/>
      <c r="OKT66" s="349"/>
      <c r="OKU66" s="349"/>
      <c r="OKV66" s="349"/>
      <c r="OKW66" s="349"/>
      <c r="OKX66" s="349"/>
      <c r="OKY66" s="349"/>
      <c r="OKZ66" s="349"/>
      <c r="OLA66" s="349"/>
      <c r="OLB66" s="349"/>
      <c r="OLC66" s="349"/>
      <c r="OLD66" s="349"/>
      <c r="OLE66" s="349"/>
      <c r="OLF66" s="349"/>
      <c r="OLG66" s="349"/>
      <c r="OLH66" s="349"/>
      <c r="OLI66" s="349"/>
      <c r="OLJ66" s="349"/>
      <c r="OLK66" s="349"/>
      <c r="OLL66" s="349"/>
      <c r="OLM66" s="349"/>
      <c r="OLN66" s="349"/>
      <c r="OLO66" s="349"/>
      <c r="OLP66" s="349"/>
      <c r="OLQ66" s="349"/>
      <c r="OLR66" s="349"/>
      <c r="OLS66" s="349"/>
      <c r="OLT66" s="349"/>
      <c r="OLU66" s="349"/>
      <c r="OLV66" s="349"/>
      <c r="OLW66" s="349"/>
      <c r="OLX66" s="349"/>
      <c r="OLY66" s="349"/>
      <c r="OLZ66" s="349"/>
      <c r="OMA66" s="349"/>
      <c r="OMB66" s="349"/>
      <c r="OMC66" s="349"/>
      <c r="OMD66" s="349"/>
      <c r="OME66" s="349"/>
      <c r="OMF66" s="349"/>
      <c r="OMG66" s="349"/>
      <c r="OMH66" s="349"/>
      <c r="OMI66" s="349"/>
      <c r="OMJ66" s="349"/>
      <c r="OMK66" s="349"/>
      <c r="OML66" s="349"/>
      <c r="OMM66" s="349"/>
      <c r="OMN66" s="349"/>
      <c r="OMO66" s="349"/>
      <c r="OMP66" s="349"/>
      <c r="OMQ66" s="349"/>
      <c r="OMR66" s="349"/>
      <c r="OMS66" s="349"/>
      <c r="OMT66" s="349"/>
      <c r="OMU66" s="349"/>
      <c r="OMV66" s="349"/>
      <c r="OMW66" s="349"/>
      <c r="OMX66" s="349"/>
      <c r="OMY66" s="349"/>
      <c r="OMZ66" s="349"/>
      <c r="ONA66" s="349"/>
      <c r="ONB66" s="349"/>
      <c r="ONC66" s="349"/>
      <c r="OND66" s="349"/>
      <c r="ONE66" s="349"/>
      <c r="ONF66" s="349"/>
      <c r="ONG66" s="349"/>
      <c r="ONH66" s="349"/>
      <c r="ONI66" s="349"/>
      <c r="ONJ66" s="349"/>
      <c r="ONK66" s="349"/>
      <c r="ONL66" s="349"/>
      <c r="ONM66" s="349"/>
      <c r="ONN66" s="349"/>
      <c r="ONO66" s="349"/>
      <c r="ONP66" s="349"/>
      <c r="ONQ66" s="349"/>
      <c r="ONR66" s="349"/>
      <c r="ONS66" s="349"/>
      <c r="ONT66" s="349"/>
      <c r="ONU66" s="349"/>
      <c r="ONV66" s="349"/>
      <c r="ONW66" s="349"/>
      <c r="ONX66" s="349"/>
      <c r="ONY66" s="349"/>
      <c r="ONZ66" s="349"/>
      <c r="OOA66" s="349"/>
      <c r="OOB66" s="349"/>
      <c r="OOC66" s="349"/>
      <c r="OOD66" s="349"/>
      <c r="OOE66" s="349"/>
      <c r="OOF66" s="349"/>
      <c r="OOG66" s="349"/>
      <c r="OOH66" s="349"/>
      <c r="OOI66" s="349"/>
      <c r="OOJ66" s="349"/>
      <c r="OOK66" s="349"/>
      <c r="OOL66" s="349"/>
      <c r="OOM66" s="349"/>
      <c r="OON66" s="349"/>
      <c r="OOO66" s="349"/>
      <c r="OOP66" s="349"/>
      <c r="OOQ66" s="349"/>
      <c r="OOR66" s="349"/>
      <c r="OOS66" s="349"/>
      <c r="OOT66" s="349"/>
      <c r="OOU66" s="349"/>
      <c r="OOV66" s="349"/>
      <c r="OOW66" s="349"/>
      <c r="OOX66" s="349"/>
      <c r="OOY66" s="349"/>
      <c r="OOZ66" s="349"/>
      <c r="OPA66" s="349"/>
      <c r="OPB66" s="349"/>
      <c r="OPC66" s="349"/>
      <c r="OPD66" s="349"/>
      <c r="OPE66" s="349"/>
      <c r="OPF66" s="349"/>
      <c r="OPG66" s="349"/>
      <c r="OPH66" s="349"/>
      <c r="OPI66" s="349"/>
      <c r="OPJ66" s="349"/>
      <c r="OPK66" s="349"/>
      <c r="OPL66" s="349"/>
      <c r="OPM66" s="349"/>
      <c r="OPN66" s="349"/>
      <c r="OPO66" s="349"/>
      <c r="OPP66" s="349"/>
      <c r="OPQ66" s="349"/>
      <c r="OPR66" s="349"/>
      <c r="OPS66" s="349"/>
      <c r="OPT66" s="349"/>
      <c r="OPU66" s="349"/>
      <c r="OPV66" s="349"/>
      <c r="OPW66" s="349"/>
      <c r="OPX66" s="349"/>
      <c r="OPY66" s="349"/>
      <c r="OPZ66" s="349"/>
      <c r="OQA66" s="349"/>
      <c r="OQB66" s="349"/>
      <c r="OQC66" s="349"/>
      <c r="OQD66" s="349"/>
      <c r="OQE66" s="349"/>
      <c r="OQF66" s="349"/>
      <c r="OQG66" s="349"/>
      <c r="OQH66" s="349"/>
      <c r="OQI66" s="349"/>
      <c r="OQJ66" s="349"/>
      <c r="OQK66" s="349"/>
      <c r="OQL66" s="349"/>
      <c r="OQM66" s="349"/>
      <c r="OQN66" s="349"/>
      <c r="OQO66" s="349"/>
      <c r="OQP66" s="349"/>
      <c r="OQQ66" s="349"/>
      <c r="OQR66" s="349"/>
      <c r="OQS66" s="349"/>
      <c r="OQT66" s="349"/>
      <c r="OQU66" s="349"/>
      <c r="OQV66" s="349"/>
      <c r="OQW66" s="349"/>
      <c r="OQX66" s="349"/>
      <c r="OQY66" s="349"/>
      <c r="OQZ66" s="349"/>
      <c r="ORA66" s="349"/>
      <c r="ORB66" s="349"/>
      <c r="ORC66" s="349"/>
      <c r="ORD66" s="349"/>
      <c r="ORE66" s="349"/>
      <c r="ORF66" s="349"/>
      <c r="ORG66" s="349"/>
      <c r="ORH66" s="349"/>
      <c r="ORI66" s="349"/>
      <c r="ORJ66" s="349"/>
      <c r="ORK66" s="349"/>
      <c r="ORL66" s="349"/>
      <c r="ORM66" s="349"/>
      <c r="ORN66" s="349"/>
      <c r="ORO66" s="349"/>
      <c r="ORP66" s="349"/>
      <c r="ORQ66" s="349"/>
      <c r="ORR66" s="349"/>
      <c r="ORS66" s="349"/>
      <c r="ORT66" s="349"/>
      <c r="ORU66" s="349"/>
      <c r="ORV66" s="349"/>
      <c r="ORW66" s="349"/>
      <c r="ORX66" s="349"/>
      <c r="ORY66" s="349"/>
      <c r="ORZ66" s="349"/>
      <c r="OSA66" s="349"/>
      <c r="OSB66" s="349"/>
      <c r="OSC66" s="349"/>
      <c r="OSD66" s="349"/>
      <c r="OSE66" s="349"/>
      <c r="OSF66" s="349"/>
      <c r="OSG66" s="349"/>
      <c r="OSH66" s="349"/>
      <c r="OSI66" s="349"/>
      <c r="OSJ66" s="349"/>
      <c r="OSK66" s="349"/>
      <c r="OSL66" s="349"/>
      <c r="OSM66" s="349"/>
      <c r="OSN66" s="349"/>
      <c r="OSO66" s="349"/>
      <c r="OSP66" s="349"/>
      <c r="OSQ66" s="349"/>
      <c r="OSR66" s="349"/>
      <c r="OSS66" s="349"/>
      <c r="OST66" s="349"/>
      <c r="OSU66" s="349"/>
      <c r="OSV66" s="349"/>
      <c r="OSW66" s="349"/>
      <c r="OSX66" s="349"/>
      <c r="OSY66" s="349"/>
      <c r="OSZ66" s="349"/>
      <c r="OTA66" s="349"/>
      <c r="OTB66" s="349"/>
      <c r="OTC66" s="349"/>
      <c r="OTD66" s="349"/>
      <c r="OTE66" s="349"/>
      <c r="OTF66" s="349"/>
      <c r="OTG66" s="349"/>
      <c r="OTH66" s="349"/>
      <c r="OTI66" s="349"/>
      <c r="OTJ66" s="349"/>
      <c r="OTK66" s="349"/>
      <c r="OTL66" s="349"/>
      <c r="OTM66" s="349"/>
      <c r="OTN66" s="349"/>
      <c r="OTO66" s="349"/>
      <c r="OTP66" s="349"/>
      <c r="OTQ66" s="349"/>
      <c r="OTR66" s="349"/>
      <c r="OTS66" s="349"/>
      <c r="OTT66" s="349"/>
      <c r="OTU66" s="349"/>
      <c r="OTV66" s="349"/>
      <c r="OTW66" s="349"/>
      <c r="OTX66" s="349"/>
      <c r="OTY66" s="349"/>
      <c r="OTZ66" s="349"/>
      <c r="OUA66" s="349"/>
      <c r="OUB66" s="349"/>
      <c r="OUC66" s="349"/>
      <c r="OUD66" s="349"/>
      <c r="OUE66" s="349"/>
      <c r="OUF66" s="349"/>
      <c r="OUG66" s="349"/>
      <c r="OUH66" s="349"/>
      <c r="OUI66" s="349"/>
      <c r="OUJ66" s="349"/>
      <c r="OUK66" s="349"/>
      <c r="OUL66" s="349"/>
      <c r="OUM66" s="349"/>
      <c r="OUN66" s="349"/>
      <c r="OUO66" s="349"/>
      <c r="OUP66" s="349"/>
      <c r="OUQ66" s="349"/>
      <c r="OUR66" s="349"/>
      <c r="OUS66" s="349"/>
      <c r="OUT66" s="349"/>
      <c r="OUU66" s="349"/>
      <c r="OUV66" s="349"/>
      <c r="OUW66" s="349"/>
      <c r="OUX66" s="349"/>
      <c r="OUY66" s="349"/>
      <c r="OUZ66" s="349"/>
      <c r="OVA66" s="349"/>
      <c r="OVB66" s="349"/>
      <c r="OVC66" s="349"/>
      <c r="OVD66" s="349"/>
      <c r="OVE66" s="349"/>
      <c r="OVF66" s="349"/>
      <c r="OVG66" s="349"/>
      <c r="OVH66" s="349"/>
      <c r="OVI66" s="349"/>
      <c r="OVJ66" s="349"/>
      <c r="OVK66" s="349"/>
      <c r="OVL66" s="349"/>
      <c r="OVM66" s="349"/>
      <c r="OVN66" s="349"/>
      <c r="OVO66" s="349"/>
      <c r="OVP66" s="349"/>
      <c r="OVQ66" s="349"/>
      <c r="OVR66" s="349"/>
      <c r="OVS66" s="349"/>
      <c r="OVT66" s="349"/>
      <c r="OVU66" s="349"/>
      <c r="OVV66" s="349"/>
      <c r="OVW66" s="349"/>
      <c r="OVX66" s="349"/>
      <c r="OVY66" s="349"/>
      <c r="OVZ66" s="349"/>
      <c r="OWA66" s="349"/>
      <c r="OWB66" s="349"/>
      <c r="OWC66" s="349"/>
      <c r="OWD66" s="349"/>
      <c r="OWE66" s="349"/>
      <c r="OWF66" s="349"/>
      <c r="OWG66" s="349"/>
      <c r="OWH66" s="349"/>
      <c r="OWI66" s="349"/>
      <c r="OWJ66" s="349"/>
      <c r="OWK66" s="349"/>
      <c r="OWL66" s="349"/>
      <c r="OWM66" s="349"/>
      <c r="OWN66" s="349"/>
      <c r="OWO66" s="349"/>
      <c r="OWP66" s="349"/>
      <c r="OWQ66" s="349"/>
      <c r="OWR66" s="349"/>
      <c r="OWS66" s="349"/>
      <c r="OWT66" s="349"/>
      <c r="OWU66" s="349"/>
      <c r="OWV66" s="349"/>
      <c r="OWW66" s="349"/>
      <c r="OWX66" s="349"/>
      <c r="OWY66" s="349"/>
      <c r="OWZ66" s="349"/>
      <c r="OXA66" s="349"/>
      <c r="OXB66" s="349"/>
      <c r="OXC66" s="349"/>
      <c r="OXD66" s="349"/>
      <c r="OXE66" s="349"/>
      <c r="OXF66" s="349"/>
      <c r="OXG66" s="349"/>
      <c r="OXH66" s="349"/>
      <c r="OXI66" s="349"/>
      <c r="OXJ66" s="349"/>
      <c r="OXK66" s="349"/>
      <c r="OXL66" s="349"/>
      <c r="OXM66" s="349"/>
      <c r="OXN66" s="349"/>
      <c r="OXO66" s="349"/>
      <c r="OXP66" s="349"/>
      <c r="OXQ66" s="349"/>
      <c r="OXR66" s="349"/>
      <c r="OXS66" s="349"/>
      <c r="OXT66" s="349"/>
      <c r="OXU66" s="349"/>
      <c r="OXV66" s="349"/>
      <c r="OXW66" s="349"/>
      <c r="OXX66" s="349"/>
      <c r="OXY66" s="349"/>
      <c r="OXZ66" s="349"/>
      <c r="OYA66" s="349"/>
      <c r="OYB66" s="349"/>
      <c r="OYC66" s="349"/>
      <c r="OYD66" s="349"/>
      <c r="OYE66" s="349"/>
      <c r="OYF66" s="349"/>
      <c r="OYG66" s="349"/>
      <c r="OYH66" s="349"/>
      <c r="OYI66" s="349"/>
      <c r="OYJ66" s="349"/>
      <c r="OYK66" s="349"/>
      <c r="OYL66" s="349"/>
      <c r="OYM66" s="349"/>
      <c r="OYN66" s="349"/>
      <c r="OYO66" s="349"/>
      <c r="OYP66" s="349"/>
      <c r="OYQ66" s="349"/>
      <c r="OYR66" s="349"/>
      <c r="OYS66" s="349"/>
      <c r="OYT66" s="349"/>
      <c r="OYU66" s="349"/>
      <c r="OYV66" s="349"/>
      <c r="OYW66" s="349"/>
      <c r="OYX66" s="349"/>
      <c r="OYY66" s="349"/>
      <c r="OYZ66" s="349"/>
      <c r="OZA66" s="349"/>
      <c r="OZB66" s="349"/>
      <c r="OZC66" s="349"/>
      <c r="OZD66" s="349"/>
      <c r="OZE66" s="349"/>
      <c r="OZF66" s="349"/>
      <c r="OZG66" s="349"/>
      <c r="OZH66" s="349"/>
      <c r="OZI66" s="349"/>
      <c r="OZJ66" s="349"/>
      <c r="OZK66" s="349"/>
      <c r="OZL66" s="349"/>
      <c r="OZM66" s="349"/>
      <c r="OZN66" s="349"/>
      <c r="OZO66" s="349"/>
      <c r="OZP66" s="349"/>
      <c r="OZQ66" s="349"/>
      <c r="OZR66" s="349"/>
      <c r="OZS66" s="349"/>
      <c r="OZT66" s="349"/>
      <c r="OZU66" s="349"/>
      <c r="OZV66" s="349"/>
      <c r="OZW66" s="349"/>
      <c r="OZX66" s="349"/>
      <c r="OZY66" s="349"/>
      <c r="OZZ66" s="349"/>
      <c r="PAA66" s="349"/>
      <c r="PAB66" s="349"/>
      <c r="PAC66" s="349"/>
      <c r="PAD66" s="349"/>
      <c r="PAE66" s="349"/>
      <c r="PAF66" s="349"/>
      <c r="PAG66" s="349"/>
      <c r="PAH66" s="349"/>
      <c r="PAI66" s="349"/>
      <c r="PAJ66" s="349"/>
      <c r="PAK66" s="349"/>
      <c r="PAL66" s="349"/>
      <c r="PAM66" s="349"/>
      <c r="PAN66" s="349"/>
      <c r="PAO66" s="349"/>
      <c r="PAP66" s="349"/>
      <c r="PAQ66" s="349"/>
      <c r="PAR66" s="349"/>
      <c r="PAS66" s="349"/>
      <c r="PAT66" s="349"/>
      <c r="PAU66" s="349"/>
      <c r="PAV66" s="349"/>
      <c r="PAW66" s="349"/>
      <c r="PAX66" s="349"/>
      <c r="PAY66" s="349"/>
      <c r="PAZ66" s="349"/>
      <c r="PBA66" s="349"/>
      <c r="PBB66" s="349"/>
      <c r="PBC66" s="349"/>
      <c r="PBD66" s="349"/>
      <c r="PBE66" s="349"/>
      <c r="PBF66" s="349"/>
      <c r="PBG66" s="349"/>
      <c r="PBH66" s="349"/>
      <c r="PBI66" s="349"/>
      <c r="PBJ66" s="349"/>
      <c r="PBK66" s="349"/>
      <c r="PBL66" s="349"/>
      <c r="PBM66" s="349"/>
      <c r="PBN66" s="349"/>
      <c r="PBO66" s="349"/>
      <c r="PBP66" s="349"/>
      <c r="PBQ66" s="349"/>
      <c r="PBR66" s="349"/>
      <c r="PBS66" s="349"/>
      <c r="PBT66" s="349"/>
      <c r="PBU66" s="349"/>
      <c r="PBV66" s="349"/>
      <c r="PBW66" s="349"/>
      <c r="PBX66" s="349"/>
      <c r="PBY66" s="349"/>
      <c r="PBZ66" s="349"/>
      <c r="PCA66" s="349"/>
      <c r="PCB66" s="349"/>
      <c r="PCC66" s="349"/>
      <c r="PCD66" s="349"/>
      <c r="PCE66" s="349"/>
      <c r="PCF66" s="349"/>
      <c r="PCG66" s="349"/>
      <c r="PCH66" s="349"/>
      <c r="PCI66" s="349"/>
      <c r="PCJ66" s="349"/>
      <c r="PCK66" s="349"/>
      <c r="PCL66" s="349"/>
      <c r="PCM66" s="349"/>
      <c r="PCN66" s="349"/>
      <c r="PCO66" s="349"/>
      <c r="PCP66" s="349"/>
      <c r="PCQ66" s="349"/>
      <c r="PCR66" s="349"/>
      <c r="PCS66" s="349"/>
      <c r="PCT66" s="349"/>
      <c r="PCU66" s="349"/>
      <c r="PCV66" s="349"/>
      <c r="PCW66" s="349"/>
      <c r="PCX66" s="349"/>
      <c r="PCY66" s="349"/>
      <c r="PCZ66" s="349"/>
      <c r="PDA66" s="349"/>
      <c r="PDB66" s="349"/>
      <c r="PDC66" s="349"/>
      <c r="PDD66" s="349"/>
      <c r="PDE66" s="349"/>
      <c r="PDF66" s="349"/>
      <c r="PDG66" s="349"/>
      <c r="PDH66" s="349"/>
      <c r="PDI66" s="349"/>
      <c r="PDJ66" s="349"/>
      <c r="PDK66" s="349"/>
      <c r="PDL66" s="349"/>
      <c r="PDM66" s="349"/>
      <c r="PDN66" s="349"/>
      <c r="PDO66" s="349"/>
      <c r="PDP66" s="349"/>
      <c r="PDQ66" s="349"/>
      <c r="PDR66" s="349"/>
      <c r="PDS66" s="349"/>
      <c r="PDT66" s="349"/>
      <c r="PDU66" s="349"/>
      <c r="PDV66" s="349"/>
      <c r="PDW66" s="349"/>
      <c r="PDX66" s="349"/>
      <c r="PDY66" s="349"/>
      <c r="PDZ66" s="349"/>
      <c r="PEA66" s="349"/>
      <c r="PEB66" s="349"/>
      <c r="PEC66" s="349"/>
      <c r="PED66" s="349"/>
      <c r="PEE66" s="349"/>
      <c r="PEF66" s="349"/>
      <c r="PEG66" s="349"/>
      <c r="PEH66" s="349"/>
      <c r="PEI66" s="349"/>
      <c r="PEJ66" s="349"/>
      <c r="PEK66" s="349"/>
      <c r="PEL66" s="349"/>
      <c r="PEM66" s="349"/>
      <c r="PEN66" s="349"/>
      <c r="PEO66" s="349"/>
      <c r="PEP66" s="349"/>
      <c r="PEQ66" s="349"/>
      <c r="PER66" s="349"/>
      <c r="PES66" s="349"/>
      <c r="PET66" s="349"/>
      <c r="PEU66" s="349"/>
      <c r="PEV66" s="349"/>
      <c r="PEW66" s="349"/>
      <c r="PEX66" s="349"/>
      <c r="PEY66" s="349"/>
      <c r="PEZ66" s="349"/>
      <c r="PFA66" s="349"/>
      <c r="PFB66" s="349"/>
      <c r="PFC66" s="349"/>
      <c r="PFD66" s="349"/>
      <c r="PFE66" s="349"/>
      <c r="PFF66" s="349"/>
      <c r="PFG66" s="349"/>
      <c r="PFH66" s="349"/>
      <c r="PFI66" s="349"/>
      <c r="PFJ66" s="349"/>
      <c r="PFK66" s="349"/>
      <c r="PFL66" s="349"/>
      <c r="PFM66" s="349"/>
      <c r="PFN66" s="349"/>
      <c r="PFO66" s="349"/>
      <c r="PFP66" s="349"/>
      <c r="PFQ66" s="349"/>
      <c r="PFR66" s="349"/>
      <c r="PFS66" s="349"/>
      <c r="PFT66" s="349"/>
      <c r="PFU66" s="349"/>
      <c r="PFV66" s="349"/>
      <c r="PFW66" s="349"/>
      <c r="PFX66" s="349"/>
      <c r="PFY66" s="349"/>
      <c r="PFZ66" s="349"/>
      <c r="PGA66" s="349"/>
      <c r="PGB66" s="349"/>
      <c r="PGC66" s="349"/>
      <c r="PGD66" s="349"/>
      <c r="PGE66" s="349"/>
      <c r="PGF66" s="349"/>
      <c r="PGG66" s="349"/>
      <c r="PGH66" s="349"/>
      <c r="PGI66" s="349"/>
      <c r="PGJ66" s="349"/>
      <c r="PGK66" s="349"/>
      <c r="PGL66" s="349"/>
      <c r="PGM66" s="349"/>
      <c r="PGN66" s="349"/>
      <c r="PGO66" s="349"/>
      <c r="PGP66" s="349"/>
      <c r="PGQ66" s="349"/>
      <c r="PGR66" s="349"/>
      <c r="PGS66" s="349"/>
      <c r="PGT66" s="349"/>
      <c r="PGU66" s="349"/>
      <c r="PGV66" s="349"/>
      <c r="PGW66" s="349"/>
      <c r="PGX66" s="349"/>
      <c r="PGY66" s="349"/>
      <c r="PGZ66" s="349"/>
      <c r="PHA66" s="349"/>
      <c r="PHB66" s="349"/>
      <c r="PHC66" s="349"/>
      <c r="PHD66" s="349"/>
      <c r="PHE66" s="349"/>
      <c r="PHF66" s="349"/>
      <c r="PHG66" s="349"/>
      <c r="PHH66" s="349"/>
      <c r="PHI66" s="349"/>
      <c r="PHJ66" s="349"/>
      <c r="PHK66" s="349"/>
      <c r="PHL66" s="349"/>
      <c r="PHM66" s="349"/>
      <c r="PHN66" s="349"/>
      <c r="PHO66" s="349"/>
      <c r="PHP66" s="349"/>
      <c r="PHQ66" s="349"/>
      <c r="PHR66" s="349"/>
      <c r="PHS66" s="349"/>
      <c r="PHT66" s="349"/>
      <c r="PHU66" s="349"/>
      <c r="PHV66" s="349"/>
      <c r="PHW66" s="349"/>
      <c r="PHX66" s="349"/>
      <c r="PHY66" s="349"/>
      <c r="PHZ66" s="349"/>
      <c r="PIA66" s="349"/>
      <c r="PIB66" s="349"/>
      <c r="PIC66" s="349"/>
      <c r="PID66" s="349"/>
      <c r="PIE66" s="349"/>
      <c r="PIF66" s="349"/>
      <c r="PIG66" s="349"/>
      <c r="PIH66" s="349"/>
      <c r="PII66" s="349"/>
      <c r="PIJ66" s="349"/>
      <c r="PIK66" s="349"/>
      <c r="PIL66" s="349"/>
      <c r="PIM66" s="349"/>
      <c r="PIN66" s="349"/>
      <c r="PIO66" s="349"/>
      <c r="PIP66" s="349"/>
      <c r="PIQ66" s="349"/>
      <c r="PIR66" s="349"/>
      <c r="PIS66" s="349"/>
      <c r="PIT66" s="349"/>
      <c r="PIU66" s="349"/>
      <c r="PIV66" s="349"/>
      <c r="PIW66" s="349"/>
      <c r="PIX66" s="349"/>
      <c r="PIY66" s="349"/>
      <c r="PIZ66" s="349"/>
      <c r="PJA66" s="349"/>
      <c r="PJB66" s="349"/>
      <c r="PJC66" s="349"/>
      <c r="PJD66" s="349"/>
      <c r="PJE66" s="349"/>
      <c r="PJF66" s="349"/>
      <c r="PJG66" s="349"/>
      <c r="PJH66" s="349"/>
      <c r="PJI66" s="349"/>
      <c r="PJJ66" s="349"/>
      <c r="PJK66" s="349"/>
      <c r="PJL66" s="349"/>
      <c r="PJM66" s="349"/>
      <c r="PJN66" s="349"/>
      <c r="PJO66" s="349"/>
      <c r="PJP66" s="349"/>
      <c r="PJQ66" s="349"/>
      <c r="PJR66" s="349"/>
      <c r="PJS66" s="349"/>
      <c r="PJT66" s="349"/>
      <c r="PJU66" s="349"/>
      <c r="PJV66" s="349"/>
      <c r="PJW66" s="349"/>
      <c r="PJX66" s="349"/>
      <c r="PJY66" s="349"/>
      <c r="PJZ66" s="349"/>
      <c r="PKA66" s="349"/>
      <c r="PKB66" s="349"/>
      <c r="PKC66" s="349"/>
      <c r="PKD66" s="349"/>
      <c r="PKE66" s="349"/>
      <c r="PKF66" s="349"/>
      <c r="PKG66" s="349"/>
      <c r="PKH66" s="349"/>
      <c r="PKI66" s="349"/>
      <c r="PKJ66" s="349"/>
      <c r="PKK66" s="349"/>
      <c r="PKL66" s="349"/>
      <c r="PKM66" s="349"/>
      <c r="PKN66" s="349"/>
      <c r="PKO66" s="349"/>
      <c r="PKP66" s="349"/>
      <c r="PKQ66" s="349"/>
      <c r="PKR66" s="349"/>
      <c r="PKS66" s="349"/>
      <c r="PKT66" s="349"/>
      <c r="PKU66" s="349"/>
      <c r="PKV66" s="349"/>
      <c r="PKW66" s="349"/>
      <c r="PKX66" s="349"/>
      <c r="PKY66" s="349"/>
      <c r="PKZ66" s="349"/>
      <c r="PLA66" s="349"/>
      <c r="PLB66" s="349"/>
      <c r="PLC66" s="349"/>
      <c r="PLD66" s="349"/>
      <c r="PLE66" s="349"/>
      <c r="PLF66" s="349"/>
      <c r="PLG66" s="349"/>
      <c r="PLH66" s="349"/>
      <c r="PLI66" s="349"/>
      <c r="PLJ66" s="349"/>
      <c r="PLK66" s="349"/>
      <c r="PLL66" s="349"/>
      <c r="PLM66" s="349"/>
      <c r="PLN66" s="349"/>
      <c r="PLO66" s="349"/>
      <c r="PLP66" s="349"/>
      <c r="PLQ66" s="349"/>
      <c r="PLR66" s="349"/>
      <c r="PLS66" s="349"/>
      <c r="PLT66" s="349"/>
      <c r="PLU66" s="349"/>
      <c r="PLV66" s="349"/>
      <c r="PLW66" s="349"/>
      <c r="PLX66" s="349"/>
      <c r="PLY66" s="349"/>
      <c r="PLZ66" s="349"/>
      <c r="PMA66" s="349"/>
      <c r="PMB66" s="349"/>
      <c r="PMC66" s="349"/>
      <c r="PMD66" s="349"/>
      <c r="PME66" s="349"/>
      <c r="PMF66" s="349"/>
      <c r="PMG66" s="349"/>
      <c r="PMH66" s="349"/>
      <c r="PMI66" s="349"/>
      <c r="PMJ66" s="349"/>
      <c r="PMK66" s="349"/>
      <c r="PML66" s="349"/>
      <c r="PMM66" s="349"/>
      <c r="PMN66" s="349"/>
      <c r="PMO66" s="349"/>
      <c r="PMP66" s="349"/>
      <c r="PMQ66" s="349"/>
      <c r="PMR66" s="349"/>
      <c r="PMS66" s="349"/>
      <c r="PMT66" s="349"/>
      <c r="PMU66" s="349"/>
      <c r="PMV66" s="349"/>
      <c r="PMW66" s="349"/>
      <c r="PMX66" s="349"/>
      <c r="PMY66" s="349"/>
      <c r="PMZ66" s="349"/>
      <c r="PNA66" s="349"/>
      <c r="PNB66" s="349"/>
      <c r="PNC66" s="349"/>
      <c r="PND66" s="349"/>
      <c r="PNE66" s="349"/>
      <c r="PNF66" s="349"/>
      <c r="PNG66" s="349"/>
      <c r="PNH66" s="349"/>
      <c r="PNI66" s="349"/>
      <c r="PNJ66" s="349"/>
      <c r="PNK66" s="349"/>
      <c r="PNL66" s="349"/>
      <c r="PNM66" s="349"/>
      <c r="PNN66" s="349"/>
      <c r="PNO66" s="349"/>
      <c r="PNP66" s="349"/>
      <c r="PNQ66" s="349"/>
      <c r="PNR66" s="349"/>
      <c r="PNS66" s="349"/>
      <c r="PNT66" s="349"/>
      <c r="PNU66" s="349"/>
      <c r="PNV66" s="349"/>
      <c r="PNW66" s="349"/>
      <c r="PNX66" s="349"/>
      <c r="PNY66" s="349"/>
      <c r="PNZ66" s="349"/>
      <c r="POA66" s="349"/>
      <c r="POB66" s="349"/>
      <c r="POC66" s="349"/>
      <c r="POD66" s="349"/>
      <c r="POE66" s="349"/>
      <c r="POF66" s="349"/>
      <c r="POG66" s="349"/>
      <c r="POH66" s="349"/>
      <c r="POI66" s="349"/>
      <c r="POJ66" s="349"/>
      <c r="POK66" s="349"/>
      <c r="POL66" s="349"/>
      <c r="POM66" s="349"/>
      <c r="PON66" s="349"/>
      <c r="POO66" s="349"/>
      <c r="POP66" s="349"/>
      <c r="POQ66" s="349"/>
      <c r="POR66" s="349"/>
      <c r="POS66" s="349"/>
      <c r="POT66" s="349"/>
      <c r="POU66" s="349"/>
      <c r="POV66" s="349"/>
      <c r="POW66" s="349"/>
      <c r="POX66" s="349"/>
      <c r="POY66" s="349"/>
      <c r="POZ66" s="349"/>
      <c r="PPA66" s="349"/>
      <c r="PPB66" s="349"/>
      <c r="PPC66" s="349"/>
      <c r="PPD66" s="349"/>
      <c r="PPE66" s="349"/>
      <c r="PPF66" s="349"/>
      <c r="PPG66" s="349"/>
      <c r="PPH66" s="349"/>
      <c r="PPI66" s="349"/>
      <c r="PPJ66" s="349"/>
      <c r="PPK66" s="349"/>
      <c r="PPL66" s="349"/>
      <c r="PPM66" s="349"/>
      <c r="PPN66" s="349"/>
      <c r="PPO66" s="349"/>
      <c r="PPP66" s="349"/>
      <c r="PPQ66" s="349"/>
      <c r="PPR66" s="349"/>
      <c r="PPS66" s="349"/>
      <c r="PPT66" s="349"/>
      <c r="PPU66" s="349"/>
      <c r="PPV66" s="349"/>
      <c r="PPW66" s="349"/>
      <c r="PPX66" s="349"/>
      <c r="PPY66" s="349"/>
      <c r="PPZ66" s="349"/>
      <c r="PQA66" s="349"/>
      <c r="PQB66" s="349"/>
      <c r="PQC66" s="349"/>
      <c r="PQD66" s="349"/>
      <c r="PQE66" s="349"/>
      <c r="PQF66" s="349"/>
      <c r="PQG66" s="349"/>
      <c r="PQH66" s="349"/>
      <c r="PQI66" s="349"/>
      <c r="PQJ66" s="349"/>
      <c r="PQK66" s="349"/>
      <c r="PQL66" s="349"/>
      <c r="PQM66" s="349"/>
      <c r="PQN66" s="349"/>
      <c r="PQO66" s="349"/>
      <c r="PQP66" s="349"/>
      <c r="PQQ66" s="349"/>
      <c r="PQR66" s="349"/>
      <c r="PQS66" s="349"/>
      <c r="PQT66" s="349"/>
      <c r="PQU66" s="349"/>
      <c r="PQV66" s="349"/>
      <c r="PQW66" s="349"/>
      <c r="PQX66" s="349"/>
      <c r="PQY66" s="349"/>
      <c r="PQZ66" s="349"/>
      <c r="PRA66" s="349"/>
      <c r="PRB66" s="349"/>
      <c r="PRC66" s="349"/>
      <c r="PRD66" s="349"/>
      <c r="PRE66" s="349"/>
      <c r="PRF66" s="349"/>
      <c r="PRG66" s="349"/>
      <c r="PRH66" s="349"/>
      <c r="PRI66" s="349"/>
      <c r="PRJ66" s="349"/>
      <c r="PRK66" s="349"/>
      <c r="PRL66" s="349"/>
      <c r="PRM66" s="349"/>
      <c r="PRN66" s="349"/>
      <c r="PRO66" s="349"/>
      <c r="PRP66" s="349"/>
      <c r="PRQ66" s="349"/>
      <c r="PRR66" s="349"/>
      <c r="PRS66" s="349"/>
      <c r="PRT66" s="349"/>
      <c r="PRU66" s="349"/>
      <c r="PRV66" s="349"/>
      <c r="PRW66" s="349"/>
      <c r="PRX66" s="349"/>
      <c r="PRY66" s="349"/>
      <c r="PRZ66" s="349"/>
      <c r="PSA66" s="349"/>
      <c r="PSB66" s="349"/>
      <c r="PSC66" s="349"/>
      <c r="PSD66" s="349"/>
      <c r="PSE66" s="349"/>
      <c r="PSF66" s="349"/>
      <c r="PSG66" s="349"/>
      <c r="PSH66" s="349"/>
      <c r="PSI66" s="349"/>
      <c r="PSJ66" s="349"/>
      <c r="PSK66" s="349"/>
      <c r="PSL66" s="349"/>
      <c r="PSM66" s="349"/>
      <c r="PSN66" s="349"/>
      <c r="PSO66" s="349"/>
      <c r="PSP66" s="349"/>
      <c r="PSQ66" s="349"/>
      <c r="PSR66" s="349"/>
      <c r="PSS66" s="349"/>
      <c r="PST66" s="349"/>
      <c r="PSU66" s="349"/>
      <c r="PSV66" s="349"/>
      <c r="PSW66" s="349"/>
      <c r="PSX66" s="349"/>
      <c r="PSY66" s="349"/>
      <c r="PSZ66" s="349"/>
      <c r="PTA66" s="349"/>
      <c r="PTB66" s="349"/>
      <c r="PTC66" s="349"/>
      <c r="PTD66" s="349"/>
      <c r="PTE66" s="349"/>
      <c r="PTF66" s="349"/>
      <c r="PTG66" s="349"/>
      <c r="PTH66" s="349"/>
      <c r="PTI66" s="349"/>
      <c r="PTJ66" s="349"/>
      <c r="PTK66" s="349"/>
      <c r="PTL66" s="349"/>
      <c r="PTM66" s="349"/>
      <c r="PTN66" s="349"/>
      <c r="PTO66" s="349"/>
      <c r="PTP66" s="349"/>
      <c r="PTQ66" s="349"/>
      <c r="PTR66" s="349"/>
      <c r="PTS66" s="349"/>
      <c r="PTT66" s="349"/>
      <c r="PTU66" s="349"/>
      <c r="PTV66" s="349"/>
      <c r="PTW66" s="349"/>
      <c r="PTX66" s="349"/>
      <c r="PTY66" s="349"/>
      <c r="PTZ66" s="349"/>
      <c r="PUA66" s="349"/>
      <c r="PUB66" s="349"/>
      <c r="PUC66" s="349"/>
      <c r="PUD66" s="349"/>
      <c r="PUE66" s="349"/>
      <c r="PUF66" s="349"/>
      <c r="PUG66" s="349"/>
      <c r="PUH66" s="349"/>
      <c r="PUI66" s="349"/>
      <c r="PUJ66" s="349"/>
      <c r="PUK66" s="349"/>
      <c r="PUL66" s="349"/>
      <c r="PUM66" s="349"/>
      <c r="PUN66" s="349"/>
      <c r="PUO66" s="349"/>
      <c r="PUP66" s="349"/>
      <c r="PUQ66" s="349"/>
      <c r="PUR66" s="349"/>
      <c r="PUS66" s="349"/>
      <c r="PUT66" s="349"/>
      <c r="PUU66" s="349"/>
      <c r="PUV66" s="349"/>
      <c r="PUW66" s="349"/>
      <c r="PUX66" s="349"/>
      <c r="PUY66" s="349"/>
      <c r="PUZ66" s="349"/>
      <c r="PVA66" s="349"/>
      <c r="PVB66" s="349"/>
      <c r="PVC66" s="349"/>
      <c r="PVD66" s="349"/>
      <c r="PVE66" s="349"/>
      <c r="PVF66" s="349"/>
      <c r="PVG66" s="349"/>
      <c r="PVH66" s="349"/>
      <c r="PVI66" s="349"/>
      <c r="PVJ66" s="349"/>
      <c r="PVK66" s="349"/>
      <c r="PVL66" s="349"/>
      <c r="PVM66" s="349"/>
      <c r="PVN66" s="349"/>
      <c r="PVO66" s="349"/>
      <c r="PVP66" s="349"/>
      <c r="PVQ66" s="349"/>
      <c r="PVR66" s="349"/>
      <c r="PVS66" s="349"/>
      <c r="PVT66" s="349"/>
      <c r="PVU66" s="349"/>
      <c r="PVV66" s="349"/>
      <c r="PVW66" s="349"/>
      <c r="PVX66" s="349"/>
      <c r="PVY66" s="349"/>
      <c r="PVZ66" s="349"/>
      <c r="PWA66" s="349"/>
      <c r="PWB66" s="349"/>
      <c r="PWC66" s="349"/>
      <c r="PWD66" s="349"/>
      <c r="PWE66" s="349"/>
      <c r="PWF66" s="349"/>
      <c r="PWG66" s="349"/>
      <c r="PWH66" s="349"/>
      <c r="PWI66" s="349"/>
      <c r="PWJ66" s="349"/>
      <c r="PWK66" s="349"/>
      <c r="PWL66" s="349"/>
      <c r="PWM66" s="349"/>
      <c r="PWN66" s="349"/>
      <c r="PWO66" s="349"/>
      <c r="PWP66" s="349"/>
      <c r="PWQ66" s="349"/>
      <c r="PWR66" s="349"/>
      <c r="PWS66" s="349"/>
      <c r="PWT66" s="349"/>
      <c r="PWU66" s="349"/>
      <c r="PWV66" s="349"/>
      <c r="PWW66" s="349"/>
      <c r="PWX66" s="349"/>
      <c r="PWY66" s="349"/>
      <c r="PWZ66" s="349"/>
      <c r="PXA66" s="349"/>
      <c r="PXB66" s="349"/>
      <c r="PXC66" s="349"/>
      <c r="PXD66" s="349"/>
      <c r="PXE66" s="349"/>
      <c r="PXF66" s="349"/>
      <c r="PXG66" s="349"/>
      <c r="PXH66" s="349"/>
      <c r="PXI66" s="349"/>
      <c r="PXJ66" s="349"/>
      <c r="PXK66" s="349"/>
      <c r="PXL66" s="349"/>
      <c r="PXM66" s="349"/>
      <c r="PXN66" s="349"/>
      <c r="PXO66" s="349"/>
      <c r="PXP66" s="349"/>
      <c r="PXQ66" s="349"/>
      <c r="PXR66" s="349"/>
      <c r="PXS66" s="349"/>
      <c r="PXT66" s="349"/>
      <c r="PXU66" s="349"/>
      <c r="PXV66" s="349"/>
      <c r="PXW66" s="349"/>
      <c r="PXX66" s="349"/>
      <c r="PXY66" s="349"/>
      <c r="PXZ66" s="349"/>
      <c r="PYA66" s="349"/>
      <c r="PYB66" s="349"/>
      <c r="PYC66" s="349"/>
      <c r="PYD66" s="349"/>
      <c r="PYE66" s="349"/>
      <c r="PYF66" s="349"/>
      <c r="PYG66" s="349"/>
      <c r="PYH66" s="349"/>
      <c r="PYI66" s="349"/>
      <c r="PYJ66" s="349"/>
      <c r="PYK66" s="349"/>
      <c r="PYL66" s="349"/>
      <c r="PYM66" s="349"/>
      <c r="PYN66" s="349"/>
      <c r="PYO66" s="349"/>
      <c r="PYP66" s="349"/>
      <c r="PYQ66" s="349"/>
      <c r="PYR66" s="349"/>
      <c r="PYS66" s="349"/>
      <c r="PYT66" s="349"/>
      <c r="PYU66" s="349"/>
      <c r="PYV66" s="349"/>
      <c r="PYW66" s="349"/>
      <c r="PYX66" s="349"/>
      <c r="PYY66" s="349"/>
      <c r="PYZ66" s="349"/>
      <c r="PZA66" s="349"/>
      <c r="PZB66" s="349"/>
      <c r="PZC66" s="349"/>
      <c r="PZD66" s="349"/>
      <c r="PZE66" s="349"/>
      <c r="PZF66" s="349"/>
      <c r="PZG66" s="349"/>
      <c r="PZH66" s="349"/>
      <c r="PZI66" s="349"/>
      <c r="PZJ66" s="349"/>
      <c r="PZK66" s="349"/>
      <c r="PZL66" s="349"/>
      <c r="PZM66" s="349"/>
      <c r="PZN66" s="349"/>
      <c r="PZO66" s="349"/>
      <c r="PZP66" s="349"/>
      <c r="PZQ66" s="349"/>
      <c r="PZR66" s="349"/>
      <c r="PZS66" s="349"/>
      <c r="PZT66" s="349"/>
      <c r="PZU66" s="349"/>
      <c r="PZV66" s="349"/>
      <c r="PZW66" s="349"/>
      <c r="PZX66" s="349"/>
      <c r="PZY66" s="349"/>
      <c r="PZZ66" s="349"/>
      <c r="QAA66" s="349"/>
      <c r="QAB66" s="349"/>
      <c r="QAC66" s="349"/>
      <c r="QAD66" s="349"/>
      <c r="QAE66" s="349"/>
      <c r="QAF66" s="349"/>
      <c r="QAG66" s="349"/>
      <c r="QAH66" s="349"/>
      <c r="QAI66" s="349"/>
      <c r="QAJ66" s="349"/>
      <c r="QAK66" s="349"/>
      <c r="QAL66" s="349"/>
      <c r="QAM66" s="349"/>
      <c r="QAN66" s="349"/>
      <c r="QAO66" s="349"/>
      <c r="QAP66" s="349"/>
      <c r="QAQ66" s="349"/>
      <c r="QAR66" s="349"/>
      <c r="QAS66" s="349"/>
      <c r="QAT66" s="349"/>
      <c r="QAU66" s="349"/>
      <c r="QAV66" s="349"/>
      <c r="QAW66" s="349"/>
      <c r="QAX66" s="349"/>
      <c r="QAY66" s="349"/>
      <c r="QAZ66" s="349"/>
      <c r="QBA66" s="349"/>
      <c r="QBB66" s="349"/>
      <c r="QBC66" s="349"/>
      <c r="QBD66" s="349"/>
      <c r="QBE66" s="349"/>
      <c r="QBF66" s="349"/>
      <c r="QBG66" s="349"/>
      <c r="QBH66" s="349"/>
      <c r="QBI66" s="349"/>
      <c r="QBJ66" s="349"/>
      <c r="QBK66" s="349"/>
      <c r="QBL66" s="349"/>
      <c r="QBM66" s="349"/>
      <c r="QBN66" s="349"/>
      <c r="QBO66" s="349"/>
      <c r="QBP66" s="349"/>
      <c r="QBQ66" s="349"/>
      <c r="QBR66" s="349"/>
      <c r="QBS66" s="349"/>
      <c r="QBT66" s="349"/>
      <c r="QBU66" s="349"/>
      <c r="QBV66" s="349"/>
      <c r="QBW66" s="349"/>
      <c r="QBX66" s="349"/>
      <c r="QBY66" s="349"/>
      <c r="QBZ66" s="349"/>
      <c r="QCA66" s="349"/>
      <c r="QCB66" s="349"/>
      <c r="QCC66" s="349"/>
      <c r="QCD66" s="349"/>
      <c r="QCE66" s="349"/>
      <c r="QCF66" s="349"/>
      <c r="QCG66" s="349"/>
      <c r="QCH66" s="349"/>
      <c r="QCI66" s="349"/>
      <c r="QCJ66" s="349"/>
      <c r="QCK66" s="349"/>
      <c r="QCL66" s="349"/>
      <c r="QCM66" s="349"/>
      <c r="QCN66" s="349"/>
      <c r="QCO66" s="349"/>
      <c r="QCP66" s="349"/>
      <c r="QCQ66" s="349"/>
      <c r="QCR66" s="349"/>
      <c r="QCS66" s="349"/>
      <c r="QCT66" s="349"/>
      <c r="QCU66" s="349"/>
      <c r="QCV66" s="349"/>
      <c r="QCW66" s="349"/>
      <c r="QCX66" s="349"/>
      <c r="QCY66" s="349"/>
      <c r="QCZ66" s="349"/>
      <c r="QDA66" s="349"/>
      <c r="QDB66" s="349"/>
      <c r="QDC66" s="349"/>
      <c r="QDD66" s="349"/>
      <c r="QDE66" s="349"/>
      <c r="QDF66" s="349"/>
      <c r="QDG66" s="349"/>
      <c r="QDH66" s="349"/>
      <c r="QDI66" s="349"/>
      <c r="QDJ66" s="349"/>
      <c r="QDK66" s="349"/>
      <c r="QDL66" s="349"/>
      <c r="QDM66" s="349"/>
      <c r="QDN66" s="349"/>
      <c r="QDO66" s="349"/>
      <c r="QDP66" s="349"/>
      <c r="QDQ66" s="349"/>
      <c r="QDR66" s="349"/>
      <c r="QDS66" s="349"/>
      <c r="QDT66" s="349"/>
      <c r="QDU66" s="349"/>
      <c r="QDV66" s="349"/>
      <c r="QDW66" s="349"/>
      <c r="QDX66" s="349"/>
      <c r="QDY66" s="349"/>
      <c r="QDZ66" s="349"/>
      <c r="QEA66" s="349"/>
      <c r="QEB66" s="349"/>
      <c r="QEC66" s="349"/>
      <c r="QED66" s="349"/>
      <c r="QEE66" s="349"/>
      <c r="QEF66" s="349"/>
      <c r="QEG66" s="349"/>
      <c r="QEH66" s="349"/>
      <c r="QEI66" s="349"/>
      <c r="QEJ66" s="349"/>
      <c r="QEK66" s="349"/>
      <c r="QEL66" s="349"/>
      <c r="QEM66" s="349"/>
      <c r="QEN66" s="349"/>
      <c r="QEO66" s="349"/>
      <c r="QEP66" s="349"/>
      <c r="QEQ66" s="349"/>
      <c r="QER66" s="349"/>
      <c r="QES66" s="349"/>
      <c r="QET66" s="349"/>
      <c r="QEU66" s="349"/>
      <c r="QEV66" s="349"/>
      <c r="QEW66" s="349"/>
      <c r="QEX66" s="349"/>
      <c r="QEY66" s="349"/>
      <c r="QEZ66" s="349"/>
      <c r="QFA66" s="349"/>
      <c r="QFB66" s="349"/>
      <c r="QFC66" s="349"/>
      <c r="QFD66" s="349"/>
      <c r="QFE66" s="349"/>
      <c r="QFF66" s="349"/>
      <c r="QFG66" s="349"/>
      <c r="QFH66" s="349"/>
      <c r="QFI66" s="349"/>
      <c r="QFJ66" s="349"/>
      <c r="QFK66" s="349"/>
      <c r="QFL66" s="349"/>
      <c r="QFM66" s="349"/>
      <c r="QFN66" s="349"/>
      <c r="QFO66" s="349"/>
      <c r="QFP66" s="349"/>
      <c r="QFQ66" s="349"/>
      <c r="QFR66" s="349"/>
      <c r="QFS66" s="349"/>
      <c r="QFT66" s="349"/>
      <c r="QFU66" s="349"/>
      <c r="QFV66" s="349"/>
      <c r="QFW66" s="349"/>
      <c r="QFX66" s="349"/>
      <c r="QFY66" s="349"/>
      <c r="QFZ66" s="349"/>
      <c r="QGA66" s="349"/>
      <c r="QGB66" s="349"/>
      <c r="QGC66" s="349"/>
      <c r="QGD66" s="349"/>
      <c r="QGE66" s="349"/>
      <c r="QGF66" s="349"/>
      <c r="QGG66" s="349"/>
      <c r="QGH66" s="349"/>
      <c r="QGI66" s="349"/>
      <c r="QGJ66" s="349"/>
      <c r="QGK66" s="349"/>
      <c r="QGL66" s="349"/>
      <c r="QGM66" s="349"/>
      <c r="QGN66" s="349"/>
      <c r="QGO66" s="349"/>
      <c r="QGP66" s="349"/>
      <c r="QGQ66" s="349"/>
      <c r="QGR66" s="349"/>
      <c r="QGS66" s="349"/>
      <c r="QGT66" s="349"/>
      <c r="QGU66" s="349"/>
      <c r="QGV66" s="349"/>
      <c r="QGW66" s="349"/>
      <c r="QGX66" s="349"/>
      <c r="QGY66" s="349"/>
      <c r="QGZ66" s="349"/>
      <c r="QHA66" s="349"/>
      <c r="QHB66" s="349"/>
      <c r="QHC66" s="349"/>
      <c r="QHD66" s="349"/>
      <c r="QHE66" s="349"/>
      <c r="QHF66" s="349"/>
      <c r="QHG66" s="349"/>
      <c r="QHH66" s="349"/>
      <c r="QHI66" s="349"/>
      <c r="QHJ66" s="349"/>
      <c r="QHK66" s="349"/>
      <c r="QHL66" s="349"/>
      <c r="QHM66" s="349"/>
      <c r="QHN66" s="349"/>
      <c r="QHO66" s="349"/>
      <c r="QHP66" s="349"/>
      <c r="QHQ66" s="349"/>
      <c r="QHR66" s="349"/>
      <c r="QHS66" s="349"/>
      <c r="QHT66" s="349"/>
      <c r="QHU66" s="349"/>
      <c r="QHV66" s="349"/>
      <c r="QHW66" s="349"/>
      <c r="QHX66" s="349"/>
      <c r="QHY66" s="349"/>
      <c r="QHZ66" s="349"/>
      <c r="QIA66" s="349"/>
      <c r="QIB66" s="349"/>
      <c r="QIC66" s="349"/>
      <c r="QID66" s="349"/>
      <c r="QIE66" s="349"/>
      <c r="QIF66" s="349"/>
      <c r="QIG66" s="349"/>
      <c r="QIH66" s="349"/>
      <c r="QII66" s="349"/>
      <c r="QIJ66" s="349"/>
      <c r="QIK66" s="349"/>
      <c r="QIL66" s="349"/>
      <c r="QIM66" s="349"/>
      <c r="QIN66" s="349"/>
      <c r="QIO66" s="349"/>
      <c r="QIP66" s="349"/>
      <c r="QIQ66" s="349"/>
      <c r="QIR66" s="349"/>
      <c r="QIS66" s="349"/>
      <c r="QIT66" s="349"/>
      <c r="QIU66" s="349"/>
      <c r="QIV66" s="349"/>
      <c r="QIW66" s="349"/>
      <c r="QIX66" s="349"/>
      <c r="QIY66" s="349"/>
      <c r="QIZ66" s="349"/>
      <c r="QJA66" s="349"/>
      <c r="QJB66" s="349"/>
      <c r="QJC66" s="349"/>
      <c r="QJD66" s="349"/>
      <c r="QJE66" s="349"/>
      <c r="QJF66" s="349"/>
      <c r="QJG66" s="349"/>
      <c r="QJH66" s="349"/>
      <c r="QJI66" s="349"/>
      <c r="QJJ66" s="349"/>
      <c r="QJK66" s="349"/>
      <c r="QJL66" s="349"/>
      <c r="QJM66" s="349"/>
      <c r="QJN66" s="349"/>
      <c r="QJO66" s="349"/>
      <c r="QJP66" s="349"/>
      <c r="QJQ66" s="349"/>
      <c r="QJR66" s="349"/>
      <c r="QJS66" s="349"/>
      <c r="QJT66" s="349"/>
      <c r="QJU66" s="349"/>
      <c r="QJV66" s="349"/>
      <c r="QJW66" s="349"/>
      <c r="QJX66" s="349"/>
      <c r="QJY66" s="349"/>
      <c r="QJZ66" s="349"/>
      <c r="QKA66" s="349"/>
      <c r="QKB66" s="349"/>
      <c r="QKC66" s="349"/>
      <c r="QKD66" s="349"/>
      <c r="QKE66" s="349"/>
      <c r="QKF66" s="349"/>
      <c r="QKG66" s="349"/>
      <c r="QKH66" s="349"/>
      <c r="QKI66" s="349"/>
      <c r="QKJ66" s="349"/>
      <c r="QKK66" s="349"/>
      <c r="QKL66" s="349"/>
      <c r="QKM66" s="349"/>
      <c r="QKN66" s="349"/>
      <c r="QKO66" s="349"/>
      <c r="QKP66" s="349"/>
      <c r="QKQ66" s="349"/>
      <c r="QKR66" s="349"/>
      <c r="QKS66" s="349"/>
      <c r="QKT66" s="349"/>
      <c r="QKU66" s="349"/>
      <c r="QKV66" s="349"/>
      <c r="QKW66" s="349"/>
      <c r="QKX66" s="349"/>
      <c r="QKY66" s="349"/>
      <c r="QKZ66" s="349"/>
      <c r="QLA66" s="349"/>
      <c r="QLB66" s="349"/>
      <c r="QLC66" s="349"/>
      <c r="QLD66" s="349"/>
      <c r="QLE66" s="349"/>
      <c r="QLF66" s="349"/>
      <c r="QLG66" s="349"/>
      <c r="QLH66" s="349"/>
      <c r="QLI66" s="349"/>
      <c r="QLJ66" s="349"/>
      <c r="QLK66" s="349"/>
      <c r="QLL66" s="349"/>
      <c r="QLM66" s="349"/>
      <c r="QLN66" s="349"/>
      <c r="QLO66" s="349"/>
      <c r="QLP66" s="349"/>
      <c r="QLQ66" s="349"/>
      <c r="QLR66" s="349"/>
      <c r="QLS66" s="349"/>
      <c r="QLT66" s="349"/>
      <c r="QLU66" s="349"/>
      <c r="QLV66" s="349"/>
      <c r="QLW66" s="349"/>
      <c r="QLX66" s="349"/>
      <c r="QLY66" s="349"/>
      <c r="QLZ66" s="349"/>
      <c r="QMA66" s="349"/>
      <c r="QMB66" s="349"/>
      <c r="QMC66" s="349"/>
      <c r="QMD66" s="349"/>
      <c r="QME66" s="349"/>
      <c r="QMF66" s="349"/>
      <c r="QMG66" s="349"/>
      <c r="QMH66" s="349"/>
      <c r="QMI66" s="349"/>
      <c r="QMJ66" s="349"/>
      <c r="QMK66" s="349"/>
      <c r="QML66" s="349"/>
      <c r="QMM66" s="349"/>
      <c r="QMN66" s="349"/>
      <c r="QMO66" s="349"/>
      <c r="QMP66" s="349"/>
      <c r="QMQ66" s="349"/>
      <c r="QMR66" s="349"/>
      <c r="QMS66" s="349"/>
      <c r="QMT66" s="349"/>
      <c r="QMU66" s="349"/>
      <c r="QMV66" s="349"/>
      <c r="QMW66" s="349"/>
      <c r="QMX66" s="349"/>
      <c r="QMY66" s="349"/>
      <c r="QMZ66" s="349"/>
      <c r="QNA66" s="349"/>
      <c r="QNB66" s="349"/>
      <c r="QNC66" s="349"/>
      <c r="QND66" s="349"/>
      <c r="QNE66" s="349"/>
      <c r="QNF66" s="349"/>
      <c r="QNG66" s="349"/>
      <c r="QNH66" s="349"/>
      <c r="QNI66" s="349"/>
      <c r="QNJ66" s="349"/>
      <c r="QNK66" s="349"/>
      <c r="QNL66" s="349"/>
      <c r="QNM66" s="349"/>
      <c r="QNN66" s="349"/>
      <c r="QNO66" s="349"/>
      <c r="QNP66" s="349"/>
      <c r="QNQ66" s="349"/>
      <c r="QNR66" s="349"/>
      <c r="QNS66" s="349"/>
      <c r="QNT66" s="349"/>
      <c r="QNU66" s="349"/>
      <c r="QNV66" s="349"/>
      <c r="QNW66" s="349"/>
      <c r="QNX66" s="349"/>
      <c r="QNY66" s="349"/>
      <c r="QNZ66" s="349"/>
      <c r="QOA66" s="349"/>
      <c r="QOB66" s="349"/>
      <c r="QOC66" s="349"/>
      <c r="QOD66" s="349"/>
      <c r="QOE66" s="349"/>
      <c r="QOF66" s="349"/>
      <c r="QOG66" s="349"/>
      <c r="QOH66" s="349"/>
      <c r="QOI66" s="349"/>
      <c r="QOJ66" s="349"/>
      <c r="QOK66" s="349"/>
      <c r="QOL66" s="349"/>
      <c r="QOM66" s="349"/>
      <c r="QON66" s="349"/>
      <c r="QOO66" s="349"/>
      <c r="QOP66" s="349"/>
      <c r="QOQ66" s="349"/>
      <c r="QOR66" s="349"/>
      <c r="QOS66" s="349"/>
      <c r="QOT66" s="349"/>
      <c r="QOU66" s="349"/>
      <c r="QOV66" s="349"/>
      <c r="QOW66" s="349"/>
      <c r="QOX66" s="349"/>
      <c r="QOY66" s="349"/>
      <c r="QOZ66" s="349"/>
      <c r="QPA66" s="349"/>
      <c r="QPB66" s="349"/>
      <c r="QPC66" s="349"/>
      <c r="QPD66" s="349"/>
      <c r="QPE66" s="349"/>
      <c r="QPF66" s="349"/>
      <c r="QPG66" s="349"/>
      <c r="QPH66" s="349"/>
      <c r="QPI66" s="349"/>
      <c r="QPJ66" s="349"/>
      <c r="QPK66" s="349"/>
      <c r="QPL66" s="349"/>
      <c r="QPM66" s="349"/>
      <c r="QPN66" s="349"/>
      <c r="QPO66" s="349"/>
      <c r="QPP66" s="349"/>
      <c r="QPQ66" s="349"/>
      <c r="QPR66" s="349"/>
      <c r="QPS66" s="349"/>
      <c r="QPT66" s="349"/>
      <c r="QPU66" s="349"/>
      <c r="QPV66" s="349"/>
      <c r="QPW66" s="349"/>
      <c r="QPX66" s="349"/>
      <c r="QPY66" s="349"/>
      <c r="QPZ66" s="349"/>
      <c r="QQA66" s="349"/>
      <c r="QQB66" s="349"/>
      <c r="QQC66" s="349"/>
      <c r="QQD66" s="349"/>
      <c r="QQE66" s="349"/>
      <c r="QQF66" s="349"/>
      <c r="QQG66" s="349"/>
      <c r="QQH66" s="349"/>
      <c r="QQI66" s="349"/>
      <c r="QQJ66" s="349"/>
      <c r="QQK66" s="349"/>
      <c r="QQL66" s="349"/>
      <c r="QQM66" s="349"/>
      <c r="QQN66" s="349"/>
      <c r="QQO66" s="349"/>
      <c r="QQP66" s="349"/>
      <c r="QQQ66" s="349"/>
      <c r="QQR66" s="349"/>
      <c r="QQS66" s="349"/>
      <c r="QQT66" s="349"/>
      <c r="QQU66" s="349"/>
      <c r="QQV66" s="349"/>
      <c r="QQW66" s="349"/>
      <c r="QQX66" s="349"/>
      <c r="QQY66" s="349"/>
      <c r="QQZ66" s="349"/>
      <c r="QRA66" s="349"/>
      <c r="QRB66" s="349"/>
      <c r="QRC66" s="349"/>
      <c r="QRD66" s="349"/>
      <c r="QRE66" s="349"/>
      <c r="QRF66" s="349"/>
      <c r="QRG66" s="349"/>
      <c r="QRH66" s="349"/>
      <c r="QRI66" s="349"/>
      <c r="QRJ66" s="349"/>
      <c r="QRK66" s="349"/>
      <c r="QRL66" s="349"/>
      <c r="QRM66" s="349"/>
      <c r="QRN66" s="349"/>
      <c r="QRO66" s="349"/>
      <c r="QRP66" s="349"/>
      <c r="QRQ66" s="349"/>
      <c r="QRR66" s="349"/>
      <c r="QRS66" s="349"/>
      <c r="QRT66" s="349"/>
      <c r="QRU66" s="349"/>
      <c r="QRV66" s="349"/>
      <c r="QRW66" s="349"/>
      <c r="QRX66" s="349"/>
      <c r="QRY66" s="349"/>
      <c r="QRZ66" s="349"/>
      <c r="QSA66" s="349"/>
      <c r="QSB66" s="349"/>
      <c r="QSC66" s="349"/>
      <c r="QSD66" s="349"/>
      <c r="QSE66" s="349"/>
      <c r="QSF66" s="349"/>
      <c r="QSG66" s="349"/>
      <c r="QSH66" s="349"/>
      <c r="QSI66" s="349"/>
      <c r="QSJ66" s="349"/>
      <c r="QSK66" s="349"/>
      <c r="QSL66" s="349"/>
      <c r="QSM66" s="349"/>
      <c r="QSN66" s="349"/>
      <c r="QSO66" s="349"/>
      <c r="QSP66" s="349"/>
      <c r="QSQ66" s="349"/>
      <c r="QSR66" s="349"/>
      <c r="QSS66" s="349"/>
      <c r="QST66" s="349"/>
      <c r="QSU66" s="349"/>
      <c r="QSV66" s="349"/>
      <c r="QSW66" s="349"/>
      <c r="QSX66" s="349"/>
      <c r="QSY66" s="349"/>
      <c r="QSZ66" s="349"/>
      <c r="QTA66" s="349"/>
      <c r="QTB66" s="349"/>
      <c r="QTC66" s="349"/>
      <c r="QTD66" s="349"/>
      <c r="QTE66" s="349"/>
      <c r="QTF66" s="349"/>
      <c r="QTG66" s="349"/>
      <c r="QTH66" s="349"/>
      <c r="QTI66" s="349"/>
      <c r="QTJ66" s="349"/>
      <c r="QTK66" s="349"/>
      <c r="QTL66" s="349"/>
      <c r="QTM66" s="349"/>
      <c r="QTN66" s="349"/>
      <c r="QTO66" s="349"/>
      <c r="QTP66" s="349"/>
      <c r="QTQ66" s="349"/>
      <c r="QTR66" s="349"/>
      <c r="QTS66" s="349"/>
      <c r="QTT66" s="349"/>
      <c r="QTU66" s="349"/>
      <c r="QTV66" s="349"/>
      <c r="QTW66" s="349"/>
      <c r="QTX66" s="349"/>
      <c r="QTY66" s="349"/>
      <c r="QTZ66" s="349"/>
      <c r="QUA66" s="349"/>
      <c r="QUB66" s="349"/>
      <c r="QUC66" s="349"/>
      <c r="QUD66" s="349"/>
      <c r="QUE66" s="349"/>
      <c r="QUF66" s="349"/>
      <c r="QUG66" s="349"/>
      <c r="QUH66" s="349"/>
      <c r="QUI66" s="349"/>
      <c r="QUJ66" s="349"/>
      <c r="QUK66" s="349"/>
      <c r="QUL66" s="349"/>
      <c r="QUM66" s="349"/>
      <c r="QUN66" s="349"/>
      <c r="QUO66" s="349"/>
      <c r="QUP66" s="349"/>
      <c r="QUQ66" s="349"/>
      <c r="QUR66" s="349"/>
      <c r="QUS66" s="349"/>
      <c r="QUT66" s="349"/>
      <c r="QUU66" s="349"/>
      <c r="QUV66" s="349"/>
      <c r="QUW66" s="349"/>
      <c r="QUX66" s="349"/>
      <c r="QUY66" s="349"/>
      <c r="QUZ66" s="349"/>
      <c r="QVA66" s="349"/>
      <c r="QVB66" s="349"/>
      <c r="QVC66" s="349"/>
      <c r="QVD66" s="349"/>
      <c r="QVE66" s="349"/>
      <c r="QVF66" s="349"/>
      <c r="QVG66" s="349"/>
      <c r="QVH66" s="349"/>
      <c r="QVI66" s="349"/>
      <c r="QVJ66" s="349"/>
      <c r="QVK66" s="349"/>
      <c r="QVL66" s="349"/>
      <c r="QVM66" s="349"/>
      <c r="QVN66" s="349"/>
      <c r="QVO66" s="349"/>
      <c r="QVP66" s="349"/>
      <c r="QVQ66" s="349"/>
      <c r="QVR66" s="349"/>
      <c r="QVS66" s="349"/>
      <c r="QVT66" s="349"/>
      <c r="QVU66" s="349"/>
      <c r="QVV66" s="349"/>
      <c r="QVW66" s="349"/>
      <c r="QVX66" s="349"/>
      <c r="QVY66" s="349"/>
      <c r="QVZ66" s="349"/>
      <c r="QWA66" s="349"/>
      <c r="QWB66" s="349"/>
      <c r="QWC66" s="349"/>
      <c r="QWD66" s="349"/>
      <c r="QWE66" s="349"/>
      <c r="QWF66" s="349"/>
      <c r="QWG66" s="349"/>
      <c r="QWH66" s="349"/>
      <c r="QWI66" s="349"/>
      <c r="QWJ66" s="349"/>
      <c r="QWK66" s="349"/>
      <c r="QWL66" s="349"/>
      <c r="QWM66" s="349"/>
      <c r="QWN66" s="349"/>
      <c r="QWO66" s="349"/>
      <c r="QWP66" s="349"/>
      <c r="QWQ66" s="349"/>
      <c r="QWR66" s="349"/>
      <c r="QWS66" s="349"/>
      <c r="QWT66" s="349"/>
      <c r="QWU66" s="349"/>
      <c r="QWV66" s="349"/>
      <c r="QWW66" s="349"/>
      <c r="QWX66" s="349"/>
      <c r="QWY66" s="349"/>
      <c r="QWZ66" s="349"/>
      <c r="QXA66" s="349"/>
      <c r="QXB66" s="349"/>
      <c r="QXC66" s="349"/>
      <c r="QXD66" s="349"/>
      <c r="QXE66" s="349"/>
      <c r="QXF66" s="349"/>
      <c r="QXG66" s="349"/>
      <c r="QXH66" s="349"/>
      <c r="QXI66" s="349"/>
      <c r="QXJ66" s="349"/>
      <c r="QXK66" s="349"/>
      <c r="QXL66" s="349"/>
      <c r="QXM66" s="349"/>
      <c r="QXN66" s="349"/>
      <c r="QXO66" s="349"/>
      <c r="QXP66" s="349"/>
      <c r="QXQ66" s="349"/>
      <c r="QXR66" s="349"/>
      <c r="QXS66" s="349"/>
      <c r="QXT66" s="349"/>
      <c r="QXU66" s="349"/>
      <c r="QXV66" s="349"/>
      <c r="QXW66" s="349"/>
      <c r="QXX66" s="349"/>
      <c r="QXY66" s="349"/>
      <c r="QXZ66" s="349"/>
      <c r="QYA66" s="349"/>
      <c r="QYB66" s="349"/>
      <c r="QYC66" s="349"/>
      <c r="QYD66" s="349"/>
      <c r="QYE66" s="349"/>
      <c r="QYF66" s="349"/>
      <c r="QYG66" s="349"/>
      <c r="QYH66" s="349"/>
      <c r="QYI66" s="349"/>
      <c r="QYJ66" s="349"/>
      <c r="QYK66" s="349"/>
      <c r="QYL66" s="349"/>
      <c r="QYM66" s="349"/>
      <c r="QYN66" s="349"/>
      <c r="QYO66" s="349"/>
      <c r="QYP66" s="349"/>
      <c r="QYQ66" s="349"/>
      <c r="QYR66" s="349"/>
      <c r="QYS66" s="349"/>
      <c r="QYT66" s="349"/>
      <c r="QYU66" s="349"/>
      <c r="QYV66" s="349"/>
      <c r="QYW66" s="349"/>
      <c r="QYX66" s="349"/>
      <c r="QYY66" s="349"/>
      <c r="QYZ66" s="349"/>
      <c r="QZA66" s="349"/>
      <c r="QZB66" s="349"/>
      <c r="QZC66" s="349"/>
      <c r="QZD66" s="349"/>
      <c r="QZE66" s="349"/>
      <c r="QZF66" s="349"/>
      <c r="QZG66" s="349"/>
      <c r="QZH66" s="349"/>
      <c r="QZI66" s="349"/>
      <c r="QZJ66" s="349"/>
      <c r="QZK66" s="349"/>
      <c r="QZL66" s="349"/>
      <c r="QZM66" s="349"/>
      <c r="QZN66" s="349"/>
      <c r="QZO66" s="349"/>
      <c r="QZP66" s="349"/>
      <c r="QZQ66" s="349"/>
      <c r="QZR66" s="349"/>
      <c r="QZS66" s="349"/>
      <c r="QZT66" s="349"/>
      <c r="QZU66" s="349"/>
      <c r="QZV66" s="349"/>
      <c r="QZW66" s="349"/>
      <c r="QZX66" s="349"/>
      <c r="QZY66" s="349"/>
      <c r="QZZ66" s="349"/>
      <c r="RAA66" s="349"/>
      <c r="RAB66" s="349"/>
      <c r="RAC66" s="349"/>
      <c r="RAD66" s="349"/>
      <c r="RAE66" s="349"/>
      <c r="RAF66" s="349"/>
      <c r="RAG66" s="349"/>
      <c r="RAH66" s="349"/>
      <c r="RAI66" s="349"/>
      <c r="RAJ66" s="349"/>
      <c r="RAK66" s="349"/>
      <c r="RAL66" s="349"/>
      <c r="RAM66" s="349"/>
      <c r="RAN66" s="349"/>
      <c r="RAO66" s="349"/>
      <c r="RAP66" s="349"/>
      <c r="RAQ66" s="349"/>
      <c r="RAR66" s="349"/>
      <c r="RAS66" s="349"/>
      <c r="RAT66" s="349"/>
      <c r="RAU66" s="349"/>
      <c r="RAV66" s="349"/>
      <c r="RAW66" s="349"/>
      <c r="RAX66" s="349"/>
      <c r="RAY66" s="349"/>
      <c r="RAZ66" s="349"/>
      <c r="RBA66" s="349"/>
      <c r="RBB66" s="349"/>
      <c r="RBC66" s="349"/>
      <c r="RBD66" s="349"/>
      <c r="RBE66" s="349"/>
      <c r="RBF66" s="349"/>
      <c r="RBG66" s="349"/>
      <c r="RBH66" s="349"/>
      <c r="RBI66" s="349"/>
      <c r="RBJ66" s="349"/>
      <c r="RBK66" s="349"/>
      <c r="RBL66" s="349"/>
      <c r="RBM66" s="349"/>
      <c r="RBN66" s="349"/>
      <c r="RBO66" s="349"/>
      <c r="RBP66" s="349"/>
      <c r="RBQ66" s="349"/>
      <c r="RBR66" s="349"/>
      <c r="RBS66" s="349"/>
      <c r="RBT66" s="349"/>
      <c r="RBU66" s="349"/>
      <c r="RBV66" s="349"/>
      <c r="RBW66" s="349"/>
      <c r="RBX66" s="349"/>
      <c r="RBY66" s="349"/>
      <c r="RBZ66" s="349"/>
      <c r="RCA66" s="349"/>
      <c r="RCB66" s="349"/>
      <c r="RCC66" s="349"/>
      <c r="RCD66" s="349"/>
      <c r="RCE66" s="349"/>
      <c r="RCF66" s="349"/>
      <c r="RCG66" s="349"/>
      <c r="RCH66" s="349"/>
      <c r="RCI66" s="349"/>
      <c r="RCJ66" s="349"/>
      <c r="RCK66" s="349"/>
      <c r="RCL66" s="349"/>
      <c r="RCM66" s="349"/>
      <c r="RCN66" s="349"/>
      <c r="RCO66" s="349"/>
      <c r="RCP66" s="349"/>
      <c r="RCQ66" s="349"/>
      <c r="RCR66" s="349"/>
      <c r="RCS66" s="349"/>
      <c r="RCT66" s="349"/>
      <c r="RCU66" s="349"/>
      <c r="RCV66" s="349"/>
      <c r="RCW66" s="349"/>
      <c r="RCX66" s="349"/>
      <c r="RCY66" s="349"/>
      <c r="RCZ66" s="349"/>
      <c r="RDA66" s="349"/>
      <c r="RDB66" s="349"/>
      <c r="RDC66" s="349"/>
      <c r="RDD66" s="349"/>
      <c r="RDE66" s="349"/>
      <c r="RDF66" s="349"/>
      <c r="RDG66" s="349"/>
      <c r="RDH66" s="349"/>
      <c r="RDI66" s="349"/>
      <c r="RDJ66" s="349"/>
      <c r="RDK66" s="349"/>
      <c r="RDL66" s="349"/>
      <c r="RDM66" s="349"/>
      <c r="RDN66" s="349"/>
      <c r="RDO66" s="349"/>
      <c r="RDP66" s="349"/>
      <c r="RDQ66" s="349"/>
      <c r="RDR66" s="349"/>
      <c r="RDS66" s="349"/>
      <c r="RDT66" s="349"/>
      <c r="RDU66" s="349"/>
      <c r="RDV66" s="349"/>
      <c r="RDW66" s="349"/>
      <c r="RDX66" s="349"/>
      <c r="RDY66" s="349"/>
      <c r="RDZ66" s="349"/>
      <c r="REA66" s="349"/>
      <c r="REB66" s="349"/>
      <c r="REC66" s="349"/>
      <c r="RED66" s="349"/>
      <c r="REE66" s="349"/>
      <c r="REF66" s="349"/>
      <c r="REG66" s="349"/>
      <c r="REH66" s="349"/>
      <c r="REI66" s="349"/>
      <c r="REJ66" s="349"/>
      <c r="REK66" s="349"/>
      <c r="REL66" s="349"/>
      <c r="REM66" s="349"/>
      <c r="REN66" s="349"/>
      <c r="REO66" s="349"/>
      <c r="REP66" s="349"/>
      <c r="REQ66" s="349"/>
      <c r="RER66" s="349"/>
      <c r="RES66" s="349"/>
      <c r="RET66" s="349"/>
      <c r="REU66" s="349"/>
      <c r="REV66" s="349"/>
      <c r="REW66" s="349"/>
      <c r="REX66" s="349"/>
      <c r="REY66" s="349"/>
      <c r="REZ66" s="349"/>
      <c r="RFA66" s="349"/>
      <c r="RFB66" s="349"/>
      <c r="RFC66" s="349"/>
      <c r="RFD66" s="349"/>
      <c r="RFE66" s="349"/>
      <c r="RFF66" s="349"/>
      <c r="RFG66" s="349"/>
      <c r="RFH66" s="349"/>
      <c r="RFI66" s="349"/>
      <c r="RFJ66" s="349"/>
      <c r="RFK66" s="349"/>
      <c r="RFL66" s="349"/>
      <c r="RFM66" s="349"/>
      <c r="RFN66" s="349"/>
      <c r="RFO66" s="349"/>
      <c r="RFP66" s="349"/>
      <c r="RFQ66" s="349"/>
      <c r="RFR66" s="349"/>
      <c r="RFS66" s="349"/>
      <c r="RFT66" s="349"/>
      <c r="RFU66" s="349"/>
      <c r="RFV66" s="349"/>
      <c r="RFW66" s="349"/>
      <c r="RFX66" s="349"/>
      <c r="RFY66" s="349"/>
      <c r="RFZ66" s="349"/>
      <c r="RGA66" s="349"/>
      <c r="RGB66" s="349"/>
      <c r="RGC66" s="349"/>
      <c r="RGD66" s="349"/>
      <c r="RGE66" s="349"/>
      <c r="RGF66" s="349"/>
      <c r="RGG66" s="349"/>
      <c r="RGH66" s="349"/>
      <c r="RGI66" s="349"/>
      <c r="RGJ66" s="349"/>
      <c r="RGK66" s="349"/>
      <c r="RGL66" s="349"/>
      <c r="RGM66" s="349"/>
      <c r="RGN66" s="349"/>
      <c r="RGO66" s="349"/>
      <c r="RGP66" s="349"/>
      <c r="RGQ66" s="349"/>
      <c r="RGR66" s="349"/>
      <c r="RGS66" s="349"/>
      <c r="RGT66" s="349"/>
      <c r="RGU66" s="349"/>
      <c r="RGV66" s="349"/>
      <c r="RGW66" s="349"/>
      <c r="RGX66" s="349"/>
      <c r="RGY66" s="349"/>
      <c r="RGZ66" s="349"/>
      <c r="RHA66" s="349"/>
      <c r="RHB66" s="349"/>
      <c r="RHC66" s="349"/>
      <c r="RHD66" s="349"/>
      <c r="RHE66" s="349"/>
      <c r="RHF66" s="349"/>
      <c r="RHG66" s="349"/>
      <c r="RHH66" s="349"/>
      <c r="RHI66" s="349"/>
      <c r="RHJ66" s="349"/>
      <c r="RHK66" s="349"/>
      <c r="RHL66" s="349"/>
      <c r="RHM66" s="349"/>
      <c r="RHN66" s="349"/>
      <c r="RHO66" s="349"/>
      <c r="RHP66" s="349"/>
      <c r="RHQ66" s="349"/>
      <c r="RHR66" s="349"/>
      <c r="RHS66" s="349"/>
      <c r="RHT66" s="349"/>
      <c r="RHU66" s="349"/>
      <c r="RHV66" s="349"/>
      <c r="RHW66" s="349"/>
      <c r="RHX66" s="349"/>
      <c r="RHY66" s="349"/>
      <c r="RHZ66" s="349"/>
      <c r="RIA66" s="349"/>
      <c r="RIB66" s="349"/>
      <c r="RIC66" s="349"/>
      <c r="RID66" s="349"/>
      <c r="RIE66" s="349"/>
      <c r="RIF66" s="349"/>
      <c r="RIG66" s="349"/>
      <c r="RIH66" s="349"/>
      <c r="RII66" s="349"/>
      <c r="RIJ66" s="349"/>
      <c r="RIK66" s="349"/>
      <c r="RIL66" s="349"/>
      <c r="RIM66" s="349"/>
      <c r="RIN66" s="349"/>
      <c r="RIO66" s="349"/>
      <c r="RIP66" s="349"/>
      <c r="RIQ66" s="349"/>
      <c r="RIR66" s="349"/>
      <c r="RIS66" s="349"/>
      <c r="RIT66" s="349"/>
      <c r="RIU66" s="349"/>
      <c r="RIV66" s="349"/>
      <c r="RIW66" s="349"/>
      <c r="RIX66" s="349"/>
      <c r="RIY66" s="349"/>
      <c r="RIZ66" s="349"/>
      <c r="RJA66" s="349"/>
      <c r="RJB66" s="349"/>
      <c r="RJC66" s="349"/>
      <c r="RJD66" s="349"/>
      <c r="RJE66" s="349"/>
      <c r="RJF66" s="349"/>
      <c r="RJG66" s="349"/>
      <c r="RJH66" s="349"/>
      <c r="RJI66" s="349"/>
      <c r="RJJ66" s="349"/>
      <c r="RJK66" s="349"/>
      <c r="RJL66" s="349"/>
      <c r="RJM66" s="349"/>
      <c r="RJN66" s="349"/>
      <c r="RJO66" s="349"/>
      <c r="RJP66" s="349"/>
      <c r="RJQ66" s="349"/>
      <c r="RJR66" s="349"/>
      <c r="RJS66" s="349"/>
      <c r="RJT66" s="349"/>
      <c r="RJU66" s="349"/>
      <c r="RJV66" s="349"/>
      <c r="RJW66" s="349"/>
      <c r="RJX66" s="349"/>
      <c r="RJY66" s="349"/>
      <c r="RJZ66" s="349"/>
      <c r="RKA66" s="349"/>
      <c r="RKB66" s="349"/>
      <c r="RKC66" s="349"/>
      <c r="RKD66" s="349"/>
      <c r="RKE66" s="349"/>
      <c r="RKF66" s="349"/>
      <c r="RKG66" s="349"/>
      <c r="RKH66" s="349"/>
      <c r="RKI66" s="349"/>
      <c r="RKJ66" s="349"/>
      <c r="RKK66" s="349"/>
      <c r="RKL66" s="349"/>
      <c r="RKM66" s="349"/>
      <c r="RKN66" s="349"/>
      <c r="RKO66" s="349"/>
      <c r="RKP66" s="349"/>
      <c r="RKQ66" s="349"/>
      <c r="RKR66" s="349"/>
      <c r="RKS66" s="349"/>
      <c r="RKT66" s="349"/>
      <c r="RKU66" s="349"/>
      <c r="RKV66" s="349"/>
      <c r="RKW66" s="349"/>
      <c r="RKX66" s="349"/>
      <c r="RKY66" s="349"/>
      <c r="RKZ66" s="349"/>
      <c r="RLA66" s="349"/>
      <c r="RLB66" s="349"/>
      <c r="RLC66" s="349"/>
      <c r="RLD66" s="349"/>
      <c r="RLE66" s="349"/>
      <c r="RLF66" s="349"/>
      <c r="RLG66" s="349"/>
      <c r="RLH66" s="349"/>
      <c r="RLI66" s="349"/>
      <c r="RLJ66" s="349"/>
      <c r="RLK66" s="349"/>
      <c r="RLL66" s="349"/>
      <c r="RLM66" s="349"/>
      <c r="RLN66" s="349"/>
      <c r="RLO66" s="349"/>
      <c r="RLP66" s="349"/>
      <c r="RLQ66" s="349"/>
      <c r="RLR66" s="349"/>
      <c r="RLS66" s="349"/>
      <c r="RLT66" s="349"/>
      <c r="RLU66" s="349"/>
      <c r="RLV66" s="349"/>
      <c r="RLW66" s="349"/>
      <c r="RLX66" s="349"/>
      <c r="RLY66" s="349"/>
      <c r="RLZ66" s="349"/>
      <c r="RMA66" s="349"/>
      <c r="RMB66" s="349"/>
      <c r="RMC66" s="349"/>
      <c r="RMD66" s="349"/>
      <c r="RME66" s="349"/>
      <c r="RMF66" s="349"/>
      <c r="RMG66" s="349"/>
      <c r="RMH66" s="349"/>
      <c r="RMI66" s="349"/>
      <c r="RMJ66" s="349"/>
      <c r="RMK66" s="349"/>
      <c r="RML66" s="349"/>
      <c r="RMM66" s="349"/>
      <c r="RMN66" s="349"/>
      <c r="RMO66" s="349"/>
      <c r="RMP66" s="349"/>
      <c r="RMQ66" s="349"/>
      <c r="RMR66" s="349"/>
      <c r="RMS66" s="349"/>
      <c r="RMT66" s="349"/>
      <c r="RMU66" s="349"/>
      <c r="RMV66" s="349"/>
      <c r="RMW66" s="349"/>
      <c r="RMX66" s="349"/>
      <c r="RMY66" s="349"/>
      <c r="RMZ66" s="349"/>
      <c r="RNA66" s="349"/>
      <c r="RNB66" s="349"/>
      <c r="RNC66" s="349"/>
      <c r="RND66" s="349"/>
      <c r="RNE66" s="349"/>
      <c r="RNF66" s="349"/>
      <c r="RNG66" s="349"/>
      <c r="RNH66" s="349"/>
      <c r="RNI66" s="349"/>
      <c r="RNJ66" s="349"/>
      <c r="RNK66" s="349"/>
      <c r="RNL66" s="349"/>
      <c r="RNM66" s="349"/>
      <c r="RNN66" s="349"/>
      <c r="RNO66" s="349"/>
      <c r="RNP66" s="349"/>
      <c r="RNQ66" s="349"/>
      <c r="RNR66" s="349"/>
      <c r="RNS66" s="349"/>
      <c r="RNT66" s="349"/>
      <c r="RNU66" s="349"/>
      <c r="RNV66" s="349"/>
      <c r="RNW66" s="349"/>
      <c r="RNX66" s="349"/>
      <c r="RNY66" s="349"/>
      <c r="RNZ66" s="349"/>
      <c r="ROA66" s="349"/>
      <c r="ROB66" s="349"/>
      <c r="ROC66" s="349"/>
      <c r="ROD66" s="349"/>
      <c r="ROE66" s="349"/>
      <c r="ROF66" s="349"/>
      <c r="ROG66" s="349"/>
      <c r="ROH66" s="349"/>
      <c r="ROI66" s="349"/>
      <c r="ROJ66" s="349"/>
      <c r="ROK66" s="349"/>
      <c r="ROL66" s="349"/>
      <c r="ROM66" s="349"/>
      <c r="RON66" s="349"/>
      <c r="ROO66" s="349"/>
      <c r="ROP66" s="349"/>
      <c r="ROQ66" s="349"/>
      <c r="ROR66" s="349"/>
      <c r="ROS66" s="349"/>
      <c r="ROT66" s="349"/>
      <c r="ROU66" s="349"/>
      <c r="ROV66" s="349"/>
      <c r="ROW66" s="349"/>
      <c r="ROX66" s="349"/>
      <c r="ROY66" s="349"/>
      <c r="ROZ66" s="349"/>
      <c r="RPA66" s="349"/>
      <c r="RPB66" s="349"/>
      <c r="RPC66" s="349"/>
      <c r="RPD66" s="349"/>
      <c r="RPE66" s="349"/>
      <c r="RPF66" s="349"/>
      <c r="RPG66" s="349"/>
      <c r="RPH66" s="349"/>
      <c r="RPI66" s="349"/>
      <c r="RPJ66" s="349"/>
      <c r="RPK66" s="349"/>
      <c r="RPL66" s="349"/>
      <c r="RPM66" s="349"/>
      <c r="RPN66" s="349"/>
      <c r="RPO66" s="349"/>
      <c r="RPP66" s="349"/>
      <c r="RPQ66" s="349"/>
      <c r="RPR66" s="349"/>
      <c r="RPS66" s="349"/>
      <c r="RPT66" s="349"/>
      <c r="RPU66" s="349"/>
      <c r="RPV66" s="349"/>
      <c r="RPW66" s="349"/>
      <c r="RPX66" s="349"/>
      <c r="RPY66" s="349"/>
      <c r="RPZ66" s="349"/>
      <c r="RQA66" s="349"/>
      <c r="RQB66" s="349"/>
      <c r="RQC66" s="349"/>
      <c r="RQD66" s="349"/>
      <c r="RQE66" s="349"/>
      <c r="RQF66" s="349"/>
      <c r="RQG66" s="349"/>
      <c r="RQH66" s="349"/>
      <c r="RQI66" s="349"/>
      <c r="RQJ66" s="349"/>
      <c r="RQK66" s="349"/>
      <c r="RQL66" s="349"/>
      <c r="RQM66" s="349"/>
      <c r="RQN66" s="349"/>
      <c r="RQO66" s="349"/>
      <c r="RQP66" s="349"/>
      <c r="RQQ66" s="349"/>
      <c r="RQR66" s="349"/>
      <c r="RQS66" s="349"/>
      <c r="RQT66" s="349"/>
      <c r="RQU66" s="349"/>
      <c r="RQV66" s="349"/>
      <c r="RQW66" s="349"/>
      <c r="RQX66" s="349"/>
      <c r="RQY66" s="349"/>
      <c r="RQZ66" s="349"/>
      <c r="RRA66" s="349"/>
      <c r="RRB66" s="349"/>
      <c r="RRC66" s="349"/>
      <c r="RRD66" s="349"/>
      <c r="RRE66" s="349"/>
      <c r="RRF66" s="349"/>
      <c r="RRG66" s="349"/>
      <c r="RRH66" s="349"/>
      <c r="RRI66" s="349"/>
      <c r="RRJ66" s="349"/>
      <c r="RRK66" s="349"/>
      <c r="RRL66" s="349"/>
      <c r="RRM66" s="349"/>
      <c r="RRN66" s="349"/>
      <c r="RRO66" s="349"/>
      <c r="RRP66" s="349"/>
      <c r="RRQ66" s="349"/>
      <c r="RRR66" s="349"/>
      <c r="RRS66" s="349"/>
      <c r="RRT66" s="349"/>
      <c r="RRU66" s="349"/>
      <c r="RRV66" s="349"/>
      <c r="RRW66" s="349"/>
      <c r="RRX66" s="349"/>
      <c r="RRY66" s="349"/>
      <c r="RRZ66" s="349"/>
      <c r="RSA66" s="349"/>
      <c r="RSB66" s="349"/>
      <c r="RSC66" s="349"/>
      <c r="RSD66" s="349"/>
      <c r="RSE66" s="349"/>
      <c r="RSF66" s="349"/>
      <c r="RSG66" s="349"/>
      <c r="RSH66" s="349"/>
      <c r="RSI66" s="349"/>
      <c r="RSJ66" s="349"/>
      <c r="RSK66" s="349"/>
      <c r="RSL66" s="349"/>
      <c r="RSM66" s="349"/>
      <c r="RSN66" s="349"/>
      <c r="RSO66" s="349"/>
      <c r="RSP66" s="349"/>
      <c r="RSQ66" s="349"/>
      <c r="RSR66" s="349"/>
      <c r="RSS66" s="349"/>
      <c r="RST66" s="349"/>
      <c r="RSU66" s="349"/>
      <c r="RSV66" s="349"/>
      <c r="RSW66" s="349"/>
      <c r="RSX66" s="349"/>
      <c r="RSY66" s="349"/>
      <c r="RSZ66" s="349"/>
      <c r="RTA66" s="349"/>
      <c r="RTB66" s="349"/>
      <c r="RTC66" s="349"/>
      <c r="RTD66" s="349"/>
      <c r="RTE66" s="349"/>
      <c r="RTF66" s="349"/>
      <c r="RTG66" s="349"/>
      <c r="RTH66" s="349"/>
      <c r="RTI66" s="349"/>
      <c r="RTJ66" s="349"/>
      <c r="RTK66" s="349"/>
      <c r="RTL66" s="349"/>
      <c r="RTM66" s="349"/>
      <c r="RTN66" s="349"/>
      <c r="RTO66" s="349"/>
      <c r="RTP66" s="349"/>
      <c r="RTQ66" s="349"/>
      <c r="RTR66" s="349"/>
      <c r="RTS66" s="349"/>
      <c r="RTT66" s="349"/>
      <c r="RTU66" s="349"/>
      <c r="RTV66" s="349"/>
      <c r="RTW66" s="349"/>
      <c r="RTX66" s="349"/>
      <c r="RTY66" s="349"/>
      <c r="RTZ66" s="349"/>
      <c r="RUA66" s="349"/>
      <c r="RUB66" s="349"/>
      <c r="RUC66" s="349"/>
      <c r="RUD66" s="349"/>
      <c r="RUE66" s="349"/>
      <c r="RUF66" s="349"/>
      <c r="RUG66" s="349"/>
      <c r="RUH66" s="349"/>
      <c r="RUI66" s="349"/>
      <c r="RUJ66" s="349"/>
      <c r="RUK66" s="349"/>
      <c r="RUL66" s="349"/>
      <c r="RUM66" s="349"/>
      <c r="RUN66" s="349"/>
      <c r="RUO66" s="349"/>
      <c r="RUP66" s="349"/>
      <c r="RUQ66" s="349"/>
      <c r="RUR66" s="349"/>
      <c r="RUS66" s="349"/>
      <c r="RUT66" s="349"/>
      <c r="RUU66" s="349"/>
      <c r="RUV66" s="349"/>
      <c r="RUW66" s="349"/>
      <c r="RUX66" s="349"/>
      <c r="RUY66" s="349"/>
      <c r="RUZ66" s="349"/>
      <c r="RVA66" s="349"/>
      <c r="RVB66" s="349"/>
      <c r="RVC66" s="349"/>
      <c r="RVD66" s="349"/>
      <c r="RVE66" s="349"/>
      <c r="RVF66" s="349"/>
      <c r="RVG66" s="349"/>
      <c r="RVH66" s="349"/>
      <c r="RVI66" s="349"/>
      <c r="RVJ66" s="349"/>
      <c r="RVK66" s="349"/>
      <c r="RVL66" s="349"/>
      <c r="RVM66" s="349"/>
      <c r="RVN66" s="349"/>
      <c r="RVO66" s="349"/>
      <c r="RVP66" s="349"/>
      <c r="RVQ66" s="349"/>
      <c r="RVR66" s="349"/>
      <c r="RVS66" s="349"/>
      <c r="RVT66" s="349"/>
      <c r="RVU66" s="349"/>
      <c r="RVV66" s="349"/>
      <c r="RVW66" s="349"/>
      <c r="RVX66" s="349"/>
      <c r="RVY66" s="349"/>
      <c r="RVZ66" s="349"/>
      <c r="RWA66" s="349"/>
      <c r="RWB66" s="349"/>
      <c r="RWC66" s="349"/>
      <c r="RWD66" s="349"/>
      <c r="RWE66" s="349"/>
      <c r="RWF66" s="349"/>
      <c r="RWG66" s="349"/>
      <c r="RWH66" s="349"/>
      <c r="RWI66" s="349"/>
      <c r="RWJ66" s="349"/>
      <c r="RWK66" s="349"/>
      <c r="RWL66" s="349"/>
      <c r="RWM66" s="349"/>
      <c r="RWN66" s="349"/>
      <c r="RWO66" s="349"/>
      <c r="RWP66" s="349"/>
      <c r="RWQ66" s="349"/>
      <c r="RWR66" s="349"/>
      <c r="RWS66" s="349"/>
      <c r="RWT66" s="349"/>
      <c r="RWU66" s="349"/>
      <c r="RWV66" s="349"/>
      <c r="RWW66" s="349"/>
      <c r="RWX66" s="349"/>
      <c r="RWY66" s="349"/>
      <c r="RWZ66" s="349"/>
      <c r="RXA66" s="349"/>
      <c r="RXB66" s="349"/>
      <c r="RXC66" s="349"/>
      <c r="RXD66" s="349"/>
      <c r="RXE66" s="349"/>
      <c r="RXF66" s="349"/>
      <c r="RXG66" s="349"/>
      <c r="RXH66" s="349"/>
      <c r="RXI66" s="349"/>
      <c r="RXJ66" s="349"/>
      <c r="RXK66" s="349"/>
      <c r="RXL66" s="349"/>
      <c r="RXM66" s="349"/>
      <c r="RXN66" s="349"/>
      <c r="RXO66" s="349"/>
      <c r="RXP66" s="349"/>
      <c r="RXQ66" s="349"/>
      <c r="RXR66" s="349"/>
      <c r="RXS66" s="349"/>
      <c r="RXT66" s="349"/>
      <c r="RXU66" s="349"/>
      <c r="RXV66" s="349"/>
      <c r="RXW66" s="349"/>
      <c r="RXX66" s="349"/>
      <c r="RXY66" s="349"/>
      <c r="RXZ66" s="349"/>
      <c r="RYA66" s="349"/>
      <c r="RYB66" s="349"/>
      <c r="RYC66" s="349"/>
      <c r="RYD66" s="349"/>
      <c r="RYE66" s="349"/>
      <c r="RYF66" s="349"/>
      <c r="RYG66" s="349"/>
      <c r="RYH66" s="349"/>
      <c r="RYI66" s="349"/>
      <c r="RYJ66" s="349"/>
      <c r="RYK66" s="349"/>
      <c r="RYL66" s="349"/>
      <c r="RYM66" s="349"/>
      <c r="RYN66" s="349"/>
      <c r="RYO66" s="349"/>
      <c r="RYP66" s="349"/>
      <c r="RYQ66" s="349"/>
      <c r="RYR66" s="349"/>
      <c r="RYS66" s="349"/>
      <c r="RYT66" s="349"/>
      <c r="RYU66" s="349"/>
      <c r="RYV66" s="349"/>
      <c r="RYW66" s="349"/>
      <c r="RYX66" s="349"/>
      <c r="RYY66" s="349"/>
      <c r="RYZ66" s="349"/>
      <c r="RZA66" s="349"/>
      <c r="RZB66" s="349"/>
      <c r="RZC66" s="349"/>
      <c r="RZD66" s="349"/>
      <c r="RZE66" s="349"/>
      <c r="RZF66" s="349"/>
      <c r="RZG66" s="349"/>
      <c r="RZH66" s="349"/>
      <c r="RZI66" s="349"/>
      <c r="RZJ66" s="349"/>
      <c r="RZK66" s="349"/>
      <c r="RZL66" s="349"/>
      <c r="RZM66" s="349"/>
      <c r="RZN66" s="349"/>
      <c r="RZO66" s="349"/>
      <c r="RZP66" s="349"/>
      <c r="RZQ66" s="349"/>
      <c r="RZR66" s="349"/>
      <c r="RZS66" s="349"/>
      <c r="RZT66" s="349"/>
      <c r="RZU66" s="349"/>
      <c r="RZV66" s="349"/>
      <c r="RZW66" s="349"/>
      <c r="RZX66" s="349"/>
      <c r="RZY66" s="349"/>
      <c r="RZZ66" s="349"/>
      <c r="SAA66" s="349"/>
      <c r="SAB66" s="349"/>
      <c r="SAC66" s="349"/>
      <c r="SAD66" s="349"/>
      <c r="SAE66" s="349"/>
      <c r="SAF66" s="349"/>
      <c r="SAG66" s="349"/>
      <c r="SAH66" s="349"/>
      <c r="SAI66" s="349"/>
      <c r="SAJ66" s="349"/>
      <c r="SAK66" s="349"/>
      <c r="SAL66" s="349"/>
      <c r="SAM66" s="349"/>
      <c r="SAN66" s="349"/>
      <c r="SAO66" s="349"/>
      <c r="SAP66" s="349"/>
      <c r="SAQ66" s="349"/>
      <c r="SAR66" s="349"/>
      <c r="SAS66" s="349"/>
      <c r="SAT66" s="349"/>
      <c r="SAU66" s="349"/>
      <c r="SAV66" s="349"/>
      <c r="SAW66" s="349"/>
      <c r="SAX66" s="349"/>
      <c r="SAY66" s="349"/>
      <c r="SAZ66" s="349"/>
      <c r="SBA66" s="349"/>
      <c r="SBB66" s="349"/>
      <c r="SBC66" s="349"/>
      <c r="SBD66" s="349"/>
      <c r="SBE66" s="349"/>
      <c r="SBF66" s="349"/>
      <c r="SBG66" s="349"/>
      <c r="SBH66" s="349"/>
      <c r="SBI66" s="349"/>
      <c r="SBJ66" s="349"/>
      <c r="SBK66" s="349"/>
      <c r="SBL66" s="349"/>
      <c r="SBM66" s="349"/>
      <c r="SBN66" s="349"/>
      <c r="SBO66" s="349"/>
      <c r="SBP66" s="349"/>
      <c r="SBQ66" s="349"/>
      <c r="SBR66" s="349"/>
      <c r="SBS66" s="349"/>
      <c r="SBT66" s="349"/>
      <c r="SBU66" s="349"/>
      <c r="SBV66" s="349"/>
      <c r="SBW66" s="349"/>
      <c r="SBX66" s="349"/>
      <c r="SBY66" s="349"/>
      <c r="SBZ66" s="349"/>
      <c r="SCA66" s="349"/>
      <c r="SCB66" s="349"/>
      <c r="SCC66" s="349"/>
      <c r="SCD66" s="349"/>
      <c r="SCE66" s="349"/>
      <c r="SCF66" s="349"/>
      <c r="SCG66" s="349"/>
      <c r="SCH66" s="349"/>
      <c r="SCI66" s="349"/>
      <c r="SCJ66" s="349"/>
      <c r="SCK66" s="349"/>
      <c r="SCL66" s="349"/>
      <c r="SCM66" s="349"/>
      <c r="SCN66" s="349"/>
      <c r="SCO66" s="349"/>
      <c r="SCP66" s="349"/>
      <c r="SCQ66" s="349"/>
      <c r="SCR66" s="349"/>
      <c r="SCS66" s="349"/>
      <c r="SCT66" s="349"/>
      <c r="SCU66" s="349"/>
      <c r="SCV66" s="349"/>
      <c r="SCW66" s="349"/>
      <c r="SCX66" s="349"/>
      <c r="SCY66" s="349"/>
      <c r="SCZ66" s="349"/>
      <c r="SDA66" s="349"/>
      <c r="SDB66" s="349"/>
      <c r="SDC66" s="349"/>
      <c r="SDD66" s="349"/>
      <c r="SDE66" s="349"/>
      <c r="SDF66" s="349"/>
      <c r="SDG66" s="349"/>
      <c r="SDH66" s="349"/>
      <c r="SDI66" s="349"/>
      <c r="SDJ66" s="349"/>
      <c r="SDK66" s="349"/>
      <c r="SDL66" s="349"/>
      <c r="SDM66" s="349"/>
      <c r="SDN66" s="349"/>
      <c r="SDO66" s="349"/>
      <c r="SDP66" s="349"/>
      <c r="SDQ66" s="349"/>
      <c r="SDR66" s="349"/>
      <c r="SDS66" s="349"/>
      <c r="SDT66" s="349"/>
      <c r="SDU66" s="349"/>
      <c r="SDV66" s="349"/>
      <c r="SDW66" s="349"/>
      <c r="SDX66" s="349"/>
      <c r="SDY66" s="349"/>
      <c r="SDZ66" s="349"/>
      <c r="SEA66" s="349"/>
      <c r="SEB66" s="349"/>
      <c r="SEC66" s="349"/>
      <c r="SED66" s="349"/>
      <c r="SEE66" s="349"/>
      <c r="SEF66" s="349"/>
      <c r="SEG66" s="349"/>
      <c r="SEH66" s="349"/>
      <c r="SEI66" s="349"/>
      <c r="SEJ66" s="349"/>
      <c r="SEK66" s="349"/>
      <c r="SEL66" s="349"/>
      <c r="SEM66" s="349"/>
      <c r="SEN66" s="349"/>
      <c r="SEO66" s="349"/>
      <c r="SEP66" s="349"/>
      <c r="SEQ66" s="349"/>
      <c r="SER66" s="349"/>
      <c r="SES66" s="349"/>
      <c r="SET66" s="349"/>
      <c r="SEU66" s="349"/>
      <c r="SEV66" s="349"/>
      <c r="SEW66" s="349"/>
      <c r="SEX66" s="349"/>
      <c r="SEY66" s="349"/>
      <c r="SEZ66" s="349"/>
      <c r="SFA66" s="349"/>
      <c r="SFB66" s="349"/>
      <c r="SFC66" s="349"/>
      <c r="SFD66" s="349"/>
      <c r="SFE66" s="349"/>
      <c r="SFF66" s="349"/>
      <c r="SFG66" s="349"/>
      <c r="SFH66" s="349"/>
      <c r="SFI66" s="349"/>
      <c r="SFJ66" s="349"/>
      <c r="SFK66" s="349"/>
      <c r="SFL66" s="349"/>
      <c r="SFM66" s="349"/>
      <c r="SFN66" s="349"/>
      <c r="SFO66" s="349"/>
      <c r="SFP66" s="349"/>
      <c r="SFQ66" s="349"/>
      <c r="SFR66" s="349"/>
      <c r="SFS66" s="349"/>
      <c r="SFT66" s="349"/>
      <c r="SFU66" s="349"/>
      <c r="SFV66" s="349"/>
      <c r="SFW66" s="349"/>
      <c r="SFX66" s="349"/>
      <c r="SFY66" s="349"/>
      <c r="SFZ66" s="349"/>
      <c r="SGA66" s="349"/>
      <c r="SGB66" s="349"/>
      <c r="SGC66" s="349"/>
      <c r="SGD66" s="349"/>
      <c r="SGE66" s="349"/>
      <c r="SGF66" s="349"/>
      <c r="SGG66" s="349"/>
      <c r="SGH66" s="349"/>
      <c r="SGI66" s="349"/>
      <c r="SGJ66" s="349"/>
      <c r="SGK66" s="349"/>
      <c r="SGL66" s="349"/>
      <c r="SGM66" s="349"/>
      <c r="SGN66" s="349"/>
      <c r="SGO66" s="349"/>
      <c r="SGP66" s="349"/>
      <c r="SGQ66" s="349"/>
      <c r="SGR66" s="349"/>
      <c r="SGS66" s="349"/>
      <c r="SGT66" s="349"/>
      <c r="SGU66" s="349"/>
      <c r="SGV66" s="349"/>
      <c r="SGW66" s="349"/>
      <c r="SGX66" s="349"/>
      <c r="SGY66" s="349"/>
      <c r="SGZ66" s="349"/>
      <c r="SHA66" s="349"/>
      <c r="SHB66" s="349"/>
      <c r="SHC66" s="349"/>
      <c r="SHD66" s="349"/>
      <c r="SHE66" s="349"/>
      <c r="SHF66" s="349"/>
      <c r="SHG66" s="349"/>
      <c r="SHH66" s="349"/>
      <c r="SHI66" s="349"/>
      <c r="SHJ66" s="349"/>
      <c r="SHK66" s="349"/>
      <c r="SHL66" s="349"/>
      <c r="SHM66" s="349"/>
      <c r="SHN66" s="349"/>
      <c r="SHO66" s="349"/>
      <c r="SHP66" s="349"/>
      <c r="SHQ66" s="349"/>
      <c r="SHR66" s="349"/>
      <c r="SHS66" s="349"/>
      <c r="SHT66" s="349"/>
      <c r="SHU66" s="349"/>
      <c r="SHV66" s="349"/>
      <c r="SHW66" s="349"/>
      <c r="SHX66" s="349"/>
      <c r="SHY66" s="349"/>
      <c r="SHZ66" s="349"/>
      <c r="SIA66" s="349"/>
      <c r="SIB66" s="349"/>
      <c r="SIC66" s="349"/>
      <c r="SID66" s="349"/>
      <c r="SIE66" s="349"/>
      <c r="SIF66" s="349"/>
      <c r="SIG66" s="349"/>
      <c r="SIH66" s="349"/>
      <c r="SII66" s="349"/>
      <c r="SIJ66" s="349"/>
      <c r="SIK66" s="349"/>
      <c r="SIL66" s="349"/>
      <c r="SIM66" s="349"/>
      <c r="SIN66" s="349"/>
      <c r="SIO66" s="349"/>
      <c r="SIP66" s="349"/>
      <c r="SIQ66" s="349"/>
      <c r="SIR66" s="349"/>
      <c r="SIS66" s="349"/>
      <c r="SIT66" s="349"/>
      <c r="SIU66" s="349"/>
      <c r="SIV66" s="349"/>
      <c r="SIW66" s="349"/>
      <c r="SIX66" s="349"/>
      <c r="SIY66" s="349"/>
      <c r="SIZ66" s="349"/>
      <c r="SJA66" s="349"/>
      <c r="SJB66" s="349"/>
      <c r="SJC66" s="349"/>
      <c r="SJD66" s="349"/>
      <c r="SJE66" s="349"/>
      <c r="SJF66" s="349"/>
      <c r="SJG66" s="349"/>
      <c r="SJH66" s="349"/>
      <c r="SJI66" s="349"/>
      <c r="SJJ66" s="349"/>
      <c r="SJK66" s="349"/>
      <c r="SJL66" s="349"/>
      <c r="SJM66" s="349"/>
      <c r="SJN66" s="349"/>
      <c r="SJO66" s="349"/>
      <c r="SJP66" s="349"/>
      <c r="SJQ66" s="349"/>
      <c r="SJR66" s="349"/>
      <c r="SJS66" s="349"/>
      <c r="SJT66" s="349"/>
      <c r="SJU66" s="349"/>
      <c r="SJV66" s="349"/>
      <c r="SJW66" s="349"/>
      <c r="SJX66" s="349"/>
      <c r="SJY66" s="349"/>
      <c r="SJZ66" s="349"/>
      <c r="SKA66" s="349"/>
      <c r="SKB66" s="349"/>
      <c r="SKC66" s="349"/>
      <c r="SKD66" s="349"/>
      <c r="SKE66" s="349"/>
      <c r="SKF66" s="349"/>
      <c r="SKG66" s="349"/>
      <c r="SKH66" s="349"/>
      <c r="SKI66" s="349"/>
      <c r="SKJ66" s="349"/>
      <c r="SKK66" s="349"/>
      <c r="SKL66" s="349"/>
      <c r="SKM66" s="349"/>
      <c r="SKN66" s="349"/>
      <c r="SKO66" s="349"/>
      <c r="SKP66" s="349"/>
      <c r="SKQ66" s="349"/>
      <c r="SKR66" s="349"/>
      <c r="SKS66" s="349"/>
      <c r="SKT66" s="349"/>
      <c r="SKU66" s="349"/>
      <c r="SKV66" s="349"/>
      <c r="SKW66" s="349"/>
      <c r="SKX66" s="349"/>
      <c r="SKY66" s="349"/>
      <c r="SKZ66" s="349"/>
      <c r="SLA66" s="349"/>
      <c r="SLB66" s="349"/>
      <c r="SLC66" s="349"/>
      <c r="SLD66" s="349"/>
      <c r="SLE66" s="349"/>
      <c r="SLF66" s="349"/>
      <c r="SLG66" s="349"/>
      <c r="SLH66" s="349"/>
      <c r="SLI66" s="349"/>
      <c r="SLJ66" s="349"/>
      <c r="SLK66" s="349"/>
      <c r="SLL66" s="349"/>
      <c r="SLM66" s="349"/>
      <c r="SLN66" s="349"/>
      <c r="SLO66" s="349"/>
      <c r="SLP66" s="349"/>
      <c r="SLQ66" s="349"/>
      <c r="SLR66" s="349"/>
      <c r="SLS66" s="349"/>
      <c r="SLT66" s="349"/>
      <c r="SLU66" s="349"/>
      <c r="SLV66" s="349"/>
      <c r="SLW66" s="349"/>
      <c r="SLX66" s="349"/>
      <c r="SLY66" s="349"/>
      <c r="SLZ66" s="349"/>
      <c r="SMA66" s="349"/>
      <c r="SMB66" s="349"/>
      <c r="SMC66" s="349"/>
      <c r="SMD66" s="349"/>
      <c r="SME66" s="349"/>
      <c r="SMF66" s="349"/>
      <c r="SMG66" s="349"/>
      <c r="SMH66" s="349"/>
      <c r="SMI66" s="349"/>
      <c r="SMJ66" s="349"/>
      <c r="SMK66" s="349"/>
      <c r="SML66" s="349"/>
      <c r="SMM66" s="349"/>
      <c r="SMN66" s="349"/>
      <c r="SMO66" s="349"/>
      <c r="SMP66" s="349"/>
      <c r="SMQ66" s="349"/>
      <c r="SMR66" s="349"/>
      <c r="SMS66" s="349"/>
      <c r="SMT66" s="349"/>
      <c r="SMU66" s="349"/>
      <c r="SMV66" s="349"/>
      <c r="SMW66" s="349"/>
      <c r="SMX66" s="349"/>
      <c r="SMY66" s="349"/>
      <c r="SMZ66" s="349"/>
      <c r="SNA66" s="349"/>
      <c r="SNB66" s="349"/>
      <c r="SNC66" s="349"/>
      <c r="SND66" s="349"/>
      <c r="SNE66" s="349"/>
      <c r="SNF66" s="349"/>
      <c r="SNG66" s="349"/>
      <c r="SNH66" s="349"/>
      <c r="SNI66" s="349"/>
      <c r="SNJ66" s="349"/>
      <c r="SNK66" s="349"/>
      <c r="SNL66" s="349"/>
      <c r="SNM66" s="349"/>
      <c r="SNN66" s="349"/>
      <c r="SNO66" s="349"/>
      <c r="SNP66" s="349"/>
      <c r="SNQ66" s="349"/>
      <c r="SNR66" s="349"/>
      <c r="SNS66" s="349"/>
      <c r="SNT66" s="349"/>
      <c r="SNU66" s="349"/>
      <c r="SNV66" s="349"/>
      <c r="SNW66" s="349"/>
      <c r="SNX66" s="349"/>
      <c r="SNY66" s="349"/>
      <c r="SNZ66" s="349"/>
      <c r="SOA66" s="349"/>
      <c r="SOB66" s="349"/>
      <c r="SOC66" s="349"/>
      <c r="SOD66" s="349"/>
      <c r="SOE66" s="349"/>
      <c r="SOF66" s="349"/>
      <c r="SOG66" s="349"/>
      <c r="SOH66" s="349"/>
      <c r="SOI66" s="349"/>
      <c r="SOJ66" s="349"/>
      <c r="SOK66" s="349"/>
      <c r="SOL66" s="349"/>
      <c r="SOM66" s="349"/>
      <c r="SON66" s="349"/>
      <c r="SOO66" s="349"/>
      <c r="SOP66" s="349"/>
      <c r="SOQ66" s="349"/>
      <c r="SOR66" s="349"/>
      <c r="SOS66" s="349"/>
      <c r="SOT66" s="349"/>
      <c r="SOU66" s="349"/>
      <c r="SOV66" s="349"/>
      <c r="SOW66" s="349"/>
      <c r="SOX66" s="349"/>
      <c r="SOY66" s="349"/>
      <c r="SOZ66" s="349"/>
      <c r="SPA66" s="349"/>
      <c r="SPB66" s="349"/>
      <c r="SPC66" s="349"/>
      <c r="SPD66" s="349"/>
      <c r="SPE66" s="349"/>
      <c r="SPF66" s="349"/>
      <c r="SPG66" s="349"/>
      <c r="SPH66" s="349"/>
      <c r="SPI66" s="349"/>
      <c r="SPJ66" s="349"/>
      <c r="SPK66" s="349"/>
      <c r="SPL66" s="349"/>
      <c r="SPM66" s="349"/>
      <c r="SPN66" s="349"/>
      <c r="SPO66" s="349"/>
      <c r="SPP66" s="349"/>
      <c r="SPQ66" s="349"/>
      <c r="SPR66" s="349"/>
      <c r="SPS66" s="349"/>
      <c r="SPT66" s="349"/>
      <c r="SPU66" s="349"/>
      <c r="SPV66" s="349"/>
      <c r="SPW66" s="349"/>
      <c r="SPX66" s="349"/>
      <c r="SPY66" s="349"/>
      <c r="SPZ66" s="349"/>
      <c r="SQA66" s="349"/>
      <c r="SQB66" s="349"/>
      <c r="SQC66" s="349"/>
      <c r="SQD66" s="349"/>
      <c r="SQE66" s="349"/>
      <c r="SQF66" s="349"/>
      <c r="SQG66" s="349"/>
      <c r="SQH66" s="349"/>
      <c r="SQI66" s="349"/>
      <c r="SQJ66" s="349"/>
      <c r="SQK66" s="349"/>
      <c r="SQL66" s="349"/>
      <c r="SQM66" s="349"/>
      <c r="SQN66" s="349"/>
      <c r="SQO66" s="349"/>
      <c r="SQP66" s="349"/>
      <c r="SQQ66" s="349"/>
      <c r="SQR66" s="349"/>
      <c r="SQS66" s="349"/>
      <c r="SQT66" s="349"/>
      <c r="SQU66" s="349"/>
      <c r="SQV66" s="349"/>
      <c r="SQW66" s="349"/>
      <c r="SQX66" s="349"/>
      <c r="SQY66" s="349"/>
      <c r="SQZ66" s="349"/>
      <c r="SRA66" s="349"/>
      <c r="SRB66" s="349"/>
      <c r="SRC66" s="349"/>
      <c r="SRD66" s="349"/>
      <c r="SRE66" s="349"/>
      <c r="SRF66" s="349"/>
      <c r="SRG66" s="349"/>
      <c r="SRH66" s="349"/>
      <c r="SRI66" s="349"/>
      <c r="SRJ66" s="349"/>
      <c r="SRK66" s="349"/>
      <c r="SRL66" s="349"/>
      <c r="SRM66" s="349"/>
      <c r="SRN66" s="349"/>
      <c r="SRO66" s="349"/>
      <c r="SRP66" s="349"/>
      <c r="SRQ66" s="349"/>
      <c r="SRR66" s="349"/>
      <c r="SRS66" s="349"/>
      <c r="SRT66" s="349"/>
      <c r="SRU66" s="349"/>
      <c r="SRV66" s="349"/>
      <c r="SRW66" s="349"/>
      <c r="SRX66" s="349"/>
      <c r="SRY66" s="349"/>
      <c r="SRZ66" s="349"/>
      <c r="SSA66" s="349"/>
      <c r="SSB66" s="349"/>
      <c r="SSC66" s="349"/>
      <c r="SSD66" s="349"/>
      <c r="SSE66" s="349"/>
      <c r="SSF66" s="349"/>
      <c r="SSG66" s="349"/>
      <c r="SSH66" s="349"/>
      <c r="SSI66" s="349"/>
      <c r="SSJ66" s="349"/>
      <c r="SSK66" s="349"/>
      <c r="SSL66" s="349"/>
      <c r="SSM66" s="349"/>
      <c r="SSN66" s="349"/>
      <c r="SSO66" s="349"/>
      <c r="SSP66" s="349"/>
      <c r="SSQ66" s="349"/>
      <c r="SSR66" s="349"/>
      <c r="SSS66" s="349"/>
      <c r="SST66" s="349"/>
      <c r="SSU66" s="349"/>
      <c r="SSV66" s="349"/>
      <c r="SSW66" s="349"/>
      <c r="SSX66" s="349"/>
      <c r="SSY66" s="349"/>
      <c r="SSZ66" s="349"/>
      <c r="STA66" s="349"/>
      <c r="STB66" s="349"/>
      <c r="STC66" s="349"/>
      <c r="STD66" s="349"/>
      <c r="STE66" s="349"/>
      <c r="STF66" s="349"/>
      <c r="STG66" s="349"/>
      <c r="STH66" s="349"/>
      <c r="STI66" s="349"/>
      <c r="STJ66" s="349"/>
      <c r="STK66" s="349"/>
      <c r="STL66" s="349"/>
      <c r="STM66" s="349"/>
      <c r="STN66" s="349"/>
      <c r="STO66" s="349"/>
      <c r="STP66" s="349"/>
      <c r="STQ66" s="349"/>
      <c r="STR66" s="349"/>
      <c r="STS66" s="349"/>
      <c r="STT66" s="349"/>
      <c r="STU66" s="349"/>
      <c r="STV66" s="349"/>
      <c r="STW66" s="349"/>
      <c r="STX66" s="349"/>
      <c r="STY66" s="349"/>
      <c r="STZ66" s="349"/>
      <c r="SUA66" s="349"/>
      <c r="SUB66" s="349"/>
      <c r="SUC66" s="349"/>
      <c r="SUD66" s="349"/>
      <c r="SUE66" s="349"/>
      <c r="SUF66" s="349"/>
      <c r="SUG66" s="349"/>
      <c r="SUH66" s="349"/>
      <c r="SUI66" s="349"/>
      <c r="SUJ66" s="349"/>
      <c r="SUK66" s="349"/>
      <c r="SUL66" s="349"/>
      <c r="SUM66" s="349"/>
      <c r="SUN66" s="349"/>
      <c r="SUO66" s="349"/>
      <c r="SUP66" s="349"/>
      <c r="SUQ66" s="349"/>
      <c r="SUR66" s="349"/>
      <c r="SUS66" s="349"/>
      <c r="SUT66" s="349"/>
      <c r="SUU66" s="349"/>
      <c r="SUV66" s="349"/>
      <c r="SUW66" s="349"/>
      <c r="SUX66" s="349"/>
      <c r="SUY66" s="349"/>
      <c r="SUZ66" s="349"/>
      <c r="SVA66" s="349"/>
      <c r="SVB66" s="349"/>
      <c r="SVC66" s="349"/>
      <c r="SVD66" s="349"/>
      <c r="SVE66" s="349"/>
      <c r="SVF66" s="349"/>
      <c r="SVG66" s="349"/>
      <c r="SVH66" s="349"/>
      <c r="SVI66" s="349"/>
      <c r="SVJ66" s="349"/>
      <c r="SVK66" s="349"/>
      <c r="SVL66" s="349"/>
      <c r="SVM66" s="349"/>
      <c r="SVN66" s="349"/>
      <c r="SVO66" s="349"/>
      <c r="SVP66" s="349"/>
      <c r="SVQ66" s="349"/>
      <c r="SVR66" s="349"/>
      <c r="SVS66" s="349"/>
      <c r="SVT66" s="349"/>
      <c r="SVU66" s="349"/>
      <c r="SVV66" s="349"/>
      <c r="SVW66" s="349"/>
      <c r="SVX66" s="349"/>
      <c r="SVY66" s="349"/>
      <c r="SVZ66" s="349"/>
      <c r="SWA66" s="349"/>
      <c r="SWB66" s="349"/>
      <c r="SWC66" s="349"/>
      <c r="SWD66" s="349"/>
      <c r="SWE66" s="349"/>
      <c r="SWF66" s="349"/>
      <c r="SWG66" s="349"/>
      <c r="SWH66" s="349"/>
      <c r="SWI66" s="349"/>
      <c r="SWJ66" s="349"/>
      <c r="SWK66" s="349"/>
      <c r="SWL66" s="349"/>
      <c r="SWM66" s="349"/>
      <c r="SWN66" s="349"/>
      <c r="SWO66" s="349"/>
      <c r="SWP66" s="349"/>
      <c r="SWQ66" s="349"/>
      <c r="SWR66" s="349"/>
      <c r="SWS66" s="349"/>
      <c r="SWT66" s="349"/>
      <c r="SWU66" s="349"/>
      <c r="SWV66" s="349"/>
      <c r="SWW66" s="349"/>
      <c r="SWX66" s="349"/>
      <c r="SWY66" s="349"/>
      <c r="SWZ66" s="349"/>
      <c r="SXA66" s="349"/>
      <c r="SXB66" s="349"/>
      <c r="SXC66" s="349"/>
      <c r="SXD66" s="349"/>
      <c r="SXE66" s="349"/>
      <c r="SXF66" s="349"/>
      <c r="SXG66" s="349"/>
      <c r="SXH66" s="349"/>
      <c r="SXI66" s="349"/>
      <c r="SXJ66" s="349"/>
      <c r="SXK66" s="349"/>
      <c r="SXL66" s="349"/>
      <c r="SXM66" s="349"/>
      <c r="SXN66" s="349"/>
      <c r="SXO66" s="349"/>
      <c r="SXP66" s="349"/>
      <c r="SXQ66" s="349"/>
      <c r="SXR66" s="349"/>
      <c r="SXS66" s="349"/>
      <c r="SXT66" s="349"/>
      <c r="SXU66" s="349"/>
      <c r="SXV66" s="349"/>
      <c r="SXW66" s="349"/>
      <c r="SXX66" s="349"/>
      <c r="SXY66" s="349"/>
      <c r="SXZ66" s="349"/>
      <c r="SYA66" s="349"/>
      <c r="SYB66" s="349"/>
      <c r="SYC66" s="349"/>
      <c r="SYD66" s="349"/>
      <c r="SYE66" s="349"/>
      <c r="SYF66" s="349"/>
      <c r="SYG66" s="349"/>
      <c r="SYH66" s="349"/>
      <c r="SYI66" s="349"/>
      <c r="SYJ66" s="349"/>
      <c r="SYK66" s="349"/>
      <c r="SYL66" s="349"/>
      <c r="SYM66" s="349"/>
      <c r="SYN66" s="349"/>
      <c r="SYO66" s="349"/>
      <c r="SYP66" s="349"/>
      <c r="SYQ66" s="349"/>
      <c r="SYR66" s="349"/>
      <c r="SYS66" s="349"/>
      <c r="SYT66" s="349"/>
      <c r="SYU66" s="349"/>
      <c r="SYV66" s="349"/>
      <c r="SYW66" s="349"/>
      <c r="SYX66" s="349"/>
      <c r="SYY66" s="349"/>
      <c r="SYZ66" s="349"/>
      <c r="SZA66" s="349"/>
      <c r="SZB66" s="349"/>
      <c r="SZC66" s="349"/>
      <c r="SZD66" s="349"/>
      <c r="SZE66" s="349"/>
      <c r="SZF66" s="349"/>
      <c r="SZG66" s="349"/>
      <c r="SZH66" s="349"/>
      <c r="SZI66" s="349"/>
      <c r="SZJ66" s="349"/>
      <c r="SZK66" s="349"/>
      <c r="SZL66" s="349"/>
      <c r="SZM66" s="349"/>
      <c r="SZN66" s="349"/>
      <c r="SZO66" s="349"/>
      <c r="SZP66" s="349"/>
      <c r="SZQ66" s="349"/>
      <c r="SZR66" s="349"/>
      <c r="SZS66" s="349"/>
      <c r="SZT66" s="349"/>
      <c r="SZU66" s="349"/>
      <c r="SZV66" s="349"/>
      <c r="SZW66" s="349"/>
      <c r="SZX66" s="349"/>
      <c r="SZY66" s="349"/>
      <c r="SZZ66" s="349"/>
      <c r="TAA66" s="349"/>
      <c r="TAB66" s="349"/>
      <c r="TAC66" s="349"/>
      <c r="TAD66" s="349"/>
      <c r="TAE66" s="349"/>
      <c r="TAF66" s="349"/>
      <c r="TAG66" s="349"/>
      <c r="TAH66" s="349"/>
      <c r="TAI66" s="349"/>
      <c r="TAJ66" s="349"/>
      <c r="TAK66" s="349"/>
      <c r="TAL66" s="349"/>
      <c r="TAM66" s="349"/>
      <c r="TAN66" s="349"/>
      <c r="TAO66" s="349"/>
      <c r="TAP66" s="349"/>
      <c r="TAQ66" s="349"/>
      <c r="TAR66" s="349"/>
      <c r="TAS66" s="349"/>
      <c r="TAT66" s="349"/>
      <c r="TAU66" s="349"/>
      <c r="TAV66" s="349"/>
      <c r="TAW66" s="349"/>
      <c r="TAX66" s="349"/>
      <c r="TAY66" s="349"/>
      <c r="TAZ66" s="349"/>
      <c r="TBA66" s="349"/>
      <c r="TBB66" s="349"/>
      <c r="TBC66" s="349"/>
      <c r="TBD66" s="349"/>
      <c r="TBE66" s="349"/>
      <c r="TBF66" s="349"/>
      <c r="TBG66" s="349"/>
      <c r="TBH66" s="349"/>
      <c r="TBI66" s="349"/>
      <c r="TBJ66" s="349"/>
      <c r="TBK66" s="349"/>
      <c r="TBL66" s="349"/>
      <c r="TBM66" s="349"/>
      <c r="TBN66" s="349"/>
      <c r="TBO66" s="349"/>
      <c r="TBP66" s="349"/>
      <c r="TBQ66" s="349"/>
      <c r="TBR66" s="349"/>
      <c r="TBS66" s="349"/>
      <c r="TBT66" s="349"/>
      <c r="TBU66" s="349"/>
      <c r="TBV66" s="349"/>
      <c r="TBW66" s="349"/>
      <c r="TBX66" s="349"/>
      <c r="TBY66" s="349"/>
      <c r="TBZ66" s="349"/>
      <c r="TCA66" s="349"/>
      <c r="TCB66" s="349"/>
      <c r="TCC66" s="349"/>
      <c r="TCD66" s="349"/>
      <c r="TCE66" s="349"/>
      <c r="TCF66" s="349"/>
      <c r="TCG66" s="349"/>
      <c r="TCH66" s="349"/>
      <c r="TCI66" s="349"/>
      <c r="TCJ66" s="349"/>
      <c r="TCK66" s="349"/>
      <c r="TCL66" s="349"/>
      <c r="TCM66" s="349"/>
      <c r="TCN66" s="349"/>
      <c r="TCO66" s="349"/>
      <c r="TCP66" s="349"/>
      <c r="TCQ66" s="349"/>
      <c r="TCR66" s="349"/>
      <c r="TCS66" s="349"/>
      <c r="TCT66" s="349"/>
      <c r="TCU66" s="349"/>
      <c r="TCV66" s="349"/>
      <c r="TCW66" s="349"/>
      <c r="TCX66" s="349"/>
      <c r="TCY66" s="349"/>
      <c r="TCZ66" s="349"/>
      <c r="TDA66" s="349"/>
      <c r="TDB66" s="349"/>
      <c r="TDC66" s="349"/>
      <c r="TDD66" s="349"/>
      <c r="TDE66" s="349"/>
      <c r="TDF66" s="349"/>
      <c r="TDG66" s="349"/>
      <c r="TDH66" s="349"/>
      <c r="TDI66" s="349"/>
      <c r="TDJ66" s="349"/>
      <c r="TDK66" s="349"/>
      <c r="TDL66" s="349"/>
      <c r="TDM66" s="349"/>
      <c r="TDN66" s="349"/>
      <c r="TDO66" s="349"/>
      <c r="TDP66" s="349"/>
      <c r="TDQ66" s="349"/>
      <c r="TDR66" s="349"/>
      <c r="TDS66" s="349"/>
      <c r="TDT66" s="349"/>
      <c r="TDU66" s="349"/>
      <c r="TDV66" s="349"/>
      <c r="TDW66" s="349"/>
      <c r="TDX66" s="349"/>
      <c r="TDY66" s="349"/>
      <c r="TDZ66" s="349"/>
      <c r="TEA66" s="349"/>
      <c r="TEB66" s="349"/>
      <c r="TEC66" s="349"/>
      <c r="TED66" s="349"/>
      <c r="TEE66" s="349"/>
      <c r="TEF66" s="349"/>
      <c r="TEG66" s="349"/>
      <c r="TEH66" s="349"/>
      <c r="TEI66" s="349"/>
      <c r="TEJ66" s="349"/>
      <c r="TEK66" s="349"/>
      <c r="TEL66" s="349"/>
      <c r="TEM66" s="349"/>
      <c r="TEN66" s="349"/>
      <c r="TEO66" s="349"/>
      <c r="TEP66" s="349"/>
      <c r="TEQ66" s="349"/>
      <c r="TER66" s="349"/>
      <c r="TES66" s="349"/>
      <c r="TET66" s="349"/>
      <c r="TEU66" s="349"/>
      <c r="TEV66" s="349"/>
      <c r="TEW66" s="349"/>
      <c r="TEX66" s="349"/>
      <c r="TEY66" s="349"/>
      <c r="TEZ66" s="349"/>
      <c r="TFA66" s="349"/>
      <c r="TFB66" s="349"/>
      <c r="TFC66" s="349"/>
      <c r="TFD66" s="349"/>
      <c r="TFE66" s="349"/>
      <c r="TFF66" s="349"/>
      <c r="TFG66" s="349"/>
      <c r="TFH66" s="349"/>
      <c r="TFI66" s="349"/>
      <c r="TFJ66" s="349"/>
      <c r="TFK66" s="349"/>
      <c r="TFL66" s="349"/>
      <c r="TFM66" s="349"/>
      <c r="TFN66" s="349"/>
      <c r="TFO66" s="349"/>
      <c r="TFP66" s="349"/>
      <c r="TFQ66" s="349"/>
      <c r="TFR66" s="349"/>
      <c r="TFS66" s="349"/>
      <c r="TFT66" s="349"/>
      <c r="TFU66" s="349"/>
      <c r="TFV66" s="349"/>
      <c r="TFW66" s="349"/>
      <c r="TFX66" s="349"/>
      <c r="TFY66" s="349"/>
      <c r="TFZ66" s="349"/>
      <c r="TGA66" s="349"/>
      <c r="TGB66" s="349"/>
      <c r="TGC66" s="349"/>
      <c r="TGD66" s="349"/>
      <c r="TGE66" s="349"/>
      <c r="TGF66" s="349"/>
      <c r="TGG66" s="349"/>
      <c r="TGH66" s="349"/>
      <c r="TGI66" s="349"/>
      <c r="TGJ66" s="349"/>
      <c r="TGK66" s="349"/>
      <c r="TGL66" s="349"/>
      <c r="TGM66" s="349"/>
      <c r="TGN66" s="349"/>
      <c r="TGO66" s="349"/>
      <c r="TGP66" s="349"/>
      <c r="TGQ66" s="349"/>
      <c r="TGR66" s="349"/>
      <c r="TGS66" s="349"/>
      <c r="TGT66" s="349"/>
      <c r="TGU66" s="349"/>
      <c r="TGV66" s="349"/>
      <c r="TGW66" s="349"/>
      <c r="TGX66" s="349"/>
      <c r="TGY66" s="349"/>
      <c r="TGZ66" s="349"/>
      <c r="THA66" s="349"/>
      <c r="THB66" s="349"/>
      <c r="THC66" s="349"/>
      <c r="THD66" s="349"/>
      <c r="THE66" s="349"/>
      <c r="THF66" s="349"/>
      <c r="THG66" s="349"/>
      <c r="THH66" s="349"/>
      <c r="THI66" s="349"/>
      <c r="THJ66" s="349"/>
      <c r="THK66" s="349"/>
      <c r="THL66" s="349"/>
      <c r="THM66" s="349"/>
      <c r="THN66" s="349"/>
      <c r="THO66" s="349"/>
      <c r="THP66" s="349"/>
      <c r="THQ66" s="349"/>
      <c r="THR66" s="349"/>
      <c r="THS66" s="349"/>
      <c r="THT66" s="349"/>
      <c r="THU66" s="349"/>
      <c r="THV66" s="349"/>
      <c r="THW66" s="349"/>
      <c r="THX66" s="349"/>
      <c r="THY66" s="349"/>
      <c r="THZ66" s="349"/>
      <c r="TIA66" s="349"/>
      <c r="TIB66" s="349"/>
      <c r="TIC66" s="349"/>
      <c r="TID66" s="349"/>
      <c r="TIE66" s="349"/>
      <c r="TIF66" s="349"/>
      <c r="TIG66" s="349"/>
      <c r="TIH66" s="349"/>
      <c r="TII66" s="349"/>
      <c r="TIJ66" s="349"/>
      <c r="TIK66" s="349"/>
      <c r="TIL66" s="349"/>
      <c r="TIM66" s="349"/>
      <c r="TIN66" s="349"/>
      <c r="TIO66" s="349"/>
      <c r="TIP66" s="349"/>
      <c r="TIQ66" s="349"/>
      <c r="TIR66" s="349"/>
      <c r="TIS66" s="349"/>
      <c r="TIT66" s="349"/>
      <c r="TIU66" s="349"/>
      <c r="TIV66" s="349"/>
      <c r="TIW66" s="349"/>
      <c r="TIX66" s="349"/>
      <c r="TIY66" s="349"/>
      <c r="TIZ66" s="349"/>
      <c r="TJA66" s="349"/>
      <c r="TJB66" s="349"/>
      <c r="TJC66" s="349"/>
      <c r="TJD66" s="349"/>
      <c r="TJE66" s="349"/>
      <c r="TJF66" s="349"/>
      <c r="TJG66" s="349"/>
      <c r="TJH66" s="349"/>
      <c r="TJI66" s="349"/>
      <c r="TJJ66" s="349"/>
      <c r="TJK66" s="349"/>
      <c r="TJL66" s="349"/>
      <c r="TJM66" s="349"/>
      <c r="TJN66" s="349"/>
      <c r="TJO66" s="349"/>
      <c r="TJP66" s="349"/>
      <c r="TJQ66" s="349"/>
      <c r="TJR66" s="349"/>
      <c r="TJS66" s="349"/>
      <c r="TJT66" s="349"/>
      <c r="TJU66" s="349"/>
      <c r="TJV66" s="349"/>
      <c r="TJW66" s="349"/>
      <c r="TJX66" s="349"/>
      <c r="TJY66" s="349"/>
      <c r="TJZ66" s="349"/>
      <c r="TKA66" s="349"/>
      <c r="TKB66" s="349"/>
      <c r="TKC66" s="349"/>
      <c r="TKD66" s="349"/>
      <c r="TKE66" s="349"/>
      <c r="TKF66" s="349"/>
      <c r="TKG66" s="349"/>
      <c r="TKH66" s="349"/>
      <c r="TKI66" s="349"/>
      <c r="TKJ66" s="349"/>
      <c r="TKK66" s="349"/>
      <c r="TKL66" s="349"/>
      <c r="TKM66" s="349"/>
      <c r="TKN66" s="349"/>
      <c r="TKO66" s="349"/>
      <c r="TKP66" s="349"/>
      <c r="TKQ66" s="349"/>
      <c r="TKR66" s="349"/>
      <c r="TKS66" s="349"/>
      <c r="TKT66" s="349"/>
      <c r="TKU66" s="349"/>
      <c r="TKV66" s="349"/>
      <c r="TKW66" s="349"/>
      <c r="TKX66" s="349"/>
      <c r="TKY66" s="349"/>
      <c r="TKZ66" s="349"/>
      <c r="TLA66" s="349"/>
      <c r="TLB66" s="349"/>
      <c r="TLC66" s="349"/>
      <c r="TLD66" s="349"/>
      <c r="TLE66" s="349"/>
      <c r="TLF66" s="349"/>
      <c r="TLG66" s="349"/>
      <c r="TLH66" s="349"/>
      <c r="TLI66" s="349"/>
      <c r="TLJ66" s="349"/>
      <c r="TLK66" s="349"/>
      <c r="TLL66" s="349"/>
      <c r="TLM66" s="349"/>
      <c r="TLN66" s="349"/>
      <c r="TLO66" s="349"/>
      <c r="TLP66" s="349"/>
      <c r="TLQ66" s="349"/>
      <c r="TLR66" s="349"/>
      <c r="TLS66" s="349"/>
      <c r="TLT66" s="349"/>
      <c r="TLU66" s="349"/>
      <c r="TLV66" s="349"/>
      <c r="TLW66" s="349"/>
      <c r="TLX66" s="349"/>
      <c r="TLY66" s="349"/>
      <c r="TLZ66" s="349"/>
      <c r="TMA66" s="349"/>
      <c r="TMB66" s="349"/>
      <c r="TMC66" s="349"/>
      <c r="TMD66" s="349"/>
      <c r="TME66" s="349"/>
      <c r="TMF66" s="349"/>
      <c r="TMG66" s="349"/>
      <c r="TMH66" s="349"/>
      <c r="TMI66" s="349"/>
      <c r="TMJ66" s="349"/>
      <c r="TMK66" s="349"/>
      <c r="TML66" s="349"/>
      <c r="TMM66" s="349"/>
      <c r="TMN66" s="349"/>
      <c r="TMO66" s="349"/>
      <c r="TMP66" s="349"/>
      <c r="TMQ66" s="349"/>
      <c r="TMR66" s="349"/>
      <c r="TMS66" s="349"/>
      <c r="TMT66" s="349"/>
      <c r="TMU66" s="349"/>
      <c r="TMV66" s="349"/>
      <c r="TMW66" s="349"/>
      <c r="TMX66" s="349"/>
      <c r="TMY66" s="349"/>
      <c r="TMZ66" s="349"/>
      <c r="TNA66" s="349"/>
      <c r="TNB66" s="349"/>
      <c r="TNC66" s="349"/>
      <c r="TND66" s="349"/>
      <c r="TNE66" s="349"/>
      <c r="TNF66" s="349"/>
      <c r="TNG66" s="349"/>
      <c r="TNH66" s="349"/>
      <c r="TNI66" s="349"/>
      <c r="TNJ66" s="349"/>
      <c r="TNK66" s="349"/>
      <c r="TNL66" s="349"/>
      <c r="TNM66" s="349"/>
      <c r="TNN66" s="349"/>
      <c r="TNO66" s="349"/>
      <c r="TNP66" s="349"/>
      <c r="TNQ66" s="349"/>
      <c r="TNR66" s="349"/>
      <c r="TNS66" s="349"/>
      <c r="TNT66" s="349"/>
      <c r="TNU66" s="349"/>
      <c r="TNV66" s="349"/>
      <c r="TNW66" s="349"/>
      <c r="TNX66" s="349"/>
      <c r="TNY66" s="349"/>
      <c r="TNZ66" s="349"/>
      <c r="TOA66" s="349"/>
      <c r="TOB66" s="349"/>
      <c r="TOC66" s="349"/>
      <c r="TOD66" s="349"/>
      <c r="TOE66" s="349"/>
      <c r="TOF66" s="349"/>
      <c r="TOG66" s="349"/>
      <c r="TOH66" s="349"/>
      <c r="TOI66" s="349"/>
      <c r="TOJ66" s="349"/>
      <c r="TOK66" s="349"/>
      <c r="TOL66" s="349"/>
      <c r="TOM66" s="349"/>
      <c r="TON66" s="349"/>
      <c r="TOO66" s="349"/>
      <c r="TOP66" s="349"/>
      <c r="TOQ66" s="349"/>
      <c r="TOR66" s="349"/>
      <c r="TOS66" s="349"/>
      <c r="TOT66" s="349"/>
      <c r="TOU66" s="349"/>
      <c r="TOV66" s="349"/>
      <c r="TOW66" s="349"/>
      <c r="TOX66" s="349"/>
      <c r="TOY66" s="349"/>
      <c r="TOZ66" s="349"/>
      <c r="TPA66" s="349"/>
      <c r="TPB66" s="349"/>
      <c r="TPC66" s="349"/>
      <c r="TPD66" s="349"/>
      <c r="TPE66" s="349"/>
      <c r="TPF66" s="349"/>
      <c r="TPG66" s="349"/>
      <c r="TPH66" s="349"/>
      <c r="TPI66" s="349"/>
      <c r="TPJ66" s="349"/>
      <c r="TPK66" s="349"/>
      <c r="TPL66" s="349"/>
      <c r="TPM66" s="349"/>
      <c r="TPN66" s="349"/>
      <c r="TPO66" s="349"/>
      <c r="TPP66" s="349"/>
      <c r="TPQ66" s="349"/>
      <c r="TPR66" s="349"/>
      <c r="TPS66" s="349"/>
      <c r="TPT66" s="349"/>
      <c r="TPU66" s="349"/>
      <c r="TPV66" s="349"/>
      <c r="TPW66" s="349"/>
      <c r="TPX66" s="349"/>
      <c r="TPY66" s="349"/>
      <c r="TPZ66" s="349"/>
      <c r="TQA66" s="349"/>
      <c r="TQB66" s="349"/>
      <c r="TQC66" s="349"/>
      <c r="TQD66" s="349"/>
      <c r="TQE66" s="349"/>
      <c r="TQF66" s="349"/>
      <c r="TQG66" s="349"/>
      <c r="TQH66" s="349"/>
      <c r="TQI66" s="349"/>
      <c r="TQJ66" s="349"/>
      <c r="TQK66" s="349"/>
      <c r="TQL66" s="349"/>
      <c r="TQM66" s="349"/>
      <c r="TQN66" s="349"/>
      <c r="TQO66" s="349"/>
      <c r="TQP66" s="349"/>
      <c r="TQQ66" s="349"/>
      <c r="TQR66" s="349"/>
      <c r="TQS66" s="349"/>
      <c r="TQT66" s="349"/>
      <c r="TQU66" s="349"/>
      <c r="TQV66" s="349"/>
      <c r="TQW66" s="349"/>
      <c r="TQX66" s="349"/>
      <c r="TQY66" s="349"/>
      <c r="TQZ66" s="349"/>
      <c r="TRA66" s="349"/>
      <c r="TRB66" s="349"/>
      <c r="TRC66" s="349"/>
      <c r="TRD66" s="349"/>
      <c r="TRE66" s="349"/>
      <c r="TRF66" s="349"/>
      <c r="TRG66" s="349"/>
      <c r="TRH66" s="349"/>
      <c r="TRI66" s="349"/>
      <c r="TRJ66" s="349"/>
      <c r="TRK66" s="349"/>
      <c r="TRL66" s="349"/>
      <c r="TRM66" s="349"/>
      <c r="TRN66" s="349"/>
      <c r="TRO66" s="349"/>
      <c r="TRP66" s="349"/>
      <c r="TRQ66" s="349"/>
      <c r="TRR66" s="349"/>
      <c r="TRS66" s="349"/>
      <c r="TRT66" s="349"/>
      <c r="TRU66" s="349"/>
      <c r="TRV66" s="349"/>
      <c r="TRW66" s="349"/>
      <c r="TRX66" s="349"/>
      <c r="TRY66" s="349"/>
      <c r="TRZ66" s="349"/>
      <c r="TSA66" s="349"/>
      <c r="TSB66" s="349"/>
      <c r="TSC66" s="349"/>
      <c r="TSD66" s="349"/>
      <c r="TSE66" s="349"/>
      <c r="TSF66" s="349"/>
      <c r="TSG66" s="349"/>
      <c r="TSH66" s="349"/>
      <c r="TSI66" s="349"/>
      <c r="TSJ66" s="349"/>
      <c r="TSK66" s="349"/>
      <c r="TSL66" s="349"/>
      <c r="TSM66" s="349"/>
      <c r="TSN66" s="349"/>
      <c r="TSO66" s="349"/>
      <c r="TSP66" s="349"/>
      <c r="TSQ66" s="349"/>
      <c r="TSR66" s="349"/>
      <c r="TSS66" s="349"/>
      <c r="TST66" s="349"/>
      <c r="TSU66" s="349"/>
      <c r="TSV66" s="349"/>
      <c r="TSW66" s="349"/>
      <c r="TSX66" s="349"/>
      <c r="TSY66" s="349"/>
      <c r="TSZ66" s="349"/>
      <c r="TTA66" s="349"/>
      <c r="TTB66" s="349"/>
      <c r="TTC66" s="349"/>
      <c r="TTD66" s="349"/>
      <c r="TTE66" s="349"/>
      <c r="TTF66" s="349"/>
      <c r="TTG66" s="349"/>
      <c r="TTH66" s="349"/>
      <c r="TTI66" s="349"/>
      <c r="TTJ66" s="349"/>
      <c r="TTK66" s="349"/>
      <c r="TTL66" s="349"/>
      <c r="TTM66" s="349"/>
      <c r="TTN66" s="349"/>
      <c r="TTO66" s="349"/>
      <c r="TTP66" s="349"/>
      <c r="TTQ66" s="349"/>
      <c r="TTR66" s="349"/>
      <c r="TTS66" s="349"/>
      <c r="TTT66" s="349"/>
      <c r="TTU66" s="349"/>
      <c r="TTV66" s="349"/>
      <c r="TTW66" s="349"/>
      <c r="TTX66" s="349"/>
      <c r="TTY66" s="349"/>
      <c r="TTZ66" s="349"/>
      <c r="TUA66" s="349"/>
      <c r="TUB66" s="349"/>
      <c r="TUC66" s="349"/>
      <c r="TUD66" s="349"/>
      <c r="TUE66" s="349"/>
      <c r="TUF66" s="349"/>
      <c r="TUG66" s="349"/>
      <c r="TUH66" s="349"/>
      <c r="TUI66" s="349"/>
      <c r="TUJ66" s="349"/>
      <c r="TUK66" s="349"/>
      <c r="TUL66" s="349"/>
      <c r="TUM66" s="349"/>
      <c r="TUN66" s="349"/>
      <c r="TUO66" s="349"/>
      <c r="TUP66" s="349"/>
      <c r="TUQ66" s="349"/>
      <c r="TUR66" s="349"/>
      <c r="TUS66" s="349"/>
      <c r="TUT66" s="349"/>
      <c r="TUU66" s="349"/>
      <c r="TUV66" s="349"/>
      <c r="TUW66" s="349"/>
      <c r="TUX66" s="349"/>
      <c r="TUY66" s="349"/>
      <c r="TUZ66" s="349"/>
      <c r="TVA66" s="349"/>
      <c r="TVB66" s="349"/>
      <c r="TVC66" s="349"/>
      <c r="TVD66" s="349"/>
      <c r="TVE66" s="349"/>
      <c r="TVF66" s="349"/>
      <c r="TVG66" s="349"/>
      <c r="TVH66" s="349"/>
      <c r="TVI66" s="349"/>
      <c r="TVJ66" s="349"/>
      <c r="TVK66" s="349"/>
      <c r="TVL66" s="349"/>
      <c r="TVM66" s="349"/>
      <c r="TVN66" s="349"/>
      <c r="TVO66" s="349"/>
      <c r="TVP66" s="349"/>
      <c r="TVQ66" s="349"/>
      <c r="TVR66" s="349"/>
      <c r="TVS66" s="349"/>
      <c r="TVT66" s="349"/>
      <c r="TVU66" s="349"/>
      <c r="TVV66" s="349"/>
      <c r="TVW66" s="349"/>
      <c r="TVX66" s="349"/>
      <c r="TVY66" s="349"/>
      <c r="TVZ66" s="349"/>
      <c r="TWA66" s="349"/>
      <c r="TWB66" s="349"/>
      <c r="TWC66" s="349"/>
      <c r="TWD66" s="349"/>
      <c r="TWE66" s="349"/>
      <c r="TWF66" s="349"/>
      <c r="TWG66" s="349"/>
      <c r="TWH66" s="349"/>
      <c r="TWI66" s="349"/>
      <c r="TWJ66" s="349"/>
      <c r="TWK66" s="349"/>
      <c r="TWL66" s="349"/>
      <c r="TWM66" s="349"/>
      <c r="TWN66" s="349"/>
      <c r="TWO66" s="349"/>
      <c r="TWP66" s="349"/>
      <c r="TWQ66" s="349"/>
      <c r="TWR66" s="349"/>
      <c r="TWS66" s="349"/>
      <c r="TWT66" s="349"/>
      <c r="TWU66" s="349"/>
      <c r="TWV66" s="349"/>
      <c r="TWW66" s="349"/>
      <c r="TWX66" s="349"/>
      <c r="TWY66" s="349"/>
      <c r="TWZ66" s="349"/>
      <c r="TXA66" s="349"/>
      <c r="TXB66" s="349"/>
      <c r="TXC66" s="349"/>
      <c r="TXD66" s="349"/>
      <c r="TXE66" s="349"/>
      <c r="TXF66" s="349"/>
      <c r="TXG66" s="349"/>
      <c r="TXH66" s="349"/>
      <c r="TXI66" s="349"/>
      <c r="TXJ66" s="349"/>
      <c r="TXK66" s="349"/>
      <c r="TXL66" s="349"/>
      <c r="TXM66" s="349"/>
      <c r="TXN66" s="349"/>
      <c r="TXO66" s="349"/>
      <c r="TXP66" s="349"/>
      <c r="TXQ66" s="349"/>
      <c r="TXR66" s="349"/>
      <c r="TXS66" s="349"/>
      <c r="TXT66" s="349"/>
      <c r="TXU66" s="349"/>
      <c r="TXV66" s="349"/>
      <c r="TXW66" s="349"/>
      <c r="TXX66" s="349"/>
      <c r="TXY66" s="349"/>
      <c r="TXZ66" s="349"/>
      <c r="TYA66" s="349"/>
      <c r="TYB66" s="349"/>
      <c r="TYC66" s="349"/>
      <c r="TYD66" s="349"/>
      <c r="TYE66" s="349"/>
      <c r="TYF66" s="349"/>
      <c r="TYG66" s="349"/>
      <c r="TYH66" s="349"/>
      <c r="TYI66" s="349"/>
      <c r="TYJ66" s="349"/>
      <c r="TYK66" s="349"/>
      <c r="TYL66" s="349"/>
      <c r="TYM66" s="349"/>
      <c r="TYN66" s="349"/>
      <c r="TYO66" s="349"/>
      <c r="TYP66" s="349"/>
      <c r="TYQ66" s="349"/>
      <c r="TYR66" s="349"/>
      <c r="TYS66" s="349"/>
      <c r="TYT66" s="349"/>
      <c r="TYU66" s="349"/>
      <c r="TYV66" s="349"/>
      <c r="TYW66" s="349"/>
      <c r="TYX66" s="349"/>
      <c r="TYY66" s="349"/>
      <c r="TYZ66" s="349"/>
      <c r="TZA66" s="349"/>
      <c r="TZB66" s="349"/>
      <c r="TZC66" s="349"/>
      <c r="TZD66" s="349"/>
      <c r="TZE66" s="349"/>
      <c r="TZF66" s="349"/>
      <c r="TZG66" s="349"/>
      <c r="TZH66" s="349"/>
      <c r="TZI66" s="349"/>
      <c r="TZJ66" s="349"/>
      <c r="TZK66" s="349"/>
      <c r="TZL66" s="349"/>
      <c r="TZM66" s="349"/>
      <c r="TZN66" s="349"/>
      <c r="TZO66" s="349"/>
      <c r="TZP66" s="349"/>
      <c r="TZQ66" s="349"/>
      <c r="TZR66" s="349"/>
      <c r="TZS66" s="349"/>
      <c r="TZT66" s="349"/>
      <c r="TZU66" s="349"/>
      <c r="TZV66" s="349"/>
      <c r="TZW66" s="349"/>
      <c r="TZX66" s="349"/>
      <c r="TZY66" s="349"/>
      <c r="TZZ66" s="349"/>
      <c r="UAA66" s="349"/>
      <c r="UAB66" s="349"/>
      <c r="UAC66" s="349"/>
      <c r="UAD66" s="349"/>
      <c r="UAE66" s="349"/>
      <c r="UAF66" s="349"/>
      <c r="UAG66" s="349"/>
      <c r="UAH66" s="349"/>
      <c r="UAI66" s="349"/>
      <c r="UAJ66" s="349"/>
      <c r="UAK66" s="349"/>
      <c r="UAL66" s="349"/>
      <c r="UAM66" s="349"/>
      <c r="UAN66" s="349"/>
      <c r="UAO66" s="349"/>
      <c r="UAP66" s="349"/>
      <c r="UAQ66" s="349"/>
      <c r="UAR66" s="349"/>
      <c r="UAS66" s="349"/>
      <c r="UAT66" s="349"/>
      <c r="UAU66" s="349"/>
      <c r="UAV66" s="349"/>
      <c r="UAW66" s="349"/>
      <c r="UAX66" s="349"/>
      <c r="UAY66" s="349"/>
      <c r="UAZ66" s="349"/>
      <c r="UBA66" s="349"/>
      <c r="UBB66" s="349"/>
      <c r="UBC66" s="349"/>
      <c r="UBD66" s="349"/>
      <c r="UBE66" s="349"/>
      <c r="UBF66" s="349"/>
      <c r="UBG66" s="349"/>
      <c r="UBH66" s="349"/>
      <c r="UBI66" s="349"/>
      <c r="UBJ66" s="349"/>
      <c r="UBK66" s="349"/>
      <c r="UBL66" s="349"/>
      <c r="UBM66" s="349"/>
      <c r="UBN66" s="349"/>
      <c r="UBO66" s="349"/>
      <c r="UBP66" s="349"/>
      <c r="UBQ66" s="349"/>
      <c r="UBR66" s="349"/>
      <c r="UBS66" s="349"/>
      <c r="UBT66" s="349"/>
      <c r="UBU66" s="349"/>
      <c r="UBV66" s="349"/>
      <c r="UBW66" s="349"/>
      <c r="UBX66" s="349"/>
      <c r="UBY66" s="349"/>
      <c r="UBZ66" s="349"/>
      <c r="UCA66" s="349"/>
      <c r="UCB66" s="349"/>
      <c r="UCC66" s="349"/>
      <c r="UCD66" s="349"/>
      <c r="UCE66" s="349"/>
      <c r="UCF66" s="349"/>
      <c r="UCG66" s="349"/>
      <c r="UCH66" s="349"/>
      <c r="UCI66" s="349"/>
      <c r="UCJ66" s="349"/>
      <c r="UCK66" s="349"/>
      <c r="UCL66" s="349"/>
      <c r="UCM66" s="349"/>
      <c r="UCN66" s="349"/>
      <c r="UCO66" s="349"/>
      <c r="UCP66" s="349"/>
      <c r="UCQ66" s="349"/>
      <c r="UCR66" s="349"/>
      <c r="UCS66" s="349"/>
      <c r="UCT66" s="349"/>
      <c r="UCU66" s="349"/>
      <c r="UCV66" s="349"/>
      <c r="UCW66" s="349"/>
      <c r="UCX66" s="349"/>
      <c r="UCY66" s="349"/>
      <c r="UCZ66" s="349"/>
      <c r="UDA66" s="349"/>
      <c r="UDB66" s="349"/>
      <c r="UDC66" s="349"/>
      <c r="UDD66" s="349"/>
      <c r="UDE66" s="349"/>
      <c r="UDF66" s="349"/>
      <c r="UDG66" s="349"/>
      <c r="UDH66" s="349"/>
      <c r="UDI66" s="349"/>
      <c r="UDJ66" s="349"/>
      <c r="UDK66" s="349"/>
      <c r="UDL66" s="349"/>
      <c r="UDM66" s="349"/>
      <c r="UDN66" s="349"/>
      <c r="UDO66" s="349"/>
      <c r="UDP66" s="349"/>
      <c r="UDQ66" s="349"/>
      <c r="UDR66" s="349"/>
      <c r="UDS66" s="349"/>
      <c r="UDT66" s="349"/>
      <c r="UDU66" s="349"/>
      <c r="UDV66" s="349"/>
      <c r="UDW66" s="349"/>
      <c r="UDX66" s="349"/>
      <c r="UDY66" s="349"/>
      <c r="UDZ66" s="349"/>
      <c r="UEA66" s="349"/>
      <c r="UEB66" s="349"/>
      <c r="UEC66" s="349"/>
      <c r="UED66" s="349"/>
      <c r="UEE66" s="349"/>
      <c r="UEF66" s="349"/>
      <c r="UEG66" s="349"/>
      <c r="UEH66" s="349"/>
      <c r="UEI66" s="349"/>
      <c r="UEJ66" s="349"/>
      <c r="UEK66" s="349"/>
      <c r="UEL66" s="349"/>
      <c r="UEM66" s="349"/>
      <c r="UEN66" s="349"/>
      <c r="UEO66" s="349"/>
      <c r="UEP66" s="349"/>
      <c r="UEQ66" s="349"/>
      <c r="UER66" s="349"/>
      <c r="UES66" s="349"/>
      <c r="UET66" s="349"/>
      <c r="UEU66" s="349"/>
      <c r="UEV66" s="349"/>
      <c r="UEW66" s="349"/>
      <c r="UEX66" s="349"/>
      <c r="UEY66" s="349"/>
      <c r="UEZ66" s="349"/>
      <c r="UFA66" s="349"/>
      <c r="UFB66" s="349"/>
      <c r="UFC66" s="349"/>
      <c r="UFD66" s="349"/>
      <c r="UFE66" s="349"/>
      <c r="UFF66" s="349"/>
      <c r="UFG66" s="349"/>
      <c r="UFH66" s="349"/>
      <c r="UFI66" s="349"/>
      <c r="UFJ66" s="349"/>
      <c r="UFK66" s="349"/>
      <c r="UFL66" s="349"/>
      <c r="UFM66" s="349"/>
      <c r="UFN66" s="349"/>
      <c r="UFO66" s="349"/>
      <c r="UFP66" s="349"/>
      <c r="UFQ66" s="349"/>
      <c r="UFR66" s="349"/>
      <c r="UFS66" s="349"/>
      <c r="UFT66" s="349"/>
      <c r="UFU66" s="349"/>
      <c r="UFV66" s="349"/>
      <c r="UFW66" s="349"/>
      <c r="UFX66" s="349"/>
      <c r="UFY66" s="349"/>
      <c r="UFZ66" s="349"/>
      <c r="UGA66" s="349"/>
      <c r="UGB66" s="349"/>
      <c r="UGC66" s="349"/>
      <c r="UGD66" s="349"/>
      <c r="UGE66" s="349"/>
      <c r="UGF66" s="349"/>
      <c r="UGG66" s="349"/>
      <c r="UGH66" s="349"/>
      <c r="UGI66" s="349"/>
      <c r="UGJ66" s="349"/>
      <c r="UGK66" s="349"/>
      <c r="UGL66" s="349"/>
      <c r="UGM66" s="349"/>
      <c r="UGN66" s="349"/>
      <c r="UGO66" s="349"/>
      <c r="UGP66" s="349"/>
      <c r="UGQ66" s="349"/>
      <c r="UGR66" s="349"/>
      <c r="UGS66" s="349"/>
      <c r="UGT66" s="349"/>
      <c r="UGU66" s="349"/>
      <c r="UGV66" s="349"/>
      <c r="UGW66" s="349"/>
      <c r="UGX66" s="349"/>
      <c r="UGY66" s="349"/>
      <c r="UGZ66" s="349"/>
      <c r="UHA66" s="349"/>
      <c r="UHB66" s="349"/>
      <c r="UHC66" s="349"/>
      <c r="UHD66" s="349"/>
      <c r="UHE66" s="349"/>
      <c r="UHF66" s="349"/>
      <c r="UHG66" s="349"/>
      <c r="UHH66" s="349"/>
      <c r="UHI66" s="349"/>
      <c r="UHJ66" s="349"/>
      <c r="UHK66" s="349"/>
      <c r="UHL66" s="349"/>
      <c r="UHM66" s="349"/>
      <c r="UHN66" s="349"/>
      <c r="UHO66" s="349"/>
      <c r="UHP66" s="349"/>
      <c r="UHQ66" s="349"/>
      <c r="UHR66" s="349"/>
      <c r="UHS66" s="349"/>
      <c r="UHT66" s="349"/>
      <c r="UHU66" s="349"/>
      <c r="UHV66" s="349"/>
      <c r="UHW66" s="349"/>
      <c r="UHX66" s="349"/>
      <c r="UHY66" s="349"/>
      <c r="UHZ66" s="349"/>
      <c r="UIA66" s="349"/>
      <c r="UIB66" s="349"/>
      <c r="UIC66" s="349"/>
      <c r="UID66" s="349"/>
      <c r="UIE66" s="349"/>
      <c r="UIF66" s="349"/>
      <c r="UIG66" s="349"/>
      <c r="UIH66" s="349"/>
      <c r="UII66" s="349"/>
      <c r="UIJ66" s="349"/>
      <c r="UIK66" s="349"/>
      <c r="UIL66" s="349"/>
      <c r="UIM66" s="349"/>
      <c r="UIN66" s="349"/>
      <c r="UIO66" s="349"/>
      <c r="UIP66" s="349"/>
      <c r="UIQ66" s="349"/>
      <c r="UIR66" s="349"/>
      <c r="UIS66" s="349"/>
      <c r="UIT66" s="349"/>
      <c r="UIU66" s="349"/>
      <c r="UIV66" s="349"/>
      <c r="UIW66" s="349"/>
      <c r="UIX66" s="349"/>
      <c r="UIY66" s="349"/>
      <c r="UIZ66" s="349"/>
      <c r="UJA66" s="349"/>
      <c r="UJB66" s="349"/>
      <c r="UJC66" s="349"/>
      <c r="UJD66" s="349"/>
      <c r="UJE66" s="349"/>
      <c r="UJF66" s="349"/>
      <c r="UJG66" s="349"/>
      <c r="UJH66" s="349"/>
      <c r="UJI66" s="349"/>
      <c r="UJJ66" s="349"/>
      <c r="UJK66" s="349"/>
      <c r="UJL66" s="349"/>
      <c r="UJM66" s="349"/>
      <c r="UJN66" s="349"/>
      <c r="UJO66" s="349"/>
      <c r="UJP66" s="349"/>
      <c r="UJQ66" s="349"/>
      <c r="UJR66" s="349"/>
      <c r="UJS66" s="349"/>
      <c r="UJT66" s="349"/>
      <c r="UJU66" s="349"/>
      <c r="UJV66" s="349"/>
      <c r="UJW66" s="349"/>
      <c r="UJX66" s="349"/>
      <c r="UJY66" s="349"/>
      <c r="UJZ66" s="349"/>
      <c r="UKA66" s="349"/>
      <c r="UKB66" s="349"/>
      <c r="UKC66" s="349"/>
      <c r="UKD66" s="349"/>
      <c r="UKE66" s="349"/>
      <c r="UKF66" s="349"/>
      <c r="UKG66" s="349"/>
      <c r="UKH66" s="349"/>
      <c r="UKI66" s="349"/>
      <c r="UKJ66" s="349"/>
      <c r="UKK66" s="349"/>
      <c r="UKL66" s="349"/>
      <c r="UKM66" s="349"/>
      <c r="UKN66" s="349"/>
      <c r="UKO66" s="349"/>
      <c r="UKP66" s="349"/>
      <c r="UKQ66" s="349"/>
      <c r="UKR66" s="349"/>
      <c r="UKS66" s="349"/>
      <c r="UKT66" s="349"/>
      <c r="UKU66" s="349"/>
      <c r="UKV66" s="349"/>
      <c r="UKW66" s="349"/>
      <c r="UKX66" s="349"/>
      <c r="UKY66" s="349"/>
      <c r="UKZ66" s="349"/>
      <c r="ULA66" s="349"/>
      <c r="ULB66" s="349"/>
      <c r="ULC66" s="349"/>
      <c r="ULD66" s="349"/>
      <c r="ULE66" s="349"/>
      <c r="ULF66" s="349"/>
      <c r="ULG66" s="349"/>
      <c r="ULH66" s="349"/>
      <c r="ULI66" s="349"/>
      <c r="ULJ66" s="349"/>
      <c r="ULK66" s="349"/>
      <c r="ULL66" s="349"/>
      <c r="ULM66" s="349"/>
      <c r="ULN66" s="349"/>
      <c r="ULO66" s="349"/>
      <c r="ULP66" s="349"/>
      <c r="ULQ66" s="349"/>
      <c r="ULR66" s="349"/>
      <c r="ULS66" s="349"/>
      <c r="ULT66" s="349"/>
      <c r="ULU66" s="349"/>
      <c r="ULV66" s="349"/>
      <c r="ULW66" s="349"/>
      <c r="ULX66" s="349"/>
      <c r="ULY66" s="349"/>
      <c r="ULZ66" s="349"/>
      <c r="UMA66" s="349"/>
      <c r="UMB66" s="349"/>
      <c r="UMC66" s="349"/>
      <c r="UMD66" s="349"/>
      <c r="UME66" s="349"/>
      <c r="UMF66" s="349"/>
      <c r="UMG66" s="349"/>
      <c r="UMH66" s="349"/>
      <c r="UMI66" s="349"/>
      <c r="UMJ66" s="349"/>
      <c r="UMK66" s="349"/>
      <c r="UML66" s="349"/>
      <c r="UMM66" s="349"/>
      <c r="UMN66" s="349"/>
      <c r="UMO66" s="349"/>
      <c r="UMP66" s="349"/>
      <c r="UMQ66" s="349"/>
      <c r="UMR66" s="349"/>
      <c r="UMS66" s="349"/>
      <c r="UMT66" s="349"/>
      <c r="UMU66" s="349"/>
      <c r="UMV66" s="349"/>
      <c r="UMW66" s="349"/>
      <c r="UMX66" s="349"/>
      <c r="UMY66" s="349"/>
      <c r="UMZ66" s="349"/>
      <c r="UNA66" s="349"/>
      <c r="UNB66" s="349"/>
      <c r="UNC66" s="349"/>
      <c r="UND66" s="349"/>
      <c r="UNE66" s="349"/>
      <c r="UNF66" s="349"/>
      <c r="UNG66" s="349"/>
      <c r="UNH66" s="349"/>
      <c r="UNI66" s="349"/>
      <c r="UNJ66" s="349"/>
      <c r="UNK66" s="349"/>
      <c r="UNL66" s="349"/>
      <c r="UNM66" s="349"/>
      <c r="UNN66" s="349"/>
      <c r="UNO66" s="349"/>
      <c r="UNP66" s="349"/>
      <c r="UNQ66" s="349"/>
      <c r="UNR66" s="349"/>
      <c r="UNS66" s="349"/>
      <c r="UNT66" s="349"/>
      <c r="UNU66" s="349"/>
      <c r="UNV66" s="349"/>
      <c r="UNW66" s="349"/>
      <c r="UNX66" s="349"/>
      <c r="UNY66" s="349"/>
      <c r="UNZ66" s="349"/>
      <c r="UOA66" s="349"/>
      <c r="UOB66" s="349"/>
      <c r="UOC66" s="349"/>
      <c r="UOD66" s="349"/>
      <c r="UOE66" s="349"/>
      <c r="UOF66" s="349"/>
      <c r="UOG66" s="349"/>
      <c r="UOH66" s="349"/>
      <c r="UOI66" s="349"/>
      <c r="UOJ66" s="349"/>
      <c r="UOK66" s="349"/>
      <c r="UOL66" s="349"/>
      <c r="UOM66" s="349"/>
      <c r="UON66" s="349"/>
      <c r="UOO66" s="349"/>
      <c r="UOP66" s="349"/>
      <c r="UOQ66" s="349"/>
      <c r="UOR66" s="349"/>
      <c r="UOS66" s="349"/>
      <c r="UOT66" s="349"/>
      <c r="UOU66" s="349"/>
      <c r="UOV66" s="349"/>
      <c r="UOW66" s="349"/>
      <c r="UOX66" s="349"/>
      <c r="UOY66" s="349"/>
      <c r="UOZ66" s="349"/>
      <c r="UPA66" s="349"/>
      <c r="UPB66" s="349"/>
      <c r="UPC66" s="349"/>
      <c r="UPD66" s="349"/>
      <c r="UPE66" s="349"/>
      <c r="UPF66" s="349"/>
      <c r="UPG66" s="349"/>
      <c r="UPH66" s="349"/>
      <c r="UPI66" s="349"/>
      <c r="UPJ66" s="349"/>
      <c r="UPK66" s="349"/>
      <c r="UPL66" s="349"/>
      <c r="UPM66" s="349"/>
      <c r="UPN66" s="349"/>
      <c r="UPO66" s="349"/>
      <c r="UPP66" s="349"/>
      <c r="UPQ66" s="349"/>
      <c r="UPR66" s="349"/>
      <c r="UPS66" s="349"/>
      <c r="UPT66" s="349"/>
      <c r="UPU66" s="349"/>
      <c r="UPV66" s="349"/>
      <c r="UPW66" s="349"/>
      <c r="UPX66" s="349"/>
      <c r="UPY66" s="349"/>
      <c r="UPZ66" s="349"/>
      <c r="UQA66" s="349"/>
      <c r="UQB66" s="349"/>
      <c r="UQC66" s="349"/>
      <c r="UQD66" s="349"/>
      <c r="UQE66" s="349"/>
      <c r="UQF66" s="349"/>
      <c r="UQG66" s="349"/>
      <c r="UQH66" s="349"/>
      <c r="UQI66" s="349"/>
      <c r="UQJ66" s="349"/>
      <c r="UQK66" s="349"/>
      <c r="UQL66" s="349"/>
      <c r="UQM66" s="349"/>
      <c r="UQN66" s="349"/>
      <c r="UQO66" s="349"/>
      <c r="UQP66" s="349"/>
      <c r="UQQ66" s="349"/>
      <c r="UQR66" s="349"/>
      <c r="UQS66" s="349"/>
      <c r="UQT66" s="349"/>
      <c r="UQU66" s="349"/>
      <c r="UQV66" s="349"/>
      <c r="UQW66" s="349"/>
      <c r="UQX66" s="349"/>
      <c r="UQY66" s="349"/>
      <c r="UQZ66" s="349"/>
      <c r="URA66" s="349"/>
      <c r="URB66" s="349"/>
      <c r="URC66" s="349"/>
      <c r="URD66" s="349"/>
      <c r="URE66" s="349"/>
      <c r="URF66" s="349"/>
      <c r="URG66" s="349"/>
      <c r="URH66" s="349"/>
      <c r="URI66" s="349"/>
      <c r="URJ66" s="349"/>
      <c r="URK66" s="349"/>
      <c r="URL66" s="349"/>
      <c r="URM66" s="349"/>
      <c r="URN66" s="349"/>
      <c r="URO66" s="349"/>
      <c r="URP66" s="349"/>
      <c r="URQ66" s="349"/>
      <c r="URR66" s="349"/>
      <c r="URS66" s="349"/>
      <c r="URT66" s="349"/>
      <c r="URU66" s="349"/>
      <c r="URV66" s="349"/>
      <c r="URW66" s="349"/>
      <c r="URX66" s="349"/>
      <c r="URY66" s="349"/>
      <c r="URZ66" s="349"/>
      <c r="USA66" s="349"/>
      <c r="USB66" s="349"/>
      <c r="USC66" s="349"/>
      <c r="USD66" s="349"/>
      <c r="USE66" s="349"/>
      <c r="USF66" s="349"/>
      <c r="USG66" s="349"/>
      <c r="USH66" s="349"/>
      <c r="USI66" s="349"/>
      <c r="USJ66" s="349"/>
      <c r="USK66" s="349"/>
      <c r="USL66" s="349"/>
      <c r="USM66" s="349"/>
      <c r="USN66" s="349"/>
      <c r="USO66" s="349"/>
      <c r="USP66" s="349"/>
      <c r="USQ66" s="349"/>
      <c r="USR66" s="349"/>
      <c r="USS66" s="349"/>
      <c r="UST66" s="349"/>
      <c r="USU66" s="349"/>
      <c r="USV66" s="349"/>
      <c r="USW66" s="349"/>
      <c r="USX66" s="349"/>
      <c r="USY66" s="349"/>
      <c r="USZ66" s="349"/>
      <c r="UTA66" s="349"/>
      <c r="UTB66" s="349"/>
      <c r="UTC66" s="349"/>
      <c r="UTD66" s="349"/>
      <c r="UTE66" s="349"/>
      <c r="UTF66" s="349"/>
      <c r="UTG66" s="349"/>
      <c r="UTH66" s="349"/>
      <c r="UTI66" s="349"/>
      <c r="UTJ66" s="349"/>
      <c r="UTK66" s="349"/>
      <c r="UTL66" s="349"/>
      <c r="UTM66" s="349"/>
      <c r="UTN66" s="349"/>
      <c r="UTO66" s="349"/>
      <c r="UTP66" s="349"/>
      <c r="UTQ66" s="349"/>
      <c r="UTR66" s="349"/>
      <c r="UTS66" s="349"/>
      <c r="UTT66" s="349"/>
      <c r="UTU66" s="349"/>
      <c r="UTV66" s="349"/>
      <c r="UTW66" s="349"/>
      <c r="UTX66" s="349"/>
      <c r="UTY66" s="349"/>
      <c r="UTZ66" s="349"/>
      <c r="UUA66" s="349"/>
      <c r="UUB66" s="349"/>
      <c r="UUC66" s="349"/>
      <c r="UUD66" s="349"/>
      <c r="UUE66" s="349"/>
      <c r="UUF66" s="349"/>
      <c r="UUG66" s="349"/>
      <c r="UUH66" s="349"/>
      <c r="UUI66" s="349"/>
      <c r="UUJ66" s="349"/>
      <c r="UUK66" s="349"/>
      <c r="UUL66" s="349"/>
      <c r="UUM66" s="349"/>
      <c r="UUN66" s="349"/>
      <c r="UUO66" s="349"/>
      <c r="UUP66" s="349"/>
      <c r="UUQ66" s="349"/>
      <c r="UUR66" s="349"/>
      <c r="UUS66" s="349"/>
      <c r="UUT66" s="349"/>
      <c r="UUU66" s="349"/>
      <c r="UUV66" s="349"/>
      <c r="UUW66" s="349"/>
      <c r="UUX66" s="349"/>
      <c r="UUY66" s="349"/>
      <c r="UUZ66" s="349"/>
      <c r="UVA66" s="349"/>
      <c r="UVB66" s="349"/>
      <c r="UVC66" s="349"/>
      <c r="UVD66" s="349"/>
      <c r="UVE66" s="349"/>
      <c r="UVF66" s="349"/>
      <c r="UVG66" s="349"/>
      <c r="UVH66" s="349"/>
      <c r="UVI66" s="349"/>
      <c r="UVJ66" s="349"/>
      <c r="UVK66" s="349"/>
      <c r="UVL66" s="349"/>
      <c r="UVM66" s="349"/>
      <c r="UVN66" s="349"/>
      <c r="UVO66" s="349"/>
      <c r="UVP66" s="349"/>
      <c r="UVQ66" s="349"/>
      <c r="UVR66" s="349"/>
      <c r="UVS66" s="349"/>
      <c r="UVT66" s="349"/>
      <c r="UVU66" s="349"/>
      <c r="UVV66" s="349"/>
      <c r="UVW66" s="349"/>
      <c r="UVX66" s="349"/>
      <c r="UVY66" s="349"/>
      <c r="UVZ66" s="349"/>
      <c r="UWA66" s="349"/>
      <c r="UWB66" s="349"/>
      <c r="UWC66" s="349"/>
      <c r="UWD66" s="349"/>
      <c r="UWE66" s="349"/>
      <c r="UWF66" s="349"/>
      <c r="UWG66" s="349"/>
      <c r="UWH66" s="349"/>
      <c r="UWI66" s="349"/>
      <c r="UWJ66" s="349"/>
      <c r="UWK66" s="349"/>
      <c r="UWL66" s="349"/>
      <c r="UWM66" s="349"/>
      <c r="UWN66" s="349"/>
      <c r="UWO66" s="349"/>
      <c r="UWP66" s="349"/>
      <c r="UWQ66" s="349"/>
      <c r="UWR66" s="349"/>
      <c r="UWS66" s="349"/>
      <c r="UWT66" s="349"/>
      <c r="UWU66" s="349"/>
      <c r="UWV66" s="349"/>
      <c r="UWW66" s="349"/>
      <c r="UWX66" s="349"/>
      <c r="UWY66" s="349"/>
      <c r="UWZ66" s="349"/>
      <c r="UXA66" s="349"/>
      <c r="UXB66" s="349"/>
      <c r="UXC66" s="349"/>
      <c r="UXD66" s="349"/>
      <c r="UXE66" s="349"/>
      <c r="UXF66" s="349"/>
      <c r="UXG66" s="349"/>
      <c r="UXH66" s="349"/>
      <c r="UXI66" s="349"/>
      <c r="UXJ66" s="349"/>
      <c r="UXK66" s="349"/>
      <c r="UXL66" s="349"/>
      <c r="UXM66" s="349"/>
      <c r="UXN66" s="349"/>
      <c r="UXO66" s="349"/>
      <c r="UXP66" s="349"/>
      <c r="UXQ66" s="349"/>
      <c r="UXR66" s="349"/>
      <c r="UXS66" s="349"/>
      <c r="UXT66" s="349"/>
      <c r="UXU66" s="349"/>
      <c r="UXV66" s="349"/>
      <c r="UXW66" s="349"/>
      <c r="UXX66" s="349"/>
      <c r="UXY66" s="349"/>
      <c r="UXZ66" s="349"/>
      <c r="UYA66" s="349"/>
      <c r="UYB66" s="349"/>
      <c r="UYC66" s="349"/>
      <c r="UYD66" s="349"/>
      <c r="UYE66" s="349"/>
      <c r="UYF66" s="349"/>
      <c r="UYG66" s="349"/>
      <c r="UYH66" s="349"/>
      <c r="UYI66" s="349"/>
      <c r="UYJ66" s="349"/>
      <c r="UYK66" s="349"/>
      <c r="UYL66" s="349"/>
      <c r="UYM66" s="349"/>
      <c r="UYN66" s="349"/>
      <c r="UYO66" s="349"/>
      <c r="UYP66" s="349"/>
      <c r="UYQ66" s="349"/>
      <c r="UYR66" s="349"/>
      <c r="UYS66" s="349"/>
      <c r="UYT66" s="349"/>
      <c r="UYU66" s="349"/>
      <c r="UYV66" s="349"/>
      <c r="UYW66" s="349"/>
      <c r="UYX66" s="349"/>
      <c r="UYY66" s="349"/>
      <c r="UYZ66" s="349"/>
      <c r="UZA66" s="349"/>
      <c r="UZB66" s="349"/>
      <c r="UZC66" s="349"/>
      <c r="UZD66" s="349"/>
      <c r="UZE66" s="349"/>
      <c r="UZF66" s="349"/>
      <c r="UZG66" s="349"/>
      <c r="UZH66" s="349"/>
      <c r="UZI66" s="349"/>
      <c r="UZJ66" s="349"/>
      <c r="UZK66" s="349"/>
      <c r="UZL66" s="349"/>
      <c r="UZM66" s="349"/>
      <c r="UZN66" s="349"/>
      <c r="UZO66" s="349"/>
      <c r="UZP66" s="349"/>
      <c r="UZQ66" s="349"/>
      <c r="UZR66" s="349"/>
      <c r="UZS66" s="349"/>
      <c r="UZT66" s="349"/>
      <c r="UZU66" s="349"/>
      <c r="UZV66" s="349"/>
      <c r="UZW66" s="349"/>
      <c r="UZX66" s="349"/>
      <c r="UZY66" s="349"/>
      <c r="UZZ66" s="349"/>
      <c r="VAA66" s="349"/>
      <c r="VAB66" s="349"/>
      <c r="VAC66" s="349"/>
      <c r="VAD66" s="349"/>
      <c r="VAE66" s="349"/>
      <c r="VAF66" s="349"/>
      <c r="VAG66" s="349"/>
      <c r="VAH66" s="349"/>
      <c r="VAI66" s="349"/>
      <c r="VAJ66" s="349"/>
      <c r="VAK66" s="349"/>
      <c r="VAL66" s="349"/>
      <c r="VAM66" s="349"/>
      <c r="VAN66" s="349"/>
      <c r="VAO66" s="349"/>
      <c r="VAP66" s="349"/>
      <c r="VAQ66" s="349"/>
      <c r="VAR66" s="349"/>
      <c r="VAS66" s="349"/>
      <c r="VAT66" s="349"/>
      <c r="VAU66" s="349"/>
      <c r="VAV66" s="349"/>
      <c r="VAW66" s="349"/>
      <c r="VAX66" s="349"/>
      <c r="VAY66" s="349"/>
      <c r="VAZ66" s="349"/>
      <c r="VBA66" s="349"/>
      <c r="VBB66" s="349"/>
      <c r="VBC66" s="349"/>
      <c r="VBD66" s="349"/>
      <c r="VBE66" s="349"/>
      <c r="VBF66" s="349"/>
      <c r="VBG66" s="349"/>
      <c r="VBH66" s="349"/>
      <c r="VBI66" s="349"/>
      <c r="VBJ66" s="349"/>
      <c r="VBK66" s="349"/>
      <c r="VBL66" s="349"/>
      <c r="VBM66" s="349"/>
      <c r="VBN66" s="349"/>
      <c r="VBO66" s="349"/>
      <c r="VBP66" s="349"/>
      <c r="VBQ66" s="349"/>
      <c r="VBR66" s="349"/>
      <c r="VBS66" s="349"/>
      <c r="VBT66" s="349"/>
      <c r="VBU66" s="349"/>
      <c r="VBV66" s="349"/>
      <c r="VBW66" s="349"/>
      <c r="VBX66" s="349"/>
      <c r="VBY66" s="349"/>
      <c r="VBZ66" s="349"/>
      <c r="VCA66" s="349"/>
      <c r="VCB66" s="349"/>
      <c r="VCC66" s="349"/>
      <c r="VCD66" s="349"/>
      <c r="VCE66" s="349"/>
      <c r="VCF66" s="349"/>
      <c r="VCG66" s="349"/>
      <c r="VCH66" s="349"/>
      <c r="VCI66" s="349"/>
      <c r="VCJ66" s="349"/>
      <c r="VCK66" s="349"/>
      <c r="VCL66" s="349"/>
      <c r="VCM66" s="349"/>
      <c r="VCN66" s="349"/>
      <c r="VCO66" s="349"/>
      <c r="VCP66" s="349"/>
      <c r="VCQ66" s="349"/>
      <c r="VCR66" s="349"/>
      <c r="VCS66" s="349"/>
      <c r="VCT66" s="349"/>
      <c r="VCU66" s="349"/>
      <c r="VCV66" s="349"/>
      <c r="VCW66" s="349"/>
      <c r="VCX66" s="349"/>
      <c r="VCY66" s="349"/>
      <c r="VCZ66" s="349"/>
      <c r="VDA66" s="349"/>
      <c r="VDB66" s="349"/>
      <c r="VDC66" s="349"/>
      <c r="VDD66" s="349"/>
      <c r="VDE66" s="349"/>
      <c r="VDF66" s="349"/>
      <c r="VDG66" s="349"/>
      <c r="VDH66" s="349"/>
      <c r="VDI66" s="349"/>
      <c r="VDJ66" s="349"/>
      <c r="VDK66" s="349"/>
      <c r="VDL66" s="349"/>
      <c r="VDM66" s="349"/>
      <c r="VDN66" s="349"/>
      <c r="VDO66" s="349"/>
      <c r="VDP66" s="349"/>
      <c r="VDQ66" s="349"/>
      <c r="VDR66" s="349"/>
      <c r="VDS66" s="349"/>
      <c r="VDT66" s="349"/>
      <c r="VDU66" s="349"/>
      <c r="VDV66" s="349"/>
      <c r="VDW66" s="349"/>
      <c r="VDX66" s="349"/>
      <c r="VDY66" s="349"/>
      <c r="VDZ66" s="349"/>
      <c r="VEA66" s="349"/>
      <c r="VEB66" s="349"/>
      <c r="VEC66" s="349"/>
      <c r="VED66" s="349"/>
      <c r="VEE66" s="349"/>
      <c r="VEF66" s="349"/>
      <c r="VEG66" s="349"/>
      <c r="VEH66" s="349"/>
      <c r="VEI66" s="349"/>
      <c r="VEJ66" s="349"/>
      <c r="VEK66" s="349"/>
      <c r="VEL66" s="349"/>
      <c r="VEM66" s="349"/>
      <c r="VEN66" s="349"/>
      <c r="VEO66" s="349"/>
      <c r="VEP66" s="349"/>
      <c r="VEQ66" s="349"/>
      <c r="VER66" s="349"/>
      <c r="VES66" s="349"/>
      <c r="VET66" s="349"/>
      <c r="VEU66" s="349"/>
      <c r="VEV66" s="349"/>
      <c r="VEW66" s="349"/>
      <c r="VEX66" s="349"/>
      <c r="VEY66" s="349"/>
      <c r="VEZ66" s="349"/>
      <c r="VFA66" s="349"/>
      <c r="VFB66" s="349"/>
      <c r="VFC66" s="349"/>
      <c r="VFD66" s="349"/>
      <c r="VFE66" s="349"/>
      <c r="VFF66" s="349"/>
      <c r="VFG66" s="349"/>
      <c r="VFH66" s="349"/>
      <c r="VFI66" s="349"/>
      <c r="VFJ66" s="349"/>
      <c r="VFK66" s="349"/>
      <c r="VFL66" s="349"/>
      <c r="VFM66" s="349"/>
      <c r="VFN66" s="349"/>
      <c r="VFO66" s="349"/>
      <c r="VFP66" s="349"/>
      <c r="VFQ66" s="349"/>
      <c r="VFR66" s="349"/>
      <c r="VFS66" s="349"/>
      <c r="VFT66" s="349"/>
      <c r="VFU66" s="349"/>
      <c r="VFV66" s="349"/>
      <c r="VFW66" s="349"/>
      <c r="VFX66" s="349"/>
      <c r="VFY66" s="349"/>
      <c r="VFZ66" s="349"/>
      <c r="VGA66" s="349"/>
      <c r="VGB66" s="349"/>
      <c r="VGC66" s="349"/>
      <c r="VGD66" s="349"/>
      <c r="VGE66" s="349"/>
      <c r="VGF66" s="349"/>
      <c r="VGG66" s="349"/>
      <c r="VGH66" s="349"/>
      <c r="VGI66" s="349"/>
      <c r="VGJ66" s="349"/>
      <c r="VGK66" s="349"/>
      <c r="VGL66" s="349"/>
      <c r="VGM66" s="349"/>
      <c r="VGN66" s="349"/>
      <c r="VGO66" s="349"/>
      <c r="VGP66" s="349"/>
      <c r="VGQ66" s="349"/>
      <c r="VGR66" s="349"/>
      <c r="VGS66" s="349"/>
      <c r="VGT66" s="349"/>
      <c r="VGU66" s="349"/>
      <c r="VGV66" s="349"/>
      <c r="VGW66" s="349"/>
      <c r="VGX66" s="349"/>
      <c r="VGY66" s="349"/>
      <c r="VGZ66" s="349"/>
      <c r="VHA66" s="349"/>
      <c r="VHB66" s="349"/>
      <c r="VHC66" s="349"/>
      <c r="VHD66" s="349"/>
      <c r="VHE66" s="349"/>
      <c r="VHF66" s="349"/>
      <c r="VHG66" s="349"/>
      <c r="VHH66" s="349"/>
      <c r="VHI66" s="349"/>
      <c r="VHJ66" s="349"/>
      <c r="VHK66" s="349"/>
      <c r="VHL66" s="349"/>
      <c r="VHM66" s="349"/>
      <c r="VHN66" s="349"/>
      <c r="VHO66" s="349"/>
      <c r="VHP66" s="349"/>
      <c r="VHQ66" s="349"/>
      <c r="VHR66" s="349"/>
      <c r="VHS66" s="349"/>
      <c r="VHT66" s="349"/>
      <c r="VHU66" s="349"/>
      <c r="VHV66" s="349"/>
      <c r="VHW66" s="349"/>
      <c r="VHX66" s="349"/>
      <c r="VHY66" s="349"/>
      <c r="VHZ66" s="349"/>
      <c r="VIA66" s="349"/>
      <c r="VIB66" s="349"/>
      <c r="VIC66" s="349"/>
      <c r="VID66" s="349"/>
      <c r="VIE66" s="349"/>
      <c r="VIF66" s="349"/>
      <c r="VIG66" s="349"/>
      <c r="VIH66" s="349"/>
      <c r="VII66" s="349"/>
      <c r="VIJ66" s="349"/>
      <c r="VIK66" s="349"/>
      <c r="VIL66" s="349"/>
      <c r="VIM66" s="349"/>
      <c r="VIN66" s="349"/>
      <c r="VIO66" s="349"/>
      <c r="VIP66" s="349"/>
      <c r="VIQ66" s="349"/>
      <c r="VIR66" s="349"/>
      <c r="VIS66" s="349"/>
      <c r="VIT66" s="349"/>
      <c r="VIU66" s="349"/>
      <c r="VIV66" s="349"/>
      <c r="VIW66" s="349"/>
      <c r="VIX66" s="349"/>
      <c r="VIY66" s="349"/>
      <c r="VIZ66" s="349"/>
      <c r="VJA66" s="349"/>
      <c r="VJB66" s="349"/>
      <c r="VJC66" s="349"/>
      <c r="VJD66" s="349"/>
      <c r="VJE66" s="349"/>
      <c r="VJF66" s="349"/>
      <c r="VJG66" s="349"/>
      <c r="VJH66" s="349"/>
      <c r="VJI66" s="349"/>
      <c r="VJJ66" s="349"/>
      <c r="VJK66" s="349"/>
      <c r="VJL66" s="349"/>
      <c r="VJM66" s="349"/>
      <c r="VJN66" s="349"/>
      <c r="VJO66" s="349"/>
      <c r="VJP66" s="349"/>
      <c r="VJQ66" s="349"/>
      <c r="VJR66" s="349"/>
      <c r="VJS66" s="349"/>
      <c r="VJT66" s="349"/>
      <c r="VJU66" s="349"/>
      <c r="VJV66" s="349"/>
      <c r="VJW66" s="349"/>
      <c r="VJX66" s="349"/>
      <c r="VJY66" s="349"/>
      <c r="VJZ66" s="349"/>
      <c r="VKA66" s="349"/>
      <c r="VKB66" s="349"/>
      <c r="VKC66" s="349"/>
      <c r="VKD66" s="349"/>
      <c r="VKE66" s="349"/>
      <c r="VKF66" s="349"/>
      <c r="VKG66" s="349"/>
      <c r="VKH66" s="349"/>
      <c r="VKI66" s="349"/>
      <c r="VKJ66" s="349"/>
      <c r="VKK66" s="349"/>
      <c r="VKL66" s="349"/>
      <c r="VKM66" s="349"/>
      <c r="VKN66" s="349"/>
      <c r="VKO66" s="349"/>
      <c r="VKP66" s="349"/>
      <c r="VKQ66" s="349"/>
      <c r="VKR66" s="349"/>
      <c r="VKS66" s="349"/>
      <c r="VKT66" s="349"/>
      <c r="VKU66" s="349"/>
      <c r="VKV66" s="349"/>
      <c r="VKW66" s="349"/>
      <c r="VKX66" s="349"/>
      <c r="VKY66" s="349"/>
      <c r="VKZ66" s="349"/>
      <c r="VLA66" s="349"/>
      <c r="VLB66" s="349"/>
      <c r="VLC66" s="349"/>
      <c r="VLD66" s="349"/>
      <c r="VLE66" s="349"/>
      <c r="VLF66" s="349"/>
      <c r="VLG66" s="349"/>
      <c r="VLH66" s="349"/>
      <c r="VLI66" s="349"/>
      <c r="VLJ66" s="349"/>
      <c r="VLK66" s="349"/>
      <c r="VLL66" s="349"/>
      <c r="VLM66" s="349"/>
      <c r="VLN66" s="349"/>
      <c r="VLO66" s="349"/>
      <c r="VLP66" s="349"/>
      <c r="VLQ66" s="349"/>
      <c r="VLR66" s="349"/>
      <c r="VLS66" s="349"/>
      <c r="VLT66" s="349"/>
      <c r="VLU66" s="349"/>
      <c r="VLV66" s="349"/>
      <c r="VLW66" s="349"/>
      <c r="VLX66" s="349"/>
      <c r="VLY66" s="349"/>
      <c r="VLZ66" s="349"/>
      <c r="VMA66" s="349"/>
      <c r="VMB66" s="349"/>
      <c r="VMC66" s="349"/>
      <c r="VMD66" s="349"/>
      <c r="VME66" s="349"/>
      <c r="VMF66" s="349"/>
      <c r="VMG66" s="349"/>
      <c r="VMH66" s="349"/>
      <c r="VMI66" s="349"/>
      <c r="VMJ66" s="349"/>
      <c r="VMK66" s="349"/>
      <c r="VML66" s="349"/>
      <c r="VMM66" s="349"/>
      <c r="VMN66" s="349"/>
      <c r="VMO66" s="349"/>
      <c r="VMP66" s="349"/>
      <c r="VMQ66" s="349"/>
      <c r="VMR66" s="349"/>
      <c r="VMS66" s="349"/>
      <c r="VMT66" s="349"/>
      <c r="VMU66" s="349"/>
      <c r="VMV66" s="349"/>
      <c r="VMW66" s="349"/>
      <c r="VMX66" s="349"/>
      <c r="VMY66" s="349"/>
      <c r="VMZ66" s="349"/>
      <c r="VNA66" s="349"/>
      <c r="VNB66" s="349"/>
      <c r="VNC66" s="349"/>
      <c r="VND66" s="349"/>
      <c r="VNE66" s="349"/>
      <c r="VNF66" s="349"/>
      <c r="VNG66" s="349"/>
      <c r="VNH66" s="349"/>
      <c r="VNI66" s="349"/>
      <c r="VNJ66" s="349"/>
      <c r="VNK66" s="349"/>
      <c r="VNL66" s="349"/>
      <c r="VNM66" s="349"/>
      <c r="VNN66" s="349"/>
      <c r="VNO66" s="349"/>
      <c r="VNP66" s="349"/>
      <c r="VNQ66" s="349"/>
      <c r="VNR66" s="349"/>
      <c r="VNS66" s="349"/>
      <c r="VNT66" s="349"/>
      <c r="VNU66" s="349"/>
      <c r="VNV66" s="349"/>
      <c r="VNW66" s="349"/>
      <c r="VNX66" s="349"/>
      <c r="VNY66" s="349"/>
      <c r="VNZ66" s="349"/>
      <c r="VOA66" s="349"/>
      <c r="VOB66" s="349"/>
      <c r="VOC66" s="349"/>
      <c r="VOD66" s="349"/>
      <c r="VOE66" s="349"/>
      <c r="VOF66" s="349"/>
      <c r="VOG66" s="349"/>
      <c r="VOH66" s="349"/>
      <c r="VOI66" s="349"/>
      <c r="VOJ66" s="349"/>
      <c r="VOK66" s="349"/>
      <c r="VOL66" s="349"/>
      <c r="VOM66" s="349"/>
      <c r="VON66" s="349"/>
      <c r="VOO66" s="349"/>
      <c r="VOP66" s="349"/>
      <c r="VOQ66" s="349"/>
      <c r="VOR66" s="349"/>
      <c r="VOS66" s="349"/>
      <c r="VOT66" s="349"/>
      <c r="VOU66" s="349"/>
      <c r="VOV66" s="349"/>
      <c r="VOW66" s="349"/>
      <c r="VOX66" s="349"/>
      <c r="VOY66" s="349"/>
      <c r="VOZ66" s="349"/>
      <c r="VPA66" s="349"/>
      <c r="VPB66" s="349"/>
      <c r="VPC66" s="349"/>
      <c r="VPD66" s="349"/>
      <c r="VPE66" s="349"/>
      <c r="VPF66" s="349"/>
      <c r="VPG66" s="349"/>
      <c r="VPH66" s="349"/>
      <c r="VPI66" s="349"/>
      <c r="VPJ66" s="349"/>
      <c r="VPK66" s="349"/>
      <c r="VPL66" s="349"/>
      <c r="VPM66" s="349"/>
      <c r="VPN66" s="349"/>
      <c r="VPO66" s="349"/>
      <c r="VPP66" s="349"/>
      <c r="VPQ66" s="349"/>
      <c r="VPR66" s="349"/>
      <c r="VPS66" s="349"/>
      <c r="VPT66" s="349"/>
      <c r="VPU66" s="349"/>
      <c r="VPV66" s="349"/>
      <c r="VPW66" s="349"/>
      <c r="VPX66" s="349"/>
      <c r="VPY66" s="349"/>
      <c r="VPZ66" s="349"/>
      <c r="VQA66" s="349"/>
      <c r="VQB66" s="349"/>
      <c r="VQC66" s="349"/>
      <c r="VQD66" s="349"/>
      <c r="VQE66" s="349"/>
      <c r="VQF66" s="349"/>
      <c r="VQG66" s="349"/>
      <c r="VQH66" s="349"/>
      <c r="VQI66" s="349"/>
      <c r="VQJ66" s="349"/>
      <c r="VQK66" s="349"/>
      <c r="VQL66" s="349"/>
      <c r="VQM66" s="349"/>
      <c r="VQN66" s="349"/>
      <c r="VQO66" s="349"/>
      <c r="VQP66" s="349"/>
      <c r="VQQ66" s="349"/>
      <c r="VQR66" s="349"/>
      <c r="VQS66" s="349"/>
      <c r="VQT66" s="349"/>
      <c r="VQU66" s="349"/>
      <c r="VQV66" s="349"/>
      <c r="VQW66" s="349"/>
      <c r="VQX66" s="349"/>
      <c r="VQY66" s="349"/>
      <c r="VQZ66" s="349"/>
      <c r="VRA66" s="349"/>
      <c r="VRB66" s="349"/>
      <c r="VRC66" s="349"/>
      <c r="VRD66" s="349"/>
      <c r="VRE66" s="349"/>
      <c r="VRF66" s="349"/>
      <c r="VRG66" s="349"/>
      <c r="VRH66" s="349"/>
      <c r="VRI66" s="349"/>
      <c r="VRJ66" s="349"/>
      <c r="VRK66" s="349"/>
      <c r="VRL66" s="349"/>
      <c r="VRM66" s="349"/>
      <c r="VRN66" s="349"/>
      <c r="VRO66" s="349"/>
      <c r="VRP66" s="349"/>
      <c r="VRQ66" s="349"/>
      <c r="VRR66" s="349"/>
      <c r="VRS66" s="349"/>
      <c r="VRT66" s="349"/>
      <c r="VRU66" s="349"/>
      <c r="VRV66" s="349"/>
      <c r="VRW66" s="349"/>
      <c r="VRX66" s="349"/>
      <c r="VRY66" s="349"/>
      <c r="VRZ66" s="349"/>
      <c r="VSA66" s="349"/>
      <c r="VSB66" s="349"/>
      <c r="VSC66" s="349"/>
      <c r="VSD66" s="349"/>
      <c r="VSE66" s="349"/>
      <c r="VSF66" s="349"/>
      <c r="VSG66" s="349"/>
      <c r="VSH66" s="349"/>
      <c r="VSI66" s="349"/>
      <c r="VSJ66" s="349"/>
      <c r="VSK66" s="349"/>
      <c r="VSL66" s="349"/>
      <c r="VSM66" s="349"/>
      <c r="VSN66" s="349"/>
      <c r="VSO66" s="349"/>
      <c r="VSP66" s="349"/>
      <c r="VSQ66" s="349"/>
      <c r="VSR66" s="349"/>
      <c r="VSS66" s="349"/>
      <c r="VST66" s="349"/>
      <c r="VSU66" s="349"/>
      <c r="VSV66" s="349"/>
      <c r="VSW66" s="349"/>
      <c r="VSX66" s="349"/>
      <c r="VSY66" s="349"/>
      <c r="VSZ66" s="349"/>
      <c r="VTA66" s="349"/>
      <c r="VTB66" s="349"/>
      <c r="VTC66" s="349"/>
      <c r="VTD66" s="349"/>
      <c r="VTE66" s="349"/>
      <c r="VTF66" s="349"/>
      <c r="VTG66" s="349"/>
      <c r="VTH66" s="349"/>
      <c r="VTI66" s="349"/>
      <c r="VTJ66" s="349"/>
      <c r="VTK66" s="349"/>
      <c r="VTL66" s="349"/>
      <c r="VTM66" s="349"/>
      <c r="VTN66" s="349"/>
      <c r="VTO66" s="349"/>
      <c r="VTP66" s="349"/>
      <c r="VTQ66" s="349"/>
      <c r="VTR66" s="349"/>
      <c r="VTS66" s="349"/>
      <c r="VTT66" s="349"/>
      <c r="VTU66" s="349"/>
      <c r="VTV66" s="349"/>
      <c r="VTW66" s="349"/>
      <c r="VTX66" s="349"/>
      <c r="VTY66" s="349"/>
      <c r="VTZ66" s="349"/>
      <c r="VUA66" s="349"/>
      <c r="VUB66" s="349"/>
      <c r="VUC66" s="349"/>
      <c r="VUD66" s="349"/>
      <c r="VUE66" s="349"/>
      <c r="VUF66" s="349"/>
      <c r="VUG66" s="349"/>
      <c r="VUH66" s="349"/>
      <c r="VUI66" s="349"/>
      <c r="VUJ66" s="349"/>
      <c r="VUK66" s="349"/>
      <c r="VUL66" s="349"/>
      <c r="VUM66" s="349"/>
      <c r="VUN66" s="349"/>
      <c r="VUO66" s="349"/>
      <c r="VUP66" s="349"/>
      <c r="VUQ66" s="349"/>
      <c r="VUR66" s="349"/>
      <c r="VUS66" s="349"/>
      <c r="VUT66" s="349"/>
      <c r="VUU66" s="349"/>
      <c r="VUV66" s="349"/>
      <c r="VUW66" s="349"/>
      <c r="VUX66" s="349"/>
      <c r="VUY66" s="349"/>
      <c r="VUZ66" s="349"/>
      <c r="VVA66" s="349"/>
      <c r="VVB66" s="349"/>
      <c r="VVC66" s="349"/>
      <c r="VVD66" s="349"/>
      <c r="VVE66" s="349"/>
      <c r="VVF66" s="349"/>
      <c r="VVG66" s="349"/>
      <c r="VVH66" s="349"/>
      <c r="VVI66" s="349"/>
      <c r="VVJ66" s="349"/>
      <c r="VVK66" s="349"/>
      <c r="VVL66" s="349"/>
      <c r="VVM66" s="349"/>
      <c r="VVN66" s="349"/>
      <c r="VVO66" s="349"/>
      <c r="VVP66" s="349"/>
      <c r="VVQ66" s="349"/>
      <c r="VVR66" s="349"/>
      <c r="VVS66" s="349"/>
      <c r="VVT66" s="349"/>
      <c r="VVU66" s="349"/>
      <c r="VVV66" s="349"/>
      <c r="VVW66" s="349"/>
      <c r="VVX66" s="349"/>
      <c r="VVY66" s="349"/>
      <c r="VVZ66" s="349"/>
      <c r="VWA66" s="349"/>
      <c r="VWB66" s="349"/>
      <c r="VWC66" s="349"/>
      <c r="VWD66" s="349"/>
      <c r="VWE66" s="349"/>
      <c r="VWF66" s="349"/>
      <c r="VWG66" s="349"/>
      <c r="VWH66" s="349"/>
      <c r="VWI66" s="349"/>
      <c r="VWJ66" s="349"/>
      <c r="VWK66" s="349"/>
      <c r="VWL66" s="349"/>
      <c r="VWM66" s="349"/>
      <c r="VWN66" s="349"/>
      <c r="VWO66" s="349"/>
      <c r="VWP66" s="349"/>
      <c r="VWQ66" s="349"/>
      <c r="VWR66" s="349"/>
      <c r="VWS66" s="349"/>
      <c r="VWT66" s="349"/>
      <c r="VWU66" s="349"/>
      <c r="VWV66" s="349"/>
      <c r="VWW66" s="349"/>
      <c r="VWX66" s="349"/>
      <c r="VWY66" s="349"/>
      <c r="VWZ66" s="349"/>
      <c r="VXA66" s="349"/>
      <c r="VXB66" s="349"/>
      <c r="VXC66" s="349"/>
      <c r="VXD66" s="349"/>
      <c r="VXE66" s="349"/>
      <c r="VXF66" s="349"/>
      <c r="VXG66" s="349"/>
      <c r="VXH66" s="349"/>
      <c r="VXI66" s="349"/>
      <c r="VXJ66" s="349"/>
      <c r="VXK66" s="349"/>
      <c r="VXL66" s="349"/>
      <c r="VXM66" s="349"/>
      <c r="VXN66" s="349"/>
      <c r="VXO66" s="349"/>
      <c r="VXP66" s="349"/>
      <c r="VXQ66" s="349"/>
      <c r="VXR66" s="349"/>
      <c r="VXS66" s="349"/>
      <c r="VXT66" s="349"/>
      <c r="VXU66" s="349"/>
      <c r="VXV66" s="349"/>
      <c r="VXW66" s="349"/>
      <c r="VXX66" s="349"/>
      <c r="VXY66" s="349"/>
      <c r="VXZ66" s="349"/>
      <c r="VYA66" s="349"/>
      <c r="VYB66" s="349"/>
      <c r="VYC66" s="349"/>
      <c r="VYD66" s="349"/>
      <c r="VYE66" s="349"/>
      <c r="VYF66" s="349"/>
      <c r="VYG66" s="349"/>
      <c r="VYH66" s="349"/>
      <c r="VYI66" s="349"/>
      <c r="VYJ66" s="349"/>
      <c r="VYK66" s="349"/>
      <c r="VYL66" s="349"/>
      <c r="VYM66" s="349"/>
      <c r="VYN66" s="349"/>
      <c r="VYO66" s="349"/>
      <c r="VYP66" s="349"/>
      <c r="VYQ66" s="349"/>
      <c r="VYR66" s="349"/>
      <c r="VYS66" s="349"/>
      <c r="VYT66" s="349"/>
      <c r="VYU66" s="349"/>
      <c r="VYV66" s="349"/>
      <c r="VYW66" s="349"/>
      <c r="VYX66" s="349"/>
      <c r="VYY66" s="349"/>
      <c r="VYZ66" s="349"/>
      <c r="VZA66" s="349"/>
      <c r="VZB66" s="349"/>
      <c r="VZC66" s="349"/>
      <c r="VZD66" s="349"/>
      <c r="VZE66" s="349"/>
      <c r="VZF66" s="349"/>
      <c r="VZG66" s="349"/>
      <c r="VZH66" s="349"/>
      <c r="VZI66" s="349"/>
      <c r="VZJ66" s="349"/>
      <c r="VZK66" s="349"/>
      <c r="VZL66" s="349"/>
      <c r="VZM66" s="349"/>
      <c r="VZN66" s="349"/>
      <c r="VZO66" s="349"/>
      <c r="VZP66" s="349"/>
      <c r="VZQ66" s="349"/>
      <c r="VZR66" s="349"/>
      <c r="VZS66" s="349"/>
      <c r="VZT66" s="349"/>
      <c r="VZU66" s="349"/>
      <c r="VZV66" s="349"/>
      <c r="VZW66" s="349"/>
      <c r="VZX66" s="349"/>
      <c r="VZY66" s="349"/>
      <c r="VZZ66" s="349"/>
      <c r="WAA66" s="349"/>
      <c r="WAB66" s="349"/>
      <c r="WAC66" s="349"/>
      <c r="WAD66" s="349"/>
      <c r="WAE66" s="349"/>
      <c r="WAF66" s="349"/>
      <c r="WAG66" s="349"/>
      <c r="WAH66" s="349"/>
      <c r="WAI66" s="349"/>
      <c r="WAJ66" s="349"/>
      <c r="WAK66" s="349"/>
      <c r="WAL66" s="349"/>
      <c r="WAM66" s="349"/>
      <c r="WAN66" s="349"/>
      <c r="WAO66" s="349"/>
      <c r="WAP66" s="349"/>
      <c r="WAQ66" s="349"/>
      <c r="WAR66" s="349"/>
      <c r="WAS66" s="349"/>
      <c r="WAT66" s="349"/>
      <c r="WAU66" s="349"/>
      <c r="WAV66" s="349"/>
      <c r="WAW66" s="349"/>
      <c r="WAX66" s="349"/>
      <c r="WAY66" s="349"/>
      <c r="WAZ66" s="349"/>
      <c r="WBA66" s="349"/>
      <c r="WBB66" s="349"/>
      <c r="WBC66" s="349"/>
      <c r="WBD66" s="349"/>
      <c r="WBE66" s="349"/>
      <c r="WBF66" s="349"/>
      <c r="WBG66" s="349"/>
      <c r="WBH66" s="349"/>
      <c r="WBI66" s="349"/>
      <c r="WBJ66" s="349"/>
      <c r="WBK66" s="349"/>
      <c r="WBL66" s="349"/>
      <c r="WBM66" s="349"/>
      <c r="WBN66" s="349"/>
      <c r="WBO66" s="349"/>
      <c r="WBP66" s="349"/>
      <c r="WBQ66" s="349"/>
      <c r="WBR66" s="349"/>
      <c r="WBS66" s="349"/>
      <c r="WBT66" s="349"/>
      <c r="WBU66" s="349"/>
      <c r="WBV66" s="349"/>
      <c r="WBW66" s="349"/>
      <c r="WBX66" s="349"/>
      <c r="WBY66" s="349"/>
      <c r="WBZ66" s="349"/>
      <c r="WCA66" s="349"/>
      <c r="WCB66" s="349"/>
      <c r="WCC66" s="349"/>
      <c r="WCD66" s="349"/>
      <c r="WCE66" s="349"/>
      <c r="WCF66" s="349"/>
      <c r="WCG66" s="349"/>
      <c r="WCH66" s="349"/>
      <c r="WCI66" s="349"/>
      <c r="WCJ66" s="349"/>
      <c r="WCK66" s="349"/>
      <c r="WCL66" s="349"/>
      <c r="WCM66" s="349"/>
      <c r="WCN66" s="349"/>
      <c r="WCO66" s="349"/>
      <c r="WCP66" s="349"/>
      <c r="WCQ66" s="349"/>
      <c r="WCR66" s="349"/>
      <c r="WCS66" s="349"/>
      <c r="WCT66" s="349"/>
      <c r="WCU66" s="349"/>
      <c r="WCV66" s="349"/>
      <c r="WCW66" s="349"/>
      <c r="WCX66" s="349"/>
      <c r="WCY66" s="349"/>
      <c r="WCZ66" s="349"/>
      <c r="WDA66" s="349"/>
      <c r="WDB66" s="349"/>
      <c r="WDC66" s="349"/>
      <c r="WDD66" s="349"/>
      <c r="WDE66" s="349"/>
      <c r="WDF66" s="349"/>
      <c r="WDG66" s="349"/>
      <c r="WDH66" s="349"/>
      <c r="WDI66" s="349"/>
      <c r="WDJ66" s="349"/>
      <c r="WDK66" s="349"/>
      <c r="WDL66" s="349"/>
      <c r="WDM66" s="349"/>
      <c r="WDN66" s="349"/>
      <c r="WDO66" s="349"/>
      <c r="WDP66" s="349"/>
      <c r="WDQ66" s="349"/>
      <c r="WDR66" s="349"/>
      <c r="WDS66" s="349"/>
      <c r="WDT66" s="349"/>
      <c r="WDU66" s="349"/>
      <c r="WDV66" s="349"/>
      <c r="WDW66" s="349"/>
      <c r="WDX66" s="349"/>
      <c r="WDY66" s="349"/>
      <c r="WDZ66" s="349"/>
      <c r="WEA66" s="349"/>
      <c r="WEB66" s="349"/>
      <c r="WEC66" s="349"/>
      <c r="WED66" s="349"/>
      <c r="WEE66" s="349"/>
      <c r="WEF66" s="349"/>
      <c r="WEG66" s="349"/>
      <c r="WEH66" s="349"/>
      <c r="WEI66" s="349"/>
      <c r="WEJ66" s="349"/>
      <c r="WEK66" s="349"/>
      <c r="WEL66" s="349"/>
      <c r="WEM66" s="349"/>
      <c r="WEN66" s="349"/>
      <c r="WEO66" s="349"/>
      <c r="WEP66" s="349"/>
      <c r="WEQ66" s="349"/>
      <c r="WER66" s="349"/>
      <c r="WES66" s="349"/>
      <c r="WET66" s="349"/>
      <c r="WEU66" s="349"/>
      <c r="WEV66" s="349"/>
      <c r="WEW66" s="349"/>
      <c r="WEX66" s="349"/>
      <c r="WEY66" s="349"/>
      <c r="WEZ66" s="349"/>
      <c r="WFA66" s="349"/>
      <c r="WFB66" s="349"/>
      <c r="WFC66" s="349"/>
      <c r="WFD66" s="349"/>
      <c r="WFE66" s="349"/>
      <c r="WFF66" s="349"/>
      <c r="WFG66" s="349"/>
      <c r="WFH66" s="349"/>
      <c r="WFI66" s="349"/>
      <c r="WFJ66" s="349"/>
      <c r="WFK66" s="349"/>
      <c r="WFL66" s="349"/>
      <c r="WFM66" s="349"/>
      <c r="WFN66" s="349"/>
      <c r="WFO66" s="349"/>
      <c r="WFP66" s="349"/>
      <c r="WFQ66" s="349"/>
      <c r="WFR66" s="349"/>
      <c r="WFS66" s="349"/>
      <c r="WFT66" s="349"/>
      <c r="WFU66" s="349"/>
      <c r="WFV66" s="349"/>
      <c r="WFW66" s="349"/>
      <c r="WFX66" s="349"/>
      <c r="WFY66" s="349"/>
      <c r="WFZ66" s="349"/>
      <c r="WGA66" s="349"/>
      <c r="WGB66" s="349"/>
      <c r="WGC66" s="349"/>
      <c r="WGD66" s="349"/>
      <c r="WGE66" s="349"/>
      <c r="WGF66" s="349"/>
      <c r="WGG66" s="349"/>
      <c r="WGH66" s="349"/>
      <c r="WGI66" s="349"/>
      <c r="WGJ66" s="349"/>
      <c r="WGK66" s="349"/>
      <c r="WGL66" s="349"/>
      <c r="WGM66" s="349"/>
      <c r="WGN66" s="349"/>
      <c r="WGO66" s="349"/>
      <c r="WGP66" s="349"/>
      <c r="WGQ66" s="349"/>
      <c r="WGR66" s="349"/>
      <c r="WGS66" s="349"/>
      <c r="WGT66" s="349"/>
      <c r="WGU66" s="349"/>
      <c r="WGV66" s="349"/>
      <c r="WGW66" s="349"/>
      <c r="WGX66" s="349"/>
      <c r="WGY66" s="349"/>
      <c r="WGZ66" s="349"/>
      <c r="WHA66" s="349"/>
      <c r="WHB66" s="349"/>
      <c r="WHC66" s="349"/>
      <c r="WHD66" s="349"/>
      <c r="WHE66" s="349"/>
      <c r="WHF66" s="349"/>
      <c r="WHG66" s="349"/>
      <c r="WHH66" s="349"/>
      <c r="WHI66" s="349"/>
      <c r="WHJ66" s="349"/>
      <c r="WHK66" s="349"/>
      <c r="WHL66" s="349"/>
      <c r="WHM66" s="349"/>
      <c r="WHN66" s="349"/>
      <c r="WHO66" s="349"/>
      <c r="WHP66" s="349"/>
      <c r="WHQ66" s="349"/>
      <c r="WHR66" s="349"/>
      <c r="WHS66" s="349"/>
      <c r="WHT66" s="349"/>
      <c r="WHU66" s="349"/>
      <c r="WHV66" s="349"/>
      <c r="WHW66" s="349"/>
      <c r="WHX66" s="349"/>
      <c r="WHY66" s="349"/>
      <c r="WHZ66" s="349"/>
      <c r="WIA66" s="349"/>
      <c r="WIB66" s="349"/>
      <c r="WIC66" s="349"/>
      <c r="WID66" s="349"/>
      <c r="WIE66" s="349"/>
      <c r="WIF66" s="349"/>
      <c r="WIG66" s="349"/>
      <c r="WIH66" s="349"/>
      <c r="WII66" s="349"/>
      <c r="WIJ66" s="349"/>
      <c r="WIK66" s="349"/>
      <c r="WIL66" s="349"/>
      <c r="WIM66" s="349"/>
      <c r="WIN66" s="349"/>
      <c r="WIO66" s="349"/>
      <c r="WIP66" s="349"/>
      <c r="WIQ66" s="349"/>
      <c r="WIR66" s="349"/>
      <c r="WIS66" s="349"/>
      <c r="WIT66" s="349"/>
      <c r="WIU66" s="349"/>
      <c r="WIV66" s="349"/>
      <c r="WIW66" s="349"/>
      <c r="WIX66" s="349"/>
      <c r="WIY66" s="349"/>
      <c r="WIZ66" s="349"/>
      <c r="WJA66" s="349"/>
      <c r="WJB66" s="349"/>
      <c r="WJC66" s="349"/>
      <c r="WJD66" s="349"/>
      <c r="WJE66" s="349"/>
      <c r="WJF66" s="349"/>
      <c r="WJG66" s="349"/>
      <c r="WJH66" s="349"/>
      <c r="WJI66" s="349"/>
      <c r="WJJ66" s="349"/>
      <c r="WJK66" s="349"/>
      <c r="WJL66" s="349"/>
      <c r="WJM66" s="349"/>
      <c r="WJN66" s="349"/>
      <c r="WJO66" s="349"/>
      <c r="WJP66" s="349"/>
      <c r="WJQ66" s="349"/>
      <c r="WJR66" s="349"/>
      <c r="WJS66" s="349"/>
      <c r="WJT66" s="349"/>
      <c r="WJU66" s="349"/>
      <c r="WJV66" s="349"/>
      <c r="WJW66" s="349"/>
      <c r="WJX66" s="349"/>
      <c r="WJY66" s="349"/>
      <c r="WJZ66" s="349"/>
      <c r="WKA66" s="349"/>
      <c r="WKB66" s="349"/>
      <c r="WKC66" s="349"/>
      <c r="WKD66" s="349"/>
      <c r="WKE66" s="349"/>
      <c r="WKF66" s="349"/>
      <c r="WKG66" s="349"/>
      <c r="WKH66" s="349"/>
      <c r="WKI66" s="349"/>
      <c r="WKJ66" s="349"/>
      <c r="WKK66" s="349"/>
      <c r="WKL66" s="349"/>
      <c r="WKM66" s="349"/>
      <c r="WKN66" s="349"/>
      <c r="WKO66" s="349"/>
      <c r="WKP66" s="349"/>
      <c r="WKQ66" s="349"/>
      <c r="WKR66" s="349"/>
      <c r="WKS66" s="349"/>
      <c r="WKT66" s="349"/>
      <c r="WKU66" s="349"/>
      <c r="WKV66" s="349"/>
      <c r="WKW66" s="349"/>
      <c r="WKX66" s="349"/>
      <c r="WKY66" s="349"/>
      <c r="WKZ66" s="349"/>
      <c r="WLA66" s="349"/>
      <c r="WLB66" s="349"/>
      <c r="WLC66" s="349"/>
      <c r="WLD66" s="349"/>
      <c r="WLE66" s="349"/>
      <c r="WLF66" s="349"/>
      <c r="WLG66" s="349"/>
      <c r="WLH66" s="349"/>
      <c r="WLI66" s="349"/>
      <c r="WLJ66" s="349"/>
      <c r="WLK66" s="349"/>
      <c r="WLL66" s="349"/>
      <c r="WLM66" s="349"/>
      <c r="WLN66" s="349"/>
      <c r="WLO66" s="349"/>
      <c r="WLP66" s="349"/>
      <c r="WLQ66" s="349"/>
      <c r="WLR66" s="349"/>
      <c r="WLS66" s="349"/>
      <c r="WLT66" s="349"/>
      <c r="WLU66" s="349"/>
      <c r="WLV66" s="349"/>
      <c r="WLW66" s="349"/>
      <c r="WLX66" s="349"/>
      <c r="WLY66" s="349"/>
      <c r="WLZ66" s="349"/>
      <c r="WMA66" s="349"/>
      <c r="WMB66" s="349"/>
      <c r="WMC66" s="349"/>
      <c r="WMD66" s="349"/>
      <c r="WME66" s="349"/>
      <c r="WMF66" s="349"/>
      <c r="WMG66" s="349"/>
      <c r="WMH66" s="349"/>
      <c r="WMI66" s="349"/>
      <c r="WMJ66" s="349"/>
      <c r="WMK66" s="349"/>
      <c r="WML66" s="349"/>
      <c r="WMM66" s="349"/>
      <c r="WMN66" s="349"/>
      <c r="WMO66" s="349"/>
      <c r="WMP66" s="349"/>
      <c r="WMQ66" s="349"/>
      <c r="WMR66" s="349"/>
      <c r="WMS66" s="349"/>
      <c r="WMT66" s="349"/>
      <c r="WMU66" s="349"/>
      <c r="WMV66" s="349"/>
      <c r="WMW66" s="349"/>
      <c r="WMX66" s="349"/>
      <c r="WMY66" s="349"/>
      <c r="WMZ66" s="349"/>
      <c r="WNA66" s="349"/>
      <c r="WNB66" s="349"/>
      <c r="WNC66" s="349"/>
      <c r="WND66" s="349"/>
      <c r="WNE66" s="349"/>
      <c r="WNF66" s="349"/>
      <c r="WNG66" s="349"/>
      <c r="WNH66" s="349"/>
      <c r="WNI66" s="349"/>
      <c r="WNJ66" s="349"/>
      <c r="WNK66" s="349"/>
      <c r="WNL66" s="349"/>
      <c r="WNM66" s="349"/>
      <c r="WNN66" s="349"/>
      <c r="WNO66" s="349"/>
      <c r="WNP66" s="349"/>
      <c r="WNQ66" s="349"/>
      <c r="WNR66" s="349"/>
      <c r="WNS66" s="349"/>
      <c r="WNT66" s="349"/>
      <c r="WNU66" s="349"/>
      <c r="WNV66" s="349"/>
      <c r="WNW66" s="349"/>
      <c r="WNX66" s="349"/>
      <c r="WNY66" s="349"/>
      <c r="WNZ66" s="349"/>
      <c r="WOA66" s="349"/>
      <c r="WOB66" s="349"/>
      <c r="WOC66" s="349"/>
      <c r="WOD66" s="349"/>
      <c r="WOE66" s="349"/>
      <c r="WOF66" s="349"/>
      <c r="WOG66" s="349"/>
      <c r="WOH66" s="349"/>
      <c r="WOI66" s="349"/>
      <c r="WOJ66" s="349"/>
      <c r="WOK66" s="349"/>
      <c r="WOL66" s="349"/>
      <c r="WOM66" s="349"/>
      <c r="WON66" s="349"/>
      <c r="WOO66" s="349"/>
      <c r="WOP66" s="349"/>
      <c r="WOQ66" s="349"/>
      <c r="WOR66" s="349"/>
      <c r="WOS66" s="349"/>
      <c r="WOT66" s="349"/>
      <c r="WOU66" s="349"/>
      <c r="WOV66" s="349"/>
      <c r="WOW66" s="349"/>
      <c r="WOX66" s="349"/>
      <c r="WOY66" s="349"/>
      <c r="WOZ66" s="349"/>
      <c r="WPA66" s="349"/>
      <c r="WPB66" s="349"/>
      <c r="WPC66" s="349"/>
      <c r="WPD66" s="349"/>
      <c r="WPE66" s="349"/>
      <c r="WPF66" s="349"/>
      <c r="WPG66" s="349"/>
      <c r="WPH66" s="349"/>
      <c r="WPI66" s="349"/>
      <c r="WPJ66" s="349"/>
      <c r="WPK66" s="349"/>
      <c r="WPL66" s="349"/>
      <c r="WPM66" s="349"/>
      <c r="WPN66" s="349"/>
      <c r="WPO66" s="349"/>
      <c r="WPP66" s="349"/>
      <c r="WPQ66" s="349"/>
      <c r="WPR66" s="349"/>
      <c r="WPS66" s="349"/>
      <c r="WPT66" s="349"/>
      <c r="WPU66" s="349"/>
      <c r="WPV66" s="349"/>
      <c r="WPW66" s="349"/>
      <c r="WPX66" s="349"/>
      <c r="WPY66" s="349"/>
      <c r="WPZ66" s="349"/>
      <c r="WQA66" s="349"/>
      <c r="WQB66" s="349"/>
      <c r="WQC66" s="349"/>
      <c r="WQD66" s="349"/>
      <c r="WQE66" s="349"/>
      <c r="WQF66" s="349"/>
      <c r="WQG66" s="349"/>
      <c r="WQH66" s="349"/>
      <c r="WQI66" s="349"/>
      <c r="WQJ66" s="349"/>
      <c r="WQK66" s="349"/>
      <c r="WQL66" s="349"/>
      <c r="WQM66" s="349"/>
      <c r="WQN66" s="349"/>
      <c r="WQO66" s="349"/>
      <c r="WQP66" s="349"/>
      <c r="WQQ66" s="349"/>
      <c r="WQR66" s="349"/>
      <c r="WQS66" s="349"/>
      <c r="WQT66" s="349"/>
      <c r="WQU66" s="349"/>
      <c r="WQV66" s="349"/>
      <c r="WQW66" s="349"/>
      <c r="WQX66" s="349"/>
      <c r="WQY66" s="349"/>
      <c r="WQZ66" s="349"/>
      <c r="WRA66" s="349"/>
      <c r="WRB66" s="349"/>
      <c r="WRC66" s="349"/>
      <c r="WRD66" s="349"/>
      <c r="WRE66" s="349"/>
      <c r="WRF66" s="349"/>
      <c r="WRG66" s="349"/>
      <c r="WRH66" s="349"/>
      <c r="WRI66" s="349"/>
      <c r="WRJ66" s="349"/>
      <c r="WRK66" s="349"/>
      <c r="WRL66" s="349"/>
      <c r="WRM66" s="349"/>
      <c r="WRN66" s="349"/>
      <c r="WRO66" s="349"/>
      <c r="WRP66" s="349"/>
      <c r="WRQ66" s="349"/>
      <c r="WRR66" s="349"/>
      <c r="WRS66" s="349"/>
      <c r="WRT66" s="349"/>
      <c r="WRU66" s="349"/>
      <c r="WRV66" s="349"/>
      <c r="WRW66" s="349"/>
      <c r="WRX66" s="349"/>
      <c r="WRY66" s="349"/>
      <c r="WRZ66" s="349"/>
      <c r="WSA66" s="349"/>
      <c r="WSB66" s="349"/>
      <c r="WSC66" s="349"/>
      <c r="WSD66" s="349"/>
      <c r="WSE66" s="349"/>
      <c r="WSF66" s="349"/>
      <c r="WSG66" s="349"/>
      <c r="WSH66" s="349"/>
      <c r="WSI66" s="349"/>
      <c r="WSJ66" s="349"/>
      <c r="WSK66" s="349"/>
      <c r="WSL66" s="349"/>
      <c r="WSM66" s="349"/>
      <c r="WSN66" s="349"/>
      <c r="WSO66" s="349"/>
      <c r="WSP66" s="349"/>
      <c r="WSQ66" s="349"/>
      <c r="WSR66" s="349"/>
      <c r="WSS66" s="349"/>
      <c r="WST66" s="349"/>
      <c r="WSU66" s="349"/>
      <c r="WSV66" s="349"/>
      <c r="WSW66" s="349"/>
      <c r="WSX66" s="349"/>
      <c r="WSY66" s="349"/>
      <c r="WSZ66" s="349"/>
      <c r="WTA66" s="349"/>
      <c r="WTB66" s="349"/>
      <c r="WTC66" s="349"/>
      <c r="WTD66" s="349"/>
      <c r="WTE66" s="349"/>
      <c r="WTF66" s="349"/>
      <c r="WTG66" s="349"/>
      <c r="WTH66" s="349"/>
      <c r="WTI66" s="349"/>
      <c r="WTJ66" s="349"/>
      <c r="WTK66" s="349"/>
      <c r="WTL66" s="349"/>
      <c r="WTM66" s="349"/>
      <c r="WTN66" s="349"/>
      <c r="WTO66" s="349"/>
      <c r="WTP66" s="349"/>
      <c r="WTQ66" s="349"/>
      <c r="WTR66" s="349"/>
      <c r="WTS66" s="349"/>
      <c r="WTT66" s="349"/>
      <c r="WTU66" s="349"/>
      <c r="WTV66" s="349"/>
      <c r="WTW66" s="349"/>
      <c r="WTX66" s="349"/>
      <c r="WTY66" s="349"/>
      <c r="WTZ66" s="349"/>
      <c r="WUA66" s="349"/>
      <c r="WUB66" s="349"/>
      <c r="WUC66" s="349"/>
      <c r="WUD66" s="349"/>
      <c r="WUE66" s="349"/>
      <c r="WUF66" s="349"/>
      <c r="WUG66" s="349"/>
      <c r="WUH66" s="349"/>
      <c r="WUI66" s="349"/>
      <c r="WUJ66" s="349"/>
      <c r="WUK66" s="349"/>
      <c r="WUL66" s="349"/>
      <c r="WUM66" s="349"/>
      <c r="WUN66" s="349"/>
      <c r="WUO66" s="349"/>
      <c r="WUP66" s="349"/>
      <c r="WUQ66" s="349"/>
      <c r="WUR66" s="349"/>
      <c r="WUS66" s="349"/>
      <c r="WUT66" s="349"/>
      <c r="WUU66" s="349"/>
      <c r="WUV66" s="349"/>
      <c r="WUW66" s="349"/>
      <c r="WUX66" s="349"/>
      <c r="WUY66" s="349"/>
      <c r="WUZ66" s="349"/>
      <c r="WVA66" s="349"/>
      <c r="WVB66" s="349"/>
      <c r="WVC66" s="349"/>
      <c r="WVD66" s="349"/>
      <c r="WVE66" s="349"/>
      <c r="WVF66" s="349"/>
      <c r="WVG66" s="349"/>
      <c r="WVH66" s="349"/>
      <c r="WVI66" s="349"/>
      <c r="WVJ66" s="349"/>
      <c r="WVK66" s="349"/>
      <c r="WVL66" s="349"/>
      <c r="WVM66" s="349"/>
      <c r="WVN66" s="349"/>
      <c r="WVO66" s="349"/>
      <c r="WVP66" s="349"/>
      <c r="WVQ66" s="349"/>
      <c r="WVR66" s="349"/>
      <c r="WVS66" s="349"/>
      <c r="WVT66" s="349"/>
      <c r="WVU66" s="349"/>
      <c r="WVV66" s="349"/>
      <c r="WVW66" s="349"/>
      <c r="WVX66" s="349"/>
      <c r="WVY66" s="349"/>
      <c r="WVZ66" s="349"/>
      <c r="WWA66" s="349"/>
      <c r="WWB66" s="349"/>
      <c r="WWC66" s="349"/>
      <c r="WWD66" s="349"/>
      <c r="WWE66" s="349"/>
      <c r="WWF66" s="349"/>
      <c r="WWG66" s="349"/>
      <c r="WWH66" s="349"/>
      <c r="WWI66" s="349"/>
      <c r="WWJ66" s="349"/>
      <c r="WWK66" s="349"/>
      <c r="WWL66" s="349"/>
      <c r="WWM66" s="349"/>
      <c r="WWN66" s="349"/>
      <c r="WWO66" s="349"/>
      <c r="WWP66" s="349"/>
      <c r="WWQ66" s="349"/>
      <c r="WWR66" s="349"/>
      <c r="WWS66" s="349"/>
      <c r="WWT66" s="349"/>
      <c r="WWU66" s="349"/>
      <c r="WWV66" s="349"/>
      <c r="WWW66" s="349"/>
      <c r="WWX66" s="349"/>
      <c r="WWY66" s="349"/>
      <c r="WWZ66" s="349"/>
      <c r="WXA66" s="349"/>
      <c r="WXB66" s="349"/>
      <c r="WXC66" s="349"/>
      <c r="WXD66" s="349"/>
      <c r="WXE66" s="349"/>
      <c r="WXF66" s="349"/>
      <c r="WXG66" s="349"/>
      <c r="WXH66" s="349"/>
      <c r="WXI66" s="349"/>
      <c r="WXJ66" s="349"/>
      <c r="WXK66" s="349"/>
      <c r="WXL66" s="349"/>
      <c r="WXM66" s="349"/>
      <c r="WXN66" s="349"/>
      <c r="WXO66" s="349"/>
      <c r="WXP66" s="349"/>
      <c r="WXQ66" s="349"/>
      <c r="WXR66" s="349"/>
      <c r="WXS66" s="349"/>
      <c r="WXT66" s="349"/>
      <c r="WXU66" s="349"/>
      <c r="WXV66" s="349"/>
      <c r="WXW66" s="349"/>
      <c r="WXX66" s="349"/>
      <c r="WXY66" s="349"/>
      <c r="WXZ66" s="349"/>
      <c r="WYA66" s="349"/>
      <c r="WYB66" s="349"/>
      <c r="WYC66" s="349"/>
      <c r="WYD66" s="349"/>
      <c r="WYE66" s="349"/>
      <c r="WYF66" s="349"/>
      <c r="WYG66" s="349"/>
      <c r="WYH66" s="349"/>
      <c r="WYI66" s="349"/>
      <c r="WYJ66" s="349"/>
      <c r="WYK66" s="349"/>
      <c r="WYL66" s="349"/>
      <c r="WYM66" s="349"/>
      <c r="WYN66" s="349"/>
      <c r="WYO66" s="349"/>
      <c r="WYP66" s="349"/>
      <c r="WYQ66" s="349"/>
      <c r="WYR66" s="349"/>
      <c r="WYS66" s="349"/>
      <c r="WYT66" s="349"/>
      <c r="WYU66" s="349"/>
      <c r="WYV66" s="349"/>
      <c r="WYW66" s="349"/>
      <c r="WYX66" s="349"/>
      <c r="WYY66" s="349"/>
      <c r="WYZ66" s="349"/>
      <c r="WZA66" s="349"/>
      <c r="WZB66" s="349"/>
      <c r="WZC66" s="349"/>
      <c r="WZD66" s="349"/>
      <c r="WZE66" s="349"/>
      <c r="WZF66" s="349"/>
      <c r="WZG66" s="349"/>
      <c r="WZH66" s="349"/>
      <c r="WZI66" s="349"/>
      <c r="WZJ66" s="349"/>
      <c r="WZK66" s="349"/>
      <c r="WZL66" s="349"/>
      <c r="WZM66" s="349"/>
      <c r="WZN66" s="349"/>
      <c r="WZO66" s="349"/>
      <c r="WZP66" s="349"/>
      <c r="WZQ66" s="349"/>
      <c r="WZR66" s="349"/>
      <c r="WZS66" s="349"/>
      <c r="WZT66" s="349"/>
      <c r="WZU66" s="349"/>
      <c r="WZV66" s="349"/>
      <c r="WZW66" s="349"/>
      <c r="WZX66" s="349"/>
      <c r="WZY66" s="349"/>
      <c r="WZZ66" s="349"/>
      <c r="XAA66" s="349"/>
      <c r="XAB66" s="349"/>
      <c r="XAC66" s="349"/>
      <c r="XAD66" s="349"/>
      <c r="XAE66" s="349"/>
      <c r="XAF66" s="349"/>
      <c r="XAG66" s="349"/>
      <c r="XAH66" s="349"/>
      <c r="XAI66" s="349"/>
      <c r="XAJ66" s="349"/>
      <c r="XAK66" s="349"/>
      <c r="XAL66" s="349"/>
      <c r="XAM66" s="349"/>
      <c r="XAN66" s="349"/>
      <c r="XAO66" s="349"/>
      <c r="XAP66" s="349"/>
      <c r="XAQ66" s="349"/>
      <c r="XAR66" s="349"/>
      <c r="XAS66" s="349"/>
      <c r="XAT66" s="349"/>
      <c r="XAU66" s="349"/>
      <c r="XAV66" s="349"/>
      <c r="XAW66" s="349"/>
      <c r="XAX66" s="349"/>
      <c r="XAY66" s="349"/>
      <c r="XAZ66" s="349"/>
      <c r="XBA66" s="349"/>
      <c r="XBB66" s="349"/>
      <c r="XBC66" s="349"/>
      <c r="XBD66" s="349"/>
      <c r="XBE66" s="349"/>
      <c r="XBF66" s="349"/>
      <c r="XBG66" s="349"/>
      <c r="XBH66" s="349"/>
      <c r="XBI66" s="349"/>
      <c r="XBJ66" s="349"/>
      <c r="XBK66" s="349"/>
      <c r="XBL66" s="349"/>
      <c r="XBM66" s="349"/>
      <c r="XBN66" s="349"/>
      <c r="XBO66" s="349"/>
      <c r="XBP66" s="349"/>
      <c r="XBQ66" s="349"/>
      <c r="XBR66" s="349"/>
      <c r="XBS66" s="349"/>
      <c r="XBT66" s="349"/>
      <c r="XBU66" s="349"/>
      <c r="XBV66" s="349"/>
      <c r="XBW66" s="349"/>
      <c r="XBX66" s="349"/>
      <c r="XBY66" s="349"/>
      <c r="XBZ66" s="349"/>
      <c r="XCA66" s="349"/>
      <c r="XCB66" s="349"/>
      <c r="XCC66" s="349"/>
      <c r="XCD66" s="349"/>
      <c r="XCE66" s="349"/>
      <c r="XCF66" s="349"/>
      <c r="XCG66" s="349"/>
      <c r="XCH66" s="349"/>
      <c r="XCI66" s="349"/>
      <c r="XCJ66" s="349"/>
      <c r="XCK66" s="349"/>
      <c r="XCL66" s="349"/>
      <c r="XCM66" s="349"/>
      <c r="XCN66" s="349"/>
      <c r="XCO66" s="349"/>
      <c r="XCP66" s="349"/>
      <c r="XCQ66" s="349"/>
      <c r="XCR66" s="349"/>
      <c r="XCS66" s="349"/>
      <c r="XCT66" s="349"/>
      <c r="XCU66" s="349"/>
      <c r="XCV66" s="349"/>
      <c r="XCW66" s="349"/>
      <c r="XCX66" s="349"/>
      <c r="XCY66" s="349"/>
      <c r="XCZ66" s="349"/>
      <c r="XDA66" s="349"/>
      <c r="XDB66" s="349"/>
      <c r="XDC66" s="349"/>
      <c r="XDD66" s="349"/>
      <c r="XDE66" s="349"/>
      <c r="XDF66" s="349"/>
      <c r="XDG66" s="349"/>
      <c r="XDH66" s="349"/>
      <c r="XDI66" s="349"/>
      <c r="XDJ66" s="349"/>
      <c r="XDK66" s="349"/>
      <c r="XDL66" s="349"/>
      <c r="XDM66" s="349"/>
      <c r="XDN66" s="349"/>
      <c r="XDO66" s="349"/>
      <c r="XDP66" s="349"/>
      <c r="XDQ66" s="349"/>
      <c r="XDR66" s="349"/>
      <c r="XDS66" s="349"/>
      <c r="XDT66" s="349"/>
      <c r="XDU66" s="349"/>
      <c r="XDV66" s="349"/>
      <c r="XDW66" s="349"/>
      <c r="XDX66" s="349"/>
      <c r="XDY66" s="349"/>
      <c r="XDZ66" s="349"/>
      <c r="XEA66" s="349"/>
      <c r="XEB66" s="349"/>
      <c r="XEC66" s="349"/>
      <c r="XED66" s="349"/>
      <c r="XEE66" s="349"/>
      <c r="XEF66" s="349"/>
      <c r="XEG66" s="349"/>
      <c r="XEH66" s="349"/>
      <c r="XEI66" s="349"/>
      <c r="XEJ66" s="349"/>
      <c r="XEK66" s="349"/>
      <c r="XEL66" s="349"/>
      <c r="XEM66" s="349"/>
      <c r="XEN66" s="349"/>
      <c r="XEO66" s="349"/>
      <c r="XEP66" s="349"/>
      <c r="XEQ66" s="349"/>
    </row>
    <row r="67" spans="1:16371" ht="15" customHeight="1">
      <c r="A67" s="113"/>
      <c r="B67" s="114"/>
      <c r="C67" s="114"/>
      <c r="D67" s="114"/>
      <c r="F67" s="349"/>
      <c r="G67" s="349"/>
      <c r="H67" s="349"/>
      <c r="I67"/>
      <c r="M67" s="349"/>
      <c r="Q67" s="2131"/>
      <c r="R67" s="2192"/>
      <c r="S67" s="349"/>
      <c r="T67" s="349"/>
      <c r="U67" s="349"/>
      <c r="V67" s="349"/>
      <c r="W67" s="349"/>
      <c r="X67" s="349"/>
      <c r="Y67" s="349"/>
      <c r="Z67" s="349"/>
      <c r="AA67" s="349"/>
      <c r="AB67" s="349"/>
      <c r="AC67" s="349"/>
      <c r="AD67" s="349"/>
      <c r="AE67" s="349"/>
      <c r="AF67" s="349"/>
      <c r="AG67" s="349"/>
      <c r="AH67" s="349"/>
      <c r="AI67" s="349"/>
      <c r="AJ67" s="349"/>
      <c r="AK67" s="349"/>
      <c r="AL67" s="349"/>
      <c r="AM67" s="349"/>
      <c r="AN67" s="349"/>
      <c r="AO67" s="349"/>
      <c r="AP67" s="349"/>
      <c r="AQ67" s="349"/>
      <c r="AR67" s="349"/>
      <c r="AS67" s="349"/>
      <c r="AT67" s="349"/>
      <c r="AU67" s="349"/>
      <c r="AV67" s="349"/>
      <c r="AW67" s="349"/>
      <c r="AX67" s="349"/>
      <c r="AY67" s="349"/>
      <c r="AZ67" s="349"/>
      <c r="BA67" s="349"/>
      <c r="BB67" s="349"/>
      <c r="BC67" s="349"/>
      <c r="BD67" s="349"/>
      <c r="BE67" s="349"/>
      <c r="BF67" s="349"/>
      <c r="BG67" s="349"/>
      <c r="BH67" s="349"/>
      <c r="BI67" s="349"/>
      <c r="BJ67" s="349"/>
      <c r="BK67" s="349"/>
      <c r="BL67" s="349"/>
      <c r="BM67" s="349"/>
      <c r="BN67" s="349"/>
      <c r="BO67" s="349"/>
      <c r="BP67" s="349"/>
      <c r="BQ67" s="349"/>
      <c r="BR67" s="349"/>
      <c r="BS67" s="349"/>
      <c r="BT67" s="349"/>
      <c r="BU67" s="349"/>
      <c r="BV67" s="349"/>
      <c r="BW67" s="349"/>
      <c r="BX67" s="349"/>
      <c r="BY67" s="349"/>
      <c r="BZ67" s="349"/>
      <c r="CA67" s="349"/>
      <c r="CB67" s="349"/>
      <c r="CC67" s="349"/>
      <c r="CD67" s="349"/>
      <c r="CE67" s="349"/>
      <c r="CF67" s="349"/>
      <c r="CG67" s="349"/>
      <c r="CH67" s="349"/>
      <c r="CI67" s="349"/>
      <c r="CJ67" s="349"/>
      <c r="CK67" s="349"/>
      <c r="CL67" s="349"/>
      <c r="CM67" s="349"/>
      <c r="CN67" s="349"/>
      <c r="CO67" s="349"/>
      <c r="CP67" s="349"/>
      <c r="CQ67" s="349"/>
      <c r="CR67" s="349"/>
      <c r="CS67" s="349"/>
      <c r="CT67" s="349"/>
      <c r="CU67" s="349"/>
      <c r="CV67" s="349"/>
      <c r="CW67" s="349"/>
      <c r="CX67" s="349"/>
      <c r="CY67" s="349"/>
      <c r="CZ67" s="349"/>
      <c r="DA67" s="349"/>
      <c r="DB67" s="349"/>
      <c r="DC67" s="349"/>
      <c r="DD67" s="349"/>
      <c r="DE67" s="349"/>
      <c r="DF67" s="349"/>
      <c r="DG67" s="349"/>
      <c r="DH67" s="349"/>
      <c r="DI67" s="349"/>
      <c r="DJ67" s="349"/>
      <c r="DK67" s="349"/>
      <c r="DL67" s="349"/>
      <c r="DM67" s="349"/>
      <c r="DN67" s="349"/>
      <c r="DO67" s="349"/>
      <c r="DP67" s="349"/>
      <c r="DQ67" s="349"/>
      <c r="DR67" s="349"/>
      <c r="DS67" s="349"/>
      <c r="DT67" s="349"/>
      <c r="DU67" s="349"/>
      <c r="DV67" s="349"/>
      <c r="DW67" s="349"/>
      <c r="DX67" s="349"/>
      <c r="DY67" s="349"/>
      <c r="DZ67" s="349"/>
      <c r="EA67" s="349"/>
      <c r="EB67" s="349"/>
      <c r="EC67" s="349"/>
      <c r="ED67" s="349"/>
      <c r="EE67" s="349"/>
      <c r="EF67" s="349"/>
      <c r="EG67" s="349"/>
      <c r="EH67" s="349"/>
      <c r="EI67" s="349"/>
      <c r="EJ67" s="349"/>
      <c r="EK67" s="349"/>
      <c r="EL67" s="349"/>
      <c r="EM67" s="349"/>
      <c r="EN67" s="349"/>
      <c r="EO67" s="349"/>
      <c r="EP67" s="349"/>
      <c r="EQ67" s="349"/>
      <c r="ER67" s="349"/>
      <c r="ES67" s="349"/>
      <c r="ET67" s="349"/>
      <c r="EU67" s="349"/>
      <c r="EV67" s="349"/>
      <c r="EW67" s="349"/>
      <c r="EX67" s="349"/>
      <c r="EY67" s="349"/>
      <c r="EZ67" s="349"/>
      <c r="FA67" s="349"/>
      <c r="FB67" s="349"/>
      <c r="FC67" s="349"/>
      <c r="FD67" s="349"/>
      <c r="FE67" s="349"/>
      <c r="FF67" s="349"/>
      <c r="FG67" s="349"/>
      <c r="FH67" s="349"/>
      <c r="FI67" s="349"/>
      <c r="FJ67" s="349"/>
      <c r="FK67" s="349"/>
      <c r="FL67" s="349"/>
      <c r="FM67" s="349"/>
      <c r="FN67" s="349"/>
      <c r="FO67" s="349"/>
      <c r="FP67" s="349"/>
      <c r="FQ67" s="349"/>
      <c r="FR67" s="349"/>
      <c r="FS67" s="349"/>
      <c r="FT67" s="349"/>
      <c r="FU67" s="349"/>
      <c r="FV67" s="349"/>
      <c r="FW67" s="349"/>
      <c r="FX67" s="349"/>
      <c r="FY67" s="349"/>
      <c r="FZ67" s="349"/>
      <c r="GA67" s="349"/>
      <c r="GB67" s="349"/>
      <c r="GC67" s="349"/>
      <c r="GD67" s="349"/>
      <c r="GE67" s="349"/>
      <c r="GF67" s="349"/>
      <c r="GG67" s="349"/>
      <c r="GH67" s="349"/>
      <c r="GI67" s="349"/>
      <c r="GJ67" s="349"/>
      <c r="GK67" s="349"/>
      <c r="GL67" s="349"/>
      <c r="GM67" s="349"/>
      <c r="GN67" s="349"/>
      <c r="GO67" s="349"/>
      <c r="GP67" s="349"/>
      <c r="GQ67" s="349"/>
      <c r="GR67" s="349"/>
      <c r="GS67" s="349"/>
      <c r="GT67" s="349"/>
      <c r="GU67" s="349"/>
      <c r="GV67" s="349"/>
      <c r="GW67" s="349"/>
      <c r="GX67" s="349"/>
      <c r="GY67" s="349"/>
      <c r="GZ67" s="349"/>
      <c r="HA67" s="349"/>
      <c r="HB67" s="349"/>
      <c r="HC67" s="349"/>
      <c r="HD67" s="349"/>
      <c r="HE67" s="349"/>
      <c r="HF67" s="349"/>
      <c r="HG67" s="349"/>
      <c r="HH67" s="349"/>
      <c r="HI67" s="349"/>
      <c r="HJ67" s="349"/>
      <c r="HK67" s="349"/>
      <c r="HL67" s="349"/>
      <c r="HM67" s="349"/>
      <c r="HN67" s="349"/>
      <c r="HO67" s="349"/>
      <c r="HP67" s="349"/>
      <c r="HQ67" s="349"/>
      <c r="HR67" s="349"/>
      <c r="HS67" s="349"/>
      <c r="HT67" s="349"/>
      <c r="HU67" s="349"/>
      <c r="HV67" s="349"/>
      <c r="HW67" s="349"/>
      <c r="HX67" s="349"/>
      <c r="HY67" s="349"/>
      <c r="HZ67" s="349"/>
      <c r="IA67" s="349"/>
      <c r="IB67" s="349"/>
      <c r="IC67" s="349"/>
      <c r="ID67" s="349"/>
      <c r="IE67" s="349"/>
      <c r="IF67" s="349"/>
      <c r="IG67" s="349"/>
      <c r="IH67" s="349"/>
      <c r="II67" s="349"/>
      <c r="IJ67" s="349"/>
      <c r="IK67" s="349"/>
      <c r="IL67" s="349"/>
      <c r="IM67" s="349"/>
      <c r="IN67" s="349"/>
      <c r="IO67" s="349"/>
      <c r="IP67" s="349"/>
      <c r="IQ67" s="349"/>
      <c r="IR67" s="349"/>
      <c r="IS67" s="349"/>
      <c r="IT67" s="349"/>
      <c r="IU67" s="349"/>
      <c r="IV67" s="349"/>
      <c r="IW67" s="349"/>
      <c r="IX67" s="349"/>
      <c r="IY67" s="349"/>
      <c r="IZ67" s="349"/>
      <c r="JA67" s="349"/>
      <c r="JB67" s="349"/>
      <c r="JC67" s="349"/>
      <c r="JD67" s="349"/>
      <c r="JE67" s="349"/>
      <c r="JF67" s="349"/>
      <c r="JG67" s="349"/>
      <c r="JH67" s="349"/>
      <c r="JI67" s="349"/>
      <c r="JJ67" s="349"/>
      <c r="JK67" s="349"/>
      <c r="JL67" s="349"/>
      <c r="JM67" s="349"/>
      <c r="JN67" s="349"/>
      <c r="JO67" s="349"/>
      <c r="JP67" s="349"/>
      <c r="JQ67" s="349"/>
      <c r="JR67" s="349"/>
      <c r="JS67" s="349"/>
      <c r="JT67" s="349"/>
      <c r="JU67" s="349"/>
      <c r="JV67" s="349"/>
      <c r="JW67" s="349"/>
      <c r="JX67" s="349"/>
      <c r="JY67" s="349"/>
      <c r="JZ67" s="349"/>
      <c r="KA67" s="349"/>
      <c r="KB67" s="349"/>
      <c r="KC67" s="349"/>
      <c r="KD67" s="349"/>
      <c r="KE67" s="349"/>
      <c r="KF67" s="349"/>
      <c r="KG67" s="349"/>
      <c r="KH67" s="349"/>
      <c r="KI67" s="349"/>
      <c r="KJ67" s="349"/>
      <c r="KK67" s="349"/>
      <c r="KL67" s="349"/>
      <c r="KM67" s="349"/>
      <c r="KN67" s="349"/>
      <c r="KO67" s="349"/>
      <c r="KP67" s="349"/>
      <c r="KQ67" s="349"/>
      <c r="KR67" s="349"/>
      <c r="KS67" s="349"/>
      <c r="KT67" s="349"/>
      <c r="KU67" s="349"/>
      <c r="KV67" s="349"/>
      <c r="KW67" s="349"/>
      <c r="KX67" s="349"/>
      <c r="KY67" s="349"/>
      <c r="KZ67" s="349"/>
      <c r="LA67" s="349"/>
      <c r="LB67" s="349"/>
      <c r="LC67" s="349"/>
      <c r="LD67" s="349"/>
      <c r="LE67" s="349"/>
      <c r="LF67" s="349"/>
      <c r="LG67" s="349"/>
      <c r="LH67" s="349"/>
      <c r="LI67" s="349"/>
      <c r="LJ67" s="349"/>
      <c r="LK67" s="349"/>
      <c r="LL67" s="349"/>
      <c r="LM67" s="349"/>
      <c r="LN67" s="349"/>
      <c r="LO67" s="349"/>
      <c r="LP67" s="349"/>
      <c r="LQ67" s="349"/>
      <c r="LR67" s="349"/>
      <c r="LS67" s="349"/>
      <c r="LT67" s="349"/>
      <c r="LU67" s="349"/>
      <c r="LV67" s="349"/>
      <c r="LW67" s="349"/>
      <c r="LX67" s="349"/>
      <c r="LY67" s="349"/>
      <c r="LZ67" s="349"/>
      <c r="MA67" s="349"/>
      <c r="MB67" s="349"/>
      <c r="MC67" s="349"/>
      <c r="MD67" s="349"/>
      <c r="ME67" s="349"/>
      <c r="MF67" s="349"/>
      <c r="MG67" s="349"/>
      <c r="MH67" s="349"/>
      <c r="MI67" s="349"/>
      <c r="MJ67" s="349"/>
      <c r="MK67" s="349"/>
      <c r="ML67" s="349"/>
      <c r="MM67" s="349"/>
      <c r="MN67" s="349"/>
      <c r="MO67" s="349"/>
      <c r="MP67" s="349"/>
      <c r="MQ67" s="349"/>
      <c r="MR67" s="349"/>
      <c r="MS67" s="349"/>
      <c r="MT67" s="349"/>
      <c r="MU67" s="349"/>
      <c r="MV67" s="349"/>
      <c r="MW67" s="349"/>
      <c r="MX67" s="349"/>
      <c r="MY67" s="349"/>
      <c r="MZ67" s="349"/>
      <c r="NA67" s="349"/>
      <c r="NB67" s="349"/>
      <c r="NC67" s="349"/>
      <c r="ND67" s="349"/>
      <c r="NE67" s="349"/>
      <c r="NF67" s="349"/>
      <c r="NG67" s="349"/>
      <c r="NH67" s="349"/>
      <c r="NI67" s="349"/>
      <c r="NJ67" s="349"/>
      <c r="NK67" s="349"/>
      <c r="NL67" s="349"/>
      <c r="NM67" s="349"/>
      <c r="NN67" s="349"/>
      <c r="NO67" s="349"/>
      <c r="NP67" s="349"/>
      <c r="NQ67" s="349"/>
      <c r="NR67" s="349"/>
      <c r="NS67" s="349"/>
      <c r="NT67" s="349"/>
      <c r="NU67" s="349"/>
      <c r="NV67" s="349"/>
      <c r="NW67" s="349"/>
      <c r="NX67" s="349"/>
      <c r="NY67" s="349"/>
      <c r="NZ67" s="349"/>
      <c r="OA67" s="349"/>
      <c r="OB67" s="349"/>
      <c r="OC67" s="349"/>
      <c r="OD67" s="349"/>
      <c r="OE67" s="349"/>
      <c r="OF67" s="349"/>
      <c r="OG67" s="349"/>
      <c r="OH67" s="349"/>
      <c r="OI67" s="349"/>
      <c r="OJ67" s="349"/>
      <c r="OK67" s="349"/>
      <c r="OL67" s="349"/>
      <c r="OM67" s="349"/>
      <c r="ON67" s="349"/>
      <c r="OO67" s="349"/>
      <c r="OP67" s="349"/>
      <c r="OQ67" s="349"/>
      <c r="OR67" s="349"/>
      <c r="OS67" s="349"/>
      <c r="OT67" s="349"/>
      <c r="OU67" s="349"/>
      <c r="OV67" s="349"/>
      <c r="OW67" s="349"/>
      <c r="OX67" s="349"/>
      <c r="OY67" s="349"/>
      <c r="OZ67" s="349"/>
      <c r="PA67" s="349"/>
      <c r="PB67" s="349"/>
      <c r="PC67" s="349"/>
      <c r="PD67" s="349"/>
      <c r="PE67" s="349"/>
      <c r="PF67" s="349"/>
      <c r="PG67" s="349"/>
      <c r="PH67" s="349"/>
      <c r="PI67" s="349"/>
      <c r="PJ67" s="349"/>
      <c r="PK67" s="349"/>
      <c r="PL67" s="349"/>
      <c r="PM67" s="349"/>
      <c r="PN67" s="349"/>
      <c r="PO67" s="349"/>
      <c r="PP67" s="349"/>
      <c r="PQ67" s="349"/>
      <c r="PR67" s="349"/>
      <c r="PS67" s="349"/>
      <c r="PT67" s="349"/>
      <c r="PU67" s="349"/>
      <c r="PV67" s="349"/>
      <c r="PW67" s="349"/>
      <c r="PX67" s="349"/>
      <c r="PY67" s="349"/>
      <c r="PZ67" s="349"/>
      <c r="QA67" s="349"/>
      <c r="QB67" s="349"/>
      <c r="QC67" s="349"/>
      <c r="QD67" s="349"/>
      <c r="QE67" s="349"/>
      <c r="QF67" s="349"/>
      <c r="QG67" s="349"/>
      <c r="QH67" s="349"/>
      <c r="QI67" s="349"/>
      <c r="QJ67" s="349"/>
      <c r="QK67" s="349"/>
      <c r="QL67" s="349"/>
      <c r="QM67" s="349"/>
      <c r="QN67" s="349"/>
      <c r="QO67" s="349"/>
      <c r="QP67" s="349"/>
      <c r="QQ67" s="349"/>
      <c r="QR67" s="349"/>
      <c r="QS67" s="349"/>
      <c r="QT67" s="349"/>
      <c r="QU67" s="349"/>
      <c r="QV67" s="349"/>
      <c r="QW67" s="349"/>
      <c r="QX67" s="349"/>
      <c r="QY67" s="349"/>
      <c r="QZ67" s="349"/>
      <c r="RA67" s="349"/>
      <c r="RB67" s="349"/>
      <c r="RC67" s="349"/>
      <c r="RD67" s="349"/>
      <c r="RE67" s="349"/>
      <c r="RF67" s="349"/>
      <c r="RG67" s="349"/>
      <c r="RH67" s="349"/>
      <c r="RI67" s="349"/>
      <c r="RJ67" s="349"/>
      <c r="RK67" s="349"/>
      <c r="RL67" s="349"/>
      <c r="RM67" s="349"/>
      <c r="RN67" s="349"/>
      <c r="RO67" s="349"/>
      <c r="RP67" s="349"/>
      <c r="RQ67" s="349"/>
      <c r="RR67" s="349"/>
      <c r="RS67" s="349"/>
      <c r="RT67" s="349"/>
      <c r="RU67" s="349"/>
      <c r="RV67" s="349"/>
      <c r="RW67" s="349"/>
      <c r="RX67" s="349"/>
      <c r="RY67" s="349"/>
      <c r="RZ67" s="349"/>
      <c r="SA67" s="349"/>
      <c r="SB67" s="349"/>
      <c r="SC67" s="349"/>
      <c r="SD67" s="349"/>
      <c r="SE67" s="349"/>
      <c r="SF67" s="349"/>
      <c r="SG67" s="349"/>
      <c r="SH67" s="349"/>
      <c r="SI67" s="349"/>
      <c r="SJ67" s="349"/>
      <c r="SK67" s="349"/>
      <c r="SL67" s="349"/>
      <c r="SM67" s="349"/>
      <c r="SN67" s="349"/>
      <c r="SO67" s="349"/>
      <c r="SP67" s="349"/>
      <c r="SQ67" s="349"/>
      <c r="SR67" s="349"/>
      <c r="SS67" s="349"/>
      <c r="ST67" s="349"/>
      <c r="SU67" s="349"/>
      <c r="SV67" s="349"/>
      <c r="SW67" s="349"/>
      <c r="SX67" s="349"/>
      <c r="SY67" s="349"/>
      <c r="SZ67" s="349"/>
      <c r="TA67" s="349"/>
      <c r="TB67" s="349"/>
      <c r="TC67" s="349"/>
      <c r="TD67" s="349"/>
      <c r="TE67" s="349"/>
      <c r="TF67" s="349"/>
      <c r="TG67" s="349"/>
      <c r="TH67" s="349"/>
      <c r="TI67" s="349"/>
      <c r="TJ67" s="349"/>
      <c r="TK67" s="349"/>
      <c r="TL67" s="349"/>
      <c r="TM67" s="349"/>
      <c r="TN67" s="349"/>
      <c r="TO67" s="349"/>
      <c r="TP67" s="349"/>
      <c r="TQ67" s="349"/>
      <c r="TR67" s="349"/>
      <c r="TS67" s="349"/>
      <c r="TT67" s="349"/>
      <c r="TU67" s="349"/>
      <c r="TV67" s="349"/>
      <c r="TW67" s="349"/>
      <c r="TX67" s="349"/>
      <c r="TY67" s="349"/>
      <c r="TZ67" s="349"/>
      <c r="UA67" s="349"/>
      <c r="UB67" s="349"/>
      <c r="UC67" s="349"/>
      <c r="UD67" s="349"/>
      <c r="UE67" s="349"/>
      <c r="UF67" s="349"/>
      <c r="UG67" s="349"/>
      <c r="UH67" s="349"/>
      <c r="UI67" s="349"/>
      <c r="UJ67" s="349"/>
      <c r="UK67" s="349"/>
      <c r="UL67" s="349"/>
      <c r="UM67" s="349"/>
      <c r="UN67" s="349"/>
      <c r="UO67" s="349"/>
      <c r="UP67" s="349"/>
      <c r="UQ67" s="349"/>
      <c r="UR67" s="349"/>
      <c r="US67" s="349"/>
      <c r="UT67" s="349"/>
      <c r="UU67" s="349"/>
      <c r="UV67" s="349"/>
      <c r="UW67" s="349"/>
      <c r="UX67" s="349"/>
      <c r="UY67" s="349"/>
      <c r="UZ67" s="349"/>
      <c r="VA67" s="349"/>
      <c r="VB67" s="349"/>
      <c r="VC67" s="349"/>
      <c r="VD67" s="349"/>
      <c r="VE67" s="349"/>
      <c r="VF67" s="349"/>
      <c r="VG67" s="349"/>
      <c r="VH67" s="349"/>
      <c r="VI67" s="349"/>
      <c r="VJ67" s="349"/>
      <c r="VK67" s="349"/>
      <c r="VL67" s="349"/>
      <c r="VM67" s="349"/>
      <c r="VN67" s="349"/>
      <c r="VO67" s="349"/>
      <c r="VP67" s="349"/>
      <c r="VQ67" s="349"/>
      <c r="VR67" s="349"/>
      <c r="VS67" s="349"/>
      <c r="VT67" s="349"/>
      <c r="VU67" s="349"/>
      <c r="VV67" s="349"/>
      <c r="VW67" s="349"/>
      <c r="VX67" s="349"/>
      <c r="VY67" s="349"/>
      <c r="VZ67" s="349"/>
      <c r="WA67" s="349"/>
      <c r="WB67" s="349"/>
      <c r="WC67" s="349"/>
      <c r="WD67" s="349"/>
      <c r="WE67" s="349"/>
      <c r="WF67" s="349"/>
      <c r="WG67" s="349"/>
      <c r="WH67" s="349"/>
      <c r="WI67" s="349"/>
      <c r="WJ67" s="349"/>
      <c r="WK67" s="349"/>
      <c r="WL67" s="349"/>
      <c r="WM67" s="349"/>
      <c r="WN67" s="349"/>
      <c r="WO67" s="349"/>
      <c r="WP67" s="349"/>
      <c r="WQ67" s="349"/>
      <c r="WR67" s="349"/>
      <c r="WS67" s="349"/>
      <c r="WT67" s="349"/>
      <c r="WU67" s="349"/>
      <c r="WV67" s="349"/>
      <c r="WW67" s="349"/>
      <c r="WX67" s="349"/>
      <c r="WY67" s="349"/>
      <c r="WZ67" s="349"/>
      <c r="XA67" s="349"/>
      <c r="XB67" s="349"/>
      <c r="XC67" s="349"/>
      <c r="XD67" s="349"/>
      <c r="XE67" s="349"/>
      <c r="XF67" s="349"/>
      <c r="XG67" s="349"/>
      <c r="XH67" s="349"/>
      <c r="XI67" s="349"/>
      <c r="XJ67" s="349"/>
      <c r="XK67" s="349"/>
      <c r="XL67" s="349"/>
      <c r="XM67" s="349"/>
      <c r="XN67" s="349"/>
      <c r="XO67" s="349"/>
      <c r="XP67" s="349"/>
      <c r="XQ67" s="349"/>
      <c r="XR67" s="349"/>
      <c r="XS67" s="349"/>
      <c r="XT67" s="349"/>
      <c r="XU67" s="349"/>
      <c r="XV67" s="349"/>
      <c r="XW67" s="349"/>
      <c r="XX67" s="349"/>
      <c r="XY67" s="349"/>
      <c r="XZ67" s="349"/>
      <c r="YA67" s="349"/>
      <c r="YB67" s="349"/>
      <c r="YC67" s="349"/>
      <c r="YD67" s="349"/>
      <c r="YE67" s="349"/>
      <c r="YF67" s="349"/>
      <c r="YG67" s="349"/>
      <c r="YH67" s="349"/>
      <c r="YI67" s="349"/>
      <c r="YJ67" s="349"/>
      <c r="YK67" s="349"/>
      <c r="YL67" s="349"/>
      <c r="YM67" s="349"/>
      <c r="YN67" s="349"/>
      <c r="YO67" s="349"/>
      <c r="YP67" s="349"/>
      <c r="YQ67" s="349"/>
      <c r="YR67" s="349"/>
      <c r="YS67" s="349"/>
      <c r="YT67" s="349"/>
      <c r="YU67" s="349"/>
      <c r="YV67" s="349"/>
      <c r="YW67" s="349"/>
      <c r="YX67" s="349"/>
      <c r="YY67" s="349"/>
      <c r="YZ67" s="349"/>
      <c r="ZA67" s="349"/>
      <c r="ZB67" s="349"/>
      <c r="ZC67" s="349"/>
      <c r="ZD67" s="349"/>
      <c r="ZE67" s="349"/>
      <c r="ZF67" s="349"/>
      <c r="ZG67" s="349"/>
      <c r="ZH67" s="349"/>
      <c r="ZI67" s="349"/>
      <c r="ZJ67" s="349"/>
      <c r="ZK67" s="349"/>
      <c r="ZL67" s="349"/>
      <c r="ZM67" s="349"/>
      <c r="ZN67" s="349"/>
      <c r="ZO67" s="349"/>
      <c r="ZP67" s="349"/>
      <c r="ZQ67" s="349"/>
      <c r="ZR67" s="349"/>
      <c r="ZS67" s="349"/>
      <c r="ZT67" s="349"/>
      <c r="ZU67" s="349"/>
      <c r="ZV67" s="349"/>
      <c r="ZW67" s="349"/>
      <c r="ZX67" s="349"/>
      <c r="ZY67" s="349"/>
      <c r="ZZ67" s="349"/>
      <c r="AAA67" s="349"/>
      <c r="AAB67" s="349"/>
      <c r="AAC67" s="349"/>
      <c r="AAD67" s="349"/>
      <c r="AAE67" s="349"/>
      <c r="AAF67" s="349"/>
      <c r="AAG67" s="349"/>
      <c r="AAH67" s="349"/>
      <c r="AAI67" s="349"/>
      <c r="AAJ67" s="349"/>
      <c r="AAK67" s="349"/>
      <c r="AAL67" s="349"/>
      <c r="AAM67" s="349"/>
      <c r="AAN67" s="349"/>
      <c r="AAO67" s="349"/>
      <c r="AAP67" s="349"/>
      <c r="AAQ67" s="349"/>
      <c r="AAR67" s="349"/>
      <c r="AAS67" s="349"/>
      <c r="AAT67" s="349"/>
      <c r="AAU67" s="349"/>
      <c r="AAV67" s="349"/>
      <c r="AAW67" s="349"/>
      <c r="AAX67" s="349"/>
      <c r="AAY67" s="349"/>
      <c r="AAZ67" s="349"/>
      <c r="ABA67" s="349"/>
      <c r="ABB67" s="349"/>
      <c r="ABC67" s="349"/>
      <c r="ABD67" s="349"/>
      <c r="ABE67" s="349"/>
      <c r="ABF67" s="349"/>
      <c r="ABG67" s="349"/>
      <c r="ABH67" s="349"/>
      <c r="ABI67" s="349"/>
      <c r="ABJ67" s="349"/>
      <c r="ABK67" s="349"/>
      <c r="ABL67" s="349"/>
      <c r="ABM67" s="349"/>
      <c r="ABN67" s="349"/>
      <c r="ABO67" s="349"/>
      <c r="ABP67" s="349"/>
      <c r="ABQ67" s="349"/>
      <c r="ABR67" s="349"/>
      <c r="ABS67" s="349"/>
      <c r="ABT67" s="349"/>
      <c r="ABU67" s="349"/>
      <c r="ABV67" s="349"/>
      <c r="ABW67" s="349"/>
      <c r="ABX67" s="349"/>
      <c r="ABY67" s="349"/>
      <c r="ABZ67" s="349"/>
      <c r="ACA67" s="349"/>
      <c r="ACB67" s="349"/>
      <c r="ACC67" s="349"/>
      <c r="ACD67" s="349"/>
      <c r="ACE67" s="349"/>
      <c r="ACF67" s="349"/>
      <c r="ACG67" s="349"/>
      <c r="ACH67" s="349"/>
      <c r="ACI67" s="349"/>
      <c r="ACJ67" s="349"/>
      <c r="ACK67" s="349"/>
      <c r="ACL67" s="349"/>
      <c r="ACM67" s="349"/>
      <c r="ACN67" s="349"/>
      <c r="ACO67" s="349"/>
      <c r="ACP67" s="349"/>
      <c r="ACQ67" s="349"/>
      <c r="ACR67" s="349"/>
      <c r="ACS67" s="349"/>
      <c r="ACT67" s="349"/>
      <c r="ACU67" s="349"/>
      <c r="ACV67" s="349"/>
      <c r="ACW67" s="349"/>
      <c r="ACX67" s="349"/>
      <c r="ACY67" s="349"/>
      <c r="ACZ67" s="349"/>
      <c r="ADA67" s="349"/>
      <c r="ADB67" s="349"/>
      <c r="ADC67" s="349"/>
      <c r="ADD67" s="349"/>
      <c r="ADE67" s="349"/>
      <c r="ADF67" s="349"/>
      <c r="ADG67" s="349"/>
      <c r="ADH67" s="349"/>
      <c r="ADI67" s="349"/>
      <c r="ADJ67" s="349"/>
      <c r="ADK67" s="349"/>
      <c r="ADL67" s="349"/>
      <c r="ADM67" s="349"/>
      <c r="ADN67" s="349"/>
      <c r="ADO67" s="349"/>
      <c r="ADP67" s="349"/>
      <c r="ADQ67" s="349"/>
      <c r="ADR67" s="349"/>
      <c r="ADS67" s="349"/>
      <c r="ADT67" s="349"/>
      <c r="ADU67" s="349"/>
      <c r="ADV67" s="349"/>
      <c r="ADW67" s="349"/>
      <c r="ADX67" s="349"/>
      <c r="ADY67" s="349"/>
      <c r="ADZ67" s="349"/>
      <c r="AEA67" s="349"/>
      <c r="AEB67" s="349"/>
      <c r="AEC67" s="349"/>
      <c r="AED67" s="349"/>
      <c r="AEE67" s="349"/>
      <c r="AEF67" s="349"/>
      <c r="AEG67" s="349"/>
      <c r="AEH67" s="349"/>
      <c r="AEI67" s="349"/>
      <c r="AEJ67" s="349"/>
      <c r="AEK67" s="349"/>
      <c r="AEL67" s="349"/>
      <c r="AEM67" s="349"/>
      <c r="AEN67" s="349"/>
      <c r="AEO67" s="349"/>
      <c r="AEP67" s="349"/>
      <c r="AEQ67" s="349"/>
      <c r="AER67" s="349"/>
      <c r="AES67" s="349"/>
      <c r="AET67" s="349"/>
      <c r="AEU67" s="349"/>
      <c r="AEV67" s="349"/>
      <c r="AEW67" s="349"/>
      <c r="AEX67" s="349"/>
      <c r="AEY67" s="349"/>
      <c r="AEZ67" s="349"/>
      <c r="AFA67" s="349"/>
      <c r="AFB67" s="349"/>
      <c r="AFC67" s="349"/>
      <c r="AFD67" s="349"/>
      <c r="AFE67" s="349"/>
      <c r="AFF67" s="349"/>
      <c r="AFG67" s="349"/>
      <c r="AFH67" s="349"/>
      <c r="AFI67" s="349"/>
      <c r="AFJ67" s="349"/>
      <c r="AFK67" s="349"/>
      <c r="AFL67" s="349"/>
      <c r="AFM67" s="349"/>
      <c r="AFN67" s="349"/>
      <c r="AFO67" s="349"/>
      <c r="AFP67" s="349"/>
      <c r="AFQ67" s="349"/>
      <c r="AFR67" s="349"/>
      <c r="AFS67" s="349"/>
      <c r="AFT67" s="349"/>
      <c r="AFU67" s="349"/>
      <c r="AFV67" s="349"/>
      <c r="AFW67" s="349"/>
      <c r="AFX67" s="349"/>
      <c r="AFY67" s="349"/>
      <c r="AFZ67" s="349"/>
      <c r="AGA67" s="349"/>
      <c r="AGB67" s="349"/>
      <c r="AGC67" s="349"/>
      <c r="AGD67" s="349"/>
      <c r="AGE67" s="349"/>
      <c r="AGF67" s="349"/>
      <c r="AGG67" s="349"/>
      <c r="AGH67" s="349"/>
      <c r="AGI67" s="349"/>
      <c r="AGJ67" s="349"/>
      <c r="AGK67" s="349"/>
      <c r="AGL67" s="349"/>
      <c r="AGM67" s="349"/>
      <c r="AGN67" s="349"/>
      <c r="AGO67" s="349"/>
      <c r="AGP67" s="349"/>
      <c r="AGQ67" s="349"/>
      <c r="AGR67" s="349"/>
      <c r="AGS67" s="349"/>
      <c r="AGT67" s="349"/>
      <c r="AGU67" s="349"/>
      <c r="AGV67" s="349"/>
      <c r="AGW67" s="349"/>
      <c r="AGX67" s="349"/>
      <c r="AGY67" s="349"/>
      <c r="AGZ67" s="349"/>
      <c r="AHA67" s="349"/>
      <c r="AHB67" s="349"/>
      <c r="AHC67" s="349"/>
      <c r="AHD67" s="349"/>
      <c r="AHE67" s="349"/>
      <c r="AHF67" s="349"/>
      <c r="AHG67" s="349"/>
      <c r="AHH67" s="349"/>
      <c r="AHI67" s="349"/>
      <c r="AHJ67" s="349"/>
      <c r="AHK67" s="349"/>
      <c r="AHL67" s="349"/>
      <c r="AHM67" s="349"/>
      <c r="AHN67" s="349"/>
      <c r="AHO67" s="349"/>
      <c r="AHP67" s="349"/>
      <c r="AHQ67" s="349"/>
      <c r="AHR67" s="349"/>
      <c r="AHS67" s="349"/>
      <c r="AHT67" s="349"/>
      <c r="AHU67" s="349"/>
      <c r="AHV67" s="349"/>
      <c r="AHW67" s="349"/>
      <c r="AHX67" s="349"/>
      <c r="AHY67" s="349"/>
      <c r="AHZ67" s="349"/>
      <c r="AIA67" s="349"/>
      <c r="AIB67" s="349"/>
      <c r="AIC67" s="349"/>
      <c r="AID67" s="349"/>
      <c r="AIE67" s="349"/>
      <c r="AIF67" s="349"/>
      <c r="AIG67" s="349"/>
      <c r="AIH67" s="349"/>
      <c r="AII67" s="349"/>
      <c r="AIJ67" s="349"/>
      <c r="AIK67" s="349"/>
      <c r="AIL67" s="349"/>
      <c r="AIM67" s="349"/>
      <c r="AIN67" s="349"/>
      <c r="AIO67" s="349"/>
      <c r="AIP67" s="349"/>
      <c r="AIQ67" s="349"/>
      <c r="AIR67" s="349"/>
      <c r="AIS67" s="349"/>
      <c r="AIT67" s="349"/>
      <c r="AIU67" s="349"/>
      <c r="AIV67" s="349"/>
      <c r="AIW67" s="349"/>
      <c r="AIX67" s="349"/>
      <c r="AIY67" s="349"/>
      <c r="AIZ67" s="349"/>
      <c r="AJA67" s="349"/>
      <c r="AJB67" s="349"/>
      <c r="AJC67" s="349"/>
      <c r="AJD67" s="349"/>
      <c r="AJE67" s="349"/>
      <c r="AJF67" s="349"/>
      <c r="AJG67" s="349"/>
      <c r="AJH67" s="349"/>
      <c r="AJI67" s="349"/>
      <c r="AJJ67" s="349"/>
      <c r="AJK67" s="349"/>
      <c r="AJL67" s="349"/>
      <c r="AJM67" s="349"/>
      <c r="AJN67" s="349"/>
      <c r="AJO67" s="349"/>
      <c r="AJP67" s="349"/>
      <c r="AJQ67" s="349"/>
      <c r="AJR67" s="349"/>
      <c r="AJS67" s="349"/>
      <c r="AJT67" s="349"/>
      <c r="AJU67" s="349"/>
      <c r="AJV67" s="349"/>
      <c r="AJW67" s="349"/>
      <c r="AJX67" s="349"/>
      <c r="AJY67" s="349"/>
      <c r="AJZ67" s="349"/>
      <c r="AKA67" s="349"/>
      <c r="AKB67" s="349"/>
      <c r="AKC67" s="349"/>
      <c r="AKD67" s="349"/>
      <c r="AKE67" s="349"/>
      <c r="AKF67" s="349"/>
      <c r="AKG67" s="349"/>
      <c r="AKH67" s="349"/>
      <c r="AKI67" s="349"/>
      <c r="AKJ67" s="349"/>
      <c r="AKK67" s="349"/>
      <c r="AKL67" s="349"/>
      <c r="AKM67" s="349"/>
      <c r="AKN67" s="349"/>
      <c r="AKO67" s="349"/>
      <c r="AKP67" s="349"/>
      <c r="AKQ67" s="349"/>
      <c r="AKR67" s="349"/>
      <c r="AKS67" s="349"/>
      <c r="AKT67" s="349"/>
      <c r="AKU67" s="349"/>
      <c r="AKV67" s="349"/>
      <c r="AKW67" s="349"/>
      <c r="AKX67" s="349"/>
      <c r="AKY67" s="349"/>
      <c r="AKZ67" s="349"/>
      <c r="ALA67" s="349"/>
      <c r="ALB67" s="349"/>
      <c r="ALC67" s="349"/>
      <c r="ALD67" s="349"/>
      <c r="ALE67" s="349"/>
      <c r="ALF67" s="349"/>
      <c r="ALG67" s="349"/>
      <c r="ALH67" s="349"/>
      <c r="ALI67" s="349"/>
      <c r="ALJ67" s="349"/>
      <c r="ALK67" s="349"/>
      <c r="ALL67" s="349"/>
      <c r="ALM67" s="349"/>
      <c r="ALN67" s="349"/>
      <c r="ALO67" s="349"/>
      <c r="ALP67" s="349"/>
      <c r="ALQ67" s="349"/>
      <c r="ALR67" s="349"/>
      <c r="ALS67" s="349"/>
      <c r="ALT67" s="349"/>
      <c r="ALU67" s="349"/>
      <c r="ALV67" s="349"/>
      <c r="ALW67" s="349"/>
      <c r="ALX67" s="349"/>
      <c r="ALY67" s="349"/>
      <c r="ALZ67" s="349"/>
      <c r="AMA67" s="349"/>
      <c r="AMB67" s="349"/>
      <c r="AMC67" s="349"/>
      <c r="AMD67" s="349"/>
      <c r="AME67" s="349"/>
      <c r="AMF67" s="349"/>
      <c r="AMG67" s="349"/>
      <c r="AMH67" s="349"/>
      <c r="AMI67" s="349"/>
      <c r="AMJ67" s="349"/>
      <c r="AMK67" s="349"/>
      <c r="AML67" s="349"/>
      <c r="AMM67" s="349"/>
      <c r="AMN67" s="349"/>
      <c r="AMO67" s="349"/>
      <c r="AMP67" s="349"/>
      <c r="AMQ67" s="349"/>
      <c r="AMR67" s="349"/>
      <c r="AMS67" s="349"/>
      <c r="AMT67" s="349"/>
      <c r="AMU67" s="349"/>
      <c r="AMV67" s="349"/>
      <c r="AMW67" s="349"/>
      <c r="AMX67" s="349"/>
      <c r="AMY67" s="349"/>
      <c r="AMZ67" s="349"/>
      <c r="ANA67" s="349"/>
      <c r="ANB67" s="349"/>
      <c r="ANC67" s="349"/>
      <c r="AND67" s="349"/>
      <c r="ANE67" s="349"/>
      <c r="ANF67" s="349"/>
      <c r="ANG67" s="349"/>
      <c r="ANH67" s="349"/>
      <c r="ANI67" s="349"/>
      <c r="ANJ67" s="349"/>
      <c r="ANK67" s="349"/>
      <c r="ANL67" s="349"/>
      <c r="ANM67" s="349"/>
      <c r="ANN67" s="349"/>
      <c r="ANO67" s="349"/>
      <c r="ANP67" s="349"/>
      <c r="ANQ67" s="349"/>
      <c r="ANR67" s="349"/>
      <c r="ANS67" s="349"/>
      <c r="ANT67" s="349"/>
      <c r="ANU67" s="349"/>
      <c r="ANV67" s="349"/>
      <c r="ANW67" s="349"/>
      <c r="ANX67" s="349"/>
      <c r="ANY67" s="349"/>
      <c r="ANZ67" s="349"/>
      <c r="AOA67" s="349"/>
      <c r="AOB67" s="349"/>
      <c r="AOC67" s="349"/>
      <c r="AOD67" s="349"/>
      <c r="AOE67" s="349"/>
      <c r="AOF67" s="349"/>
      <c r="AOG67" s="349"/>
      <c r="AOH67" s="349"/>
      <c r="AOI67" s="349"/>
      <c r="AOJ67" s="349"/>
      <c r="AOK67" s="349"/>
      <c r="AOL67" s="349"/>
      <c r="AOM67" s="349"/>
      <c r="AON67" s="349"/>
      <c r="AOO67" s="349"/>
      <c r="AOP67" s="349"/>
      <c r="AOQ67" s="349"/>
      <c r="AOR67" s="349"/>
      <c r="AOS67" s="349"/>
      <c r="AOT67" s="349"/>
      <c r="AOU67" s="349"/>
      <c r="AOV67" s="349"/>
      <c r="AOW67" s="349"/>
      <c r="AOX67" s="349"/>
      <c r="AOY67" s="349"/>
      <c r="AOZ67" s="349"/>
      <c r="APA67" s="349"/>
      <c r="APB67" s="349"/>
      <c r="APC67" s="349"/>
      <c r="APD67" s="349"/>
      <c r="APE67" s="349"/>
      <c r="APF67" s="349"/>
      <c r="APG67" s="349"/>
      <c r="APH67" s="349"/>
      <c r="API67" s="349"/>
      <c r="APJ67" s="349"/>
      <c r="APK67" s="349"/>
      <c r="APL67" s="349"/>
      <c r="APM67" s="349"/>
      <c r="APN67" s="349"/>
      <c r="APO67" s="349"/>
      <c r="APP67" s="349"/>
      <c r="APQ67" s="349"/>
      <c r="APR67" s="349"/>
      <c r="APS67" s="349"/>
      <c r="APT67" s="349"/>
      <c r="APU67" s="349"/>
      <c r="APV67" s="349"/>
      <c r="APW67" s="349"/>
      <c r="APX67" s="349"/>
      <c r="APY67" s="349"/>
      <c r="APZ67" s="349"/>
      <c r="AQA67" s="349"/>
      <c r="AQB67" s="349"/>
      <c r="AQC67" s="349"/>
      <c r="AQD67" s="349"/>
      <c r="AQE67" s="349"/>
      <c r="AQF67" s="349"/>
      <c r="AQG67" s="349"/>
      <c r="AQH67" s="349"/>
      <c r="AQI67" s="349"/>
      <c r="AQJ67" s="349"/>
      <c r="AQK67" s="349"/>
      <c r="AQL67" s="349"/>
      <c r="AQM67" s="349"/>
      <c r="AQN67" s="349"/>
      <c r="AQO67" s="349"/>
      <c r="AQP67" s="349"/>
      <c r="AQQ67" s="349"/>
      <c r="AQR67" s="349"/>
      <c r="AQS67" s="349"/>
      <c r="AQT67" s="349"/>
      <c r="AQU67" s="349"/>
      <c r="AQV67" s="349"/>
      <c r="AQW67" s="349"/>
      <c r="AQX67" s="349"/>
      <c r="AQY67" s="349"/>
      <c r="AQZ67" s="349"/>
      <c r="ARA67" s="349"/>
      <c r="ARB67" s="349"/>
      <c r="ARC67" s="349"/>
      <c r="ARD67" s="349"/>
      <c r="ARE67" s="349"/>
      <c r="ARF67" s="349"/>
      <c r="ARG67" s="349"/>
      <c r="ARH67" s="349"/>
      <c r="ARI67" s="349"/>
      <c r="ARJ67" s="349"/>
      <c r="ARK67" s="349"/>
      <c r="ARL67" s="349"/>
      <c r="ARM67" s="349"/>
      <c r="ARN67" s="349"/>
      <c r="ARO67" s="349"/>
      <c r="ARP67" s="349"/>
      <c r="ARQ67" s="349"/>
      <c r="ARR67" s="349"/>
      <c r="ARS67" s="349"/>
      <c r="ART67" s="349"/>
      <c r="ARU67" s="349"/>
      <c r="ARV67" s="349"/>
      <c r="ARW67" s="349"/>
      <c r="ARX67" s="349"/>
      <c r="ARY67" s="349"/>
      <c r="ARZ67" s="349"/>
      <c r="ASA67" s="349"/>
      <c r="ASB67" s="349"/>
      <c r="ASC67" s="349"/>
      <c r="ASD67" s="349"/>
      <c r="ASE67" s="349"/>
      <c r="ASF67" s="349"/>
      <c r="ASG67" s="349"/>
      <c r="ASH67" s="349"/>
      <c r="ASI67" s="349"/>
      <c r="ASJ67" s="349"/>
      <c r="ASK67" s="349"/>
      <c r="ASL67" s="349"/>
      <c r="ASM67" s="349"/>
      <c r="ASN67" s="349"/>
      <c r="ASO67" s="349"/>
      <c r="ASP67" s="349"/>
      <c r="ASQ67" s="349"/>
      <c r="ASR67" s="349"/>
      <c r="ASS67" s="349"/>
      <c r="AST67" s="349"/>
      <c r="ASU67" s="349"/>
      <c r="ASV67" s="349"/>
      <c r="ASW67" s="349"/>
      <c r="ASX67" s="349"/>
      <c r="ASY67" s="349"/>
      <c r="ASZ67" s="349"/>
      <c r="ATA67" s="349"/>
      <c r="ATB67" s="349"/>
      <c r="ATC67" s="349"/>
      <c r="ATD67" s="349"/>
      <c r="ATE67" s="349"/>
      <c r="ATF67" s="349"/>
      <c r="ATG67" s="349"/>
      <c r="ATH67" s="349"/>
      <c r="ATI67" s="349"/>
      <c r="ATJ67" s="349"/>
      <c r="ATK67" s="349"/>
      <c r="ATL67" s="349"/>
      <c r="ATM67" s="349"/>
      <c r="ATN67" s="349"/>
      <c r="ATO67" s="349"/>
      <c r="ATP67" s="349"/>
      <c r="ATQ67" s="349"/>
      <c r="ATR67" s="349"/>
      <c r="ATS67" s="349"/>
      <c r="ATT67" s="349"/>
      <c r="ATU67" s="349"/>
      <c r="ATV67" s="349"/>
      <c r="ATW67" s="349"/>
      <c r="ATX67" s="349"/>
      <c r="ATY67" s="349"/>
      <c r="ATZ67" s="349"/>
      <c r="AUA67" s="349"/>
      <c r="AUB67" s="349"/>
      <c r="AUC67" s="349"/>
      <c r="AUD67" s="349"/>
      <c r="AUE67" s="349"/>
      <c r="AUF67" s="349"/>
      <c r="AUG67" s="349"/>
      <c r="AUH67" s="349"/>
      <c r="AUI67" s="349"/>
      <c r="AUJ67" s="349"/>
      <c r="AUK67" s="349"/>
      <c r="AUL67" s="349"/>
      <c r="AUM67" s="349"/>
      <c r="AUN67" s="349"/>
      <c r="AUO67" s="349"/>
      <c r="AUP67" s="349"/>
      <c r="AUQ67" s="349"/>
      <c r="AUR67" s="349"/>
      <c r="AUS67" s="349"/>
      <c r="AUT67" s="349"/>
      <c r="AUU67" s="349"/>
      <c r="AUV67" s="349"/>
      <c r="AUW67" s="349"/>
      <c r="AUX67" s="349"/>
      <c r="AUY67" s="349"/>
      <c r="AUZ67" s="349"/>
      <c r="AVA67" s="349"/>
      <c r="AVB67" s="349"/>
      <c r="AVC67" s="349"/>
      <c r="AVD67" s="349"/>
      <c r="AVE67" s="349"/>
      <c r="AVF67" s="349"/>
      <c r="AVG67" s="349"/>
      <c r="AVH67" s="349"/>
      <c r="AVI67" s="349"/>
      <c r="AVJ67" s="349"/>
      <c r="AVK67" s="349"/>
      <c r="AVL67" s="349"/>
      <c r="AVM67" s="349"/>
      <c r="AVN67" s="349"/>
      <c r="AVO67" s="349"/>
      <c r="AVP67" s="349"/>
      <c r="AVQ67" s="349"/>
      <c r="AVR67" s="349"/>
      <c r="AVS67" s="349"/>
      <c r="AVT67" s="349"/>
      <c r="AVU67" s="349"/>
      <c r="AVV67" s="349"/>
      <c r="AVW67" s="349"/>
      <c r="AVX67" s="349"/>
      <c r="AVY67" s="349"/>
      <c r="AVZ67" s="349"/>
      <c r="AWA67" s="349"/>
      <c r="AWB67" s="349"/>
      <c r="AWC67" s="349"/>
      <c r="AWD67" s="349"/>
      <c r="AWE67" s="349"/>
      <c r="AWF67" s="349"/>
      <c r="AWG67" s="349"/>
      <c r="AWH67" s="349"/>
      <c r="AWI67" s="349"/>
      <c r="AWJ67" s="349"/>
      <c r="AWK67" s="349"/>
      <c r="AWL67" s="349"/>
      <c r="AWM67" s="349"/>
      <c r="AWN67" s="349"/>
      <c r="AWO67" s="349"/>
      <c r="AWP67" s="349"/>
      <c r="AWQ67" s="349"/>
      <c r="AWR67" s="349"/>
      <c r="AWS67" s="349"/>
      <c r="AWT67" s="349"/>
      <c r="AWU67" s="349"/>
      <c r="AWV67" s="349"/>
      <c r="AWW67" s="349"/>
      <c r="AWX67" s="349"/>
      <c r="AWY67" s="349"/>
      <c r="AWZ67" s="349"/>
      <c r="AXA67" s="349"/>
      <c r="AXB67" s="349"/>
      <c r="AXC67" s="349"/>
      <c r="AXD67" s="349"/>
      <c r="AXE67" s="349"/>
      <c r="AXF67" s="349"/>
      <c r="AXG67" s="349"/>
      <c r="AXH67" s="349"/>
      <c r="AXI67" s="349"/>
      <c r="AXJ67" s="349"/>
      <c r="AXK67" s="349"/>
      <c r="AXL67" s="349"/>
      <c r="AXM67" s="349"/>
      <c r="AXN67" s="349"/>
      <c r="AXO67" s="349"/>
      <c r="AXP67" s="349"/>
      <c r="AXQ67" s="349"/>
      <c r="AXR67" s="349"/>
      <c r="AXS67" s="349"/>
      <c r="AXT67" s="349"/>
      <c r="AXU67" s="349"/>
      <c r="AXV67" s="349"/>
      <c r="AXW67" s="349"/>
      <c r="AXX67" s="349"/>
      <c r="AXY67" s="349"/>
      <c r="AXZ67" s="349"/>
      <c r="AYA67" s="349"/>
      <c r="AYB67" s="349"/>
      <c r="AYC67" s="349"/>
      <c r="AYD67" s="349"/>
      <c r="AYE67" s="349"/>
      <c r="AYF67" s="349"/>
      <c r="AYG67" s="349"/>
      <c r="AYH67" s="349"/>
      <c r="AYI67" s="349"/>
      <c r="AYJ67" s="349"/>
      <c r="AYK67" s="349"/>
      <c r="AYL67" s="349"/>
      <c r="AYM67" s="349"/>
      <c r="AYN67" s="349"/>
      <c r="AYO67" s="349"/>
      <c r="AYP67" s="349"/>
      <c r="AYQ67" s="349"/>
      <c r="AYR67" s="349"/>
      <c r="AYS67" s="349"/>
      <c r="AYT67" s="349"/>
      <c r="AYU67" s="349"/>
      <c r="AYV67" s="349"/>
      <c r="AYW67" s="349"/>
      <c r="AYX67" s="349"/>
      <c r="AYY67" s="349"/>
      <c r="AYZ67" s="349"/>
      <c r="AZA67" s="349"/>
      <c r="AZB67" s="349"/>
      <c r="AZC67" s="349"/>
      <c r="AZD67" s="349"/>
      <c r="AZE67" s="349"/>
      <c r="AZF67" s="349"/>
      <c r="AZG67" s="349"/>
      <c r="AZH67" s="349"/>
      <c r="AZI67" s="349"/>
      <c r="AZJ67" s="349"/>
      <c r="AZK67" s="349"/>
      <c r="AZL67" s="349"/>
      <c r="AZM67" s="349"/>
      <c r="AZN67" s="349"/>
      <c r="AZO67" s="349"/>
      <c r="AZP67" s="349"/>
      <c r="AZQ67" s="349"/>
      <c r="AZR67" s="349"/>
      <c r="AZS67" s="349"/>
      <c r="AZT67" s="349"/>
      <c r="AZU67" s="349"/>
      <c r="AZV67" s="349"/>
      <c r="AZW67" s="349"/>
      <c r="AZX67" s="349"/>
      <c r="AZY67" s="349"/>
      <c r="AZZ67" s="349"/>
      <c r="BAA67" s="349"/>
      <c r="BAB67" s="349"/>
      <c r="BAC67" s="349"/>
      <c r="BAD67" s="349"/>
      <c r="BAE67" s="349"/>
      <c r="BAF67" s="349"/>
      <c r="BAG67" s="349"/>
      <c r="BAH67" s="349"/>
      <c r="BAI67" s="349"/>
      <c r="BAJ67" s="349"/>
      <c r="BAK67" s="349"/>
      <c r="BAL67" s="349"/>
      <c r="BAM67" s="349"/>
      <c r="BAN67" s="349"/>
      <c r="BAO67" s="349"/>
      <c r="BAP67" s="349"/>
      <c r="BAQ67" s="349"/>
      <c r="BAR67" s="349"/>
      <c r="BAS67" s="349"/>
      <c r="BAT67" s="349"/>
      <c r="BAU67" s="349"/>
      <c r="BAV67" s="349"/>
      <c r="BAW67" s="349"/>
      <c r="BAX67" s="349"/>
      <c r="BAY67" s="349"/>
      <c r="BAZ67" s="349"/>
      <c r="BBA67" s="349"/>
      <c r="BBB67" s="349"/>
      <c r="BBC67" s="349"/>
      <c r="BBD67" s="349"/>
      <c r="BBE67" s="349"/>
      <c r="BBF67" s="349"/>
      <c r="BBG67" s="349"/>
      <c r="BBH67" s="349"/>
      <c r="BBI67" s="349"/>
      <c r="BBJ67" s="349"/>
      <c r="BBK67" s="349"/>
      <c r="BBL67" s="349"/>
      <c r="BBM67" s="349"/>
      <c r="BBN67" s="349"/>
      <c r="BBO67" s="349"/>
      <c r="BBP67" s="349"/>
      <c r="BBQ67" s="349"/>
      <c r="BBR67" s="349"/>
      <c r="BBS67" s="349"/>
      <c r="BBT67" s="349"/>
      <c r="BBU67" s="349"/>
      <c r="BBV67" s="349"/>
      <c r="BBW67" s="349"/>
      <c r="BBX67" s="349"/>
      <c r="BBY67" s="349"/>
      <c r="BBZ67" s="349"/>
      <c r="BCA67" s="349"/>
      <c r="BCB67" s="349"/>
      <c r="BCC67" s="349"/>
      <c r="BCD67" s="349"/>
      <c r="BCE67" s="349"/>
      <c r="BCF67" s="349"/>
      <c r="BCG67" s="349"/>
      <c r="BCH67" s="349"/>
      <c r="BCI67" s="349"/>
      <c r="BCJ67" s="349"/>
      <c r="BCK67" s="349"/>
      <c r="BCL67" s="349"/>
      <c r="BCM67" s="349"/>
      <c r="BCN67" s="349"/>
      <c r="BCO67" s="349"/>
      <c r="BCP67" s="349"/>
      <c r="BCQ67" s="349"/>
      <c r="BCR67" s="349"/>
      <c r="BCS67" s="349"/>
      <c r="BCT67" s="349"/>
      <c r="BCU67" s="349"/>
      <c r="BCV67" s="349"/>
      <c r="BCW67" s="349"/>
      <c r="BCX67" s="349"/>
      <c r="BCY67" s="349"/>
      <c r="BCZ67" s="349"/>
      <c r="BDA67" s="349"/>
      <c r="BDB67" s="349"/>
      <c r="BDC67" s="349"/>
      <c r="BDD67" s="349"/>
      <c r="BDE67" s="349"/>
      <c r="BDF67" s="349"/>
      <c r="BDG67" s="349"/>
      <c r="BDH67" s="349"/>
      <c r="BDI67" s="349"/>
      <c r="BDJ67" s="349"/>
      <c r="BDK67" s="349"/>
      <c r="BDL67" s="349"/>
      <c r="BDM67" s="349"/>
      <c r="BDN67" s="349"/>
      <c r="BDO67" s="349"/>
      <c r="BDP67" s="349"/>
      <c r="BDQ67" s="349"/>
      <c r="BDR67" s="349"/>
      <c r="BDS67" s="349"/>
      <c r="BDT67" s="349"/>
      <c r="BDU67" s="349"/>
      <c r="BDV67" s="349"/>
      <c r="BDW67" s="349"/>
      <c r="BDX67" s="349"/>
      <c r="BDY67" s="349"/>
      <c r="BDZ67" s="349"/>
      <c r="BEA67" s="349"/>
      <c r="BEB67" s="349"/>
      <c r="BEC67" s="349"/>
      <c r="BED67" s="349"/>
      <c r="BEE67" s="349"/>
      <c r="BEF67" s="349"/>
      <c r="BEG67" s="349"/>
      <c r="BEH67" s="349"/>
      <c r="BEI67" s="349"/>
      <c r="BEJ67" s="349"/>
      <c r="BEK67" s="349"/>
      <c r="BEL67" s="349"/>
      <c r="BEM67" s="349"/>
      <c r="BEN67" s="349"/>
      <c r="BEO67" s="349"/>
      <c r="BEP67" s="349"/>
      <c r="BEQ67" s="349"/>
      <c r="BER67" s="349"/>
      <c r="BES67" s="349"/>
      <c r="BET67" s="349"/>
      <c r="BEU67" s="349"/>
      <c r="BEV67" s="349"/>
      <c r="BEW67" s="349"/>
      <c r="BEX67" s="349"/>
      <c r="BEY67" s="349"/>
      <c r="BEZ67" s="349"/>
      <c r="BFA67" s="349"/>
      <c r="BFB67" s="349"/>
      <c r="BFC67" s="349"/>
      <c r="BFD67" s="349"/>
      <c r="BFE67" s="349"/>
      <c r="BFF67" s="349"/>
      <c r="BFG67" s="349"/>
      <c r="BFH67" s="349"/>
      <c r="BFI67" s="349"/>
      <c r="BFJ67" s="349"/>
      <c r="BFK67" s="349"/>
      <c r="BFL67" s="349"/>
      <c r="BFM67" s="349"/>
      <c r="BFN67" s="349"/>
      <c r="BFO67" s="349"/>
      <c r="BFP67" s="349"/>
      <c r="BFQ67" s="349"/>
      <c r="BFR67" s="349"/>
      <c r="BFS67" s="349"/>
      <c r="BFT67" s="349"/>
      <c r="BFU67" s="349"/>
      <c r="BFV67" s="349"/>
      <c r="BFW67" s="349"/>
      <c r="BFX67" s="349"/>
      <c r="BFY67" s="349"/>
      <c r="BFZ67" s="349"/>
      <c r="BGA67" s="349"/>
      <c r="BGB67" s="349"/>
      <c r="BGC67" s="349"/>
      <c r="BGD67" s="349"/>
      <c r="BGE67" s="349"/>
      <c r="BGF67" s="349"/>
      <c r="BGG67" s="349"/>
      <c r="BGH67" s="349"/>
      <c r="BGI67" s="349"/>
      <c r="BGJ67" s="349"/>
      <c r="BGK67" s="349"/>
      <c r="BGL67" s="349"/>
      <c r="BGM67" s="349"/>
      <c r="BGN67" s="349"/>
      <c r="BGO67" s="349"/>
      <c r="BGP67" s="349"/>
      <c r="BGQ67" s="349"/>
      <c r="BGR67" s="349"/>
      <c r="BGS67" s="349"/>
      <c r="BGT67" s="349"/>
      <c r="BGU67" s="349"/>
      <c r="BGV67" s="349"/>
      <c r="BGW67" s="349"/>
      <c r="BGX67" s="349"/>
      <c r="BGY67" s="349"/>
      <c r="BGZ67" s="349"/>
      <c r="BHA67" s="349"/>
      <c r="BHB67" s="349"/>
      <c r="BHC67" s="349"/>
      <c r="BHD67" s="349"/>
      <c r="BHE67" s="349"/>
      <c r="BHF67" s="349"/>
      <c r="BHG67" s="349"/>
      <c r="BHH67" s="349"/>
      <c r="BHI67" s="349"/>
      <c r="BHJ67" s="349"/>
      <c r="BHK67" s="349"/>
      <c r="BHL67" s="349"/>
      <c r="BHM67" s="349"/>
      <c r="BHN67" s="349"/>
      <c r="BHO67" s="349"/>
      <c r="BHP67" s="349"/>
      <c r="BHQ67" s="349"/>
      <c r="BHR67" s="349"/>
      <c r="BHS67" s="349"/>
      <c r="BHT67" s="349"/>
      <c r="BHU67" s="349"/>
      <c r="BHV67" s="349"/>
      <c r="BHW67" s="349"/>
      <c r="BHX67" s="349"/>
      <c r="BHY67" s="349"/>
      <c r="BHZ67" s="349"/>
      <c r="BIA67" s="349"/>
      <c r="BIB67" s="349"/>
      <c r="BIC67" s="349"/>
      <c r="BID67" s="349"/>
      <c r="BIE67" s="349"/>
      <c r="BIF67" s="349"/>
      <c r="BIG67" s="349"/>
      <c r="BIH67" s="349"/>
      <c r="BII67" s="349"/>
      <c r="BIJ67" s="349"/>
      <c r="BIK67" s="349"/>
      <c r="BIL67" s="349"/>
      <c r="BIM67" s="349"/>
      <c r="BIN67" s="349"/>
      <c r="BIO67" s="349"/>
      <c r="BIP67" s="349"/>
      <c r="BIQ67" s="349"/>
      <c r="BIR67" s="349"/>
      <c r="BIS67" s="349"/>
      <c r="BIT67" s="349"/>
      <c r="BIU67" s="349"/>
      <c r="BIV67" s="349"/>
      <c r="BIW67" s="349"/>
      <c r="BIX67" s="349"/>
      <c r="BIY67" s="349"/>
      <c r="BIZ67" s="349"/>
      <c r="BJA67" s="349"/>
      <c r="BJB67" s="349"/>
      <c r="BJC67" s="349"/>
      <c r="BJD67" s="349"/>
      <c r="BJE67" s="349"/>
      <c r="BJF67" s="349"/>
      <c r="BJG67" s="349"/>
      <c r="BJH67" s="349"/>
      <c r="BJI67" s="349"/>
      <c r="BJJ67" s="349"/>
      <c r="BJK67" s="349"/>
      <c r="BJL67" s="349"/>
      <c r="BJM67" s="349"/>
      <c r="BJN67" s="349"/>
      <c r="BJO67" s="349"/>
      <c r="BJP67" s="349"/>
      <c r="BJQ67" s="349"/>
      <c r="BJR67" s="349"/>
      <c r="BJS67" s="349"/>
      <c r="BJT67" s="349"/>
      <c r="BJU67" s="349"/>
      <c r="BJV67" s="349"/>
      <c r="BJW67" s="349"/>
      <c r="BJX67" s="349"/>
      <c r="BJY67" s="349"/>
      <c r="BJZ67" s="349"/>
      <c r="BKA67" s="349"/>
      <c r="BKB67" s="349"/>
      <c r="BKC67" s="349"/>
      <c r="BKD67" s="349"/>
      <c r="BKE67" s="349"/>
      <c r="BKF67" s="349"/>
      <c r="BKG67" s="349"/>
      <c r="BKH67" s="349"/>
      <c r="BKI67" s="349"/>
      <c r="BKJ67" s="349"/>
      <c r="BKK67" s="349"/>
      <c r="BKL67" s="349"/>
      <c r="BKM67" s="349"/>
      <c r="BKN67" s="349"/>
      <c r="BKO67" s="349"/>
      <c r="BKP67" s="349"/>
      <c r="BKQ67" s="349"/>
      <c r="BKR67" s="349"/>
      <c r="BKS67" s="349"/>
      <c r="BKT67" s="349"/>
      <c r="BKU67" s="349"/>
      <c r="BKV67" s="349"/>
      <c r="BKW67" s="349"/>
      <c r="BKX67" s="349"/>
      <c r="BKY67" s="349"/>
      <c r="BKZ67" s="349"/>
      <c r="BLA67" s="349"/>
      <c r="BLB67" s="349"/>
      <c r="BLC67" s="349"/>
      <c r="BLD67" s="349"/>
      <c r="BLE67" s="349"/>
      <c r="BLF67" s="349"/>
      <c r="BLG67" s="349"/>
      <c r="BLH67" s="349"/>
      <c r="BLI67" s="349"/>
      <c r="BLJ67" s="349"/>
      <c r="BLK67" s="349"/>
      <c r="BLL67" s="349"/>
      <c r="BLM67" s="349"/>
      <c r="BLN67" s="349"/>
      <c r="BLO67" s="349"/>
      <c r="BLP67" s="349"/>
      <c r="BLQ67" s="349"/>
      <c r="BLR67" s="349"/>
      <c r="BLS67" s="349"/>
      <c r="BLT67" s="349"/>
      <c r="BLU67" s="349"/>
      <c r="BLV67" s="349"/>
      <c r="BLW67" s="349"/>
      <c r="BLX67" s="349"/>
      <c r="BLY67" s="349"/>
      <c r="BLZ67" s="349"/>
      <c r="BMA67" s="349"/>
      <c r="BMB67" s="349"/>
      <c r="BMC67" s="349"/>
      <c r="BMD67" s="349"/>
      <c r="BME67" s="349"/>
      <c r="BMF67" s="349"/>
      <c r="BMG67" s="349"/>
      <c r="BMH67" s="349"/>
      <c r="BMI67" s="349"/>
      <c r="BMJ67" s="349"/>
      <c r="BMK67" s="349"/>
      <c r="BML67" s="349"/>
      <c r="BMM67" s="349"/>
      <c r="BMN67" s="349"/>
      <c r="BMO67" s="349"/>
      <c r="BMP67" s="349"/>
      <c r="BMQ67" s="349"/>
      <c r="BMR67" s="349"/>
      <c r="BMS67" s="349"/>
      <c r="BMT67" s="349"/>
      <c r="BMU67" s="349"/>
      <c r="BMV67" s="349"/>
      <c r="BMW67" s="349"/>
      <c r="BMX67" s="349"/>
      <c r="BMY67" s="349"/>
      <c r="BMZ67" s="349"/>
      <c r="BNA67" s="349"/>
      <c r="BNB67" s="349"/>
      <c r="BNC67" s="349"/>
      <c r="BND67" s="349"/>
      <c r="BNE67" s="349"/>
      <c r="BNF67" s="349"/>
      <c r="BNG67" s="349"/>
      <c r="BNH67" s="349"/>
      <c r="BNI67" s="349"/>
      <c r="BNJ67" s="349"/>
      <c r="BNK67" s="349"/>
      <c r="BNL67" s="349"/>
      <c r="BNM67" s="349"/>
      <c r="BNN67" s="349"/>
      <c r="BNO67" s="349"/>
      <c r="BNP67" s="349"/>
      <c r="BNQ67" s="349"/>
      <c r="BNR67" s="349"/>
      <c r="BNS67" s="349"/>
      <c r="BNT67" s="349"/>
      <c r="BNU67" s="349"/>
      <c r="BNV67" s="349"/>
      <c r="BNW67" s="349"/>
      <c r="BNX67" s="349"/>
      <c r="BNY67" s="349"/>
      <c r="BNZ67" s="349"/>
      <c r="BOA67" s="349"/>
      <c r="BOB67" s="349"/>
      <c r="BOC67" s="349"/>
      <c r="BOD67" s="349"/>
      <c r="BOE67" s="349"/>
      <c r="BOF67" s="349"/>
      <c r="BOG67" s="349"/>
      <c r="BOH67" s="349"/>
      <c r="BOI67" s="349"/>
      <c r="BOJ67" s="349"/>
      <c r="BOK67" s="349"/>
      <c r="BOL67" s="349"/>
      <c r="BOM67" s="349"/>
      <c r="BON67" s="349"/>
      <c r="BOO67" s="349"/>
      <c r="BOP67" s="349"/>
      <c r="BOQ67" s="349"/>
      <c r="BOR67" s="349"/>
      <c r="BOS67" s="349"/>
      <c r="BOT67" s="349"/>
      <c r="BOU67" s="349"/>
      <c r="BOV67" s="349"/>
      <c r="BOW67" s="349"/>
      <c r="BOX67" s="349"/>
      <c r="BOY67" s="349"/>
      <c r="BOZ67" s="349"/>
      <c r="BPA67" s="349"/>
      <c r="BPB67" s="349"/>
      <c r="BPC67" s="349"/>
      <c r="BPD67" s="349"/>
      <c r="BPE67" s="349"/>
      <c r="BPF67" s="349"/>
      <c r="BPG67" s="349"/>
      <c r="BPH67" s="349"/>
      <c r="BPI67" s="349"/>
      <c r="BPJ67" s="349"/>
      <c r="BPK67" s="349"/>
      <c r="BPL67" s="349"/>
      <c r="BPM67" s="349"/>
      <c r="BPN67" s="349"/>
      <c r="BPO67" s="349"/>
      <c r="BPP67" s="349"/>
      <c r="BPQ67" s="349"/>
      <c r="BPR67" s="349"/>
      <c r="BPS67" s="349"/>
      <c r="BPT67" s="349"/>
      <c r="BPU67" s="349"/>
      <c r="BPV67" s="349"/>
      <c r="BPW67" s="349"/>
      <c r="BPX67" s="349"/>
      <c r="BPY67" s="349"/>
      <c r="BPZ67" s="349"/>
      <c r="BQA67" s="349"/>
      <c r="BQB67" s="349"/>
      <c r="BQC67" s="349"/>
      <c r="BQD67" s="349"/>
      <c r="BQE67" s="349"/>
      <c r="BQF67" s="349"/>
      <c r="BQG67" s="349"/>
      <c r="BQH67" s="349"/>
      <c r="BQI67" s="349"/>
      <c r="BQJ67" s="349"/>
      <c r="BQK67" s="349"/>
      <c r="BQL67" s="349"/>
      <c r="BQM67" s="349"/>
      <c r="BQN67" s="349"/>
      <c r="BQO67" s="349"/>
      <c r="BQP67" s="349"/>
      <c r="BQQ67" s="349"/>
      <c r="BQR67" s="349"/>
      <c r="BQS67" s="349"/>
      <c r="BQT67" s="349"/>
      <c r="BQU67" s="349"/>
      <c r="BQV67" s="349"/>
      <c r="BQW67" s="349"/>
      <c r="BQX67" s="349"/>
      <c r="BQY67" s="349"/>
      <c r="BQZ67" s="349"/>
      <c r="BRA67" s="349"/>
      <c r="BRB67" s="349"/>
      <c r="BRC67" s="349"/>
      <c r="BRD67" s="349"/>
      <c r="BRE67" s="349"/>
      <c r="BRF67" s="349"/>
      <c r="BRG67" s="349"/>
      <c r="BRH67" s="349"/>
      <c r="BRI67" s="349"/>
      <c r="BRJ67" s="349"/>
      <c r="BRK67" s="349"/>
      <c r="BRL67" s="349"/>
      <c r="BRM67" s="349"/>
      <c r="BRN67" s="349"/>
      <c r="BRO67" s="349"/>
      <c r="BRP67" s="349"/>
      <c r="BRQ67" s="349"/>
      <c r="BRR67" s="349"/>
      <c r="BRS67" s="349"/>
      <c r="BRT67" s="349"/>
      <c r="BRU67" s="349"/>
      <c r="BRV67" s="349"/>
      <c r="BRW67" s="349"/>
      <c r="BRX67" s="349"/>
      <c r="BRY67" s="349"/>
      <c r="BRZ67" s="349"/>
      <c r="BSA67" s="349"/>
      <c r="BSB67" s="349"/>
      <c r="BSC67" s="349"/>
      <c r="BSD67" s="349"/>
      <c r="BSE67" s="349"/>
      <c r="BSF67" s="349"/>
      <c r="BSG67" s="349"/>
      <c r="BSH67" s="349"/>
      <c r="BSI67" s="349"/>
      <c r="BSJ67" s="349"/>
      <c r="BSK67" s="349"/>
      <c r="BSL67" s="349"/>
      <c r="BSM67" s="349"/>
      <c r="BSN67" s="349"/>
      <c r="BSO67" s="349"/>
      <c r="BSP67" s="349"/>
      <c r="BSQ67" s="349"/>
      <c r="BSR67" s="349"/>
      <c r="BSS67" s="349"/>
      <c r="BST67" s="349"/>
      <c r="BSU67" s="349"/>
      <c r="BSV67" s="349"/>
      <c r="BSW67" s="349"/>
      <c r="BSX67" s="349"/>
      <c r="BSY67" s="349"/>
      <c r="BSZ67" s="349"/>
      <c r="BTA67" s="349"/>
      <c r="BTB67" s="349"/>
      <c r="BTC67" s="349"/>
      <c r="BTD67" s="349"/>
      <c r="BTE67" s="349"/>
      <c r="BTF67" s="349"/>
      <c r="BTG67" s="349"/>
      <c r="BTH67" s="349"/>
      <c r="BTI67" s="349"/>
      <c r="BTJ67" s="349"/>
      <c r="BTK67" s="349"/>
      <c r="BTL67" s="349"/>
      <c r="BTM67" s="349"/>
      <c r="BTN67" s="349"/>
      <c r="BTO67" s="349"/>
      <c r="BTP67" s="349"/>
      <c r="BTQ67" s="349"/>
      <c r="BTR67" s="349"/>
      <c r="BTS67" s="349"/>
      <c r="BTT67" s="349"/>
      <c r="BTU67" s="349"/>
      <c r="BTV67" s="349"/>
      <c r="BTW67" s="349"/>
      <c r="BTX67" s="349"/>
      <c r="BTY67" s="349"/>
      <c r="BTZ67" s="349"/>
      <c r="BUA67" s="349"/>
      <c r="BUB67" s="349"/>
      <c r="BUC67" s="349"/>
      <c r="BUD67" s="349"/>
      <c r="BUE67" s="349"/>
      <c r="BUF67" s="349"/>
      <c r="BUG67" s="349"/>
      <c r="BUH67" s="349"/>
      <c r="BUI67" s="349"/>
      <c r="BUJ67" s="349"/>
      <c r="BUK67" s="349"/>
      <c r="BUL67" s="349"/>
      <c r="BUM67" s="349"/>
      <c r="BUN67" s="349"/>
      <c r="BUO67" s="349"/>
      <c r="BUP67" s="349"/>
      <c r="BUQ67" s="349"/>
      <c r="BUR67" s="349"/>
      <c r="BUS67" s="349"/>
      <c r="BUT67" s="349"/>
      <c r="BUU67" s="349"/>
      <c r="BUV67" s="349"/>
      <c r="BUW67" s="349"/>
      <c r="BUX67" s="349"/>
      <c r="BUY67" s="349"/>
      <c r="BUZ67" s="349"/>
      <c r="BVA67" s="349"/>
      <c r="BVB67" s="349"/>
      <c r="BVC67" s="349"/>
      <c r="BVD67" s="349"/>
      <c r="BVE67" s="349"/>
      <c r="BVF67" s="349"/>
      <c r="BVG67" s="349"/>
      <c r="BVH67" s="349"/>
      <c r="BVI67" s="349"/>
      <c r="BVJ67" s="349"/>
      <c r="BVK67" s="349"/>
      <c r="BVL67" s="349"/>
      <c r="BVM67" s="349"/>
      <c r="BVN67" s="349"/>
      <c r="BVO67" s="349"/>
      <c r="BVP67" s="349"/>
      <c r="BVQ67" s="349"/>
      <c r="BVR67" s="349"/>
      <c r="BVS67" s="349"/>
      <c r="BVT67" s="349"/>
      <c r="BVU67" s="349"/>
      <c r="BVV67" s="349"/>
      <c r="BVW67" s="349"/>
      <c r="BVX67" s="349"/>
      <c r="BVY67" s="349"/>
      <c r="BVZ67" s="349"/>
      <c r="BWA67" s="349"/>
      <c r="BWB67" s="349"/>
      <c r="BWC67" s="349"/>
      <c r="BWD67" s="349"/>
      <c r="BWE67" s="349"/>
      <c r="BWF67" s="349"/>
      <c r="BWG67" s="349"/>
      <c r="BWH67" s="349"/>
      <c r="BWI67" s="349"/>
      <c r="BWJ67" s="349"/>
      <c r="BWK67" s="349"/>
      <c r="BWL67" s="349"/>
      <c r="BWM67" s="349"/>
      <c r="BWN67" s="349"/>
      <c r="BWO67" s="349"/>
      <c r="BWP67" s="349"/>
      <c r="BWQ67" s="349"/>
      <c r="BWR67" s="349"/>
      <c r="BWS67" s="349"/>
      <c r="BWT67" s="349"/>
      <c r="BWU67" s="349"/>
      <c r="BWV67" s="349"/>
      <c r="BWW67" s="349"/>
      <c r="BWX67" s="349"/>
      <c r="BWY67" s="349"/>
      <c r="BWZ67" s="349"/>
      <c r="BXA67" s="349"/>
      <c r="BXB67" s="349"/>
      <c r="BXC67" s="349"/>
      <c r="BXD67" s="349"/>
      <c r="BXE67" s="349"/>
      <c r="BXF67" s="349"/>
      <c r="BXG67" s="349"/>
      <c r="BXH67" s="349"/>
      <c r="BXI67" s="349"/>
      <c r="BXJ67" s="349"/>
      <c r="BXK67" s="349"/>
      <c r="BXL67" s="349"/>
      <c r="BXM67" s="349"/>
      <c r="BXN67" s="349"/>
      <c r="BXO67" s="349"/>
      <c r="BXP67" s="349"/>
      <c r="BXQ67" s="349"/>
      <c r="BXR67" s="349"/>
      <c r="BXS67" s="349"/>
      <c r="BXT67" s="349"/>
      <c r="BXU67" s="349"/>
      <c r="BXV67" s="349"/>
      <c r="BXW67" s="349"/>
      <c r="BXX67" s="349"/>
      <c r="BXY67" s="349"/>
      <c r="BXZ67" s="349"/>
      <c r="BYA67" s="349"/>
      <c r="BYB67" s="349"/>
      <c r="BYC67" s="349"/>
      <c r="BYD67" s="349"/>
      <c r="BYE67" s="349"/>
      <c r="BYF67" s="349"/>
      <c r="BYG67" s="349"/>
      <c r="BYH67" s="349"/>
      <c r="BYI67" s="349"/>
      <c r="BYJ67" s="349"/>
      <c r="BYK67" s="349"/>
      <c r="BYL67" s="349"/>
      <c r="BYM67" s="349"/>
      <c r="BYN67" s="349"/>
      <c r="BYO67" s="349"/>
      <c r="BYP67" s="349"/>
      <c r="BYQ67" s="349"/>
      <c r="BYR67" s="349"/>
      <c r="BYS67" s="349"/>
      <c r="BYT67" s="349"/>
      <c r="BYU67" s="349"/>
      <c r="BYV67" s="349"/>
      <c r="BYW67" s="349"/>
      <c r="BYX67" s="349"/>
      <c r="BYY67" s="349"/>
      <c r="BYZ67" s="349"/>
      <c r="BZA67" s="349"/>
      <c r="BZB67" s="349"/>
      <c r="BZC67" s="349"/>
      <c r="BZD67" s="349"/>
      <c r="BZE67" s="349"/>
      <c r="BZF67" s="349"/>
      <c r="BZG67" s="349"/>
      <c r="BZH67" s="349"/>
      <c r="BZI67" s="349"/>
      <c r="BZJ67" s="349"/>
      <c r="BZK67" s="349"/>
      <c r="BZL67" s="349"/>
      <c r="BZM67" s="349"/>
      <c r="BZN67" s="349"/>
      <c r="BZO67" s="349"/>
      <c r="BZP67" s="349"/>
      <c r="BZQ67" s="349"/>
      <c r="BZR67" s="349"/>
      <c r="BZS67" s="349"/>
      <c r="BZT67" s="349"/>
      <c r="BZU67" s="349"/>
      <c r="BZV67" s="349"/>
      <c r="BZW67" s="349"/>
      <c r="BZX67" s="349"/>
      <c r="BZY67" s="349"/>
      <c r="BZZ67" s="349"/>
      <c r="CAA67" s="349"/>
      <c r="CAB67" s="349"/>
      <c r="CAC67" s="349"/>
      <c r="CAD67" s="349"/>
      <c r="CAE67" s="349"/>
      <c r="CAF67" s="349"/>
      <c r="CAG67" s="349"/>
      <c r="CAH67" s="349"/>
      <c r="CAI67" s="349"/>
      <c r="CAJ67" s="349"/>
      <c r="CAK67" s="349"/>
      <c r="CAL67" s="349"/>
      <c r="CAM67" s="349"/>
      <c r="CAN67" s="349"/>
      <c r="CAO67" s="349"/>
      <c r="CAP67" s="349"/>
      <c r="CAQ67" s="349"/>
      <c r="CAR67" s="349"/>
      <c r="CAS67" s="349"/>
      <c r="CAT67" s="349"/>
      <c r="CAU67" s="349"/>
      <c r="CAV67" s="349"/>
      <c r="CAW67" s="349"/>
      <c r="CAX67" s="349"/>
      <c r="CAY67" s="349"/>
      <c r="CAZ67" s="349"/>
      <c r="CBA67" s="349"/>
      <c r="CBB67" s="349"/>
      <c r="CBC67" s="349"/>
      <c r="CBD67" s="349"/>
      <c r="CBE67" s="349"/>
      <c r="CBF67" s="349"/>
      <c r="CBG67" s="349"/>
      <c r="CBH67" s="349"/>
      <c r="CBI67" s="349"/>
      <c r="CBJ67" s="349"/>
      <c r="CBK67" s="349"/>
      <c r="CBL67" s="349"/>
      <c r="CBM67" s="349"/>
      <c r="CBN67" s="349"/>
      <c r="CBO67" s="349"/>
      <c r="CBP67" s="349"/>
      <c r="CBQ67" s="349"/>
      <c r="CBR67" s="349"/>
      <c r="CBS67" s="349"/>
      <c r="CBT67" s="349"/>
      <c r="CBU67" s="349"/>
      <c r="CBV67" s="349"/>
      <c r="CBW67" s="349"/>
      <c r="CBX67" s="349"/>
      <c r="CBY67" s="349"/>
      <c r="CBZ67" s="349"/>
      <c r="CCA67" s="349"/>
      <c r="CCB67" s="349"/>
      <c r="CCC67" s="349"/>
      <c r="CCD67" s="349"/>
      <c r="CCE67" s="349"/>
      <c r="CCF67" s="349"/>
      <c r="CCG67" s="349"/>
      <c r="CCH67" s="349"/>
      <c r="CCI67" s="349"/>
      <c r="CCJ67" s="349"/>
      <c r="CCK67" s="349"/>
      <c r="CCL67" s="349"/>
      <c r="CCM67" s="349"/>
      <c r="CCN67" s="349"/>
      <c r="CCO67" s="349"/>
      <c r="CCP67" s="349"/>
      <c r="CCQ67" s="349"/>
      <c r="CCR67" s="349"/>
      <c r="CCS67" s="349"/>
      <c r="CCT67" s="349"/>
      <c r="CCU67" s="349"/>
      <c r="CCV67" s="349"/>
      <c r="CCW67" s="349"/>
      <c r="CCX67" s="349"/>
      <c r="CCY67" s="349"/>
      <c r="CCZ67" s="349"/>
      <c r="CDA67" s="349"/>
      <c r="CDB67" s="349"/>
      <c r="CDC67" s="349"/>
      <c r="CDD67" s="349"/>
      <c r="CDE67" s="349"/>
      <c r="CDF67" s="349"/>
      <c r="CDG67" s="349"/>
      <c r="CDH67" s="349"/>
      <c r="CDI67" s="349"/>
      <c r="CDJ67" s="349"/>
      <c r="CDK67" s="349"/>
      <c r="CDL67" s="349"/>
      <c r="CDM67" s="349"/>
      <c r="CDN67" s="349"/>
      <c r="CDO67" s="349"/>
      <c r="CDP67" s="349"/>
      <c r="CDQ67" s="349"/>
      <c r="CDR67" s="349"/>
      <c r="CDS67" s="349"/>
      <c r="CDT67" s="349"/>
      <c r="CDU67" s="349"/>
      <c r="CDV67" s="349"/>
      <c r="CDW67" s="349"/>
      <c r="CDX67" s="349"/>
      <c r="CDY67" s="349"/>
      <c r="CDZ67" s="349"/>
      <c r="CEA67" s="349"/>
      <c r="CEB67" s="349"/>
      <c r="CEC67" s="349"/>
      <c r="CED67" s="349"/>
      <c r="CEE67" s="349"/>
      <c r="CEF67" s="349"/>
      <c r="CEG67" s="349"/>
      <c r="CEH67" s="349"/>
      <c r="CEI67" s="349"/>
      <c r="CEJ67" s="349"/>
      <c r="CEK67" s="349"/>
      <c r="CEL67" s="349"/>
      <c r="CEM67" s="349"/>
      <c r="CEN67" s="349"/>
      <c r="CEO67" s="349"/>
      <c r="CEP67" s="349"/>
      <c r="CEQ67" s="349"/>
      <c r="CER67" s="349"/>
      <c r="CES67" s="349"/>
      <c r="CET67" s="349"/>
      <c r="CEU67" s="349"/>
      <c r="CEV67" s="349"/>
      <c r="CEW67" s="349"/>
      <c r="CEX67" s="349"/>
      <c r="CEY67" s="349"/>
      <c r="CEZ67" s="349"/>
      <c r="CFA67" s="349"/>
      <c r="CFB67" s="349"/>
      <c r="CFC67" s="349"/>
      <c r="CFD67" s="349"/>
      <c r="CFE67" s="349"/>
      <c r="CFF67" s="349"/>
      <c r="CFG67" s="349"/>
      <c r="CFH67" s="349"/>
      <c r="CFI67" s="349"/>
      <c r="CFJ67" s="349"/>
      <c r="CFK67" s="349"/>
      <c r="CFL67" s="349"/>
      <c r="CFM67" s="349"/>
      <c r="CFN67" s="349"/>
      <c r="CFO67" s="349"/>
      <c r="CFP67" s="349"/>
      <c r="CFQ67" s="349"/>
      <c r="CFR67" s="349"/>
      <c r="CFS67" s="349"/>
      <c r="CFT67" s="349"/>
      <c r="CFU67" s="349"/>
      <c r="CFV67" s="349"/>
      <c r="CFW67" s="349"/>
      <c r="CFX67" s="349"/>
      <c r="CFY67" s="349"/>
      <c r="CFZ67" s="349"/>
      <c r="CGA67" s="349"/>
      <c r="CGB67" s="349"/>
      <c r="CGC67" s="349"/>
      <c r="CGD67" s="349"/>
      <c r="CGE67" s="349"/>
      <c r="CGF67" s="349"/>
      <c r="CGG67" s="349"/>
      <c r="CGH67" s="349"/>
      <c r="CGI67" s="349"/>
      <c r="CGJ67" s="349"/>
      <c r="CGK67" s="349"/>
      <c r="CGL67" s="349"/>
      <c r="CGM67" s="349"/>
      <c r="CGN67" s="349"/>
      <c r="CGO67" s="349"/>
      <c r="CGP67" s="349"/>
      <c r="CGQ67" s="349"/>
      <c r="CGR67" s="349"/>
      <c r="CGS67" s="349"/>
      <c r="CGT67" s="349"/>
      <c r="CGU67" s="349"/>
      <c r="CGV67" s="349"/>
      <c r="CGW67" s="349"/>
      <c r="CGX67" s="349"/>
      <c r="CGY67" s="349"/>
      <c r="CGZ67" s="349"/>
      <c r="CHA67" s="349"/>
      <c r="CHB67" s="349"/>
      <c r="CHC67" s="349"/>
      <c r="CHD67" s="349"/>
      <c r="CHE67" s="349"/>
      <c r="CHF67" s="349"/>
      <c r="CHG67" s="349"/>
      <c r="CHH67" s="349"/>
      <c r="CHI67" s="349"/>
      <c r="CHJ67" s="349"/>
      <c r="CHK67" s="349"/>
      <c r="CHL67" s="349"/>
      <c r="CHM67" s="349"/>
      <c r="CHN67" s="349"/>
      <c r="CHO67" s="349"/>
      <c r="CHP67" s="349"/>
      <c r="CHQ67" s="349"/>
      <c r="CHR67" s="349"/>
      <c r="CHS67" s="349"/>
      <c r="CHT67" s="349"/>
      <c r="CHU67" s="349"/>
      <c r="CHV67" s="349"/>
      <c r="CHW67" s="349"/>
      <c r="CHX67" s="349"/>
      <c r="CHY67" s="349"/>
      <c r="CHZ67" s="349"/>
      <c r="CIA67" s="349"/>
      <c r="CIB67" s="349"/>
      <c r="CIC67" s="349"/>
      <c r="CID67" s="349"/>
      <c r="CIE67" s="349"/>
      <c r="CIF67" s="349"/>
      <c r="CIG67" s="349"/>
      <c r="CIH67" s="349"/>
      <c r="CII67" s="349"/>
      <c r="CIJ67" s="349"/>
      <c r="CIK67" s="349"/>
      <c r="CIL67" s="349"/>
      <c r="CIM67" s="349"/>
      <c r="CIN67" s="349"/>
      <c r="CIO67" s="349"/>
      <c r="CIP67" s="349"/>
      <c r="CIQ67" s="349"/>
      <c r="CIR67" s="349"/>
      <c r="CIS67" s="349"/>
      <c r="CIT67" s="349"/>
      <c r="CIU67" s="349"/>
      <c r="CIV67" s="349"/>
      <c r="CIW67" s="349"/>
      <c r="CIX67" s="349"/>
      <c r="CIY67" s="349"/>
      <c r="CIZ67" s="349"/>
      <c r="CJA67" s="349"/>
      <c r="CJB67" s="349"/>
      <c r="CJC67" s="349"/>
      <c r="CJD67" s="349"/>
      <c r="CJE67" s="349"/>
      <c r="CJF67" s="349"/>
      <c r="CJG67" s="349"/>
      <c r="CJH67" s="349"/>
      <c r="CJI67" s="349"/>
      <c r="CJJ67" s="349"/>
      <c r="CJK67" s="349"/>
      <c r="CJL67" s="349"/>
      <c r="CJM67" s="349"/>
      <c r="CJN67" s="349"/>
      <c r="CJO67" s="349"/>
      <c r="CJP67" s="349"/>
      <c r="CJQ67" s="349"/>
      <c r="CJR67" s="349"/>
      <c r="CJS67" s="349"/>
      <c r="CJT67" s="349"/>
      <c r="CJU67" s="349"/>
      <c r="CJV67" s="349"/>
      <c r="CJW67" s="349"/>
      <c r="CJX67" s="349"/>
      <c r="CJY67" s="349"/>
      <c r="CJZ67" s="349"/>
      <c r="CKA67" s="349"/>
      <c r="CKB67" s="349"/>
      <c r="CKC67" s="349"/>
      <c r="CKD67" s="349"/>
      <c r="CKE67" s="349"/>
      <c r="CKF67" s="349"/>
      <c r="CKG67" s="349"/>
      <c r="CKH67" s="349"/>
      <c r="CKI67" s="349"/>
      <c r="CKJ67" s="349"/>
      <c r="CKK67" s="349"/>
      <c r="CKL67" s="349"/>
      <c r="CKM67" s="349"/>
      <c r="CKN67" s="349"/>
      <c r="CKO67" s="349"/>
      <c r="CKP67" s="349"/>
      <c r="CKQ67" s="349"/>
      <c r="CKR67" s="349"/>
      <c r="CKS67" s="349"/>
      <c r="CKT67" s="349"/>
      <c r="CKU67" s="349"/>
      <c r="CKV67" s="349"/>
      <c r="CKW67" s="349"/>
      <c r="CKX67" s="349"/>
      <c r="CKY67" s="349"/>
      <c r="CKZ67" s="349"/>
      <c r="CLA67" s="349"/>
      <c r="CLB67" s="349"/>
      <c r="CLC67" s="349"/>
      <c r="CLD67" s="349"/>
      <c r="CLE67" s="349"/>
      <c r="CLF67" s="349"/>
      <c r="CLG67" s="349"/>
      <c r="CLH67" s="349"/>
      <c r="CLI67" s="349"/>
      <c r="CLJ67" s="349"/>
      <c r="CLK67" s="349"/>
      <c r="CLL67" s="349"/>
      <c r="CLM67" s="349"/>
      <c r="CLN67" s="349"/>
      <c r="CLO67" s="349"/>
      <c r="CLP67" s="349"/>
      <c r="CLQ67" s="349"/>
      <c r="CLR67" s="349"/>
      <c r="CLS67" s="349"/>
      <c r="CLT67" s="349"/>
      <c r="CLU67" s="349"/>
      <c r="CLV67" s="349"/>
      <c r="CLW67" s="349"/>
      <c r="CLX67" s="349"/>
      <c r="CLY67" s="349"/>
      <c r="CLZ67" s="349"/>
      <c r="CMA67" s="349"/>
      <c r="CMB67" s="349"/>
      <c r="CMC67" s="349"/>
      <c r="CMD67" s="349"/>
      <c r="CME67" s="349"/>
      <c r="CMF67" s="349"/>
      <c r="CMG67" s="349"/>
      <c r="CMH67" s="349"/>
      <c r="CMI67" s="349"/>
      <c r="CMJ67" s="349"/>
      <c r="CMK67" s="349"/>
      <c r="CML67" s="349"/>
      <c r="CMM67" s="349"/>
      <c r="CMN67" s="349"/>
      <c r="CMO67" s="349"/>
      <c r="CMP67" s="349"/>
      <c r="CMQ67" s="349"/>
      <c r="CMR67" s="349"/>
      <c r="CMS67" s="349"/>
      <c r="CMT67" s="349"/>
      <c r="CMU67" s="349"/>
      <c r="CMV67" s="349"/>
      <c r="CMW67" s="349"/>
      <c r="CMX67" s="349"/>
      <c r="CMY67" s="349"/>
      <c r="CMZ67" s="349"/>
      <c r="CNA67" s="349"/>
      <c r="CNB67" s="349"/>
      <c r="CNC67" s="349"/>
      <c r="CND67" s="349"/>
      <c r="CNE67" s="349"/>
      <c r="CNF67" s="349"/>
      <c r="CNG67" s="349"/>
      <c r="CNH67" s="349"/>
      <c r="CNI67" s="349"/>
      <c r="CNJ67" s="349"/>
      <c r="CNK67" s="349"/>
      <c r="CNL67" s="349"/>
      <c r="CNM67" s="349"/>
      <c r="CNN67" s="349"/>
      <c r="CNO67" s="349"/>
      <c r="CNP67" s="349"/>
      <c r="CNQ67" s="349"/>
      <c r="CNR67" s="349"/>
      <c r="CNS67" s="349"/>
      <c r="CNT67" s="349"/>
      <c r="CNU67" s="349"/>
      <c r="CNV67" s="349"/>
      <c r="CNW67" s="349"/>
      <c r="CNX67" s="349"/>
      <c r="CNY67" s="349"/>
      <c r="CNZ67" s="349"/>
      <c r="COA67" s="349"/>
      <c r="COB67" s="349"/>
      <c r="COC67" s="349"/>
      <c r="COD67" s="349"/>
      <c r="COE67" s="349"/>
      <c r="COF67" s="349"/>
      <c r="COG67" s="349"/>
      <c r="COH67" s="349"/>
      <c r="COI67" s="349"/>
      <c r="COJ67" s="349"/>
      <c r="COK67" s="349"/>
      <c r="COL67" s="349"/>
      <c r="COM67" s="349"/>
      <c r="CON67" s="349"/>
      <c r="COO67" s="349"/>
      <c r="COP67" s="349"/>
      <c r="COQ67" s="349"/>
      <c r="COR67" s="349"/>
      <c r="COS67" s="349"/>
      <c r="COT67" s="349"/>
      <c r="COU67" s="349"/>
      <c r="COV67" s="349"/>
      <c r="COW67" s="349"/>
      <c r="COX67" s="349"/>
      <c r="COY67" s="349"/>
      <c r="COZ67" s="349"/>
      <c r="CPA67" s="349"/>
      <c r="CPB67" s="349"/>
      <c r="CPC67" s="349"/>
      <c r="CPD67" s="349"/>
      <c r="CPE67" s="349"/>
      <c r="CPF67" s="349"/>
      <c r="CPG67" s="349"/>
      <c r="CPH67" s="349"/>
      <c r="CPI67" s="349"/>
      <c r="CPJ67" s="349"/>
      <c r="CPK67" s="349"/>
      <c r="CPL67" s="349"/>
      <c r="CPM67" s="349"/>
      <c r="CPN67" s="349"/>
      <c r="CPO67" s="349"/>
      <c r="CPP67" s="349"/>
      <c r="CPQ67" s="349"/>
      <c r="CPR67" s="349"/>
      <c r="CPS67" s="349"/>
      <c r="CPT67" s="349"/>
      <c r="CPU67" s="349"/>
      <c r="CPV67" s="349"/>
      <c r="CPW67" s="349"/>
      <c r="CPX67" s="349"/>
      <c r="CPY67" s="349"/>
      <c r="CPZ67" s="349"/>
      <c r="CQA67" s="349"/>
      <c r="CQB67" s="349"/>
      <c r="CQC67" s="349"/>
      <c r="CQD67" s="349"/>
      <c r="CQE67" s="349"/>
      <c r="CQF67" s="349"/>
      <c r="CQG67" s="349"/>
      <c r="CQH67" s="349"/>
      <c r="CQI67" s="349"/>
      <c r="CQJ67" s="349"/>
      <c r="CQK67" s="349"/>
      <c r="CQL67" s="349"/>
      <c r="CQM67" s="349"/>
      <c r="CQN67" s="349"/>
      <c r="CQO67" s="349"/>
      <c r="CQP67" s="349"/>
      <c r="CQQ67" s="349"/>
      <c r="CQR67" s="349"/>
      <c r="CQS67" s="349"/>
      <c r="CQT67" s="349"/>
      <c r="CQU67" s="349"/>
      <c r="CQV67" s="349"/>
      <c r="CQW67" s="349"/>
      <c r="CQX67" s="349"/>
      <c r="CQY67" s="349"/>
      <c r="CQZ67" s="349"/>
      <c r="CRA67" s="349"/>
      <c r="CRB67" s="349"/>
      <c r="CRC67" s="349"/>
      <c r="CRD67" s="349"/>
      <c r="CRE67" s="349"/>
      <c r="CRF67" s="349"/>
      <c r="CRG67" s="349"/>
      <c r="CRH67" s="349"/>
      <c r="CRI67" s="349"/>
      <c r="CRJ67" s="349"/>
      <c r="CRK67" s="349"/>
      <c r="CRL67" s="349"/>
      <c r="CRM67" s="349"/>
      <c r="CRN67" s="349"/>
      <c r="CRO67" s="349"/>
      <c r="CRP67" s="349"/>
      <c r="CRQ67" s="349"/>
      <c r="CRR67" s="349"/>
      <c r="CRS67" s="349"/>
      <c r="CRT67" s="349"/>
      <c r="CRU67" s="349"/>
      <c r="CRV67" s="349"/>
      <c r="CRW67" s="349"/>
      <c r="CRX67" s="349"/>
      <c r="CRY67" s="349"/>
      <c r="CRZ67" s="349"/>
      <c r="CSA67" s="349"/>
      <c r="CSB67" s="349"/>
      <c r="CSC67" s="349"/>
      <c r="CSD67" s="349"/>
      <c r="CSE67" s="349"/>
      <c r="CSF67" s="349"/>
      <c r="CSG67" s="349"/>
      <c r="CSH67" s="349"/>
      <c r="CSI67" s="349"/>
      <c r="CSJ67" s="349"/>
      <c r="CSK67" s="349"/>
      <c r="CSL67" s="349"/>
      <c r="CSM67" s="349"/>
      <c r="CSN67" s="349"/>
      <c r="CSO67" s="349"/>
      <c r="CSP67" s="349"/>
      <c r="CSQ67" s="349"/>
      <c r="CSR67" s="349"/>
      <c r="CSS67" s="349"/>
      <c r="CST67" s="349"/>
      <c r="CSU67" s="349"/>
      <c r="CSV67" s="349"/>
      <c r="CSW67" s="349"/>
      <c r="CSX67" s="349"/>
      <c r="CSY67" s="349"/>
      <c r="CSZ67" s="349"/>
      <c r="CTA67" s="349"/>
      <c r="CTB67" s="349"/>
      <c r="CTC67" s="349"/>
      <c r="CTD67" s="349"/>
      <c r="CTE67" s="349"/>
      <c r="CTF67" s="349"/>
      <c r="CTG67" s="349"/>
      <c r="CTH67" s="349"/>
      <c r="CTI67" s="349"/>
      <c r="CTJ67" s="349"/>
      <c r="CTK67" s="349"/>
      <c r="CTL67" s="349"/>
      <c r="CTM67" s="349"/>
      <c r="CTN67" s="349"/>
      <c r="CTO67" s="349"/>
      <c r="CTP67" s="349"/>
      <c r="CTQ67" s="349"/>
      <c r="CTR67" s="349"/>
      <c r="CTS67" s="349"/>
      <c r="CTT67" s="349"/>
      <c r="CTU67" s="349"/>
      <c r="CTV67" s="349"/>
      <c r="CTW67" s="349"/>
      <c r="CTX67" s="349"/>
      <c r="CTY67" s="349"/>
      <c r="CTZ67" s="349"/>
      <c r="CUA67" s="349"/>
      <c r="CUB67" s="349"/>
      <c r="CUC67" s="349"/>
      <c r="CUD67" s="349"/>
      <c r="CUE67" s="349"/>
      <c r="CUF67" s="349"/>
      <c r="CUG67" s="349"/>
      <c r="CUH67" s="349"/>
      <c r="CUI67" s="349"/>
      <c r="CUJ67" s="349"/>
      <c r="CUK67" s="349"/>
      <c r="CUL67" s="349"/>
      <c r="CUM67" s="349"/>
      <c r="CUN67" s="349"/>
      <c r="CUO67" s="349"/>
      <c r="CUP67" s="349"/>
      <c r="CUQ67" s="349"/>
      <c r="CUR67" s="349"/>
      <c r="CUS67" s="349"/>
      <c r="CUT67" s="349"/>
      <c r="CUU67" s="349"/>
      <c r="CUV67" s="349"/>
      <c r="CUW67" s="349"/>
      <c r="CUX67" s="349"/>
      <c r="CUY67" s="349"/>
      <c r="CUZ67" s="349"/>
      <c r="CVA67" s="349"/>
      <c r="CVB67" s="349"/>
      <c r="CVC67" s="349"/>
      <c r="CVD67" s="349"/>
      <c r="CVE67" s="349"/>
      <c r="CVF67" s="349"/>
      <c r="CVG67" s="349"/>
      <c r="CVH67" s="349"/>
      <c r="CVI67" s="349"/>
      <c r="CVJ67" s="349"/>
      <c r="CVK67" s="349"/>
      <c r="CVL67" s="349"/>
      <c r="CVM67" s="349"/>
      <c r="CVN67" s="349"/>
      <c r="CVO67" s="349"/>
      <c r="CVP67" s="349"/>
      <c r="CVQ67" s="349"/>
      <c r="CVR67" s="349"/>
      <c r="CVS67" s="349"/>
      <c r="CVT67" s="349"/>
      <c r="CVU67" s="349"/>
      <c r="CVV67" s="349"/>
      <c r="CVW67" s="349"/>
      <c r="CVX67" s="349"/>
      <c r="CVY67" s="349"/>
      <c r="CVZ67" s="349"/>
      <c r="CWA67" s="349"/>
      <c r="CWB67" s="349"/>
      <c r="CWC67" s="349"/>
      <c r="CWD67" s="349"/>
      <c r="CWE67" s="349"/>
      <c r="CWF67" s="349"/>
      <c r="CWG67" s="349"/>
      <c r="CWH67" s="349"/>
      <c r="CWI67" s="349"/>
      <c r="CWJ67" s="349"/>
      <c r="CWK67" s="349"/>
      <c r="CWL67" s="349"/>
      <c r="CWM67" s="349"/>
      <c r="CWN67" s="349"/>
      <c r="CWO67" s="349"/>
      <c r="CWP67" s="349"/>
      <c r="CWQ67" s="349"/>
      <c r="CWR67" s="349"/>
      <c r="CWS67" s="349"/>
      <c r="CWT67" s="349"/>
      <c r="CWU67" s="349"/>
      <c r="CWV67" s="349"/>
      <c r="CWW67" s="349"/>
      <c r="CWX67" s="349"/>
      <c r="CWY67" s="349"/>
      <c r="CWZ67" s="349"/>
      <c r="CXA67" s="349"/>
      <c r="CXB67" s="349"/>
      <c r="CXC67" s="349"/>
      <c r="CXD67" s="349"/>
      <c r="CXE67" s="349"/>
      <c r="CXF67" s="349"/>
      <c r="CXG67" s="349"/>
      <c r="CXH67" s="349"/>
      <c r="CXI67" s="349"/>
      <c r="CXJ67" s="349"/>
      <c r="CXK67" s="349"/>
      <c r="CXL67" s="349"/>
      <c r="CXM67" s="349"/>
      <c r="CXN67" s="349"/>
      <c r="CXO67" s="349"/>
      <c r="CXP67" s="349"/>
      <c r="CXQ67" s="349"/>
      <c r="CXR67" s="349"/>
      <c r="CXS67" s="349"/>
      <c r="CXT67" s="349"/>
      <c r="CXU67" s="349"/>
      <c r="CXV67" s="349"/>
      <c r="CXW67" s="349"/>
      <c r="CXX67" s="349"/>
      <c r="CXY67" s="349"/>
      <c r="CXZ67" s="349"/>
      <c r="CYA67" s="349"/>
      <c r="CYB67" s="349"/>
      <c r="CYC67" s="349"/>
      <c r="CYD67" s="349"/>
      <c r="CYE67" s="349"/>
      <c r="CYF67" s="349"/>
      <c r="CYG67" s="349"/>
      <c r="CYH67" s="349"/>
      <c r="CYI67" s="349"/>
      <c r="CYJ67" s="349"/>
      <c r="CYK67" s="349"/>
      <c r="CYL67" s="349"/>
      <c r="CYM67" s="349"/>
      <c r="CYN67" s="349"/>
      <c r="CYO67" s="349"/>
      <c r="CYP67" s="349"/>
      <c r="CYQ67" s="349"/>
      <c r="CYR67" s="349"/>
      <c r="CYS67" s="349"/>
      <c r="CYT67" s="349"/>
      <c r="CYU67" s="349"/>
      <c r="CYV67" s="349"/>
      <c r="CYW67" s="349"/>
      <c r="CYX67" s="349"/>
      <c r="CYY67" s="349"/>
      <c r="CYZ67" s="349"/>
      <c r="CZA67" s="349"/>
      <c r="CZB67" s="349"/>
      <c r="CZC67" s="349"/>
      <c r="CZD67" s="349"/>
      <c r="CZE67" s="349"/>
      <c r="CZF67" s="349"/>
      <c r="CZG67" s="349"/>
      <c r="CZH67" s="349"/>
      <c r="CZI67" s="349"/>
      <c r="CZJ67" s="349"/>
      <c r="CZK67" s="349"/>
      <c r="CZL67" s="349"/>
      <c r="CZM67" s="349"/>
      <c r="CZN67" s="349"/>
      <c r="CZO67" s="349"/>
      <c r="CZP67" s="349"/>
      <c r="CZQ67" s="349"/>
      <c r="CZR67" s="349"/>
      <c r="CZS67" s="349"/>
      <c r="CZT67" s="349"/>
      <c r="CZU67" s="349"/>
      <c r="CZV67" s="349"/>
      <c r="CZW67" s="349"/>
      <c r="CZX67" s="349"/>
      <c r="CZY67" s="349"/>
      <c r="CZZ67" s="349"/>
      <c r="DAA67" s="349"/>
      <c r="DAB67" s="349"/>
      <c r="DAC67" s="349"/>
      <c r="DAD67" s="349"/>
      <c r="DAE67" s="349"/>
      <c r="DAF67" s="349"/>
      <c r="DAG67" s="349"/>
      <c r="DAH67" s="349"/>
      <c r="DAI67" s="349"/>
      <c r="DAJ67" s="349"/>
      <c r="DAK67" s="349"/>
      <c r="DAL67" s="349"/>
      <c r="DAM67" s="349"/>
      <c r="DAN67" s="349"/>
      <c r="DAO67" s="349"/>
      <c r="DAP67" s="349"/>
      <c r="DAQ67" s="349"/>
      <c r="DAR67" s="349"/>
      <c r="DAS67" s="349"/>
      <c r="DAT67" s="349"/>
      <c r="DAU67" s="349"/>
      <c r="DAV67" s="349"/>
      <c r="DAW67" s="349"/>
      <c r="DAX67" s="349"/>
      <c r="DAY67" s="349"/>
      <c r="DAZ67" s="349"/>
      <c r="DBA67" s="349"/>
      <c r="DBB67" s="349"/>
      <c r="DBC67" s="349"/>
      <c r="DBD67" s="349"/>
      <c r="DBE67" s="349"/>
      <c r="DBF67" s="349"/>
      <c r="DBG67" s="349"/>
      <c r="DBH67" s="349"/>
      <c r="DBI67" s="349"/>
      <c r="DBJ67" s="349"/>
      <c r="DBK67" s="349"/>
      <c r="DBL67" s="349"/>
      <c r="DBM67" s="349"/>
      <c r="DBN67" s="349"/>
      <c r="DBO67" s="349"/>
      <c r="DBP67" s="349"/>
      <c r="DBQ67" s="349"/>
      <c r="DBR67" s="349"/>
      <c r="DBS67" s="349"/>
      <c r="DBT67" s="349"/>
      <c r="DBU67" s="349"/>
      <c r="DBV67" s="349"/>
      <c r="DBW67" s="349"/>
      <c r="DBX67" s="349"/>
      <c r="DBY67" s="349"/>
      <c r="DBZ67" s="349"/>
      <c r="DCA67" s="349"/>
      <c r="DCB67" s="349"/>
      <c r="DCC67" s="349"/>
      <c r="DCD67" s="349"/>
      <c r="DCE67" s="349"/>
      <c r="DCF67" s="349"/>
      <c r="DCG67" s="349"/>
      <c r="DCH67" s="349"/>
      <c r="DCI67" s="349"/>
      <c r="DCJ67" s="349"/>
      <c r="DCK67" s="349"/>
      <c r="DCL67" s="349"/>
      <c r="DCM67" s="349"/>
      <c r="DCN67" s="349"/>
      <c r="DCO67" s="349"/>
      <c r="DCP67" s="349"/>
      <c r="DCQ67" s="349"/>
      <c r="DCR67" s="349"/>
      <c r="DCS67" s="349"/>
      <c r="DCT67" s="349"/>
      <c r="DCU67" s="349"/>
      <c r="DCV67" s="349"/>
      <c r="DCW67" s="349"/>
      <c r="DCX67" s="349"/>
      <c r="DCY67" s="349"/>
      <c r="DCZ67" s="349"/>
      <c r="DDA67" s="349"/>
      <c r="DDB67" s="349"/>
      <c r="DDC67" s="349"/>
      <c r="DDD67" s="349"/>
      <c r="DDE67" s="349"/>
      <c r="DDF67" s="349"/>
      <c r="DDG67" s="349"/>
      <c r="DDH67" s="349"/>
      <c r="DDI67" s="349"/>
      <c r="DDJ67" s="349"/>
      <c r="DDK67" s="349"/>
      <c r="DDL67" s="349"/>
      <c r="DDM67" s="349"/>
      <c r="DDN67" s="349"/>
      <c r="DDO67" s="349"/>
      <c r="DDP67" s="349"/>
      <c r="DDQ67" s="349"/>
      <c r="DDR67" s="349"/>
      <c r="DDS67" s="349"/>
      <c r="DDT67" s="349"/>
      <c r="DDU67" s="349"/>
      <c r="DDV67" s="349"/>
      <c r="DDW67" s="349"/>
      <c r="DDX67" s="349"/>
      <c r="DDY67" s="349"/>
      <c r="DDZ67" s="349"/>
      <c r="DEA67" s="349"/>
      <c r="DEB67" s="349"/>
      <c r="DEC67" s="349"/>
      <c r="DED67" s="349"/>
      <c r="DEE67" s="349"/>
      <c r="DEF67" s="349"/>
      <c r="DEG67" s="349"/>
      <c r="DEH67" s="349"/>
      <c r="DEI67" s="349"/>
      <c r="DEJ67" s="349"/>
      <c r="DEK67" s="349"/>
      <c r="DEL67" s="349"/>
      <c r="DEM67" s="349"/>
      <c r="DEN67" s="349"/>
      <c r="DEO67" s="349"/>
      <c r="DEP67" s="349"/>
      <c r="DEQ67" s="349"/>
      <c r="DER67" s="349"/>
      <c r="DES67" s="349"/>
      <c r="DET67" s="349"/>
      <c r="DEU67" s="349"/>
      <c r="DEV67" s="349"/>
      <c r="DEW67" s="349"/>
      <c r="DEX67" s="349"/>
      <c r="DEY67" s="349"/>
      <c r="DEZ67" s="349"/>
      <c r="DFA67" s="349"/>
      <c r="DFB67" s="349"/>
      <c r="DFC67" s="349"/>
      <c r="DFD67" s="349"/>
      <c r="DFE67" s="349"/>
      <c r="DFF67" s="349"/>
      <c r="DFG67" s="349"/>
      <c r="DFH67" s="349"/>
      <c r="DFI67" s="349"/>
      <c r="DFJ67" s="349"/>
      <c r="DFK67" s="349"/>
      <c r="DFL67" s="349"/>
      <c r="DFM67" s="349"/>
      <c r="DFN67" s="349"/>
      <c r="DFO67" s="349"/>
      <c r="DFP67" s="349"/>
      <c r="DFQ67" s="349"/>
      <c r="DFR67" s="349"/>
      <c r="DFS67" s="349"/>
      <c r="DFT67" s="349"/>
      <c r="DFU67" s="349"/>
      <c r="DFV67" s="349"/>
      <c r="DFW67" s="349"/>
      <c r="DFX67" s="349"/>
      <c r="DFY67" s="349"/>
      <c r="DFZ67" s="349"/>
      <c r="DGA67" s="349"/>
      <c r="DGB67" s="349"/>
      <c r="DGC67" s="349"/>
      <c r="DGD67" s="349"/>
      <c r="DGE67" s="349"/>
      <c r="DGF67" s="349"/>
      <c r="DGG67" s="349"/>
      <c r="DGH67" s="349"/>
      <c r="DGI67" s="349"/>
      <c r="DGJ67" s="349"/>
      <c r="DGK67" s="349"/>
      <c r="DGL67" s="349"/>
      <c r="DGM67" s="349"/>
      <c r="DGN67" s="349"/>
      <c r="DGO67" s="349"/>
      <c r="DGP67" s="349"/>
      <c r="DGQ67" s="349"/>
      <c r="DGR67" s="349"/>
      <c r="DGS67" s="349"/>
      <c r="DGT67" s="349"/>
      <c r="DGU67" s="349"/>
      <c r="DGV67" s="349"/>
      <c r="DGW67" s="349"/>
      <c r="DGX67" s="349"/>
      <c r="DGY67" s="349"/>
      <c r="DGZ67" s="349"/>
      <c r="DHA67" s="349"/>
      <c r="DHB67" s="349"/>
      <c r="DHC67" s="349"/>
      <c r="DHD67" s="349"/>
      <c r="DHE67" s="349"/>
      <c r="DHF67" s="349"/>
      <c r="DHG67" s="349"/>
      <c r="DHH67" s="349"/>
      <c r="DHI67" s="349"/>
      <c r="DHJ67" s="349"/>
      <c r="DHK67" s="349"/>
      <c r="DHL67" s="349"/>
      <c r="DHM67" s="349"/>
      <c r="DHN67" s="349"/>
      <c r="DHO67" s="349"/>
      <c r="DHP67" s="349"/>
      <c r="DHQ67" s="349"/>
      <c r="DHR67" s="349"/>
      <c r="DHS67" s="349"/>
      <c r="DHT67" s="349"/>
      <c r="DHU67" s="349"/>
      <c r="DHV67" s="349"/>
      <c r="DHW67" s="349"/>
      <c r="DHX67" s="349"/>
      <c r="DHY67" s="349"/>
      <c r="DHZ67" s="349"/>
      <c r="DIA67" s="349"/>
      <c r="DIB67" s="349"/>
      <c r="DIC67" s="349"/>
      <c r="DID67" s="349"/>
      <c r="DIE67" s="349"/>
      <c r="DIF67" s="349"/>
      <c r="DIG67" s="349"/>
      <c r="DIH67" s="349"/>
      <c r="DII67" s="349"/>
      <c r="DIJ67" s="349"/>
      <c r="DIK67" s="349"/>
      <c r="DIL67" s="349"/>
      <c r="DIM67" s="349"/>
      <c r="DIN67" s="349"/>
      <c r="DIO67" s="349"/>
      <c r="DIP67" s="349"/>
      <c r="DIQ67" s="349"/>
      <c r="DIR67" s="349"/>
      <c r="DIS67" s="349"/>
      <c r="DIT67" s="349"/>
      <c r="DIU67" s="349"/>
      <c r="DIV67" s="349"/>
      <c r="DIW67" s="349"/>
      <c r="DIX67" s="349"/>
      <c r="DIY67" s="349"/>
      <c r="DIZ67" s="349"/>
      <c r="DJA67" s="349"/>
      <c r="DJB67" s="349"/>
      <c r="DJC67" s="349"/>
      <c r="DJD67" s="349"/>
      <c r="DJE67" s="349"/>
      <c r="DJF67" s="349"/>
      <c r="DJG67" s="349"/>
      <c r="DJH67" s="349"/>
      <c r="DJI67" s="349"/>
      <c r="DJJ67" s="349"/>
      <c r="DJK67" s="349"/>
      <c r="DJL67" s="349"/>
      <c r="DJM67" s="349"/>
      <c r="DJN67" s="349"/>
      <c r="DJO67" s="349"/>
      <c r="DJP67" s="349"/>
      <c r="DJQ67" s="349"/>
      <c r="DJR67" s="349"/>
      <c r="DJS67" s="349"/>
      <c r="DJT67" s="349"/>
      <c r="DJU67" s="349"/>
      <c r="DJV67" s="349"/>
      <c r="DJW67" s="349"/>
      <c r="DJX67" s="349"/>
      <c r="DJY67" s="349"/>
      <c r="DJZ67" s="349"/>
      <c r="DKA67" s="349"/>
      <c r="DKB67" s="349"/>
      <c r="DKC67" s="349"/>
      <c r="DKD67" s="349"/>
      <c r="DKE67" s="349"/>
      <c r="DKF67" s="349"/>
      <c r="DKG67" s="349"/>
      <c r="DKH67" s="349"/>
      <c r="DKI67" s="349"/>
      <c r="DKJ67" s="349"/>
      <c r="DKK67" s="349"/>
      <c r="DKL67" s="349"/>
      <c r="DKM67" s="349"/>
      <c r="DKN67" s="349"/>
      <c r="DKO67" s="349"/>
      <c r="DKP67" s="349"/>
      <c r="DKQ67" s="349"/>
      <c r="DKR67" s="349"/>
      <c r="DKS67" s="349"/>
      <c r="DKT67" s="349"/>
      <c r="DKU67" s="349"/>
      <c r="DKV67" s="349"/>
      <c r="DKW67" s="349"/>
      <c r="DKX67" s="349"/>
      <c r="DKY67" s="349"/>
      <c r="DKZ67" s="349"/>
      <c r="DLA67" s="349"/>
      <c r="DLB67" s="349"/>
      <c r="DLC67" s="349"/>
      <c r="DLD67" s="349"/>
      <c r="DLE67" s="349"/>
      <c r="DLF67" s="349"/>
      <c r="DLG67" s="349"/>
      <c r="DLH67" s="349"/>
      <c r="DLI67" s="349"/>
      <c r="DLJ67" s="349"/>
      <c r="DLK67" s="349"/>
      <c r="DLL67" s="349"/>
      <c r="DLM67" s="349"/>
      <c r="DLN67" s="349"/>
      <c r="DLO67" s="349"/>
      <c r="DLP67" s="349"/>
      <c r="DLQ67" s="349"/>
      <c r="DLR67" s="349"/>
      <c r="DLS67" s="349"/>
      <c r="DLT67" s="349"/>
      <c r="DLU67" s="349"/>
      <c r="DLV67" s="349"/>
      <c r="DLW67" s="349"/>
      <c r="DLX67" s="349"/>
      <c r="DLY67" s="349"/>
      <c r="DLZ67" s="349"/>
      <c r="DMA67" s="349"/>
      <c r="DMB67" s="349"/>
      <c r="DMC67" s="349"/>
      <c r="DMD67" s="349"/>
      <c r="DME67" s="349"/>
      <c r="DMF67" s="349"/>
      <c r="DMG67" s="349"/>
      <c r="DMH67" s="349"/>
      <c r="DMI67" s="349"/>
      <c r="DMJ67" s="349"/>
      <c r="DMK67" s="349"/>
      <c r="DML67" s="349"/>
      <c r="DMM67" s="349"/>
      <c r="DMN67" s="349"/>
      <c r="DMO67" s="349"/>
      <c r="DMP67" s="349"/>
      <c r="DMQ67" s="349"/>
      <c r="DMR67" s="349"/>
      <c r="DMS67" s="349"/>
      <c r="DMT67" s="349"/>
      <c r="DMU67" s="349"/>
      <c r="DMV67" s="349"/>
      <c r="DMW67" s="349"/>
      <c r="DMX67" s="349"/>
      <c r="DMY67" s="349"/>
      <c r="DMZ67" s="349"/>
      <c r="DNA67" s="349"/>
      <c r="DNB67" s="349"/>
      <c r="DNC67" s="349"/>
      <c r="DND67" s="349"/>
      <c r="DNE67" s="349"/>
      <c r="DNF67" s="349"/>
      <c r="DNG67" s="349"/>
      <c r="DNH67" s="349"/>
      <c r="DNI67" s="349"/>
      <c r="DNJ67" s="349"/>
      <c r="DNK67" s="349"/>
      <c r="DNL67" s="349"/>
      <c r="DNM67" s="349"/>
      <c r="DNN67" s="349"/>
      <c r="DNO67" s="349"/>
      <c r="DNP67" s="349"/>
      <c r="DNQ67" s="349"/>
      <c r="DNR67" s="349"/>
      <c r="DNS67" s="349"/>
      <c r="DNT67" s="349"/>
      <c r="DNU67" s="349"/>
      <c r="DNV67" s="349"/>
      <c r="DNW67" s="349"/>
      <c r="DNX67" s="349"/>
      <c r="DNY67" s="349"/>
      <c r="DNZ67" s="349"/>
      <c r="DOA67" s="349"/>
      <c r="DOB67" s="349"/>
      <c r="DOC67" s="349"/>
      <c r="DOD67" s="349"/>
      <c r="DOE67" s="349"/>
      <c r="DOF67" s="349"/>
      <c r="DOG67" s="349"/>
      <c r="DOH67" s="349"/>
      <c r="DOI67" s="349"/>
      <c r="DOJ67" s="349"/>
      <c r="DOK67" s="349"/>
      <c r="DOL67" s="349"/>
      <c r="DOM67" s="349"/>
      <c r="DON67" s="349"/>
      <c r="DOO67" s="349"/>
      <c r="DOP67" s="349"/>
      <c r="DOQ67" s="349"/>
      <c r="DOR67" s="349"/>
      <c r="DOS67" s="349"/>
      <c r="DOT67" s="349"/>
      <c r="DOU67" s="349"/>
      <c r="DOV67" s="349"/>
      <c r="DOW67" s="349"/>
      <c r="DOX67" s="349"/>
      <c r="DOY67" s="349"/>
      <c r="DOZ67" s="349"/>
      <c r="DPA67" s="349"/>
      <c r="DPB67" s="349"/>
      <c r="DPC67" s="349"/>
      <c r="DPD67" s="349"/>
      <c r="DPE67" s="349"/>
      <c r="DPF67" s="349"/>
      <c r="DPG67" s="349"/>
      <c r="DPH67" s="349"/>
      <c r="DPI67" s="349"/>
      <c r="DPJ67" s="349"/>
      <c r="DPK67" s="349"/>
      <c r="DPL67" s="349"/>
      <c r="DPM67" s="349"/>
      <c r="DPN67" s="349"/>
      <c r="DPO67" s="349"/>
      <c r="DPP67" s="349"/>
      <c r="DPQ67" s="349"/>
      <c r="DPR67" s="349"/>
      <c r="DPS67" s="349"/>
      <c r="DPT67" s="349"/>
      <c r="DPU67" s="349"/>
      <c r="DPV67" s="349"/>
      <c r="DPW67" s="349"/>
      <c r="DPX67" s="349"/>
      <c r="DPY67" s="349"/>
      <c r="DPZ67" s="349"/>
      <c r="DQA67" s="349"/>
      <c r="DQB67" s="349"/>
      <c r="DQC67" s="349"/>
      <c r="DQD67" s="349"/>
      <c r="DQE67" s="349"/>
      <c r="DQF67" s="349"/>
      <c r="DQG67" s="349"/>
      <c r="DQH67" s="349"/>
      <c r="DQI67" s="349"/>
      <c r="DQJ67" s="349"/>
      <c r="DQK67" s="349"/>
      <c r="DQL67" s="349"/>
      <c r="DQM67" s="349"/>
      <c r="DQN67" s="349"/>
      <c r="DQO67" s="349"/>
      <c r="DQP67" s="349"/>
      <c r="DQQ67" s="349"/>
      <c r="DQR67" s="349"/>
      <c r="DQS67" s="349"/>
      <c r="DQT67" s="349"/>
      <c r="DQU67" s="349"/>
      <c r="DQV67" s="349"/>
      <c r="DQW67" s="349"/>
      <c r="DQX67" s="349"/>
      <c r="DQY67" s="349"/>
      <c r="DQZ67" s="349"/>
      <c r="DRA67" s="349"/>
      <c r="DRB67" s="349"/>
      <c r="DRC67" s="349"/>
      <c r="DRD67" s="349"/>
      <c r="DRE67" s="349"/>
      <c r="DRF67" s="349"/>
      <c r="DRG67" s="349"/>
      <c r="DRH67" s="349"/>
      <c r="DRI67" s="349"/>
      <c r="DRJ67" s="349"/>
      <c r="DRK67" s="349"/>
      <c r="DRL67" s="349"/>
      <c r="DRM67" s="349"/>
      <c r="DRN67" s="349"/>
      <c r="DRO67" s="349"/>
      <c r="DRP67" s="349"/>
      <c r="DRQ67" s="349"/>
      <c r="DRR67" s="349"/>
      <c r="DRS67" s="349"/>
      <c r="DRT67" s="349"/>
      <c r="DRU67" s="349"/>
      <c r="DRV67" s="349"/>
      <c r="DRW67" s="349"/>
      <c r="DRX67" s="349"/>
      <c r="DRY67" s="349"/>
      <c r="DRZ67" s="349"/>
      <c r="DSA67" s="349"/>
      <c r="DSB67" s="349"/>
      <c r="DSC67" s="349"/>
      <c r="DSD67" s="349"/>
      <c r="DSE67" s="349"/>
      <c r="DSF67" s="349"/>
      <c r="DSG67" s="349"/>
      <c r="DSH67" s="349"/>
      <c r="DSI67" s="349"/>
      <c r="DSJ67" s="349"/>
      <c r="DSK67" s="349"/>
      <c r="DSL67" s="349"/>
      <c r="DSM67" s="349"/>
      <c r="DSN67" s="349"/>
      <c r="DSO67" s="349"/>
      <c r="DSP67" s="349"/>
      <c r="DSQ67" s="349"/>
      <c r="DSR67" s="349"/>
      <c r="DSS67" s="349"/>
      <c r="DST67" s="349"/>
      <c r="DSU67" s="349"/>
      <c r="DSV67" s="349"/>
      <c r="DSW67" s="349"/>
      <c r="DSX67" s="349"/>
      <c r="DSY67" s="349"/>
      <c r="DSZ67" s="349"/>
      <c r="DTA67" s="349"/>
      <c r="DTB67" s="349"/>
      <c r="DTC67" s="349"/>
      <c r="DTD67" s="349"/>
      <c r="DTE67" s="349"/>
      <c r="DTF67" s="349"/>
      <c r="DTG67" s="349"/>
      <c r="DTH67" s="349"/>
      <c r="DTI67" s="349"/>
      <c r="DTJ67" s="349"/>
      <c r="DTK67" s="349"/>
      <c r="DTL67" s="349"/>
      <c r="DTM67" s="349"/>
      <c r="DTN67" s="349"/>
      <c r="DTO67" s="349"/>
      <c r="DTP67" s="349"/>
      <c r="DTQ67" s="349"/>
      <c r="DTR67" s="349"/>
      <c r="DTS67" s="349"/>
      <c r="DTT67" s="349"/>
      <c r="DTU67" s="349"/>
      <c r="DTV67" s="349"/>
      <c r="DTW67" s="349"/>
      <c r="DTX67" s="349"/>
      <c r="DTY67" s="349"/>
      <c r="DTZ67" s="349"/>
      <c r="DUA67" s="349"/>
      <c r="DUB67" s="349"/>
      <c r="DUC67" s="349"/>
      <c r="DUD67" s="349"/>
      <c r="DUE67" s="349"/>
      <c r="DUF67" s="349"/>
      <c r="DUG67" s="349"/>
      <c r="DUH67" s="349"/>
      <c r="DUI67" s="349"/>
      <c r="DUJ67" s="349"/>
      <c r="DUK67" s="349"/>
      <c r="DUL67" s="349"/>
      <c r="DUM67" s="349"/>
      <c r="DUN67" s="349"/>
      <c r="DUO67" s="349"/>
      <c r="DUP67" s="349"/>
      <c r="DUQ67" s="349"/>
      <c r="DUR67" s="349"/>
      <c r="DUS67" s="349"/>
      <c r="DUT67" s="349"/>
      <c r="DUU67" s="349"/>
      <c r="DUV67" s="349"/>
      <c r="DUW67" s="349"/>
      <c r="DUX67" s="349"/>
      <c r="DUY67" s="349"/>
      <c r="DUZ67" s="349"/>
      <c r="DVA67" s="349"/>
      <c r="DVB67" s="349"/>
      <c r="DVC67" s="349"/>
      <c r="DVD67" s="349"/>
      <c r="DVE67" s="349"/>
      <c r="DVF67" s="349"/>
      <c r="DVG67" s="349"/>
      <c r="DVH67" s="349"/>
      <c r="DVI67" s="349"/>
      <c r="DVJ67" s="349"/>
      <c r="DVK67" s="349"/>
      <c r="DVL67" s="349"/>
      <c r="DVM67" s="349"/>
      <c r="DVN67" s="349"/>
      <c r="DVO67" s="349"/>
      <c r="DVP67" s="349"/>
      <c r="DVQ67" s="349"/>
      <c r="DVR67" s="349"/>
      <c r="DVS67" s="349"/>
      <c r="DVT67" s="349"/>
      <c r="DVU67" s="349"/>
      <c r="DVV67" s="349"/>
      <c r="DVW67" s="349"/>
      <c r="DVX67" s="349"/>
      <c r="DVY67" s="349"/>
      <c r="DVZ67" s="349"/>
      <c r="DWA67" s="349"/>
      <c r="DWB67" s="349"/>
      <c r="DWC67" s="349"/>
      <c r="DWD67" s="349"/>
      <c r="DWE67" s="349"/>
      <c r="DWF67" s="349"/>
      <c r="DWG67" s="349"/>
      <c r="DWH67" s="349"/>
      <c r="DWI67" s="349"/>
      <c r="DWJ67" s="349"/>
      <c r="DWK67" s="349"/>
      <c r="DWL67" s="349"/>
      <c r="DWM67" s="349"/>
      <c r="DWN67" s="349"/>
      <c r="DWO67" s="349"/>
      <c r="DWP67" s="349"/>
      <c r="DWQ67" s="349"/>
      <c r="DWR67" s="349"/>
      <c r="DWS67" s="349"/>
      <c r="DWT67" s="349"/>
      <c r="DWU67" s="349"/>
      <c r="DWV67" s="349"/>
      <c r="DWW67" s="349"/>
      <c r="DWX67" s="349"/>
      <c r="DWY67" s="349"/>
      <c r="DWZ67" s="349"/>
      <c r="DXA67" s="349"/>
      <c r="DXB67" s="349"/>
      <c r="DXC67" s="349"/>
      <c r="DXD67" s="349"/>
      <c r="DXE67" s="349"/>
      <c r="DXF67" s="349"/>
      <c r="DXG67" s="349"/>
      <c r="DXH67" s="349"/>
      <c r="DXI67" s="349"/>
      <c r="DXJ67" s="349"/>
      <c r="DXK67" s="349"/>
      <c r="DXL67" s="349"/>
      <c r="DXM67" s="349"/>
      <c r="DXN67" s="349"/>
      <c r="DXO67" s="349"/>
      <c r="DXP67" s="349"/>
      <c r="DXQ67" s="349"/>
      <c r="DXR67" s="349"/>
      <c r="DXS67" s="349"/>
      <c r="DXT67" s="349"/>
      <c r="DXU67" s="349"/>
      <c r="DXV67" s="349"/>
      <c r="DXW67" s="349"/>
      <c r="DXX67" s="349"/>
      <c r="DXY67" s="349"/>
      <c r="DXZ67" s="349"/>
      <c r="DYA67" s="349"/>
      <c r="DYB67" s="349"/>
      <c r="DYC67" s="349"/>
      <c r="DYD67" s="349"/>
      <c r="DYE67" s="349"/>
      <c r="DYF67" s="349"/>
      <c r="DYG67" s="349"/>
      <c r="DYH67" s="349"/>
      <c r="DYI67" s="349"/>
      <c r="DYJ67" s="349"/>
      <c r="DYK67" s="349"/>
      <c r="DYL67" s="349"/>
      <c r="DYM67" s="349"/>
      <c r="DYN67" s="349"/>
      <c r="DYO67" s="349"/>
      <c r="DYP67" s="349"/>
      <c r="DYQ67" s="349"/>
      <c r="DYR67" s="349"/>
      <c r="DYS67" s="349"/>
      <c r="DYT67" s="349"/>
      <c r="DYU67" s="349"/>
      <c r="DYV67" s="349"/>
      <c r="DYW67" s="349"/>
      <c r="DYX67" s="349"/>
      <c r="DYY67" s="349"/>
      <c r="DYZ67" s="349"/>
      <c r="DZA67" s="349"/>
      <c r="DZB67" s="349"/>
      <c r="DZC67" s="349"/>
      <c r="DZD67" s="349"/>
      <c r="DZE67" s="349"/>
      <c r="DZF67" s="349"/>
      <c r="DZG67" s="349"/>
      <c r="DZH67" s="349"/>
      <c r="DZI67" s="349"/>
      <c r="DZJ67" s="349"/>
      <c r="DZK67" s="349"/>
      <c r="DZL67" s="349"/>
      <c r="DZM67" s="349"/>
      <c r="DZN67" s="349"/>
      <c r="DZO67" s="349"/>
      <c r="DZP67" s="349"/>
      <c r="DZQ67" s="349"/>
      <c r="DZR67" s="349"/>
      <c r="DZS67" s="349"/>
      <c r="DZT67" s="349"/>
      <c r="DZU67" s="349"/>
      <c r="DZV67" s="349"/>
      <c r="DZW67" s="349"/>
      <c r="DZX67" s="349"/>
      <c r="DZY67" s="349"/>
      <c r="DZZ67" s="349"/>
      <c r="EAA67" s="349"/>
      <c r="EAB67" s="349"/>
      <c r="EAC67" s="349"/>
      <c r="EAD67" s="349"/>
      <c r="EAE67" s="349"/>
      <c r="EAF67" s="349"/>
      <c r="EAG67" s="349"/>
      <c r="EAH67" s="349"/>
      <c r="EAI67" s="349"/>
      <c r="EAJ67" s="349"/>
      <c r="EAK67" s="349"/>
      <c r="EAL67" s="349"/>
      <c r="EAM67" s="349"/>
      <c r="EAN67" s="349"/>
      <c r="EAO67" s="349"/>
      <c r="EAP67" s="349"/>
      <c r="EAQ67" s="349"/>
      <c r="EAR67" s="349"/>
      <c r="EAS67" s="349"/>
      <c r="EAT67" s="349"/>
      <c r="EAU67" s="349"/>
      <c r="EAV67" s="349"/>
      <c r="EAW67" s="349"/>
      <c r="EAX67" s="349"/>
      <c r="EAY67" s="349"/>
      <c r="EAZ67" s="349"/>
      <c r="EBA67" s="349"/>
      <c r="EBB67" s="349"/>
      <c r="EBC67" s="349"/>
      <c r="EBD67" s="349"/>
      <c r="EBE67" s="349"/>
      <c r="EBF67" s="349"/>
      <c r="EBG67" s="349"/>
      <c r="EBH67" s="349"/>
      <c r="EBI67" s="349"/>
      <c r="EBJ67" s="349"/>
      <c r="EBK67" s="349"/>
      <c r="EBL67" s="349"/>
      <c r="EBM67" s="349"/>
      <c r="EBN67" s="349"/>
      <c r="EBO67" s="349"/>
      <c r="EBP67" s="349"/>
      <c r="EBQ67" s="349"/>
      <c r="EBR67" s="349"/>
      <c r="EBS67" s="349"/>
      <c r="EBT67" s="349"/>
      <c r="EBU67" s="349"/>
      <c r="EBV67" s="349"/>
      <c r="EBW67" s="349"/>
      <c r="EBX67" s="349"/>
      <c r="EBY67" s="349"/>
      <c r="EBZ67" s="349"/>
      <c r="ECA67" s="349"/>
      <c r="ECB67" s="349"/>
      <c r="ECC67" s="349"/>
      <c r="ECD67" s="349"/>
      <c r="ECE67" s="349"/>
      <c r="ECF67" s="349"/>
      <c r="ECG67" s="349"/>
      <c r="ECH67" s="349"/>
      <c r="ECI67" s="349"/>
      <c r="ECJ67" s="349"/>
      <c r="ECK67" s="349"/>
      <c r="ECL67" s="349"/>
      <c r="ECM67" s="349"/>
      <c r="ECN67" s="349"/>
      <c r="ECO67" s="349"/>
      <c r="ECP67" s="349"/>
      <c r="ECQ67" s="349"/>
      <c r="ECR67" s="349"/>
      <c r="ECS67" s="349"/>
      <c r="ECT67" s="349"/>
      <c r="ECU67" s="349"/>
      <c r="ECV67" s="349"/>
      <c r="ECW67" s="349"/>
      <c r="ECX67" s="349"/>
      <c r="ECY67" s="349"/>
      <c r="ECZ67" s="349"/>
      <c r="EDA67" s="349"/>
      <c r="EDB67" s="349"/>
      <c r="EDC67" s="349"/>
      <c r="EDD67" s="349"/>
      <c r="EDE67" s="349"/>
      <c r="EDF67" s="349"/>
      <c r="EDG67" s="349"/>
      <c r="EDH67" s="349"/>
      <c r="EDI67" s="349"/>
      <c r="EDJ67" s="349"/>
      <c r="EDK67" s="349"/>
      <c r="EDL67" s="349"/>
      <c r="EDM67" s="349"/>
      <c r="EDN67" s="349"/>
      <c r="EDO67" s="349"/>
      <c r="EDP67" s="349"/>
      <c r="EDQ67" s="349"/>
      <c r="EDR67" s="349"/>
      <c r="EDS67" s="349"/>
      <c r="EDT67" s="349"/>
      <c r="EDU67" s="349"/>
      <c r="EDV67" s="349"/>
      <c r="EDW67" s="349"/>
      <c r="EDX67" s="349"/>
      <c r="EDY67" s="349"/>
      <c r="EDZ67" s="349"/>
      <c r="EEA67" s="349"/>
      <c r="EEB67" s="349"/>
      <c r="EEC67" s="349"/>
      <c r="EED67" s="349"/>
      <c r="EEE67" s="349"/>
      <c r="EEF67" s="349"/>
      <c r="EEG67" s="349"/>
      <c r="EEH67" s="349"/>
      <c r="EEI67" s="349"/>
      <c r="EEJ67" s="349"/>
      <c r="EEK67" s="349"/>
      <c r="EEL67" s="349"/>
      <c r="EEM67" s="349"/>
      <c r="EEN67" s="349"/>
      <c r="EEO67" s="349"/>
      <c r="EEP67" s="349"/>
      <c r="EEQ67" s="349"/>
      <c r="EER67" s="349"/>
      <c r="EES67" s="349"/>
      <c r="EET67" s="349"/>
      <c r="EEU67" s="349"/>
      <c r="EEV67" s="349"/>
      <c r="EEW67" s="349"/>
      <c r="EEX67" s="349"/>
      <c r="EEY67" s="349"/>
      <c r="EEZ67" s="349"/>
      <c r="EFA67" s="349"/>
      <c r="EFB67" s="349"/>
      <c r="EFC67" s="349"/>
      <c r="EFD67" s="349"/>
      <c r="EFE67" s="349"/>
      <c r="EFF67" s="349"/>
      <c r="EFG67" s="349"/>
      <c r="EFH67" s="349"/>
      <c r="EFI67" s="349"/>
      <c r="EFJ67" s="349"/>
      <c r="EFK67" s="349"/>
      <c r="EFL67" s="349"/>
      <c r="EFM67" s="349"/>
      <c r="EFN67" s="349"/>
      <c r="EFO67" s="349"/>
      <c r="EFP67" s="349"/>
      <c r="EFQ67" s="349"/>
      <c r="EFR67" s="349"/>
      <c r="EFS67" s="349"/>
      <c r="EFT67" s="349"/>
      <c r="EFU67" s="349"/>
      <c r="EFV67" s="349"/>
      <c r="EFW67" s="349"/>
      <c r="EFX67" s="349"/>
      <c r="EFY67" s="349"/>
      <c r="EFZ67" s="349"/>
      <c r="EGA67" s="349"/>
      <c r="EGB67" s="349"/>
      <c r="EGC67" s="349"/>
      <c r="EGD67" s="349"/>
      <c r="EGE67" s="349"/>
      <c r="EGF67" s="349"/>
      <c r="EGG67" s="349"/>
      <c r="EGH67" s="349"/>
      <c r="EGI67" s="349"/>
      <c r="EGJ67" s="349"/>
      <c r="EGK67" s="349"/>
      <c r="EGL67" s="349"/>
      <c r="EGM67" s="349"/>
      <c r="EGN67" s="349"/>
      <c r="EGO67" s="349"/>
      <c r="EGP67" s="349"/>
      <c r="EGQ67" s="349"/>
      <c r="EGR67" s="349"/>
      <c r="EGS67" s="349"/>
      <c r="EGT67" s="349"/>
      <c r="EGU67" s="349"/>
      <c r="EGV67" s="349"/>
      <c r="EGW67" s="349"/>
      <c r="EGX67" s="349"/>
      <c r="EGY67" s="349"/>
      <c r="EGZ67" s="349"/>
      <c r="EHA67" s="349"/>
      <c r="EHB67" s="349"/>
      <c r="EHC67" s="349"/>
      <c r="EHD67" s="349"/>
      <c r="EHE67" s="349"/>
      <c r="EHF67" s="349"/>
      <c r="EHG67" s="349"/>
      <c r="EHH67" s="349"/>
      <c r="EHI67" s="349"/>
      <c r="EHJ67" s="349"/>
      <c r="EHK67" s="349"/>
      <c r="EHL67" s="349"/>
      <c r="EHM67" s="349"/>
      <c r="EHN67" s="349"/>
      <c r="EHO67" s="349"/>
      <c r="EHP67" s="349"/>
      <c r="EHQ67" s="349"/>
      <c r="EHR67" s="349"/>
      <c r="EHS67" s="349"/>
      <c r="EHT67" s="349"/>
      <c r="EHU67" s="349"/>
      <c r="EHV67" s="349"/>
      <c r="EHW67" s="349"/>
      <c r="EHX67" s="349"/>
      <c r="EHY67" s="349"/>
      <c r="EHZ67" s="349"/>
      <c r="EIA67" s="349"/>
      <c r="EIB67" s="349"/>
      <c r="EIC67" s="349"/>
      <c r="EID67" s="349"/>
      <c r="EIE67" s="349"/>
      <c r="EIF67" s="349"/>
      <c r="EIG67" s="349"/>
      <c r="EIH67" s="349"/>
      <c r="EII67" s="349"/>
      <c r="EIJ67" s="349"/>
      <c r="EIK67" s="349"/>
      <c r="EIL67" s="349"/>
      <c r="EIM67" s="349"/>
      <c r="EIN67" s="349"/>
      <c r="EIO67" s="349"/>
      <c r="EIP67" s="349"/>
      <c r="EIQ67" s="349"/>
      <c r="EIR67" s="349"/>
      <c r="EIS67" s="349"/>
      <c r="EIT67" s="349"/>
      <c r="EIU67" s="349"/>
      <c r="EIV67" s="349"/>
      <c r="EIW67" s="349"/>
      <c r="EIX67" s="349"/>
      <c r="EIY67" s="349"/>
      <c r="EIZ67" s="349"/>
      <c r="EJA67" s="349"/>
      <c r="EJB67" s="349"/>
      <c r="EJC67" s="349"/>
      <c r="EJD67" s="349"/>
      <c r="EJE67" s="349"/>
      <c r="EJF67" s="349"/>
      <c r="EJG67" s="349"/>
      <c r="EJH67" s="349"/>
      <c r="EJI67" s="349"/>
      <c r="EJJ67" s="349"/>
      <c r="EJK67" s="349"/>
      <c r="EJL67" s="349"/>
      <c r="EJM67" s="349"/>
      <c r="EJN67" s="349"/>
      <c r="EJO67" s="349"/>
      <c r="EJP67" s="349"/>
      <c r="EJQ67" s="349"/>
      <c r="EJR67" s="349"/>
      <c r="EJS67" s="349"/>
      <c r="EJT67" s="349"/>
      <c r="EJU67" s="349"/>
      <c r="EJV67" s="349"/>
      <c r="EJW67" s="349"/>
      <c r="EJX67" s="349"/>
      <c r="EJY67" s="349"/>
      <c r="EJZ67" s="349"/>
      <c r="EKA67" s="349"/>
      <c r="EKB67" s="349"/>
      <c r="EKC67" s="349"/>
      <c r="EKD67" s="349"/>
      <c r="EKE67" s="349"/>
      <c r="EKF67" s="349"/>
      <c r="EKG67" s="349"/>
      <c r="EKH67" s="349"/>
      <c r="EKI67" s="349"/>
      <c r="EKJ67" s="349"/>
      <c r="EKK67" s="349"/>
      <c r="EKL67" s="349"/>
      <c r="EKM67" s="349"/>
      <c r="EKN67" s="349"/>
      <c r="EKO67" s="349"/>
      <c r="EKP67" s="349"/>
      <c r="EKQ67" s="349"/>
      <c r="EKR67" s="349"/>
      <c r="EKS67" s="349"/>
      <c r="EKT67" s="349"/>
      <c r="EKU67" s="349"/>
      <c r="EKV67" s="349"/>
      <c r="EKW67" s="349"/>
      <c r="EKX67" s="349"/>
      <c r="EKY67" s="349"/>
      <c r="EKZ67" s="349"/>
      <c r="ELA67" s="349"/>
      <c r="ELB67" s="349"/>
      <c r="ELC67" s="349"/>
      <c r="ELD67" s="349"/>
      <c r="ELE67" s="349"/>
      <c r="ELF67" s="349"/>
      <c r="ELG67" s="349"/>
      <c r="ELH67" s="349"/>
      <c r="ELI67" s="349"/>
      <c r="ELJ67" s="349"/>
      <c r="ELK67" s="349"/>
      <c r="ELL67" s="349"/>
      <c r="ELM67" s="349"/>
      <c r="ELN67" s="349"/>
      <c r="ELO67" s="349"/>
      <c r="ELP67" s="349"/>
      <c r="ELQ67" s="349"/>
      <c r="ELR67" s="349"/>
      <c r="ELS67" s="349"/>
      <c r="ELT67" s="349"/>
      <c r="ELU67" s="349"/>
      <c r="ELV67" s="349"/>
      <c r="ELW67" s="349"/>
      <c r="ELX67" s="349"/>
      <c r="ELY67" s="349"/>
      <c r="ELZ67" s="349"/>
      <c r="EMA67" s="349"/>
      <c r="EMB67" s="349"/>
      <c r="EMC67" s="349"/>
      <c r="EMD67" s="349"/>
      <c r="EME67" s="349"/>
      <c r="EMF67" s="349"/>
      <c r="EMG67" s="349"/>
      <c r="EMH67" s="349"/>
      <c r="EMI67" s="349"/>
      <c r="EMJ67" s="349"/>
      <c r="EMK67" s="349"/>
      <c r="EML67" s="349"/>
      <c r="EMM67" s="349"/>
      <c r="EMN67" s="349"/>
      <c r="EMO67" s="349"/>
      <c r="EMP67" s="349"/>
      <c r="EMQ67" s="349"/>
      <c r="EMR67" s="349"/>
      <c r="EMS67" s="349"/>
      <c r="EMT67" s="349"/>
      <c r="EMU67" s="349"/>
      <c r="EMV67" s="349"/>
      <c r="EMW67" s="349"/>
      <c r="EMX67" s="349"/>
      <c r="EMY67" s="349"/>
      <c r="EMZ67" s="349"/>
      <c r="ENA67" s="349"/>
      <c r="ENB67" s="349"/>
      <c r="ENC67" s="349"/>
      <c r="END67" s="349"/>
      <c r="ENE67" s="349"/>
      <c r="ENF67" s="349"/>
      <c r="ENG67" s="349"/>
      <c r="ENH67" s="349"/>
      <c r="ENI67" s="349"/>
      <c r="ENJ67" s="349"/>
      <c r="ENK67" s="349"/>
      <c r="ENL67" s="349"/>
      <c r="ENM67" s="349"/>
      <c r="ENN67" s="349"/>
      <c r="ENO67" s="349"/>
      <c r="ENP67" s="349"/>
      <c r="ENQ67" s="349"/>
      <c r="ENR67" s="349"/>
      <c r="ENS67" s="349"/>
      <c r="ENT67" s="349"/>
      <c r="ENU67" s="349"/>
      <c r="ENV67" s="349"/>
      <c r="ENW67" s="349"/>
      <c r="ENX67" s="349"/>
      <c r="ENY67" s="349"/>
      <c r="ENZ67" s="349"/>
      <c r="EOA67" s="349"/>
      <c r="EOB67" s="349"/>
      <c r="EOC67" s="349"/>
      <c r="EOD67" s="349"/>
      <c r="EOE67" s="349"/>
      <c r="EOF67" s="349"/>
      <c r="EOG67" s="349"/>
      <c r="EOH67" s="349"/>
      <c r="EOI67" s="349"/>
      <c r="EOJ67" s="349"/>
      <c r="EOK67" s="349"/>
      <c r="EOL67" s="349"/>
      <c r="EOM67" s="349"/>
      <c r="EON67" s="349"/>
      <c r="EOO67" s="349"/>
      <c r="EOP67" s="349"/>
      <c r="EOQ67" s="349"/>
      <c r="EOR67" s="349"/>
      <c r="EOS67" s="349"/>
      <c r="EOT67" s="349"/>
      <c r="EOU67" s="349"/>
      <c r="EOV67" s="349"/>
      <c r="EOW67" s="349"/>
      <c r="EOX67" s="349"/>
      <c r="EOY67" s="349"/>
      <c r="EOZ67" s="349"/>
      <c r="EPA67" s="349"/>
      <c r="EPB67" s="349"/>
      <c r="EPC67" s="349"/>
      <c r="EPD67" s="349"/>
      <c r="EPE67" s="349"/>
      <c r="EPF67" s="349"/>
      <c r="EPG67" s="349"/>
      <c r="EPH67" s="349"/>
      <c r="EPI67" s="349"/>
      <c r="EPJ67" s="349"/>
      <c r="EPK67" s="349"/>
      <c r="EPL67" s="349"/>
      <c r="EPM67" s="349"/>
      <c r="EPN67" s="349"/>
      <c r="EPO67" s="349"/>
      <c r="EPP67" s="349"/>
      <c r="EPQ67" s="349"/>
      <c r="EPR67" s="349"/>
      <c r="EPS67" s="349"/>
      <c r="EPT67" s="349"/>
      <c r="EPU67" s="349"/>
      <c r="EPV67" s="349"/>
      <c r="EPW67" s="349"/>
      <c r="EPX67" s="349"/>
      <c r="EPY67" s="349"/>
      <c r="EPZ67" s="349"/>
      <c r="EQA67" s="349"/>
      <c r="EQB67" s="349"/>
      <c r="EQC67" s="349"/>
      <c r="EQD67" s="349"/>
      <c r="EQE67" s="349"/>
      <c r="EQF67" s="349"/>
      <c r="EQG67" s="349"/>
      <c r="EQH67" s="349"/>
      <c r="EQI67" s="349"/>
      <c r="EQJ67" s="349"/>
      <c r="EQK67" s="349"/>
      <c r="EQL67" s="349"/>
      <c r="EQM67" s="349"/>
      <c r="EQN67" s="349"/>
      <c r="EQO67" s="349"/>
      <c r="EQP67" s="349"/>
      <c r="EQQ67" s="349"/>
      <c r="EQR67" s="349"/>
      <c r="EQS67" s="349"/>
      <c r="EQT67" s="349"/>
      <c r="EQU67" s="349"/>
      <c r="EQV67" s="349"/>
      <c r="EQW67" s="349"/>
      <c r="EQX67" s="349"/>
      <c r="EQY67" s="349"/>
      <c r="EQZ67" s="349"/>
      <c r="ERA67" s="349"/>
      <c r="ERB67" s="349"/>
      <c r="ERC67" s="349"/>
      <c r="ERD67" s="349"/>
      <c r="ERE67" s="349"/>
      <c r="ERF67" s="349"/>
      <c r="ERG67" s="349"/>
      <c r="ERH67" s="349"/>
      <c r="ERI67" s="349"/>
      <c r="ERJ67" s="349"/>
      <c r="ERK67" s="349"/>
      <c r="ERL67" s="349"/>
      <c r="ERM67" s="349"/>
      <c r="ERN67" s="349"/>
      <c r="ERO67" s="349"/>
      <c r="ERP67" s="349"/>
      <c r="ERQ67" s="349"/>
      <c r="ERR67" s="349"/>
      <c r="ERS67" s="349"/>
      <c r="ERT67" s="349"/>
      <c r="ERU67" s="349"/>
      <c r="ERV67" s="349"/>
      <c r="ERW67" s="349"/>
      <c r="ERX67" s="349"/>
      <c r="ERY67" s="349"/>
      <c r="ERZ67" s="349"/>
      <c r="ESA67" s="349"/>
      <c r="ESB67" s="349"/>
      <c r="ESC67" s="349"/>
      <c r="ESD67" s="349"/>
      <c r="ESE67" s="349"/>
      <c r="ESF67" s="349"/>
      <c r="ESG67" s="349"/>
      <c r="ESH67" s="349"/>
      <c r="ESI67" s="349"/>
      <c r="ESJ67" s="349"/>
      <c r="ESK67" s="349"/>
      <c r="ESL67" s="349"/>
      <c r="ESM67" s="349"/>
      <c r="ESN67" s="349"/>
      <c r="ESO67" s="349"/>
      <c r="ESP67" s="349"/>
      <c r="ESQ67" s="349"/>
      <c r="ESR67" s="349"/>
      <c r="ESS67" s="349"/>
      <c r="EST67" s="349"/>
      <c r="ESU67" s="349"/>
      <c r="ESV67" s="349"/>
      <c r="ESW67" s="349"/>
      <c r="ESX67" s="349"/>
      <c r="ESY67" s="349"/>
      <c r="ESZ67" s="349"/>
      <c r="ETA67" s="349"/>
      <c r="ETB67" s="349"/>
      <c r="ETC67" s="349"/>
      <c r="ETD67" s="349"/>
      <c r="ETE67" s="349"/>
      <c r="ETF67" s="349"/>
      <c r="ETG67" s="349"/>
      <c r="ETH67" s="349"/>
      <c r="ETI67" s="349"/>
      <c r="ETJ67" s="349"/>
      <c r="ETK67" s="349"/>
      <c r="ETL67" s="349"/>
      <c r="ETM67" s="349"/>
      <c r="ETN67" s="349"/>
      <c r="ETO67" s="349"/>
      <c r="ETP67" s="349"/>
      <c r="ETQ67" s="349"/>
      <c r="ETR67" s="349"/>
      <c r="ETS67" s="349"/>
      <c r="ETT67" s="349"/>
      <c r="ETU67" s="349"/>
      <c r="ETV67" s="349"/>
      <c r="ETW67" s="349"/>
      <c r="ETX67" s="349"/>
      <c r="ETY67" s="349"/>
      <c r="ETZ67" s="349"/>
      <c r="EUA67" s="349"/>
      <c r="EUB67" s="349"/>
      <c r="EUC67" s="349"/>
      <c r="EUD67" s="349"/>
      <c r="EUE67" s="349"/>
      <c r="EUF67" s="349"/>
      <c r="EUG67" s="349"/>
      <c r="EUH67" s="349"/>
      <c r="EUI67" s="349"/>
      <c r="EUJ67" s="349"/>
      <c r="EUK67" s="349"/>
      <c r="EUL67" s="349"/>
      <c r="EUM67" s="349"/>
      <c r="EUN67" s="349"/>
      <c r="EUO67" s="349"/>
      <c r="EUP67" s="349"/>
      <c r="EUQ67" s="349"/>
      <c r="EUR67" s="349"/>
      <c r="EUS67" s="349"/>
      <c r="EUT67" s="349"/>
      <c r="EUU67" s="349"/>
      <c r="EUV67" s="349"/>
      <c r="EUW67" s="349"/>
      <c r="EUX67" s="349"/>
      <c r="EUY67" s="349"/>
      <c r="EUZ67" s="349"/>
      <c r="EVA67" s="349"/>
      <c r="EVB67" s="349"/>
      <c r="EVC67" s="349"/>
      <c r="EVD67" s="349"/>
      <c r="EVE67" s="349"/>
      <c r="EVF67" s="349"/>
      <c r="EVG67" s="349"/>
      <c r="EVH67" s="349"/>
      <c r="EVI67" s="349"/>
      <c r="EVJ67" s="349"/>
      <c r="EVK67" s="349"/>
      <c r="EVL67" s="349"/>
      <c r="EVM67" s="349"/>
      <c r="EVN67" s="349"/>
      <c r="EVO67" s="349"/>
      <c r="EVP67" s="349"/>
      <c r="EVQ67" s="349"/>
      <c r="EVR67" s="349"/>
      <c r="EVS67" s="349"/>
      <c r="EVT67" s="349"/>
      <c r="EVU67" s="349"/>
      <c r="EVV67" s="349"/>
      <c r="EVW67" s="349"/>
      <c r="EVX67" s="349"/>
      <c r="EVY67" s="349"/>
      <c r="EVZ67" s="349"/>
      <c r="EWA67" s="349"/>
      <c r="EWB67" s="349"/>
      <c r="EWC67" s="349"/>
      <c r="EWD67" s="349"/>
      <c r="EWE67" s="349"/>
      <c r="EWF67" s="349"/>
      <c r="EWG67" s="349"/>
      <c r="EWH67" s="349"/>
      <c r="EWI67" s="349"/>
      <c r="EWJ67" s="349"/>
      <c r="EWK67" s="349"/>
      <c r="EWL67" s="349"/>
      <c r="EWM67" s="349"/>
      <c r="EWN67" s="349"/>
      <c r="EWO67" s="349"/>
      <c r="EWP67" s="349"/>
      <c r="EWQ67" s="349"/>
      <c r="EWR67" s="349"/>
      <c r="EWS67" s="349"/>
      <c r="EWT67" s="349"/>
      <c r="EWU67" s="349"/>
      <c r="EWV67" s="349"/>
      <c r="EWW67" s="349"/>
      <c r="EWX67" s="349"/>
      <c r="EWY67" s="349"/>
      <c r="EWZ67" s="349"/>
      <c r="EXA67" s="349"/>
      <c r="EXB67" s="349"/>
      <c r="EXC67" s="349"/>
      <c r="EXD67" s="349"/>
      <c r="EXE67" s="349"/>
      <c r="EXF67" s="349"/>
      <c r="EXG67" s="349"/>
      <c r="EXH67" s="349"/>
      <c r="EXI67" s="349"/>
      <c r="EXJ67" s="349"/>
      <c r="EXK67" s="349"/>
      <c r="EXL67" s="349"/>
      <c r="EXM67" s="349"/>
      <c r="EXN67" s="349"/>
      <c r="EXO67" s="349"/>
      <c r="EXP67" s="349"/>
      <c r="EXQ67" s="349"/>
      <c r="EXR67" s="349"/>
      <c r="EXS67" s="349"/>
      <c r="EXT67" s="349"/>
      <c r="EXU67" s="349"/>
      <c r="EXV67" s="349"/>
      <c r="EXW67" s="349"/>
      <c r="EXX67" s="349"/>
      <c r="EXY67" s="349"/>
      <c r="EXZ67" s="349"/>
      <c r="EYA67" s="349"/>
      <c r="EYB67" s="349"/>
      <c r="EYC67" s="349"/>
      <c r="EYD67" s="349"/>
      <c r="EYE67" s="349"/>
      <c r="EYF67" s="349"/>
      <c r="EYG67" s="349"/>
      <c r="EYH67" s="349"/>
      <c r="EYI67" s="349"/>
      <c r="EYJ67" s="349"/>
      <c r="EYK67" s="349"/>
      <c r="EYL67" s="349"/>
      <c r="EYM67" s="349"/>
      <c r="EYN67" s="349"/>
      <c r="EYO67" s="349"/>
      <c r="EYP67" s="349"/>
      <c r="EYQ67" s="349"/>
      <c r="EYR67" s="349"/>
      <c r="EYS67" s="349"/>
      <c r="EYT67" s="349"/>
      <c r="EYU67" s="349"/>
      <c r="EYV67" s="349"/>
      <c r="EYW67" s="349"/>
      <c r="EYX67" s="349"/>
      <c r="EYY67" s="349"/>
      <c r="EYZ67" s="349"/>
      <c r="EZA67" s="349"/>
      <c r="EZB67" s="349"/>
      <c r="EZC67" s="349"/>
      <c r="EZD67" s="349"/>
      <c r="EZE67" s="349"/>
      <c r="EZF67" s="349"/>
      <c r="EZG67" s="349"/>
      <c r="EZH67" s="349"/>
      <c r="EZI67" s="349"/>
      <c r="EZJ67" s="349"/>
      <c r="EZK67" s="349"/>
      <c r="EZL67" s="349"/>
      <c r="EZM67" s="349"/>
      <c r="EZN67" s="349"/>
      <c r="EZO67" s="349"/>
      <c r="EZP67" s="349"/>
      <c r="EZQ67" s="349"/>
      <c r="EZR67" s="349"/>
      <c r="EZS67" s="349"/>
      <c r="EZT67" s="349"/>
      <c r="EZU67" s="349"/>
      <c r="EZV67" s="349"/>
      <c r="EZW67" s="349"/>
      <c r="EZX67" s="349"/>
      <c r="EZY67" s="349"/>
      <c r="EZZ67" s="349"/>
      <c r="FAA67" s="349"/>
      <c r="FAB67" s="349"/>
      <c r="FAC67" s="349"/>
      <c r="FAD67" s="349"/>
      <c r="FAE67" s="349"/>
      <c r="FAF67" s="349"/>
      <c r="FAG67" s="349"/>
      <c r="FAH67" s="349"/>
      <c r="FAI67" s="349"/>
      <c r="FAJ67" s="349"/>
      <c r="FAK67" s="349"/>
      <c r="FAL67" s="349"/>
      <c r="FAM67" s="349"/>
      <c r="FAN67" s="349"/>
      <c r="FAO67" s="349"/>
      <c r="FAP67" s="349"/>
      <c r="FAQ67" s="349"/>
      <c r="FAR67" s="349"/>
      <c r="FAS67" s="349"/>
      <c r="FAT67" s="349"/>
      <c r="FAU67" s="349"/>
      <c r="FAV67" s="349"/>
      <c r="FAW67" s="349"/>
      <c r="FAX67" s="349"/>
      <c r="FAY67" s="349"/>
      <c r="FAZ67" s="349"/>
      <c r="FBA67" s="349"/>
      <c r="FBB67" s="349"/>
      <c r="FBC67" s="349"/>
      <c r="FBD67" s="349"/>
      <c r="FBE67" s="349"/>
      <c r="FBF67" s="349"/>
      <c r="FBG67" s="349"/>
      <c r="FBH67" s="349"/>
      <c r="FBI67" s="349"/>
      <c r="FBJ67" s="349"/>
      <c r="FBK67" s="349"/>
      <c r="FBL67" s="349"/>
      <c r="FBM67" s="349"/>
      <c r="FBN67" s="349"/>
      <c r="FBO67" s="349"/>
      <c r="FBP67" s="349"/>
      <c r="FBQ67" s="349"/>
      <c r="FBR67" s="349"/>
      <c r="FBS67" s="349"/>
      <c r="FBT67" s="349"/>
      <c r="FBU67" s="349"/>
      <c r="FBV67" s="349"/>
      <c r="FBW67" s="349"/>
      <c r="FBX67" s="349"/>
      <c r="FBY67" s="349"/>
      <c r="FBZ67" s="349"/>
      <c r="FCA67" s="349"/>
      <c r="FCB67" s="349"/>
      <c r="FCC67" s="349"/>
      <c r="FCD67" s="349"/>
      <c r="FCE67" s="349"/>
      <c r="FCF67" s="349"/>
      <c r="FCG67" s="349"/>
      <c r="FCH67" s="349"/>
      <c r="FCI67" s="349"/>
      <c r="FCJ67" s="349"/>
      <c r="FCK67" s="349"/>
      <c r="FCL67" s="349"/>
      <c r="FCM67" s="349"/>
      <c r="FCN67" s="349"/>
      <c r="FCO67" s="349"/>
      <c r="FCP67" s="349"/>
      <c r="FCQ67" s="349"/>
      <c r="FCR67" s="349"/>
      <c r="FCS67" s="349"/>
      <c r="FCT67" s="349"/>
      <c r="FCU67" s="349"/>
      <c r="FCV67" s="349"/>
      <c r="FCW67" s="349"/>
      <c r="FCX67" s="349"/>
      <c r="FCY67" s="349"/>
      <c r="FCZ67" s="349"/>
      <c r="FDA67" s="349"/>
      <c r="FDB67" s="349"/>
      <c r="FDC67" s="349"/>
      <c r="FDD67" s="349"/>
      <c r="FDE67" s="349"/>
      <c r="FDF67" s="349"/>
      <c r="FDG67" s="349"/>
      <c r="FDH67" s="349"/>
      <c r="FDI67" s="349"/>
      <c r="FDJ67" s="349"/>
      <c r="FDK67" s="349"/>
      <c r="FDL67" s="349"/>
      <c r="FDM67" s="349"/>
      <c r="FDN67" s="349"/>
      <c r="FDO67" s="349"/>
      <c r="FDP67" s="349"/>
      <c r="FDQ67" s="349"/>
      <c r="FDR67" s="349"/>
      <c r="FDS67" s="349"/>
      <c r="FDT67" s="349"/>
      <c r="FDU67" s="349"/>
      <c r="FDV67" s="349"/>
      <c r="FDW67" s="349"/>
      <c r="FDX67" s="349"/>
      <c r="FDY67" s="349"/>
      <c r="FDZ67" s="349"/>
      <c r="FEA67" s="349"/>
      <c r="FEB67" s="349"/>
      <c r="FEC67" s="349"/>
      <c r="FED67" s="349"/>
      <c r="FEE67" s="349"/>
      <c r="FEF67" s="349"/>
      <c r="FEG67" s="349"/>
      <c r="FEH67" s="349"/>
      <c r="FEI67" s="349"/>
      <c r="FEJ67" s="349"/>
      <c r="FEK67" s="349"/>
      <c r="FEL67" s="349"/>
      <c r="FEM67" s="349"/>
      <c r="FEN67" s="349"/>
      <c r="FEO67" s="349"/>
      <c r="FEP67" s="349"/>
      <c r="FEQ67" s="349"/>
      <c r="FER67" s="349"/>
      <c r="FES67" s="349"/>
      <c r="FET67" s="349"/>
      <c r="FEU67" s="349"/>
      <c r="FEV67" s="349"/>
      <c r="FEW67" s="349"/>
      <c r="FEX67" s="349"/>
      <c r="FEY67" s="349"/>
      <c r="FEZ67" s="349"/>
      <c r="FFA67" s="349"/>
      <c r="FFB67" s="349"/>
      <c r="FFC67" s="349"/>
      <c r="FFD67" s="349"/>
      <c r="FFE67" s="349"/>
      <c r="FFF67" s="349"/>
      <c r="FFG67" s="349"/>
      <c r="FFH67" s="349"/>
      <c r="FFI67" s="349"/>
      <c r="FFJ67" s="349"/>
      <c r="FFK67" s="349"/>
      <c r="FFL67" s="349"/>
      <c r="FFM67" s="349"/>
      <c r="FFN67" s="349"/>
      <c r="FFO67" s="349"/>
      <c r="FFP67" s="349"/>
      <c r="FFQ67" s="349"/>
      <c r="FFR67" s="349"/>
      <c r="FFS67" s="349"/>
      <c r="FFT67" s="349"/>
      <c r="FFU67" s="349"/>
      <c r="FFV67" s="349"/>
      <c r="FFW67" s="349"/>
      <c r="FFX67" s="349"/>
      <c r="FFY67" s="349"/>
      <c r="FFZ67" s="349"/>
      <c r="FGA67" s="349"/>
      <c r="FGB67" s="349"/>
      <c r="FGC67" s="349"/>
      <c r="FGD67" s="349"/>
      <c r="FGE67" s="349"/>
      <c r="FGF67" s="349"/>
      <c r="FGG67" s="349"/>
      <c r="FGH67" s="349"/>
      <c r="FGI67" s="349"/>
      <c r="FGJ67" s="349"/>
      <c r="FGK67" s="349"/>
      <c r="FGL67" s="349"/>
      <c r="FGM67" s="349"/>
      <c r="FGN67" s="349"/>
      <c r="FGO67" s="349"/>
      <c r="FGP67" s="349"/>
      <c r="FGQ67" s="349"/>
      <c r="FGR67" s="349"/>
      <c r="FGS67" s="349"/>
      <c r="FGT67" s="349"/>
      <c r="FGU67" s="349"/>
      <c r="FGV67" s="349"/>
      <c r="FGW67" s="349"/>
      <c r="FGX67" s="349"/>
      <c r="FGY67" s="349"/>
      <c r="FGZ67" s="349"/>
      <c r="FHA67" s="349"/>
      <c r="FHB67" s="349"/>
      <c r="FHC67" s="349"/>
      <c r="FHD67" s="349"/>
      <c r="FHE67" s="349"/>
      <c r="FHF67" s="349"/>
      <c r="FHG67" s="349"/>
      <c r="FHH67" s="349"/>
      <c r="FHI67" s="349"/>
      <c r="FHJ67" s="349"/>
      <c r="FHK67" s="349"/>
      <c r="FHL67" s="349"/>
      <c r="FHM67" s="349"/>
      <c r="FHN67" s="349"/>
      <c r="FHO67" s="349"/>
      <c r="FHP67" s="349"/>
      <c r="FHQ67" s="349"/>
      <c r="FHR67" s="349"/>
      <c r="FHS67" s="349"/>
      <c r="FHT67" s="349"/>
      <c r="FHU67" s="349"/>
      <c r="FHV67" s="349"/>
      <c r="FHW67" s="349"/>
      <c r="FHX67" s="349"/>
      <c r="FHY67" s="349"/>
      <c r="FHZ67" s="349"/>
      <c r="FIA67" s="349"/>
      <c r="FIB67" s="349"/>
      <c r="FIC67" s="349"/>
      <c r="FID67" s="349"/>
      <c r="FIE67" s="349"/>
      <c r="FIF67" s="349"/>
      <c r="FIG67" s="349"/>
      <c r="FIH67" s="349"/>
      <c r="FII67" s="349"/>
      <c r="FIJ67" s="349"/>
      <c r="FIK67" s="349"/>
      <c r="FIL67" s="349"/>
      <c r="FIM67" s="349"/>
      <c r="FIN67" s="349"/>
      <c r="FIO67" s="349"/>
      <c r="FIP67" s="349"/>
      <c r="FIQ67" s="349"/>
      <c r="FIR67" s="349"/>
      <c r="FIS67" s="349"/>
      <c r="FIT67" s="349"/>
      <c r="FIU67" s="349"/>
      <c r="FIV67" s="349"/>
      <c r="FIW67" s="349"/>
      <c r="FIX67" s="349"/>
      <c r="FIY67" s="349"/>
      <c r="FIZ67" s="349"/>
      <c r="FJA67" s="349"/>
      <c r="FJB67" s="349"/>
      <c r="FJC67" s="349"/>
      <c r="FJD67" s="349"/>
      <c r="FJE67" s="349"/>
      <c r="FJF67" s="349"/>
      <c r="FJG67" s="349"/>
      <c r="FJH67" s="349"/>
      <c r="FJI67" s="349"/>
      <c r="FJJ67" s="349"/>
      <c r="FJK67" s="349"/>
      <c r="FJL67" s="349"/>
      <c r="FJM67" s="349"/>
      <c r="FJN67" s="349"/>
      <c r="FJO67" s="349"/>
      <c r="FJP67" s="349"/>
      <c r="FJQ67" s="349"/>
      <c r="FJR67" s="349"/>
      <c r="FJS67" s="349"/>
      <c r="FJT67" s="349"/>
      <c r="FJU67" s="349"/>
      <c r="FJV67" s="349"/>
      <c r="FJW67" s="349"/>
      <c r="FJX67" s="349"/>
      <c r="FJY67" s="349"/>
      <c r="FJZ67" s="349"/>
      <c r="FKA67" s="349"/>
      <c r="FKB67" s="349"/>
      <c r="FKC67" s="349"/>
      <c r="FKD67" s="349"/>
      <c r="FKE67" s="349"/>
      <c r="FKF67" s="349"/>
      <c r="FKG67" s="349"/>
      <c r="FKH67" s="349"/>
      <c r="FKI67" s="349"/>
      <c r="FKJ67" s="349"/>
      <c r="FKK67" s="349"/>
      <c r="FKL67" s="349"/>
      <c r="FKM67" s="349"/>
      <c r="FKN67" s="349"/>
      <c r="FKO67" s="349"/>
      <c r="FKP67" s="349"/>
      <c r="FKQ67" s="349"/>
      <c r="FKR67" s="349"/>
      <c r="FKS67" s="349"/>
      <c r="FKT67" s="349"/>
      <c r="FKU67" s="349"/>
      <c r="FKV67" s="349"/>
      <c r="FKW67" s="349"/>
      <c r="FKX67" s="349"/>
      <c r="FKY67" s="349"/>
      <c r="FKZ67" s="349"/>
      <c r="FLA67" s="349"/>
      <c r="FLB67" s="349"/>
      <c r="FLC67" s="349"/>
      <c r="FLD67" s="349"/>
      <c r="FLE67" s="349"/>
      <c r="FLF67" s="349"/>
      <c r="FLG67" s="349"/>
      <c r="FLH67" s="349"/>
      <c r="FLI67" s="349"/>
      <c r="FLJ67" s="349"/>
      <c r="FLK67" s="349"/>
      <c r="FLL67" s="349"/>
      <c r="FLM67" s="349"/>
      <c r="FLN67" s="349"/>
      <c r="FLO67" s="349"/>
      <c r="FLP67" s="349"/>
      <c r="FLQ67" s="349"/>
      <c r="FLR67" s="349"/>
      <c r="FLS67" s="349"/>
      <c r="FLT67" s="349"/>
      <c r="FLU67" s="349"/>
      <c r="FLV67" s="349"/>
      <c r="FLW67" s="349"/>
      <c r="FLX67" s="349"/>
      <c r="FLY67" s="349"/>
      <c r="FLZ67" s="349"/>
      <c r="FMA67" s="349"/>
      <c r="FMB67" s="349"/>
      <c r="FMC67" s="349"/>
      <c r="FMD67" s="349"/>
      <c r="FME67" s="349"/>
      <c r="FMF67" s="349"/>
      <c r="FMG67" s="349"/>
      <c r="FMH67" s="349"/>
      <c r="FMI67" s="349"/>
      <c r="FMJ67" s="349"/>
      <c r="FMK67" s="349"/>
      <c r="FML67" s="349"/>
      <c r="FMM67" s="349"/>
      <c r="FMN67" s="349"/>
      <c r="FMO67" s="349"/>
      <c r="FMP67" s="349"/>
      <c r="FMQ67" s="349"/>
      <c r="FMR67" s="349"/>
      <c r="FMS67" s="349"/>
      <c r="FMT67" s="349"/>
      <c r="FMU67" s="349"/>
      <c r="FMV67" s="349"/>
      <c r="FMW67" s="349"/>
      <c r="FMX67" s="349"/>
      <c r="FMY67" s="349"/>
      <c r="FMZ67" s="349"/>
      <c r="FNA67" s="349"/>
      <c r="FNB67" s="349"/>
      <c r="FNC67" s="349"/>
      <c r="FND67" s="349"/>
      <c r="FNE67" s="349"/>
      <c r="FNF67" s="349"/>
      <c r="FNG67" s="349"/>
      <c r="FNH67" s="349"/>
      <c r="FNI67" s="349"/>
      <c r="FNJ67" s="349"/>
      <c r="FNK67" s="349"/>
      <c r="FNL67" s="349"/>
      <c r="FNM67" s="349"/>
      <c r="FNN67" s="349"/>
      <c r="FNO67" s="349"/>
      <c r="FNP67" s="349"/>
      <c r="FNQ67" s="349"/>
      <c r="FNR67" s="349"/>
      <c r="FNS67" s="349"/>
      <c r="FNT67" s="349"/>
      <c r="FNU67" s="349"/>
      <c r="FNV67" s="349"/>
      <c r="FNW67" s="349"/>
      <c r="FNX67" s="349"/>
      <c r="FNY67" s="349"/>
      <c r="FNZ67" s="349"/>
      <c r="FOA67" s="349"/>
      <c r="FOB67" s="349"/>
      <c r="FOC67" s="349"/>
      <c r="FOD67" s="349"/>
      <c r="FOE67" s="349"/>
      <c r="FOF67" s="349"/>
      <c r="FOG67" s="349"/>
      <c r="FOH67" s="349"/>
      <c r="FOI67" s="349"/>
      <c r="FOJ67" s="349"/>
      <c r="FOK67" s="349"/>
      <c r="FOL67" s="349"/>
      <c r="FOM67" s="349"/>
      <c r="FON67" s="349"/>
      <c r="FOO67" s="349"/>
      <c r="FOP67" s="349"/>
      <c r="FOQ67" s="349"/>
      <c r="FOR67" s="349"/>
      <c r="FOS67" s="349"/>
      <c r="FOT67" s="349"/>
      <c r="FOU67" s="349"/>
      <c r="FOV67" s="349"/>
      <c r="FOW67" s="349"/>
      <c r="FOX67" s="349"/>
      <c r="FOY67" s="349"/>
      <c r="FOZ67" s="349"/>
      <c r="FPA67" s="349"/>
      <c r="FPB67" s="349"/>
      <c r="FPC67" s="349"/>
      <c r="FPD67" s="349"/>
      <c r="FPE67" s="349"/>
      <c r="FPF67" s="349"/>
      <c r="FPG67" s="349"/>
      <c r="FPH67" s="349"/>
      <c r="FPI67" s="349"/>
      <c r="FPJ67" s="349"/>
      <c r="FPK67" s="349"/>
      <c r="FPL67" s="349"/>
      <c r="FPM67" s="349"/>
      <c r="FPN67" s="349"/>
      <c r="FPO67" s="349"/>
      <c r="FPP67" s="349"/>
      <c r="FPQ67" s="349"/>
      <c r="FPR67" s="349"/>
      <c r="FPS67" s="349"/>
      <c r="FPT67" s="349"/>
      <c r="FPU67" s="349"/>
      <c r="FPV67" s="349"/>
      <c r="FPW67" s="349"/>
      <c r="FPX67" s="349"/>
      <c r="FPY67" s="349"/>
      <c r="FPZ67" s="349"/>
      <c r="FQA67" s="349"/>
      <c r="FQB67" s="349"/>
      <c r="FQC67" s="349"/>
      <c r="FQD67" s="349"/>
      <c r="FQE67" s="349"/>
      <c r="FQF67" s="349"/>
      <c r="FQG67" s="349"/>
      <c r="FQH67" s="349"/>
      <c r="FQI67" s="349"/>
      <c r="FQJ67" s="349"/>
      <c r="FQK67" s="349"/>
      <c r="FQL67" s="349"/>
      <c r="FQM67" s="349"/>
      <c r="FQN67" s="349"/>
      <c r="FQO67" s="349"/>
      <c r="FQP67" s="349"/>
      <c r="FQQ67" s="349"/>
      <c r="FQR67" s="349"/>
      <c r="FQS67" s="349"/>
      <c r="FQT67" s="349"/>
      <c r="FQU67" s="349"/>
      <c r="FQV67" s="349"/>
      <c r="FQW67" s="349"/>
      <c r="FQX67" s="349"/>
      <c r="FQY67" s="349"/>
      <c r="FQZ67" s="349"/>
      <c r="FRA67" s="349"/>
      <c r="FRB67" s="349"/>
      <c r="FRC67" s="349"/>
      <c r="FRD67" s="349"/>
      <c r="FRE67" s="349"/>
      <c r="FRF67" s="349"/>
      <c r="FRG67" s="349"/>
      <c r="FRH67" s="349"/>
      <c r="FRI67" s="349"/>
      <c r="FRJ67" s="349"/>
      <c r="FRK67" s="349"/>
      <c r="FRL67" s="349"/>
      <c r="FRM67" s="349"/>
      <c r="FRN67" s="349"/>
      <c r="FRO67" s="349"/>
      <c r="FRP67" s="349"/>
      <c r="FRQ67" s="349"/>
      <c r="FRR67" s="349"/>
      <c r="FRS67" s="349"/>
      <c r="FRT67" s="349"/>
      <c r="FRU67" s="349"/>
      <c r="FRV67" s="349"/>
      <c r="FRW67" s="349"/>
      <c r="FRX67" s="349"/>
      <c r="FRY67" s="349"/>
      <c r="FRZ67" s="349"/>
      <c r="FSA67" s="349"/>
      <c r="FSB67" s="349"/>
      <c r="FSC67" s="349"/>
      <c r="FSD67" s="349"/>
      <c r="FSE67" s="349"/>
      <c r="FSF67" s="349"/>
      <c r="FSG67" s="349"/>
      <c r="FSH67" s="349"/>
      <c r="FSI67" s="349"/>
      <c r="FSJ67" s="349"/>
      <c r="FSK67" s="349"/>
      <c r="FSL67" s="349"/>
      <c r="FSM67" s="349"/>
      <c r="FSN67" s="349"/>
      <c r="FSO67" s="349"/>
      <c r="FSP67" s="349"/>
      <c r="FSQ67" s="349"/>
      <c r="FSR67" s="349"/>
      <c r="FSS67" s="349"/>
      <c r="FST67" s="349"/>
      <c r="FSU67" s="349"/>
      <c r="FSV67" s="349"/>
      <c r="FSW67" s="349"/>
      <c r="FSX67" s="349"/>
      <c r="FSY67" s="349"/>
      <c r="FSZ67" s="349"/>
      <c r="FTA67" s="349"/>
      <c r="FTB67" s="349"/>
      <c r="FTC67" s="349"/>
      <c r="FTD67" s="349"/>
      <c r="FTE67" s="349"/>
      <c r="FTF67" s="349"/>
      <c r="FTG67" s="349"/>
      <c r="FTH67" s="349"/>
      <c r="FTI67" s="349"/>
      <c r="FTJ67" s="349"/>
      <c r="FTK67" s="349"/>
      <c r="FTL67" s="349"/>
      <c r="FTM67" s="349"/>
      <c r="FTN67" s="349"/>
      <c r="FTO67" s="349"/>
      <c r="FTP67" s="349"/>
      <c r="FTQ67" s="349"/>
      <c r="FTR67" s="349"/>
      <c r="FTS67" s="349"/>
      <c r="FTT67" s="349"/>
      <c r="FTU67" s="349"/>
      <c r="FTV67" s="349"/>
      <c r="FTW67" s="349"/>
      <c r="FTX67" s="349"/>
      <c r="FTY67" s="349"/>
      <c r="FTZ67" s="349"/>
      <c r="FUA67" s="349"/>
      <c r="FUB67" s="349"/>
      <c r="FUC67" s="349"/>
      <c r="FUD67" s="349"/>
      <c r="FUE67" s="349"/>
      <c r="FUF67" s="349"/>
      <c r="FUG67" s="349"/>
      <c r="FUH67" s="349"/>
      <c r="FUI67" s="349"/>
      <c r="FUJ67" s="349"/>
      <c r="FUK67" s="349"/>
      <c r="FUL67" s="349"/>
      <c r="FUM67" s="349"/>
      <c r="FUN67" s="349"/>
      <c r="FUO67" s="349"/>
      <c r="FUP67" s="349"/>
      <c r="FUQ67" s="349"/>
      <c r="FUR67" s="349"/>
      <c r="FUS67" s="349"/>
      <c r="FUT67" s="349"/>
      <c r="FUU67" s="349"/>
      <c r="FUV67" s="349"/>
      <c r="FUW67" s="349"/>
      <c r="FUX67" s="349"/>
      <c r="FUY67" s="349"/>
      <c r="FUZ67" s="349"/>
      <c r="FVA67" s="349"/>
      <c r="FVB67" s="349"/>
      <c r="FVC67" s="349"/>
      <c r="FVD67" s="349"/>
      <c r="FVE67" s="349"/>
      <c r="FVF67" s="349"/>
      <c r="FVG67" s="349"/>
      <c r="FVH67" s="349"/>
      <c r="FVI67" s="349"/>
      <c r="FVJ67" s="349"/>
      <c r="FVK67" s="349"/>
      <c r="FVL67" s="349"/>
      <c r="FVM67" s="349"/>
      <c r="FVN67" s="349"/>
      <c r="FVO67" s="349"/>
      <c r="FVP67" s="349"/>
      <c r="FVQ67" s="349"/>
      <c r="FVR67" s="349"/>
      <c r="FVS67" s="349"/>
      <c r="FVT67" s="349"/>
      <c r="FVU67" s="349"/>
      <c r="FVV67" s="349"/>
      <c r="FVW67" s="349"/>
      <c r="FVX67" s="349"/>
      <c r="FVY67" s="349"/>
      <c r="FVZ67" s="349"/>
      <c r="FWA67" s="349"/>
      <c r="FWB67" s="349"/>
      <c r="FWC67" s="349"/>
      <c r="FWD67" s="349"/>
      <c r="FWE67" s="349"/>
      <c r="FWF67" s="349"/>
      <c r="FWG67" s="349"/>
      <c r="FWH67" s="349"/>
      <c r="FWI67" s="349"/>
      <c r="FWJ67" s="349"/>
      <c r="FWK67" s="349"/>
      <c r="FWL67" s="349"/>
      <c r="FWM67" s="349"/>
      <c r="FWN67" s="349"/>
      <c r="FWO67" s="349"/>
      <c r="FWP67" s="349"/>
      <c r="FWQ67" s="349"/>
      <c r="FWR67" s="349"/>
      <c r="FWS67" s="349"/>
      <c r="FWT67" s="349"/>
      <c r="FWU67" s="349"/>
      <c r="FWV67" s="349"/>
      <c r="FWW67" s="349"/>
      <c r="FWX67" s="349"/>
      <c r="FWY67" s="349"/>
      <c r="FWZ67" s="349"/>
      <c r="FXA67" s="349"/>
      <c r="FXB67" s="349"/>
      <c r="FXC67" s="349"/>
      <c r="FXD67" s="349"/>
      <c r="FXE67" s="349"/>
      <c r="FXF67" s="349"/>
      <c r="FXG67" s="349"/>
      <c r="FXH67" s="349"/>
      <c r="FXI67" s="349"/>
      <c r="FXJ67" s="349"/>
      <c r="FXK67" s="349"/>
      <c r="FXL67" s="349"/>
      <c r="FXM67" s="349"/>
      <c r="FXN67" s="349"/>
      <c r="FXO67" s="349"/>
      <c r="FXP67" s="349"/>
      <c r="FXQ67" s="349"/>
      <c r="FXR67" s="349"/>
      <c r="FXS67" s="349"/>
      <c r="FXT67" s="349"/>
      <c r="FXU67" s="349"/>
      <c r="FXV67" s="349"/>
      <c r="FXW67" s="349"/>
      <c r="FXX67" s="349"/>
      <c r="FXY67" s="349"/>
      <c r="FXZ67" s="349"/>
      <c r="FYA67" s="349"/>
      <c r="FYB67" s="349"/>
      <c r="FYC67" s="349"/>
      <c r="FYD67" s="349"/>
      <c r="FYE67" s="349"/>
      <c r="FYF67" s="349"/>
      <c r="FYG67" s="349"/>
      <c r="FYH67" s="349"/>
      <c r="FYI67" s="349"/>
      <c r="FYJ67" s="349"/>
      <c r="FYK67" s="349"/>
      <c r="FYL67" s="349"/>
      <c r="FYM67" s="349"/>
      <c r="FYN67" s="349"/>
      <c r="FYO67" s="349"/>
      <c r="FYP67" s="349"/>
      <c r="FYQ67" s="349"/>
      <c r="FYR67" s="349"/>
      <c r="FYS67" s="349"/>
      <c r="FYT67" s="349"/>
      <c r="FYU67" s="349"/>
      <c r="FYV67" s="349"/>
      <c r="FYW67" s="349"/>
      <c r="FYX67" s="349"/>
      <c r="FYY67" s="349"/>
      <c r="FYZ67" s="349"/>
      <c r="FZA67" s="349"/>
      <c r="FZB67" s="349"/>
      <c r="FZC67" s="349"/>
      <c r="FZD67" s="349"/>
      <c r="FZE67" s="349"/>
      <c r="FZF67" s="349"/>
      <c r="FZG67" s="349"/>
      <c r="FZH67" s="349"/>
      <c r="FZI67" s="349"/>
      <c r="FZJ67" s="349"/>
      <c r="FZK67" s="349"/>
      <c r="FZL67" s="349"/>
      <c r="FZM67" s="349"/>
      <c r="FZN67" s="349"/>
      <c r="FZO67" s="349"/>
      <c r="FZP67" s="349"/>
      <c r="FZQ67" s="349"/>
      <c r="FZR67" s="349"/>
      <c r="FZS67" s="349"/>
      <c r="FZT67" s="349"/>
      <c r="FZU67" s="349"/>
      <c r="FZV67" s="349"/>
      <c r="FZW67" s="349"/>
      <c r="FZX67" s="349"/>
      <c r="FZY67" s="349"/>
      <c r="FZZ67" s="349"/>
      <c r="GAA67" s="349"/>
      <c r="GAB67" s="349"/>
      <c r="GAC67" s="349"/>
      <c r="GAD67" s="349"/>
      <c r="GAE67" s="349"/>
      <c r="GAF67" s="349"/>
      <c r="GAG67" s="349"/>
      <c r="GAH67" s="349"/>
      <c r="GAI67" s="349"/>
      <c r="GAJ67" s="349"/>
      <c r="GAK67" s="349"/>
      <c r="GAL67" s="349"/>
      <c r="GAM67" s="349"/>
      <c r="GAN67" s="349"/>
      <c r="GAO67" s="349"/>
      <c r="GAP67" s="349"/>
      <c r="GAQ67" s="349"/>
      <c r="GAR67" s="349"/>
      <c r="GAS67" s="349"/>
      <c r="GAT67" s="349"/>
      <c r="GAU67" s="349"/>
      <c r="GAV67" s="349"/>
      <c r="GAW67" s="349"/>
      <c r="GAX67" s="349"/>
      <c r="GAY67" s="349"/>
      <c r="GAZ67" s="349"/>
      <c r="GBA67" s="349"/>
      <c r="GBB67" s="349"/>
      <c r="GBC67" s="349"/>
      <c r="GBD67" s="349"/>
      <c r="GBE67" s="349"/>
      <c r="GBF67" s="349"/>
      <c r="GBG67" s="349"/>
      <c r="GBH67" s="349"/>
      <c r="GBI67" s="349"/>
      <c r="GBJ67" s="349"/>
      <c r="GBK67" s="349"/>
      <c r="GBL67" s="349"/>
      <c r="GBM67" s="349"/>
      <c r="GBN67" s="349"/>
      <c r="GBO67" s="349"/>
      <c r="GBP67" s="349"/>
      <c r="GBQ67" s="349"/>
      <c r="GBR67" s="349"/>
      <c r="GBS67" s="349"/>
      <c r="GBT67" s="349"/>
      <c r="GBU67" s="349"/>
      <c r="GBV67" s="349"/>
      <c r="GBW67" s="349"/>
      <c r="GBX67" s="349"/>
      <c r="GBY67" s="349"/>
      <c r="GBZ67" s="349"/>
      <c r="GCA67" s="349"/>
      <c r="GCB67" s="349"/>
      <c r="GCC67" s="349"/>
      <c r="GCD67" s="349"/>
      <c r="GCE67" s="349"/>
      <c r="GCF67" s="349"/>
      <c r="GCG67" s="349"/>
      <c r="GCH67" s="349"/>
      <c r="GCI67" s="349"/>
      <c r="GCJ67" s="349"/>
      <c r="GCK67" s="349"/>
      <c r="GCL67" s="349"/>
      <c r="GCM67" s="349"/>
      <c r="GCN67" s="349"/>
      <c r="GCO67" s="349"/>
      <c r="GCP67" s="349"/>
      <c r="GCQ67" s="349"/>
      <c r="GCR67" s="349"/>
      <c r="GCS67" s="349"/>
      <c r="GCT67" s="349"/>
      <c r="GCU67" s="349"/>
      <c r="GCV67" s="349"/>
      <c r="GCW67" s="349"/>
      <c r="GCX67" s="349"/>
      <c r="GCY67" s="349"/>
      <c r="GCZ67" s="349"/>
      <c r="GDA67" s="349"/>
      <c r="GDB67" s="349"/>
      <c r="GDC67" s="349"/>
      <c r="GDD67" s="349"/>
      <c r="GDE67" s="349"/>
      <c r="GDF67" s="349"/>
      <c r="GDG67" s="349"/>
      <c r="GDH67" s="349"/>
      <c r="GDI67" s="349"/>
      <c r="GDJ67" s="349"/>
      <c r="GDK67" s="349"/>
      <c r="GDL67" s="349"/>
      <c r="GDM67" s="349"/>
      <c r="GDN67" s="349"/>
      <c r="GDO67" s="349"/>
      <c r="GDP67" s="349"/>
      <c r="GDQ67" s="349"/>
      <c r="GDR67" s="349"/>
      <c r="GDS67" s="349"/>
      <c r="GDT67" s="349"/>
      <c r="GDU67" s="349"/>
      <c r="GDV67" s="349"/>
      <c r="GDW67" s="349"/>
      <c r="GDX67" s="349"/>
      <c r="GDY67" s="349"/>
      <c r="GDZ67" s="349"/>
      <c r="GEA67" s="349"/>
      <c r="GEB67" s="349"/>
      <c r="GEC67" s="349"/>
      <c r="GED67" s="349"/>
      <c r="GEE67" s="349"/>
      <c r="GEF67" s="349"/>
      <c r="GEG67" s="349"/>
      <c r="GEH67" s="349"/>
      <c r="GEI67" s="349"/>
      <c r="GEJ67" s="349"/>
      <c r="GEK67" s="349"/>
      <c r="GEL67" s="349"/>
      <c r="GEM67" s="349"/>
      <c r="GEN67" s="349"/>
      <c r="GEO67" s="349"/>
      <c r="GEP67" s="349"/>
      <c r="GEQ67" s="349"/>
      <c r="GER67" s="349"/>
      <c r="GES67" s="349"/>
      <c r="GET67" s="349"/>
      <c r="GEU67" s="349"/>
      <c r="GEV67" s="349"/>
      <c r="GEW67" s="349"/>
      <c r="GEX67" s="349"/>
      <c r="GEY67" s="349"/>
      <c r="GEZ67" s="349"/>
      <c r="GFA67" s="349"/>
      <c r="GFB67" s="349"/>
      <c r="GFC67" s="349"/>
      <c r="GFD67" s="349"/>
      <c r="GFE67" s="349"/>
      <c r="GFF67" s="349"/>
      <c r="GFG67" s="349"/>
      <c r="GFH67" s="349"/>
      <c r="GFI67" s="349"/>
      <c r="GFJ67" s="349"/>
      <c r="GFK67" s="349"/>
      <c r="GFL67" s="349"/>
      <c r="GFM67" s="349"/>
      <c r="GFN67" s="349"/>
      <c r="GFO67" s="349"/>
      <c r="GFP67" s="349"/>
      <c r="GFQ67" s="349"/>
      <c r="GFR67" s="349"/>
      <c r="GFS67" s="349"/>
      <c r="GFT67" s="349"/>
      <c r="GFU67" s="349"/>
      <c r="GFV67" s="349"/>
      <c r="GFW67" s="349"/>
      <c r="GFX67" s="349"/>
      <c r="GFY67" s="349"/>
      <c r="GFZ67" s="349"/>
      <c r="GGA67" s="349"/>
      <c r="GGB67" s="349"/>
      <c r="GGC67" s="349"/>
      <c r="GGD67" s="349"/>
      <c r="GGE67" s="349"/>
      <c r="GGF67" s="349"/>
      <c r="GGG67" s="349"/>
      <c r="GGH67" s="349"/>
      <c r="GGI67" s="349"/>
      <c r="GGJ67" s="349"/>
      <c r="GGK67" s="349"/>
      <c r="GGL67" s="349"/>
      <c r="GGM67" s="349"/>
      <c r="GGN67" s="349"/>
      <c r="GGO67" s="349"/>
      <c r="GGP67" s="349"/>
      <c r="GGQ67" s="349"/>
      <c r="GGR67" s="349"/>
      <c r="GGS67" s="349"/>
      <c r="GGT67" s="349"/>
      <c r="GGU67" s="349"/>
      <c r="GGV67" s="349"/>
      <c r="GGW67" s="349"/>
      <c r="GGX67" s="349"/>
      <c r="GGY67" s="349"/>
      <c r="GGZ67" s="349"/>
      <c r="GHA67" s="349"/>
      <c r="GHB67" s="349"/>
      <c r="GHC67" s="349"/>
      <c r="GHD67" s="349"/>
      <c r="GHE67" s="349"/>
      <c r="GHF67" s="349"/>
      <c r="GHG67" s="349"/>
      <c r="GHH67" s="349"/>
      <c r="GHI67" s="349"/>
      <c r="GHJ67" s="349"/>
      <c r="GHK67" s="349"/>
      <c r="GHL67" s="349"/>
      <c r="GHM67" s="349"/>
      <c r="GHN67" s="349"/>
      <c r="GHO67" s="349"/>
      <c r="GHP67" s="349"/>
      <c r="GHQ67" s="349"/>
      <c r="GHR67" s="349"/>
      <c r="GHS67" s="349"/>
      <c r="GHT67" s="349"/>
      <c r="GHU67" s="349"/>
      <c r="GHV67" s="349"/>
      <c r="GHW67" s="349"/>
      <c r="GHX67" s="349"/>
      <c r="GHY67" s="349"/>
      <c r="GHZ67" s="349"/>
      <c r="GIA67" s="349"/>
      <c r="GIB67" s="349"/>
      <c r="GIC67" s="349"/>
      <c r="GID67" s="349"/>
      <c r="GIE67" s="349"/>
      <c r="GIF67" s="349"/>
      <c r="GIG67" s="349"/>
      <c r="GIH67" s="349"/>
      <c r="GII67" s="349"/>
      <c r="GIJ67" s="349"/>
      <c r="GIK67" s="349"/>
      <c r="GIL67" s="349"/>
      <c r="GIM67" s="349"/>
      <c r="GIN67" s="349"/>
      <c r="GIO67" s="349"/>
      <c r="GIP67" s="349"/>
      <c r="GIQ67" s="349"/>
      <c r="GIR67" s="349"/>
      <c r="GIS67" s="349"/>
      <c r="GIT67" s="349"/>
      <c r="GIU67" s="349"/>
      <c r="GIV67" s="349"/>
      <c r="GIW67" s="349"/>
      <c r="GIX67" s="349"/>
      <c r="GIY67" s="349"/>
      <c r="GIZ67" s="349"/>
      <c r="GJA67" s="349"/>
      <c r="GJB67" s="349"/>
      <c r="GJC67" s="349"/>
      <c r="GJD67" s="349"/>
      <c r="GJE67" s="349"/>
      <c r="GJF67" s="349"/>
      <c r="GJG67" s="349"/>
      <c r="GJH67" s="349"/>
      <c r="GJI67" s="349"/>
      <c r="GJJ67" s="349"/>
      <c r="GJK67" s="349"/>
      <c r="GJL67" s="349"/>
      <c r="GJM67" s="349"/>
      <c r="GJN67" s="349"/>
      <c r="GJO67" s="349"/>
      <c r="GJP67" s="349"/>
      <c r="GJQ67" s="349"/>
      <c r="GJR67" s="349"/>
      <c r="GJS67" s="349"/>
      <c r="GJT67" s="349"/>
      <c r="GJU67" s="349"/>
      <c r="GJV67" s="349"/>
      <c r="GJW67" s="349"/>
      <c r="GJX67" s="349"/>
      <c r="GJY67" s="349"/>
      <c r="GJZ67" s="349"/>
      <c r="GKA67" s="349"/>
      <c r="GKB67" s="349"/>
      <c r="GKC67" s="349"/>
      <c r="GKD67" s="349"/>
      <c r="GKE67" s="349"/>
      <c r="GKF67" s="349"/>
      <c r="GKG67" s="349"/>
      <c r="GKH67" s="349"/>
      <c r="GKI67" s="349"/>
      <c r="GKJ67" s="349"/>
      <c r="GKK67" s="349"/>
      <c r="GKL67" s="349"/>
      <c r="GKM67" s="349"/>
      <c r="GKN67" s="349"/>
      <c r="GKO67" s="349"/>
      <c r="GKP67" s="349"/>
      <c r="GKQ67" s="349"/>
      <c r="GKR67" s="349"/>
      <c r="GKS67" s="349"/>
      <c r="GKT67" s="349"/>
      <c r="GKU67" s="349"/>
      <c r="GKV67" s="349"/>
      <c r="GKW67" s="349"/>
      <c r="GKX67" s="349"/>
      <c r="GKY67" s="349"/>
      <c r="GKZ67" s="349"/>
      <c r="GLA67" s="349"/>
      <c r="GLB67" s="349"/>
      <c r="GLC67" s="349"/>
      <c r="GLD67" s="349"/>
      <c r="GLE67" s="349"/>
      <c r="GLF67" s="349"/>
      <c r="GLG67" s="349"/>
      <c r="GLH67" s="349"/>
      <c r="GLI67" s="349"/>
      <c r="GLJ67" s="349"/>
      <c r="GLK67" s="349"/>
      <c r="GLL67" s="349"/>
      <c r="GLM67" s="349"/>
      <c r="GLN67" s="349"/>
      <c r="GLO67" s="349"/>
      <c r="GLP67" s="349"/>
      <c r="GLQ67" s="349"/>
      <c r="GLR67" s="349"/>
      <c r="GLS67" s="349"/>
      <c r="GLT67" s="349"/>
      <c r="GLU67" s="349"/>
      <c r="GLV67" s="349"/>
      <c r="GLW67" s="349"/>
      <c r="GLX67" s="349"/>
      <c r="GLY67" s="349"/>
      <c r="GLZ67" s="349"/>
      <c r="GMA67" s="349"/>
      <c r="GMB67" s="349"/>
      <c r="GMC67" s="349"/>
      <c r="GMD67" s="349"/>
      <c r="GME67" s="349"/>
      <c r="GMF67" s="349"/>
      <c r="GMG67" s="349"/>
      <c r="GMH67" s="349"/>
      <c r="GMI67" s="349"/>
      <c r="GMJ67" s="349"/>
      <c r="GMK67" s="349"/>
      <c r="GML67" s="349"/>
      <c r="GMM67" s="349"/>
      <c r="GMN67" s="349"/>
      <c r="GMO67" s="349"/>
      <c r="GMP67" s="349"/>
      <c r="GMQ67" s="349"/>
      <c r="GMR67" s="349"/>
      <c r="GMS67" s="349"/>
      <c r="GMT67" s="349"/>
      <c r="GMU67" s="349"/>
      <c r="GMV67" s="349"/>
      <c r="GMW67" s="349"/>
      <c r="GMX67" s="349"/>
      <c r="GMY67" s="349"/>
      <c r="GMZ67" s="349"/>
      <c r="GNA67" s="349"/>
      <c r="GNB67" s="349"/>
      <c r="GNC67" s="349"/>
      <c r="GND67" s="349"/>
      <c r="GNE67" s="349"/>
      <c r="GNF67" s="349"/>
      <c r="GNG67" s="349"/>
      <c r="GNH67" s="349"/>
      <c r="GNI67" s="349"/>
      <c r="GNJ67" s="349"/>
      <c r="GNK67" s="349"/>
      <c r="GNL67" s="349"/>
      <c r="GNM67" s="349"/>
      <c r="GNN67" s="349"/>
      <c r="GNO67" s="349"/>
      <c r="GNP67" s="349"/>
      <c r="GNQ67" s="349"/>
      <c r="GNR67" s="349"/>
      <c r="GNS67" s="349"/>
      <c r="GNT67" s="349"/>
      <c r="GNU67" s="349"/>
      <c r="GNV67" s="349"/>
      <c r="GNW67" s="349"/>
      <c r="GNX67" s="349"/>
      <c r="GNY67" s="349"/>
      <c r="GNZ67" s="349"/>
      <c r="GOA67" s="349"/>
      <c r="GOB67" s="349"/>
      <c r="GOC67" s="349"/>
      <c r="GOD67" s="349"/>
      <c r="GOE67" s="349"/>
      <c r="GOF67" s="349"/>
      <c r="GOG67" s="349"/>
      <c r="GOH67" s="349"/>
      <c r="GOI67" s="349"/>
      <c r="GOJ67" s="349"/>
      <c r="GOK67" s="349"/>
      <c r="GOL67" s="349"/>
      <c r="GOM67" s="349"/>
      <c r="GON67" s="349"/>
      <c r="GOO67" s="349"/>
      <c r="GOP67" s="349"/>
      <c r="GOQ67" s="349"/>
      <c r="GOR67" s="349"/>
      <c r="GOS67" s="349"/>
      <c r="GOT67" s="349"/>
      <c r="GOU67" s="349"/>
      <c r="GOV67" s="349"/>
      <c r="GOW67" s="349"/>
      <c r="GOX67" s="349"/>
      <c r="GOY67" s="349"/>
      <c r="GOZ67" s="349"/>
      <c r="GPA67" s="349"/>
      <c r="GPB67" s="349"/>
      <c r="GPC67" s="349"/>
      <c r="GPD67" s="349"/>
      <c r="GPE67" s="349"/>
      <c r="GPF67" s="349"/>
      <c r="GPG67" s="349"/>
      <c r="GPH67" s="349"/>
      <c r="GPI67" s="349"/>
      <c r="GPJ67" s="349"/>
      <c r="GPK67" s="349"/>
      <c r="GPL67" s="349"/>
      <c r="GPM67" s="349"/>
      <c r="GPN67" s="349"/>
      <c r="GPO67" s="349"/>
      <c r="GPP67" s="349"/>
      <c r="GPQ67" s="349"/>
      <c r="GPR67" s="349"/>
      <c r="GPS67" s="349"/>
      <c r="GPT67" s="349"/>
      <c r="GPU67" s="349"/>
      <c r="GPV67" s="349"/>
      <c r="GPW67" s="349"/>
      <c r="GPX67" s="349"/>
      <c r="GPY67" s="349"/>
      <c r="GPZ67" s="349"/>
      <c r="GQA67" s="349"/>
      <c r="GQB67" s="349"/>
      <c r="GQC67" s="349"/>
      <c r="GQD67" s="349"/>
      <c r="GQE67" s="349"/>
      <c r="GQF67" s="349"/>
      <c r="GQG67" s="349"/>
      <c r="GQH67" s="349"/>
      <c r="GQI67" s="349"/>
      <c r="GQJ67" s="349"/>
      <c r="GQK67" s="349"/>
      <c r="GQL67" s="349"/>
      <c r="GQM67" s="349"/>
      <c r="GQN67" s="349"/>
      <c r="GQO67" s="349"/>
      <c r="GQP67" s="349"/>
      <c r="GQQ67" s="349"/>
      <c r="GQR67" s="349"/>
      <c r="GQS67" s="349"/>
      <c r="GQT67" s="349"/>
      <c r="GQU67" s="349"/>
      <c r="GQV67" s="349"/>
      <c r="GQW67" s="349"/>
      <c r="GQX67" s="349"/>
      <c r="GQY67" s="349"/>
      <c r="GQZ67" s="349"/>
      <c r="GRA67" s="349"/>
      <c r="GRB67" s="349"/>
      <c r="GRC67" s="349"/>
      <c r="GRD67" s="349"/>
      <c r="GRE67" s="349"/>
      <c r="GRF67" s="349"/>
      <c r="GRG67" s="349"/>
      <c r="GRH67" s="349"/>
      <c r="GRI67" s="349"/>
      <c r="GRJ67" s="349"/>
      <c r="GRK67" s="349"/>
      <c r="GRL67" s="349"/>
      <c r="GRM67" s="349"/>
      <c r="GRN67" s="349"/>
      <c r="GRO67" s="349"/>
      <c r="GRP67" s="349"/>
      <c r="GRQ67" s="349"/>
      <c r="GRR67" s="349"/>
      <c r="GRS67" s="349"/>
      <c r="GRT67" s="349"/>
      <c r="GRU67" s="349"/>
      <c r="GRV67" s="349"/>
      <c r="GRW67" s="349"/>
      <c r="GRX67" s="349"/>
      <c r="GRY67" s="349"/>
      <c r="GRZ67" s="349"/>
      <c r="GSA67" s="349"/>
      <c r="GSB67" s="349"/>
      <c r="GSC67" s="349"/>
      <c r="GSD67" s="349"/>
      <c r="GSE67" s="349"/>
      <c r="GSF67" s="349"/>
      <c r="GSG67" s="349"/>
      <c r="GSH67" s="349"/>
      <c r="GSI67" s="349"/>
      <c r="GSJ67" s="349"/>
      <c r="GSK67" s="349"/>
      <c r="GSL67" s="349"/>
      <c r="GSM67" s="349"/>
      <c r="GSN67" s="349"/>
      <c r="GSO67" s="349"/>
      <c r="GSP67" s="349"/>
      <c r="GSQ67" s="349"/>
      <c r="GSR67" s="349"/>
      <c r="GSS67" s="349"/>
      <c r="GST67" s="349"/>
      <c r="GSU67" s="349"/>
      <c r="GSV67" s="349"/>
      <c r="GSW67" s="349"/>
      <c r="GSX67" s="349"/>
      <c r="GSY67" s="349"/>
      <c r="GSZ67" s="349"/>
      <c r="GTA67" s="349"/>
      <c r="GTB67" s="349"/>
      <c r="GTC67" s="349"/>
      <c r="GTD67" s="349"/>
      <c r="GTE67" s="349"/>
      <c r="GTF67" s="349"/>
      <c r="GTG67" s="349"/>
      <c r="GTH67" s="349"/>
      <c r="GTI67" s="349"/>
      <c r="GTJ67" s="349"/>
      <c r="GTK67" s="349"/>
      <c r="GTL67" s="349"/>
      <c r="GTM67" s="349"/>
      <c r="GTN67" s="349"/>
      <c r="GTO67" s="349"/>
      <c r="GTP67" s="349"/>
      <c r="GTQ67" s="349"/>
      <c r="GTR67" s="349"/>
      <c r="GTS67" s="349"/>
      <c r="GTT67" s="349"/>
      <c r="GTU67" s="349"/>
      <c r="GTV67" s="349"/>
      <c r="GTW67" s="349"/>
      <c r="GTX67" s="349"/>
      <c r="GTY67" s="349"/>
      <c r="GTZ67" s="349"/>
      <c r="GUA67" s="349"/>
      <c r="GUB67" s="349"/>
      <c r="GUC67" s="349"/>
      <c r="GUD67" s="349"/>
      <c r="GUE67" s="349"/>
      <c r="GUF67" s="349"/>
      <c r="GUG67" s="349"/>
      <c r="GUH67" s="349"/>
      <c r="GUI67" s="349"/>
      <c r="GUJ67" s="349"/>
      <c r="GUK67" s="349"/>
      <c r="GUL67" s="349"/>
      <c r="GUM67" s="349"/>
      <c r="GUN67" s="349"/>
      <c r="GUO67" s="349"/>
      <c r="GUP67" s="349"/>
      <c r="GUQ67" s="349"/>
      <c r="GUR67" s="349"/>
      <c r="GUS67" s="349"/>
      <c r="GUT67" s="349"/>
      <c r="GUU67" s="349"/>
      <c r="GUV67" s="349"/>
      <c r="GUW67" s="349"/>
      <c r="GUX67" s="349"/>
      <c r="GUY67" s="349"/>
      <c r="GUZ67" s="349"/>
      <c r="GVA67" s="349"/>
      <c r="GVB67" s="349"/>
      <c r="GVC67" s="349"/>
      <c r="GVD67" s="349"/>
      <c r="GVE67" s="349"/>
      <c r="GVF67" s="349"/>
      <c r="GVG67" s="349"/>
      <c r="GVH67" s="349"/>
      <c r="GVI67" s="349"/>
      <c r="GVJ67" s="349"/>
      <c r="GVK67" s="349"/>
      <c r="GVL67" s="349"/>
      <c r="GVM67" s="349"/>
      <c r="GVN67" s="349"/>
      <c r="GVO67" s="349"/>
      <c r="GVP67" s="349"/>
      <c r="GVQ67" s="349"/>
      <c r="GVR67" s="349"/>
      <c r="GVS67" s="349"/>
      <c r="GVT67" s="349"/>
      <c r="GVU67" s="349"/>
      <c r="GVV67" s="349"/>
      <c r="GVW67" s="349"/>
      <c r="GVX67" s="349"/>
      <c r="GVY67" s="349"/>
      <c r="GVZ67" s="349"/>
      <c r="GWA67" s="349"/>
      <c r="GWB67" s="349"/>
      <c r="GWC67" s="349"/>
      <c r="GWD67" s="349"/>
      <c r="GWE67" s="349"/>
      <c r="GWF67" s="349"/>
      <c r="GWG67" s="349"/>
      <c r="GWH67" s="349"/>
      <c r="GWI67" s="349"/>
      <c r="GWJ67" s="349"/>
      <c r="GWK67" s="349"/>
      <c r="GWL67" s="349"/>
      <c r="GWM67" s="349"/>
      <c r="GWN67" s="349"/>
      <c r="GWO67" s="349"/>
      <c r="GWP67" s="349"/>
      <c r="GWQ67" s="349"/>
      <c r="GWR67" s="349"/>
      <c r="GWS67" s="349"/>
      <c r="GWT67" s="349"/>
      <c r="GWU67" s="349"/>
      <c r="GWV67" s="349"/>
      <c r="GWW67" s="349"/>
      <c r="GWX67" s="349"/>
      <c r="GWY67" s="349"/>
      <c r="GWZ67" s="349"/>
      <c r="GXA67" s="349"/>
      <c r="GXB67" s="349"/>
      <c r="GXC67" s="349"/>
      <c r="GXD67" s="349"/>
      <c r="GXE67" s="349"/>
      <c r="GXF67" s="349"/>
      <c r="GXG67" s="349"/>
      <c r="GXH67" s="349"/>
      <c r="GXI67" s="349"/>
      <c r="GXJ67" s="349"/>
      <c r="GXK67" s="349"/>
      <c r="GXL67" s="349"/>
      <c r="GXM67" s="349"/>
      <c r="GXN67" s="349"/>
      <c r="GXO67" s="349"/>
      <c r="GXP67" s="349"/>
      <c r="GXQ67" s="349"/>
      <c r="GXR67" s="349"/>
      <c r="GXS67" s="349"/>
      <c r="GXT67" s="349"/>
      <c r="GXU67" s="349"/>
      <c r="GXV67" s="349"/>
      <c r="GXW67" s="349"/>
      <c r="GXX67" s="349"/>
      <c r="GXY67" s="349"/>
      <c r="GXZ67" s="349"/>
      <c r="GYA67" s="349"/>
      <c r="GYB67" s="349"/>
      <c r="GYC67" s="349"/>
      <c r="GYD67" s="349"/>
      <c r="GYE67" s="349"/>
      <c r="GYF67" s="349"/>
      <c r="GYG67" s="349"/>
      <c r="GYH67" s="349"/>
      <c r="GYI67" s="349"/>
      <c r="GYJ67" s="349"/>
      <c r="GYK67" s="349"/>
      <c r="GYL67" s="349"/>
      <c r="GYM67" s="349"/>
      <c r="GYN67" s="349"/>
      <c r="GYO67" s="349"/>
      <c r="GYP67" s="349"/>
      <c r="GYQ67" s="349"/>
      <c r="GYR67" s="349"/>
      <c r="GYS67" s="349"/>
      <c r="GYT67" s="349"/>
      <c r="GYU67" s="349"/>
      <c r="GYV67" s="349"/>
      <c r="GYW67" s="349"/>
      <c r="GYX67" s="349"/>
      <c r="GYY67" s="349"/>
      <c r="GYZ67" s="349"/>
      <c r="GZA67" s="349"/>
      <c r="GZB67" s="349"/>
      <c r="GZC67" s="349"/>
      <c r="GZD67" s="349"/>
      <c r="GZE67" s="349"/>
      <c r="GZF67" s="349"/>
      <c r="GZG67" s="349"/>
      <c r="GZH67" s="349"/>
      <c r="GZI67" s="349"/>
      <c r="GZJ67" s="349"/>
      <c r="GZK67" s="349"/>
      <c r="GZL67" s="349"/>
      <c r="GZM67" s="349"/>
      <c r="GZN67" s="349"/>
      <c r="GZO67" s="349"/>
      <c r="GZP67" s="349"/>
      <c r="GZQ67" s="349"/>
      <c r="GZR67" s="349"/>
      <c r="GZS67" s="349"/>
      <c r="GZT67" s="349"/>
      <c r="GZU67" s="349"/>
      <c r="GZV67" s="349"/>
      <c r="GZW67" s="349"/>
      <c r="GZX67" s="349"/>
      <c r="GZY67" s="349"/>
      <c r="GZZ67" s="349"/>
      <c r="HAA67" s="349"/>
      <c r="HAB67" s="349"/>
      <c r="HAC67" s="349"/>
      <c r="HAD67" s="349"/>
      <c r="HAE67" s="349"/>
      <c r="HAF67" s="349"/>
      <c r="HAG67" s="349"/>
      <c r="HAH67" s="349"/>
      <c r="HAI67" s="349"/>
      <c r="HAJ67" s="349"/>
      <c r="HAK67" s="349"/>
      <c r="HAL67" s="349"/>
      <c r="HAM67" s="349"/>
      <c r="HAN67" s="349"/>
      <c r="HAO67" s="349"/>
      <c r="HAP67" s="349"/>
      <c r="HAQ67" s="349"/>
      <c r="HAR67" s="349"/>
      <c r="HAS67" s="349"/>
      <c r="HAT67" s="349"/>
      <c r="HAU67" s="349"/>
      <c r="HAV67" s="349"/>
      <c r="HAW67" s="349"/>
      <c r="HAX67" s="349"/>
      <c r="HAY67" s="349"/>
      <c r="HAZ67" s="349"/>
      <c r="HBA67" s="349"/>
      <c r="HBB67" s="349"/>
      <c r="HBC67" s="349"/>
      <c r="HBD67" s="349"/>
      <c r="HBE67" s="349"/>
      <c r="HBF67" s="349"/>
      <c r="HBG67" s="349"/>
      <c r="HBH67" s="349"/>
      <c r="HBI67" s="349"/>
      <c r="HBJ67" s="349"/>
      <c r="HBK67" s="349"/>
      <c r="HBL67" s="349"/>
      <c r="HBM67" s="349"/>
      <c r="HBN67" s="349"/>
      <c r="HBO67" s="349"/>
      <c r="HBP67" s="349"/>
      <c r="HBQ67" s="349"/>
      <c r="HBR67" s="349"/>
      <c r="HBS67" s="349"/>
      <c r="HBT67" s="349"/>
      <c r="HBU67" s="349"/>
      <c r="HBV67" s="349"/>
      <c r="HBW67" s="349"/>
      <c r="HBX67" s="349"/>
      <c r="HBY67" s="349"/>
      <c r="HBZ67" s="349"/>
      <c r="HCA67" s="349"/>
      <c r="HCB67" s="349"/>
      <c r="HCC67" s="349"/>
      <c r="HCD67" s="349"/>
      <c r="HCE67" s="349"/>
      <c r="HCF67" s="349"/>
      <c r="HCG67" s="349"/>
      <c r="HCH67" s="349"/>
      <c r="HCI67" s="349"/>
      <c r="HCJ67" s="349"/>
      <c r="HCK67" s="349"/>
      <c r="HCL67" s="349"/>
      <c r="HCM67" s="349"/>
      <c r="HCN67" s="349"/>
      <c r="HCO67" s="349"/>
      <c r="HCP67" s="349"/>
      <c r="HCQ67" s="349"/>
      <c r="HCR67" s="349"/>
      <c r="HCS67" s="349"/>
      <c r="HCT67" s="349"/>
      <c r="HCU67" s="349"/>
      <c r="HCV67" s="349"/>
      <c r="HCW67" s="349"/>
      <c r="HCX67" s="349"/>
      <c r="HCY67" s="349"/>
      <c r="HCZ67" s="349"/>
      <c r="HDA67" s="349"/>
      <c r="HDB67" s="349"/>
      <c r="HDC67" s="349"/>
      <c r="HDD67" s="349"/>
      <c r="HDE67" s="349"/>
      <c r="HDF67" s="349"/>
      <c r="HDG67" s="349"/>
      <c r="HDH67" s="349"/>
      <c r="HDI67" s="349"/>
      <c r="HDJ67" s="349"/>
      <c r="HDK67" s="349"/>
      <c r="HDL67" s="349"/>
      <c r="HDM67" s="349"/>
      <c r="HDN67" s="349"/>
      <c r="HDO67" s="349"/>
      <c r="HDP67" s="349"/>
      <c r="HDQ67" s="349"/>
      <c r="HDR67" s="349"/>
      <c r="HDS67" s="349"/>
      <c r="HDT67" s="349"/>
      <c r="HDU67" s="349"/>
      <c r="HDV67" s="349"/>
      <c r="HDW67" s="349"/>
      <c r="HDX67" s="349"/>
      <c r="HDY67" s="349"/>
      <c r="HDZ67" s="349"/>
      <c r="HEA67" s="349"/>
      <c r="HEB67" s="349"/>
      <c r="HEC67" s="349"/>
      <c r="HED67" s="349"/>
      <c r="HEE67" s="349"/>
      <c r="HEF67" s="349"/>
      <c r="HEG67" s="349"/>
      <c r="HEH67" s="349"/>
      <c r="HEI67" s="349"/>
      <c r="HEJ67" s="349"/>
      <c r="HEK67" s="349"/>
      <c r="HEL67" s="349"/>
      <c r="HEM67" s="349"/>
      <c r="HEN67" s="349"/>
      <c r="HEO67" s="349"/>
      <c r="HEP67" s="349"/>
      <c r="HEQ67" s="349"/>
      <c r="HER67" s="349"/>
      <c r="HES67" s="349"/>
      <c r="HET67" s="349"/>
      <c r="HEU67" s="349"/>
      <c r="HEV67" s="349"/>
      <c r="HEW67" s="349"/>
      <c r="HEX67" s="349"/>
      <c r="HEY67" s="349"/>
      <c r="HEZ67" s="349"/>
      <c r="HFA67" s="349"/>
      <c r="HFB67" s="349"/>
      <c r="HFC67" s="349"/>
      <c r="HFD67" s="349"/>
      <c r="HFE67" s="349"/>
      <c r="HFF67" s="349"/>
      <c r="HFG67" s="349"/>
      <c r="HFH67" s="349"/>
      <c r="HFI67" s="349"/>
      <c r="HFJ67" s="349"/>
      <c r="HFK67" s="349"/>
      <c r="HFL67" s="349"/>
      <c r="HFM67" s="349"/>
      <c r="HFN67" s="349"/>
      <c r="HFO67" s="349"/>
      <c r="HFP67" s="349"/>
      <c r="HFQ67" s="349"/>
      <c r="HFR67" s="349"/>
      <c r="HFS67" s="349"/>
      <c r="HFT67" s="349"/>
      <c r="HFU67" s="349"/>
      <c r="HFV67" s="349"/>
      <c r="HFW67" s="349"/>
      <c r="HFX67" s="349"/>
      <c r="HFY67" s="349"/>
      <c r="HFZ67" s="349"/>
      <c r="HGA67" s="349"/>
      <c r="HGB67" s="349"/>
      <c r="HGC67" s="349"/>
      <c r="HGD67" s="349"/>
      <c r="HGE67" s="349"/>
      <c r="HGF67" s="349"/>
      <c r="HGG67" s="349"/>
      <c r="HGH67" s="349"/>
      <c r="HGI67" s="349"/>
      <c r="HGJ67" s="349"/>
      <c r="HGK67" s="349"/>
      <c r="HGL67" s="349"/>
      <c r="HGM67" s="349"/>
      <c r="HGN67" s="349"/>
      <c r="HGO67" s="349"/>
      <c r="HGP67" s="349"/>
      <c r="HGQ67" s="349"/>
      <c r="HGR67" s="349"/>
      <c r="HGS67" s="349"/>
      <c r="HGT67" s="349"/>
      <c r="HGU67" s="349"/>
      <c r="HGV67" s="349"/>
      <c r="HGW67" s="349"/>
      <c r="HGX67" s="349"/>
      <c r="HGY67" s="349"/>
      <c r="HGZ67" s="349"/>
      <c r="HHA67" s="349"/>
      <c r="HHB67" s="349"/>
      <c r="HHC67" s="349"/>
      <c r="HHD67" s="349"/>
      <c r="HHE67" s="349"/>
      <c r="HHF67" s="349"/>
      <c r="HHG67" s="349"/>
      <c r="HHH67" s="349"/>
      <c r="HHI67" s="349"/>
      <c r="HHJ67" s="349"/>
      <c r="HHK67" s="349"/>
      <c r="HHL67" s="349"/>
      <c r="HHM67" s="349"/>
      <c r="HHN67" s="349"/>
      <c r="HHO67" s="349"/>
      <c r="HHP67" s="349"/>
      <c r="HHQ67" s="349"/>
      <c r="HHR67" s="349"/>
      <c r="HHS67" s="349"/>
      <c r="HHT67" s="349"/>
      <c r="HHU67" s="349"/>
      <c r="HHV67" s="349"/>
      <c r="HHW67" s="349"/>
      <c r="HHX67" s="349"/>
      <c r="HHY67" s="349"/>
      <c r="HHZ67" s="349"/>
      <c r="HIA67" s="349"/>
      <c r="HIB67" s="349"/>
      <c r="HIC67" s="349"/>
      <c r="HID67" s="349"/>
      <c r="HIE67" s="349"/>
      <c r="HIF67" s="349"/>
      <c r="HIG67" s="349"/>
      <c r="HIH67" s="349"/>
      <c r="HII67" s="349"/>
      <c r="HIJ67" s="349"/>
      <c r="HIK67" s="349"/>
      <c r="HIL67" s="349"/>
      <c r="HIM67" s="349"/>
      <c r="HIN67" s="349"/>
      <c r="HIO67" s="349"/>
      <c r="HIP67" s="349"/>
      <c r="HIQ67" s="349"/>
      <c r="HIR67" s="349"/>
      <c r="HIS67" s="349"/>
      <c r="HIT67" s="349"/>
      <c r="HIU67" s="349"/>
      <c r="HIV67" s="349"/>
      <c r="HIW67" s="349"/>
      <c r="HIX67" s="349"/>
      <c r="HIY67" s="349"/>
      <c r="HIZ67" s="349"/>
      <c r="HJA67" s="349"/>
      <c r="HJB67" s="349"/>
      <c r="HJC67" s="349"/>
      <c r="HJD67" s="349"/>
      <c r="HJE67" s="349"/>
      <c r="HJF67" s="349"/>
      <c r="HJG67" s="349"/>
      <c r="HJH67" s="349"/>
      <c r="HJI67" s="349"/>
      <c r="HJJ67" s="349"/>
      <c r="HJK67" s="349"/>
      <c r="HJL67" s="349"/>
      <c r="HJM67" s="349"/>
      <c r="HJN67" s="349"/>
      <c r="HJO67" s="349"/>
      <c r="HJP67" s="349"/>
      <c r="HJQ67" s="349"/>
      <c r="HJR67" s="349"/>
      <c r="HJS67" s="349"/>
      <c r="HJT67" s="349"/>
      <c r="HJU67" s="349"/>
      <c r="HJV67" s="349"/>
      <c r="HJW67" s="349"/>
      <c r="HJX67" s="349"/>
      <c r="HJY67" s="349"/>
      <c r="HJZ67" s="349"/>
      <c r="HKA67" s="349"/>
      <c r="HKB67" s="349"/>
      <c r="HKC67" s="349"/>
      <c r="HKD67" s="349"/>
      <c r="HKE67" s="349"/>
      <c r="HKF67" s="349"/>
      <c r="HKG67" s="349"/>
      <c r="HKH67" s="349"/>
      <c r="HKI67" s="349"/>
      <c r="HKJ67" s="349"/>
      <c r="HKK67" s="349"/>
      <c r="HKL67" s="349"/>
      <c r="HKM67" s="349"/>
      <c r="HKN67" s="349"/>
      <c r="HKO67" s="349"/>
      <c r="HKP67" s="349"/>
      <c r="HKQ67" s="349"/>
      <c r="HKR67" s="349"/>
      <c r="HKS67" s="349"/>
      <c r="HKT67" s="349"/>
      <c r="HKU67" s="349"/>
      <c r="HKV67" s="349"/>
      <c r="HKW67" s="349"/>
      <c r="HKX67" s="349"/>
      <c r="HKY67" s="349"/>
      <c r="HKZ67" s="349"/>
      <c r="HLA67" s="349"/>
      <c r="HLB67" s="349"/>
      <c r="HLC67" s="349"/>
      <c r="HLD67" s="349"/>
      <c r="HLE67" s="349"/>
      <c r="HLF67" s="349"/>
      <c r="HLG67" s="349"/>
      <c r="HLH67" s="349"/>
      <c r="HLI67" s="349"/>
      <c r="HLJ67" s="349"/>
      <c r="HLK67" s="349"/>
      <c r="HLL67" s="349"/>
      <c r="HLM67" s="349"/>
      <c r="HLN67" s="349"/>
      <c r="HLO67" s="349"/>
      <c r="HLP67" s="349"/>
      <c r="HLQ67" s="349"/>
      <c r="HLR67" s="349"/>
      <c r="HLS67" s="349"/>
      <c r="HLT67" s="349"/>
      <c r="HLU67" s="349"/>
      <c r="HLV67" s="349"/>
      <c r="HLW67" s="349"/>
      <c r="HLX67" s="349"/>
      <c r="HLY67" s="349"/>
      <c r="HLZ67" s="349"/>
      <c r="HMA67" s="349"/>
      <c r="HMB67" s="349"/>
      <c r="HMC67" s="349"/>
      <c r="HMD67" s="349"/>
      <c r="HME67" s="349"/>
      <c r="HMF67" s="349"/>
      <c r="HMG67" s="349"/>
      <c r="HMH67" s="349"/>
      <c r="HMI67" s="349"/>
      <c r="HMJ67" s="349"/>
      <c r="HMK67" s="349"/>
      <c r="HML67" s="349"/>
      <c r="HMM67" s="349"/>
      <c r="HMN67" s="349"/>
      <c r="HMO67" s="349"/>
      <c r="HMP67" s="349"/>
      <c r="HMQ67" s="349"/>
      <c r="HMR67" s="349"/>
      <c r="HMS67" s="349"/>
      <c r="HMT67" s="349"/>
      <c r="HMU67" s="349"/>
      <c r="HMV67" s="349"/>
      <c r="HMW67" s="349"/>
      <c r="HMX67" s="349"/>
      <c r="HMY67" s="349"/>
      <c r="HMZ67" s="349"/>
      <c r="HNA67" s="349"/>
      <c r="HNB67" s="349"/>
      <c r="HNC67" s="349"/>
      <c r="HND67" s="349"/>
      <c r="HNE67" s="349"/>
      <c r="HNF67" s="349"/>
      <c r="HNG67" s="349"/>
      <c r="HNH67" s="349"/>
      <c r="HNI67" s="349"/>
      <c r="HNJ67" s="349"/>
      <c r="HNK67" s="349"/>
      <c r="HNL67" s="349"/>
      <c r="HNM67" s="349"/>
      <c r="HNN67" s="349"/>
      <c r="HNO67" s="349"/>
      <c r="HNP67" s="349"/>
      <c r="HNQ67" s="349"/>
      <c r="HNR67" s="349"/>
      <c r="HNS67" s="349"/>
      <c r="HNT67" s="349"/>
      <c r="HNU67" s="349"/>
      <c r="HNV67" s="349"/>
      <c r="HNW67" s="349"/>
      <c r="HNX67" s="349"/>
      <c r="HNY67" s="349"/>
      <c r="HNZ67" s="349"/>
      <c r="HOA67" s="349"/>
      <c r="HOB67" s="349"/>
      <c r="HOC67" s="349"/>
      <c r="HOD67" s="349"/>
      <c r="HOE67" s="349"/>
      <c r="HOF67" s="349"/>
      <c r="HOG67" s="349"/>
      <c r="HOH67" s="349"/>
      <c r="HOI67" s="349"/>
      <c r="HOJ67" s="349"/>
      <c r="HOK67" s="349"/>
      <c r="HOL67" s="349"/>
      <c r="HOM67" s="349"/>
      <c r="HON67" s="349"/>
      <c r="HOO67" s="349"/>
      <c r="HOP67" s="349"/>
      <c r="HOQ67" s="349"/>
      <c r="HOR67" s="349"/>
      <c r="HOS67" s="349"/>
      <c r="HOT67" s="349"/>
      <c r="HOU67" s="349"/>
      <c r="HOV67" s="349"/>
      <c r="HOW67" s="349"/>
      <c r="HOX67" s="349"/>
      <c r="HOY67" s="349"/>
      <c r="HOZ67" s="349"/>
      <c r="HPA67" s="349"/>
      <c r="HPB67" s="349"/>
      <c r="HPC67" s="349"/>
      <c r="HPD67" s="349"/>
      <c r="HPE67" s="349"/>
      <c r="HPF67" s="349"/>
      <c r="HPG67" s="349"/>
      <c r="HPH67" s="349"/>
      <c r="HPI67" s="349"/>
      <c r="HPJ67" s="349"/>
      <c r="HPK67" s="349"/>
      <c r="HPL67" s="349"/>
      <c r="HPM67" s="349"/>
      <c r="HPN67" s="349"/>
      <c r="HPO67" s="349"/>
      <c r="HPP67" s="349"/>
      <c r="HPQ67" s="349"/>
      <c r="HPR67" s="349"/>
      <c r="HPS67" s="349"/>
      <c r="HPT67" s="349"/>
      <c r="HPU67" s="349"/>
      <c r="HPV67" s="349"/>
      <c r="HPW67" s="349"/>
      <c r="HPX67" s="349"/>
      <c r="HPY67" s="349"/>
      <c r="HPZ67" s="349"/>
      <c r="HQA67" s="349"/>
      <c r="HQB67" s="349"/>
      <c r="HQC67" s="349"/>
      <c r="HQD67" s="349"/>
      <c r="HQE67" s="349"/>
      <c r="HQF67" s="349"/>
      <c r="HQG67" s="349"/>
      <c r="HQH67" s="349"/>
      <c r="HQI67" s="349"/>
      <c r="HQJ67" s="349"/>
      <c r="HQK67" s="349"/>
      <c r="HQL67" s="349"/>
      <c r="HQM67" s="349"/>
      <c r="HQN67" s="349"/>
      <c r="HQO67" s="349"/>
      <c r="HQP67" s="349"/>
      <c r="HQQ67" s="349"/>
      <c r="HQR67" s="349"/>
      <c r="HQS67" s="349"/>
      <c r="HQT67" s="349"/>
      <c r="HQU67" s="349"/>
      <c r="HQV67" s="349"/>
      <c r="HQW67" s="349"/>
      <c r="HQX67" s="349"/>
      <c r="HQY67" s="349"/>
      <c r="HQZ67" s="349"/>
      <c r="HRA67" s="349"/>
      <c r="HRB67" s="349"/>
      <c r="HRC67" s="349"/>
      <c r="HRD67" s="349"/>
      <c r="HRE67" s="349"/>
      <c r="HRF67" s="349"/>
      <c r="HRG67" s="349"/>
      <c r="HRH67" s="349"/>
      <c r="HRI67" s="349"/>
      <c r="HRJ67" s="349"/>
      <c r="HRK67" s="349"/>
      <c r="HRL67" s="349"/>
      <c r="HRM67" s="349"/>
      <c r="HRN67" s="349"/>
      <c r="HRO67" s="349"/>
      <c r="HRP67" s="349"/>
      <c r="HRQ67" s="349"/>
      <c r="HRR67" s="349"/>
      <c r="HRS67" s="349"/>
      <c r="HRT67" s="349"/>
      <c r="HRU67" s="349"/>
      <c r="HRV67" s="349"/>
      <c r="HRW67" s="349"/>
      <c r="HRX67" s="349"/>
      <c r="HRY67" s="349"/>
      <c r="HRZ67" s="349"/>
      <c r="HSA67" s="349"/>
      <c r="HSB67" s="349"/>
      <c r="HSC67" s="349"/>
      <c r="HSD67" s="349"/>
      <c r="HSE67" s="349"/>
      <c r="HSF67" s="349"/>
      <c r="HSG67" s="349"/>
      <c r="HSH67" s="349"/>
      <c r="HSI67" s="349"/>
      <c r="HSJ67" s="349"/>
      <c r="HSK67" s="349"/>
      <c r="HSL67" s="349"/>
      <c r="HSM67" s="349"/>
      <c r="HSN67" s="349"/>
      <c r="HSO67" s="349"/>
      <c r="HSP67" s="349"/>
      <c r="HSQ67" s="349"/>
      <c r="HSR67" s="349"/>
      <c r="HSS67" s="349"/>
      <c r="HST67" s="349"/>
      <c r="HSU67" s="349"/>
      <c r="HSV67" s="349"/>
      <c r="HSW67" s="349"/>
      <c r="HSX67" s="349"/>
      <c r="HSY67" s="349"/>
      <c r="HSZ67" s="349"/>
      <c r="HTA67" s="349"/>
      <c r="HTB67" s="349"/>
      <c r="HTC67" s="349"/>
      <c r="HTD67" s="349"/>
      <c r="HTE67" s="349"/>
      <c r="HTF67" s="349"/>
      <c r="HTG67" s="349"/>
      <c r="HTH67" s="349"/>
      <c r="HTI67" s="349"/>
      <c r="HTJ67" s="349"/>
      <c r="HTK67" s="349"/>
      <c r="HTL67" s="349"/>
      <c r="HTM67" s="349"/>
      <c r="HTN67" s="349"/>
      <c r="HTO67" s="349"/>
      <c r="HTP67" s="349"/>
      <c r="HTQ67" s="349"/>
      <c r="HTR67" s="349"/>
      <c r="HTS67" s="349"/>
      <c r="HTT67" s="349"/>
      <c r="HTU67" s="349"/>
      <c r="HTV67" s="349"/>
      <c r="HTW67" s="349"/>
      <c r="HTX67" s="349"/>
      <c r="HTY67" s="349"/>
      <c r="HTZ67" s="349"/>
      <c r="HUA67" s="349"/>
      <c r="HUB67" s="349"/>
      <c r="HUC67" s="349"/>
      <c r="HUD67" s="349"/>
      <c r="HUE67" s="349"/>
      <c r="HUF67" s="349"/>
      <c r="HUG67" s="349"/>
      <c r="HUH67" s="349"/>
      <c r="HUI67" s="349"/>
      <c r="HUJ67" s="349"/>
      <c r="HUK67" s="349"/>
      <c r="HUL67" s="349"/>
      <c r="HUM67" s="349"/>
      <c r="HUN67" s="349"/>
      <c r="HUO67" s="349"/>
      <c r="HUP67" s="349"/>
      <c r="HUQ67" s="349"/>
      <c r="HUR67" s="349"/>
      <c r="HUS67" s="349"/>
      <c r="HUT67" s="349"/>
      <c r="HUU67" s="349"/>
      <c r="HUV67" s="349"/>
      <c r="HUW67" s="349"/>
      <c r="HUX67" s="349"/>
      <c r="HUY67" s="349"/>
      <c r="HUZ67" s="349"/>
      <c r="HVA67" s="349"/>
      <c r="HVB67" s="349"/>
      <c r="HVC67" s="349"/>
      <c r="HVD67" s="349"/>
      <c r="HVE67" s="349"/>
      <c r="HVF67" s="349"/>
      <c r="HVG67" s="349"/>
      <c r="HVH67" s="349"/>
      <c r="HVI67" s="349"/>
      <c r="HVJ67" s="349"/>
      <c r="HVK67" s="349"/>
      <c r="HVL67" s="349"/>
      <c r="HVM67" s="349"/>
      <c r="HVN67" s="349"/>
      <c r="HVO67" s="349"/>
      <c r="HVP67" s="349"/>
      <c r="HVQ67" s="349"/>
      <c r="HVR67" s="349"/>
      <c r="HVS67" s="349"/>
      <c r="HVT67" s="349"/>
      <c r="HVU67" s="349"/>
      <c r="HVV67" s="349"/>
      <c r="HVW67" s="349"/>
      <c r="HVX67" s="349"/>
      <c r="HVY67" s="349"/>
      <c r="HVZ67" s="349"/>
      <c r="HWA67" s="349"/>
      <c r="HWB67" s="349"/>
      <c r="HWC67" s="349"/>
      <c r="HWD67" s="349"/>
      <c r="HWE67" s="349"/>
      <c r="HWF67" s="349"/>
      <c r="HWG67" s="349"/>
      <c r="HWH67" s="349"/>
      <c r="HWI67" s="349"/>
      <c r="HWJ67" s="349"/>
      <c r="HWK67" s="349"/>
      <c r="HWL67" s="349"/>
      <c r="HWM67" s="349"/>
      <c r="HWN67" s="349"/>
      <c r="HWO67" s="349"/>
      <c r="HWP67" s="349"/>
      <c r="HWQ67" s="349"/>
      <c r="HWR67" s="349"/>
      <c r="HWS67" s="349"/>
      <c r="HWT67" s="349"/>
      <c r="HWU67" s="349"/>
      <c r="HWV67" s="349"/>
      <c r="HWW67" s="349"/>
      <c r="HWX67" s="349"/>
      <c r="HWY67" s="349"/>
      <c r="HWZ67" s="349"/>
      <c r="HXA67" s="349"/>
      <c r="HXB67" s="349"/>
      <c r="HXC67" s="349"/>
      <c r="HXD67" s="349"/>
      <c r="HXE67" s="349"/>
      <c r="HXF67" s="349"/>
      <c r="HXG67" s="349"/>
      <c r="HXH67" s="349"/>
      <c r="HXI67" s="349"/>
      <c r="HXJ67" s="349"/>
      <c r="HXK67" s="349"/>
      <c r="HXL67" s="349"/>
      <c r="HXM67" s="349"/>
      <c r="HXN67" s="349"/>
      <c r="HXO67" s="349"/>
      <c r="HXP67" s="349"/>
      <c r="HXQ67" s="349"/>
      <c r="HXR67" s="349"/>
      <c r="HXS67" s="349"/>
      <c r="HXT67" s="349"/>
      <c r="HXU67" s="349"/>
      <c r="HXV67" s="349"/>
      <c r="HXW67" s="349"/>
      <c r="HXX67" s="349"/>
      <c r="HXY67" s="349"/>
      <c r="HXZ67" s="349"/>
      <c r="HYA67" s="349"/>
      <c r="HYB67" s="349"/>
      <c r="HYC67" s="349"/>
      <c r="HYD67" s="349"/>
      <c r="HYE67" s="349"/>
      <c r="HYF67" s="349"/>
      <c r="HYG67" s="349"/>
      <c r="HYH67" s="349"/>
      <c r="HYI67" s="349"/>
      <c r="HYJ67" s="349"/>
      <c r="HYK67" s="349"/>
      <c r="HYL67" s="349"/>
      <c r="HYM67" s="349"/>
      <c r="HYN67" s="349"/>
      <c r="HYO67" s="349"/>
      <c r="HYP67" s="349"/>
      <c r="HYQ67" s="349"/>
      <c r="HYR67" s="349"/>
      <c r="HYS67" s="349"/>
      <c r="HYT67" s="349"/>
      <c r="HYU67" s="349"/>
      <c r="HYV67" s="349"/>
      <c r="HYW67" s="349"/>
      <c r="HYX67" s="349"/>
      <c r="HYY67" s="349"/>
      <c r="HYZ67" s="349"/>
      <c r="HZA67" s="349"/>
      <c r="HZB67" s="349"/>
      <c r="HZC67" s="349"/>
      <c r="HZD67" s="349"/>
      <c r="HZE67" s="349"/>
      <c r="HZF67" s="349"/>
      <c r="HZG67" s="349"/>
      <c r="HZH67" s="349"/>
      <c r="HZI67" s="349"/>
      <c r="HZJ67" s="349"/>
      <c r="HZK67" s="349"/>
      <c r="HZL67" s="349"/>
      <c r="HZM67" s="349"/>
      <c r="HZN67" s="349"/>
      <c r="HZO67" s="349"/>
      <c r="HZP67" s="349"/>
      <c r="HZQ67" s="349"/>
      <c r="HZR67" s="349"/>
      <c r="HZS67" s="349"/>
      <c r="HZT67" s="349"/>
      <c r="HZU67" s="349"/>
      <c r="HZV67" s="349"/>
      <c r="HZW67" s="349"/>
      <c r="HZX67" s="349"/>
      <c r="HZY67" s="349"/>
      <c r="HZZ67" s="349"/>
      <c r="IAA67" s="349"/>
      <c r="IAB67" s="349"/>
      <c r="IAC67" s="349"/>
      <c r="IAD67" s="349"/>
      <c r="IAE67" s="349"/>
      <c r="IAF67" s="349"/>
      <c r="IAG67" s="349"/>
      <c r="IAH67" s="349"/>
      <c r="IAI67" s="349"/>
      <c r="IAJ67" s="349"/>
      <c r="IAK67" s="349"/>
      <c r="IAL67" s="349"/>
      <c r="IAM67" s="349"/>
      <c r="IAN67" s="349"/>
      <c r="IAO67" s="349"/>
      <c r="IAP67" s="349"/>
      <c r="IAQ67" s="349"/>
      <c r="IAR67" s="349"/>
      <c r="IAS67" s="349"/>
      <c r="IAT67" s="349"/>
      <c r="IAU67" s="349"/>
      <c r="IAV67" s="349"/>
      <c r="IAW67" s="349"/>
      <c r="IAX67" s="349"/>
      <c r="IAY67" s="349"/>
      <c r="IAZ67" s="349"/>
      <c r="IBA67" s="349"/>
      <c r="IBB67" s="349"/>
      <c r="IBC67" s="349"/>
      <c r="IBD67" s="349"/>
      <c r="IBE67" s="349"/>
      <c r="IBF67" s="349"/>
      <c r="IBG67" s="349"/>
      <c r="IBH67" s="349"/>
      <c r="IBI67" s="349"/>
      <c r="IBJ67" s="349"/>
      <c r="IBK67" s="349"/>
      <c r="IBL67" s="349"/>
      <c r="IBM67" s="349"/>
      <c r="IBN67" s="349"/>
      <c r="IBO67" s="349"/>
      <c r="IBP67" s="349"/>
      <c r="IBQ67" s="349"/>
      <c r="IBR67" s="349"/>
      <c r="IBS67" s="349"/>
      <c r="IBT67" s="349"/>
      <c r="IBU67" s="349"/>
      <c r="IBV67" s="349"/>
      <c r="IBW67" s="349"/>
      <c r="IBX67" s="349"/>
      <c r="IBY67" s="349"/>
      <c r="IBZ67" s="349"/>
      <c r="ICA67" s="349"/>
      <c r="ICB67" s="349"/>
      <c r="ICC67" s="349"/>
      <c r="ICD67" s="349"/>
      <c r="ICE67" s="349"/>
      <c r="ICF67" s="349"/>
      <c r="ICG67" s="349"/>
      <c r="ICH67" s="349"/>
      <c r="ICI67" s="349"/>
      <c r="ICJ67" s="349"/>
      <c r="ICK67" s="349"/>
      <c r="ICL67" s="349"/>
      <c r="ICM67" s="349"/>
      <c r="ICN67" s="349"/>
      <c r="ICO67" s="349"/>
      <c r="ICP67" s="349"/>
      <c r="ICQ67" s="349"/>
      <c r="ICR67" s="349"/>
      <c r="ICS67" s="349"/>
      <c r="ICT67" s="349"/>
      <c r="ICU67" s="349"/>
      <c r="ICV67" s="349"/>
      <c r="ICW67" s="349"/>
      <c r="ICX67" s="349"/>
      <c r="ICY67" s="349"/>
      <c r="ICZ67" s="349"/>
      <c r="IDA67" s="349"/>
      <c r="IDB67" s="349"/>
      <c r="IDC67" s="349"/>
      <c r="IDD67" s="349"/>
      <c r="IDE67" s="349"/>
      <c r="IDF67" s="349"/>
      <c r="IDG67" s="349"/>
      <c r="IDH67" s="349"/>
      <c r="IDI67" s="349"/>
      <c r="IDJ67" s="349"/>
      <c r="IDK67" s="349"/>
      <c r="IDL67" s="349"/>
      <c r="IDM67" s="349"/>
      <c r="IDN67" s="349"/>
      <c r="IDO67" s="349"/>
      <c r="IDP67" s="349"/>
      <c r="IDQ67" s="349"/>
      <c r="IDR67" s="349"/>
      <c r="IDS67" s="349"/>
      <c r="IDT67" s="349"/>
      <c r="IDU67" s="349"/>
      <c r="IDV67" s="349"/>
      <c r="IDW67" s="349"/>
      <c r="IDX67" s="349"/>
      <c r="IDY67" s="349"/>
      <c r="IDZ67" s="349"/>
      <c r="IEA67" s="349"/>
      <c r="IEB67" s="349"/>
      <c r="IEC67" s="349"/>
      <c r="IED67" s="349"/>
      <c r="IEE67" s="349"/>
      <c r="IEF67" s="349"/>
      <c r="IEG67" s="349"/>
      <c r="IEH67" s="349"/>
      <c r="IEI67" s="349"/>
      <c r="IEJ67" s="349"/>
      <c r="IEK67" s="349"/>
      <c r="IEL67" s="349"/>
      <c r="IEM67" s="349"/>
      <c r="IEN67" s="349"/>
      <c r="IEO67" s="349"/>
      <c r="IEP67" s="349"/>
      <c r="IEQ67" s="349"/>
      <c r="IER67" s="349"/>
      <c r="IES67" s="349"/>
      <c r="IET67" s="349"/>
      <c r="IEU67" s="349"/>
      <c r="IEV67" s="349"/>
      <c r="IEW67" s="349"/>
      <c r="IEX67" s="349"/>
      <c r="IEY67" s="349"/>
      <c r="IEZ67" s="349"/>
      <c r="IFA67" s="349"/>
      <c r="IFB67" s="349"/>
      <c r="IFC67" s="349"/>
      <c r="IFD67" s="349"/>
      <c r="IFE67" s="349"/>
      <c r="IFF67" s="349"/>
      <c r="IFG67" s="349"/>
      <c r="IFH67" s="349"/>
      <c r="IFI67" s="349"/>
      <c r="IFJ67" s="349"/>
      <c r="IFK67" s="349"/>
      <c r="IFL67" s="349"/>
      <c r="IFM67" s="349"/>
      <c r="IFN67" s="349"/>
      <c r="IFO67" s="349"/>
      <c r="IFP67" s="349"/>
      <c r="IFQ67" s="349"/>
      <c r="IFR67" s="349"/>
      <c r="IFS67" s="349"/>
      <c r="IFT67" s="349"/>
      <c r="IFU67" s="349"/>
      <c r="IFV67" s="349"/>
      <c r="IFW67" s="349"/>
      <c r="IFX67" s="349"/>
      <c r="IFY67" s="349"/>
      <c r="IFZ67" s="349"/>
      <c r="IGA67" s="349"/>
      <c r="IGB67" s="349"/>
      <c r="IGC67" s="349"/>
      <c r="IGD67" s="349"/>
      <c r="IGE67" s="349"/>
      <c r="IGF67" s="349"/>
      <c r="IGG67" s="349"/>
      <c r="IGH67" s="349"/>
      <c r="IGI67" s="349"/>
      <c r="IGJ67" s="349"/>
      <c r="IGK67" s="349"/>
      <c r="IGL67" s="349"/>
      <c r="IGM67" s="349"/>
      <c r="IGN67" s="349"/>
      <c r="IGO67" s="349"/>
      <c r="IGP67" s="349"/>
      <c r="IGQ67" s="349"/>
      <c r="IGR67" s="349"/>
      <c r="IGS67" s="349"/>
      <c r="IGT67" s="349"/>
      <c r="IGU67" s="349"/>
      <c r="IGV67" s="349"/>
      <c r="IGW67" s="349"/>
      <c r="IGX67" s="349"/>
      <c r="IGY67" s="349"/>
      <c r="IGZ67" s="349"/>
      <c r="IHA67" s="349"/>
      <c r="IHB67" s="349"/>
      <c r="IHC67" s="349"/>
      <c r="IHD67" s="349"/>
      <c r="IHE67" s="349"/>
      <c r="IHF67" s="349"/>
      <c r="IHG67" s="349"/>
      <c r="IHH67" s="349"/>
      <c r="IHI67" s="349"/>
      <c r="IHJ67" s="349"/>
      <c r="IHK67" s="349"/>
      <c r="IHL67" s="349"/>
      <c r="IHM67" s="349"/>
      <c r="IHN67" s="349"/>
      <c r="IHO67" s="349"/>
      <c r="IHP67" s="349"/>
      <c r="IHQ67" s="349"/>
      <c r="IHR67" s="349"/>
      <c r="IHS67" s="349"/>
      <c r="IHT67" s="349"/>
      <c r="IHU67" s="349"/>
      <c r="IHV67" s="349"/>
      <c r="IHW67" s="349"/>
      <c r="IHX67" s="349"/>
      <c r="IHY67" s="349"/>
      <c r="IHZ67" s="349"/>
      <c r="IIA67" s="349"/>
      <c r="IIB67" s="349"/>
      <c r="IIC67" s="349"/>
      <c r="IID67" s="349"/>
      <c r="IIE67" s="349"/>
      <c r="IIF67" s="349"/>
      <c r="IIG67" s="349"/>
      <c r="IIH67" s="349"/>
      <c r="III67" s="349"/>
      <c r="IIJ67" s="349"/>
      <c r="IIK67" s="349"/>
      <c r="IIL67" s="349"/>
      <c r="IIM67" s="349"/>
      <c r="IIN67" s="349"/>
      <c r="IIO67" s="349"/>
      <c r="IIP67" s="349"/>
      <c r="IIQ67" s="349"/>
      <c r="IIR67" s="349"/>
      <c r="IIS67" s="349"/>
      <c r="IIT67" s="349"/>
      <c r="IIU67" s="349"/>
      <c r="IIV67" s="349"/>
      <c r="IIW67" s="349"/>
      <c r="IIX67" s="349"/>
      <c r="IIY67" s="349"/>
      <c r="IIZ67" s="349"/>
      <c r="IJA67" s="349"/>
      <c r="IJB67" s="349"/>
      <c r="IJC67" s="349"/>
      <c r="IJD67" s="349"/>
      <c r="IJE67" s="349"/>
      <c r="IJF67" s="349"/>
      <c r="IJG67" s="349"/>
      <c r="IJH67" s="349"/>
      <c r="IJI67" s="349"/>
      <c r="IJJ67" s="349"/>
      <c r="IJK67" s="349"/>
      <c r="IJL67" s="349"/>
      <c r="IJM67" s="349"/>
      <c r="IJN67" s="349"/>
      <c r="IJO67" s="349"/>
      <c r="IJP67" s="349"/>
      <c r="IJQ67" s="349"/>
      <c r="IJR67" s="349"/>
      <c r="IJS67" s="349"/>
      <c r="IJT67" s="349"/>
      <c r="IJU67" s="349"/>
      <c r="IJV67" s="349"/>
      <c r="IJW67" s="349"/>
      <c r="IJX67" s="349"/>
      <c r="IJY67" s="349"/>
      <c r="IJZ67" s="349"/>
      <c r="IKA67" s="349"/>
      <c r="IKB67" s="349"/>
      <c r="IKC67" s="349"/>
      <c r="IKD67" s="349"/>
      <c r="IKE67" s="349"/>
      <c r="IKF67" s="349"/>
      <c r="IKG67" s="349"/>
      <c r="IKH67" s="349"/>
      <c r="IKI67" s="349"/>
      <c r="IKJ67" s="349"/>
      <c r="IKK67" s="349"/>
      <c r="IKL67" s="349"/>
      <c r="IKM67" s="349"/>
      <c r="IKN67" s="349"/>
      <c r="IKO67" s="349"/>
      <c r="IKP67" s="349"/>
      <c r="IKQ67" s="349"/>
      <c r="IKR67" s="349"/>
      <c r="IKS67" s="349"/>
      <c r="IKT67" s="349"/>
      <c r="IKU67" s="349"/>
      <c r="IKV67" s="349"/>
      <c r="IKW67" s="349"/>
      <c r="IKX67" s="349"/>
      <c r="IKY67" s="349"/>
      <c r="IKZ67" s="349"/>
      <c r="ILA67" s="349"/>
      <c r="ILB67" s="349"/>
      <c r="ILC67" s="349"/>
      <c r="ILD67" s="349"/>
      <c r="ILE67" s="349"/>
      <c r="ILF67" s="349"/>
      <c r="ILG67" s="349"/>
      <c r="ILH67" s="349"/>
      <c r="ILI67" s="349"/>
      <c r="ILJ67" s="349"/>
      <c r="ILK67" s="349"/>
      <c r="ILL67" s="349"/>
      <c r="ILM67" s="349"/>
      <c r="ILN67" s="349"/>
      <c r="ILO67" s="349"/>
      <c r="ILP67" s="349"/>
      <c r="ILQ67" s="349"/>
      <c r="ILR67" s="349"/>
      <c r="ILS67" s="349"/>
      <c r="ILT67" s="349"/>
      <c r="ILU67" s="349"/>
      <c r="ILV67" s="349"/>
      <c r="ILW67" s="349"/>
      <c r="ILX67" s="349"/>
      <c r="ILY67" s="349"/>
      <c r="ILZ67" s="349"/>
      <c r="IMA67" s="349"/>
      <c r="IMB67" s="349"/>
      <c r="IMC67" s="349"/>
      <c r="IMD67" s="349"/>
      <c r="IME67" s="349"/>
      <c r="IMF67" s="349"/>
      <c r="IMG67" s="349"/>
      <c r="IMH67" s="349"/>
      <c r="IMI67" s="349"/>
      <c r="IMJ67" s="349"/>
      <c r="IMK67" s="349"/>
      <c r="IML67" s="349"/>
      <c r="IMM67" s="349"/>
      <c r="IMN67" s="349"/>
      <c r="IMO67" s="349"/>
      <c r="IMP67" s="349"/>
      <c r="IMQ67" s="349"/>
      <c r="IMR67" s="349"/>
      <c r="IMS67" s="349"/>
      <c r="IMT67" s="349"/>
      <c r="IMU67" s="349"/>
      <c r="IMV67" s="349"/>
      <c r="IMW67" s="349"/>
      <c r="IMX67" s="349"/>
      <c r="IMY67" s="349"/>
      <c r="IMZ67" s="349"/>
      <c r="INA67" s="349"/>
      <c r="INB67" s="349"/>
      <c r="INC67" s="349"/>
      <c r="IND67" s="349"/>
      <c r="INE67" s="349"/>
      <c r="INF67" s="349"/>
      <c r="ING67" s="349"/>
      <c r="INH67" s="349"/>
      <c r="INI67" s="349"/>
      <c r="INJ67" s="349"/>
      <c r="INK67" s="349"/>
      <c r="INL67" s="349"/>
      <c r="INM67" s="349"/>
      <c r="INN67" s="349"/>
      <c r="INO67" s="349"/>
      <c r="INP67" s="349"/>
      <c r="INQ67" s="349"/>
      <c r="INR67" s="349"/>
      <c r="INS67" s="349"/>
      <c r="INT67" s="349"/>
      <c r="INU67" s="349"/>
      <c r="INV67" s="349"/>
      <c r="INW67" s="349"/>
      <c r="INX67" s="349"/>
      <c r="INY67" s="349"/>
      <c r="INZ67" s="349"/>
      <c r="IOA67" s="349"/>
      <c r="IOB67" s="349"/>
      <c r="IOC67" s="349"/>
      <c r="IOD67" s="349"/>
      <c r="IOE67" s="349"/>
      <c r="IOF67" s="349"/>
      <c r="IOG67" s="349"/>
      <c r="IOH67" s="349"/>
      <c r="IOI67" s="349"/>
      <c r="IOJ67" s="349"/>
      <c r="IOK67" s="349"/>
      <c r="IOL67" s="349"/>
      <c r="IOM67" s="349"/>
      <c r="ION67" s="349"/>
      <c r="IOO67" s="349"/>
      <c r="IOP67" s="349"/>
      <c r="IOQ67" s="349"/>
      <c r="IOR67" s="349"/>
      <c r="IOS67" s="349"/>
      <c r="IOT67" s="349"/>
      <c r="IOU67" s="349"/>
      <c r="IOV67" s="349"/>
      <c r="IOW67" s="349"/>
      <c r="IOX67" s="349"/>
      <c r="IOY67" s="349"/>
      <c r="IOZ67" s="349"/>
      <c r="IPA67" s="349"/>
      <c r="IPB67" s="349"/>
      <c r="IPC67" s="349"/>
      <c r="IPD67" s="349"/>
      <c r="IPE67" s="349"/>
      <c r="IPF67" s="349"/>
      <c r="IPG67" s="349"/>
      <c r="IPH67" s="349"/>
      <c r="IPI67" s="349"/>
      <c r="IPJ67" s="349"/>
      <c r="IPK67" s="349"/>
      <c r="IPL67" s="349"/>
      <c r="IPM67" s="349"/>
      <c r="IPN67" s="349"/>
      <c r="IPO67" s="349"/>
      <c r="IPP67" s="349"/>
      <c r="IPQ67" s="349"/>
      <c r="IPR67" s="349"/>
      <c r="IPS67" s="349"/>
      <c r="IPT67" s="349"/>
      <c r="IPU67" s="349"/>
      <c r="IPV67" s="349"/>
      <c r="IPW67" s="349"/>
      <c r="IPX67" s="349"/>
      <c r="IPY67" s="349"/>
      <c r="IPZ67" s="349"/>
      <c r="IQA67" s="349"/>
      <c r="IQB67" s="349"/>
      <c r="IQC67" s="349"/>
      <c r="IQD67" s="349"/>
      <c r="IQE67" s="349"/>
      <c r="IQF67" s="349"/>
      <c r="IQG67" s="349"/>
      <c r="IQH67" s="349"/>
      <c r="IQI67" s="349"/>
      <c r="IQJ67" s="349"/>
      <c r="IQK67" s="349"/>
      <c r="IQL67" s="349"/>
      <c r="IQM67" s="349"/>
      <c r="IQN67" s="349"/>
      <c r="IQO67" s="349"/>
      <c r="IQP67" s="349"/>
      <c r="IQQ67" s="349"/>
      <c r="IQR67" s="349"/>
      <c r="IQS67" s="349"/>
      <c r="IQT67" s="349"/>
      <c r="IQU67" s="349"/>
      <c r="IQV67" s="349"/>
      <c r="IQW67" s="349"/>
      <c r="IQX67" s="349"/>
      <c r="IQY67" s="349"/>
      <c r="IQZ67" s="349"/>
      <c r="IRA67" s="349"/>
      <c r="IRB67" s="349"/>
      <c r="IRC67" s="349"/>
      <c r="IRD67" s="349"/>
      <c r="IRE67" s="349"/>
      <c r="IRF67" s="349"/>
      <c r="IRG67" s="349"/>
      <c r="IRH67" s="349"/>
      <c r="IRI67" s="349"/>
      <c r="IRJ67" s="349"/>
      <c r="IRK67" s="349"/>
      <c r="IRL67" s="349"/>
      <c r="IRM67" s="349"/>
      <c r="IRN67" s="349"/>
      <c r="IRO67" s="349"/>
      <c r="IRP67" s="349"/>
      <c r="IRQ67" s="349"/>
      <c r="IRR67" s="349"/>
      <c r="IRS67" s="349"/>
      <c r="IRT67" s="349"/>
      <c r="IRU67" s="349"/>
      <c r="IRV67" s="349"/>
      <c r="IRW67" s="349"/>
      <c r="IRX67" s="349"/>
      <c r="IRY67" s="349"/>
      <c r="IRZ67" s="349"/>
      <c r="ISA67" s="349"/>
      <c r="ISB67" s="349"/>
      <c r="ISC67" s="349"/>
      <c r="ISD67" s="349"/>
      <c r="ISE67" s="349"/>
      <c r="ISF67" s="349"/>
      <c r="ISG67" s="349"/>
      <c r="ISH67" s="349"/>
      <c r="ISI67" s="349"/>
      <c r="ISJ67" s="349"/>
      <c r="ISK67" s="349"/>
      <c r="ISL67" s="349"/>
      <c r="ISM67" s="349"/>
      <c r="ISN67" s="349"/>
      <c r="ISO67" s="349"/>
      <c r="ISP67" s="349"/>
      <c r="ISQ67" s="349"/>
      <c r="ISR67" s="349"/>
      <c r="ISS67" s="349"/>
      <c r="IST67" s="349"/>
      <c r="ISU67" s="349"/>
      <c r="ISV67" s="349"/>
      <c r="ISW67" s="349"/>
      <c r="ISX67" s="349"/>
      <c r="ISY67" s="349"/>
      <c r="ISZ67" s="349"/>
      <c r="ITA67" s="349"/>
      <c r="ITB67" s="349"/>
      <c r="ITC67" s="349"/>
      <c r="ITD67" s="349"/>
      <c r="ITE67" s="349"/>
      <c r="ITF67" s="349"/>
      <c r="ITG67" s="349"/>
      <c r="ITH67" s="349"/>
      <c r="ITI67" s="349"/>
      <c r="ITJ67" s="349"/>
      <c r="ITK67" s="349"/>
      <c r="ITL67" s="349"/>
      <c r="ITM67" s="349"/>
      <c r="ITN67" s="349"/>
      <c r="ITO67" s="349"/>
      <c r="ITP67" s="349"/>
      <c r="ITQ67" s="349"/>
      <c r="ITR67" s="349"/>
      <c r="ITS67" s="349"/>
      <c r="ITT67" s="349"/>
      <c r="ITU67" s="349"/>
      <c r="ITV67" s="349"/>
      <c r="ITW67" s="349"/>
      <c r="ITX67" s="349"/>
      <c r="ITY67" s="349"/>
      <c r="ITZ67" s="349"/>
      <c r="IUA67" s="349"/>
      <c r="IUB67" s="349"/>
      <c r="IUC67" s="349"/>
      <c r="IUD67" s="349"/>
      <c r="IUE67" s="349"/>
      <c r="IUF67" s="349"/>
      <c r="IUG67" s="349"/>
      <c r="IUH67" s="349"/>
      <c r="IUI67" s="349"/>
      <c r="IUJ67" s="349"/>
      <c r="IUK67" s="349"/>
      <c r="IUL67" s="349"/>
      <c r="IUM67" s="349"/>
      <c r="IUN67" s="349"/>
      <c r="IUO67" s="349"/>
      <c r="IUP67" s="349"/>
      <c r="IUQ67" s="349"/>
      <c r="IUR67" s="349"/>
      <c r="IUS67" s="349"/>
      <c r="IUT67" s="349"/>
      <c r="IUU67" s="349"/>
      <c r="IUV67" s="349"/>
      <c r="IUW67" s="349"/>
      <c r="IUX67" s="349"/>
      <c r="IUY67" s="349"/>
      <c r="IUZ67" s="349"/>
      <c r="IVA67" s="349"/>
      <c r="IVB67" s="349"/>
      <c r="IVC67" s="349"/>
      <c r="IVD67" s="349"/>
      <c r="IVE67" s="349"/>
      <c r="IVF67" s="349"/>
      <c r="IVG67" s="349"/>
      <c r="IVH67" s="349"/>
      <c r="IVI67" s="349"/>
      <c r="IVJ67" s="349"/>
      <c r="IVK67" s="349"/>
      <c r="IVL67" s="349"/>
      <c r="IVM67" s="349"/>
      <c r="IVN67" s="349"/>
      <c r="IVO67" s="349"/>
      <c r="IVP67" s="349"/>
      <c r="IVQ67" s="349"/>
      <c r="IVR67" s="349"/>
      <c r="IVS67" s="349"/>
      <c r="IVT67" s="349"/>
      <c r="IVU67" s="349"/>
      <c r="IVV67" s="349"/>
      <c r="IVW67" s="349"/>
      <c r="IVX67" s="349"/>
      <c r="IVY67" s="349"/>
      <c r="IVZ67" s="349"/>
      <c r="IWA67" s="349"/>
      <c r="IWB67" s="349"/>
      <c r="IWC67" s="349"/>
      <c r="IWD67" s="349"/>
      <c r="IWE67" s="349"/>
      <c r="IWF67" s="349"/>
      <c r="IWG67" s="349"/>
      <c r="IWH67" s="349"/>
      <c r="IWI67" s="349"/>
      <c r="IWJ67" s="349"/>
      <c r="IWK67" s="349"/>
      <c r="IWL67" s="349"/>
      <c r="IWM67" s="349"/>
      <c r="IWN67" s="349"/>
      <c r="IWO67" s="349"/>
      <c r="IWP67" s="349"/>
      <c r="IWQ67" s="349"/>
      <c r="IWR67" s="349"/>
      <c r="IWS67" s="349"/>
      <c r="IWT67" s="349"/>
      <c r="IWU67" s="349"/>
      <c r="IWV67" s="349"/>
      <c r="IWW67" s="349"/>
      <c r="IWX67" s="349"/>
      <c r="IWY67" s="349"/>
      <c r="IWZ67" s="349"/>
      <c r="IXA67" s="349"/>
      <c r="IXB67" s="349"/>
      <c r="IXC67" s="349"/>
      <c r="IXD67" s="349"/>
      <c r="IXE67" s="349"/>
      <c r="IXF67" s="349"/>
      <c r="IXG67" s="349"/>
      <c r="IXH67" s="349"/>
      <c r="IXI67" s="349"/>
      <c r="IXJ67" s="349"/>
      <c r="IXK67" s="349"/>
      <c r="IXL67" s="349"/>
      <c r="IXM67" s="349"/>
      <c r="IXN67" s="349"/>
      <c r="IXO67" s="349"/>
      <c r="IXP67" s="349"/>
      <c r="IXQ67" s="349"/>
      <c r="IXR67" s="349"/>
      <c r="IXS67" s="349"/>
      <c r="IXT67" s="349"/>
      <c r="IXU67" s="349"/>
      <c r="IXV67" s="349"/>
      <c r="IXW67" s="349"/>
      <c r="IXX67" s="349"/>
      <c r="IXY67" s="349"/>
      <c r="IXZ67" s="349"/>
      <c r="IYA67" s="349"/>
      <c r="IYB67" s="349"/>
      <c r="IYC67" s="349"/>
      <c r="IYD67" s="349"/>
      <c r="IYE67" s="349"/>
      <c r="IYF67" s="349"/>
      <c r="IYG67" s="349"/>
      <c r="IYH67" s="349"/>
      <c r="IYI67" s="349"/>
      <c r="IYJ67" s="349"/>
      <c r="IYK67" s="349"/>
      <c r="IYL67" s="349"/>
      <c r="IYM67" s="349"/>
      <c r="IYN67" s="349"/>
      <c r="IYO67" s="349"/>
      <c r="IYP67" s="349"/>
      <c r="IYQ67" s="349"/>
      <c r="IYR67" s="349"/>
      <c r="IYS67" s="349"/>
      <c r="IYT67" s="349"/>
      <c r="IYU67" s="349"/>
      <c r="IYV67" s="349"/>
      <c r="IYW67" s="349"/>
      <c r="IYX67" s="349"/>
      <c r="IYY67" s="349"/>
      <c r="IYZ67" s="349"/>
      <c r="IZA67" s="349"/>
      <c r="IZB67" s="349"/>
      <c r="IZC67" s="349"/>
      <c r="IZD67" s="349"/>
      <c r="IZE67" s="349"/>
      <c r="IZF67" s="349"/>
      <c r="IZG67" s="349"/>
      <c r="IZH67" s="349"/>
      <c r="IZI67" s="349"/>
      <c r="IZJ67" s="349"/>
      <c r="IZK67" s="349"/>
      <c r="IZL67" s="349"/>
      <c r="IZM67" s="349"/>
      <c r="IZN67" s="349"/>
      <c r="IZO67" s="349"/>
      <c r="IZP67" s="349"/>
      <c r="IZQ67" s="349"/>
      <c r="IZR67" s="349"/>
      <c r="IZS67" s="349"/>
      <c r="IZT67" s="349"/>
      <c r="IZU67" s="349"/>
      <c r="IZV67" s="349"/>
      <c r="IZW67" s="349"/>
      <c r="IZX67" s="349"/>
      <c r="IZY67" s="349"/>
      <c r="IZZ67" s="349"/>
      <c r="JAA67" s="349"/>
      <c r="JAB67" s="349"/>
      <c r="JAC67" s="349"/>
      <c r="JAD67" s="349"/>
      <c r="JAE67" s="349"/>
      <c r="JAF67" s="349"/>
      <c r="JAG67" s="349"/>
      <c r="JAH67" s="349"/>
      <c r="JAI67" s="349"/>
      <c r="JAJ67" s="349"/>
      <c r="JAK67" s="349"/>
      <c r="JAL67" s="349"/>
      <c r="JAM67" s="349"/>
      <c r="JAN67" s="349"/>
      <c r="JAO67" s="349"/>
      <c r="JAP67" s="349"/>
      <c r="JAQ67" s="349"/>
      <c r="JAR67" s="349"/>
      <c r="JAS67" s="349"/>
      <c r="JAT67" s="349"/>
      <c r="JAU67" s="349"/>
      <c r="JAV67" s="349"/>
      <c r="JAW67" s="349"/>
      <c r="JAX67" s="349"/>
      <c r="JAY67" s="349"/>
      <c r="JAZ67" s="349"/>
      <c r="JBA67" s="349"/>
      <c r="JBB67" s="349"/>
      <c r="JBC67" s="349"/>
      <c r="JBD67" s="349"/>
      <c r="JBE67" s="349"/>
      <c r="JBF67" s="349"/>
      <c r="JBG67" s="349"/>
      <c r="JBH67" s="349"/>
      <c r="JBI67" s="349"/>
      <c r="JBJ67" s="349"/>
      <c r="JBK67" s="349"/>
      <c r="JBL67" s="349"/>
      <c r="JBM67" s="349"/>
      <c r="JBN67" s="349"/>
      <c r="JBO67" s="349"/>
      <c r="JBP67" s="349"/>
      <c r="JBQ67" s="349"/>
      <c r="JBR67" s="349"/>
      <c r="JBS67" s="349"/>
      <c r="JBT67" s="349"/>
      <c r="JBU67" s="349"/>
      <c r="JBV67" s="349"/>
      <c r="JBW67" s="349"/>
      <c r="JBX67" s="349"/>
      <c r="JBY67" s="349"/>
      <c r="JBZ67" s="349"/>
      <c r="JCA67" s="349"/>
      <c r="JCB67" s="349"/>
      <c r="JCC67" s="349"/>
      <c r="JCD67" s="349"/>
      <c r="JCE67" s="349"/>
      <c r="JCF67" s="349"/>
      <c r="JCG67" s="349"/>
      <c r="JCH67" s="349"/>
      <c r="JCI67" s="349"/>
      <c r="JCJ67" s="349"/>
      <c r="JCK67" s="349"/>
      <c r="JCL67" s="349"/>
      <c r="JCM67" s="349"/>
      <c r="JCN67" s="349"/>
      <c r="JCO67" s="349"/>
      <c r="JCP67" s="349"/>
      <c r="JCQ67" s="349"/>
      <c r="JCR67" s="349"/>
      <c r="JCS67" s="349"/>
      <c r="JCT67" s="349"/>
      <c r="JCU67" s="349"/>
      <c r="JCV67" s="349"/>
      <c r="JCW67" s="349"/>
      <c r="JCX67" s="349"/>
      <c r="JCY67" s="349"/>
      <c r="JCZ67" s="349"/>
      <c r="JDA67" s="349"/>
      <c r="JDB67" s="349"/>
      <c r="JDC67" s="349"/>
      <c r="JDD67" s="349"/>
      <c r="JDE67" s="349"/>
      <c r="JDF67" s="349"/>
      <c r="JDG67" s="349"/>
      <c r="JDH67" s="349"/>
      <c r="JDI67" s="349"/>
      <c r="JDJ67" s="349"/>
      <c r="JDK67" s="349"/>
      <c r="JDL67" s="349"/>
      <c r="JDM67" s="349"/>
      <c r="JDN67" s="349"/>
      <c r="JDO67" s="349"/>
      <c r="JDP67" s="349"/>
      <c r="JDQ67" s="349"/>
      <c r="JDR67" s="349"/>
      <c r="JDS67" s="349"/>
      <c r="JDT67" s="349"/>
      <c r="JDU67" s="349"/>
      <c r="JDV67" s="349"/>
      <c r="JDW67" s="349"/>
      <c r="JDX67" s="349"/>
      <c r="JDY67" s="349"/>
      <c r="JDZ67" s="349"/>
      <c r="JEA67" s="349"/>
      <c r="JEB67" s="349"/>
      <c r="JEC67" s="349"/>
      <c r="JED67" s="349"/>
      <c r="JEE67" s="349"/>
      <c r="JEF67" s="349"/>
      <c r="JEG67" s="349"/>
      <c r="JEH67" s="349"/>
      <c r="JEI67" s="349"/>
      <c r="JEJ67" s="349"/>
      <c r="JEK67" s="349"/>
      <c r="JEL67" s="349"/>
      <c r="JEM67" s="349"/>
      <c r="JEN67" s="349"/>
      <c r="JEO67" s="349"/>
      <c r="JEP67" s="349"/>
      <c r="JEQ67" s="349"/>
      <c r="JER67" s="349"/>
      <c r="JES67" s="349"/>
      <c r="JET67" s="349"/>
      <c r="JEU67" s="349"/>
      <c r="JEV67" s="349"/>
      <c r="JEW67" s="349"/>
      <c r="JEX67" s="349"/>
      <c r="JEY67" s="349"/>
      <c r="JEZ67" s="349"/>
      <c r="JFA67" s="349"/>
      <c r="JFB67" s="349"/>
      <c r="JFC67" s="349"/>
      <c r="JFD67" s="349"/>
      <c r="JFE67" s="349"/>
      <c r="JFF67" s="349"/>
      <c r="JFG67" s="349"/>
      <c r="JFH67" s="349"/>
      <c r="JFI67" s="349"/>
      <c r="JFJ67" s="349"/>
      <c r="JFK67" s="349"/>
      <c r="JFL67" s="349"/>
      <c r="JFM67" s="349"/>
      <c r="JFN67" s="349"/>
      <c r="JFO67" s="349"/>
      <c r="JFP67" s="349"/>
      <c r="JFQ67" s="349"/>
      <c r="JFR67" s="349"/>
      <c r="JFS67" s="349"/>
      <c r="JFT67" s="349"/>
      <c r="JFU67" s="349"/>
      <c r="JFV67" s="349"/>
      <c r="JFW67" s="349"/>
      <c r="JFX67" s="349"/>
      <c r="JFY67" s="349"/>
      <c r="JFZ67" s="349"/>
      <c r="JGA67" s="349"/>
      <c r="JGB67" s="349"/>
      <c r="JGC67" s="349"/>
      <c r="JGD67" s="349"/>
      <c r="JGE67" s="349"/>
      <c r="JGF67" s="349"/>
      <c r="JGG67" s="349"/>
      <c r="JGH67" s="349"/>
      <c r="JGI67" s="349"/>
      <c r="JGJ67" s="349"/>
      <c r="JGK67" s="349"/>
      <c r="JGL67" s="349"/>
      <c r="JGM67" s="349"/>
      <c r="JGN67" s="349"/>
      <c r="JGO67" s="349"/>
      <c r="JGP67" s="349"/>
      <c r="JGQ67" s="349"/>
      <c r="JGR67" s="349"/>
      <c r="JGS67" s="349"/>
      <c r="JGT67" s="349"/>
      <c r="JGU67" s="349"/>
      <c r="JGV67" s="349"/>
      <c r="JGW67" s="349"/>
      <c r="JGX67" s="349"/>
      <c r="JGY67" s="349"/>
      <c r="JGZ67" s="349"/>
      <c r="JHA67" s="349"/>
      <c r="JHB67" s="349"/>
      <c r="JHC67" s="349"/>
      <c r="JHD67" s="349"/>
      <c r="JHE67" s="349"/>
      <c r="JHF67" s="349"/>
      <c r="JHG67" s="349"/>
      <c r="JHH67" s="349"/>
      <c r="JHI67" s="349"/>
      <c r="JHJ67" s="349"/>
      <c r="JHK67" s="349"/>
      <c r="JHL67" s="349"/>
      <c r="JHM67" s="349"/>
      <c r="JHN67" s="349"/>
      <c r="JHO67" s="349"/>
      <c r="JHP67" s="349"/>
      <c r="JHQ67" s="349"/>
      <c r="JHR67" s="349"/>
      <c r="JHS67" s="349"/>
      <c r="JHT67" s="349"/>
      <c r="JHU67" s="349"/>
      <c r="JHV67" s="349"/>
      <c r="JHW67" s="349"/>
      <c r="JHX67" s="349"/>
      <c r="JHY67" s="349"/>
      <c r="JHZ67" s="349"/>
      <c r="JIA67" s="349"/>
      <c r="JIB67" s="349"/>
      <c r="JIC67" s="349"/>
      <c r="JID67" s="349"/>
      <c r="JIE67" s="349"/>
      <c r="JIF67" s="349"/>
      <c r="JIG67" s="349"/>
      <c r="JIH67" s="349"/>
      <c r="JII67" s="349"/>
      <c r="JIJ67" s="349"/>
      <c r="JIK67" s="349"/>
      <c r="JIL67" s="349"/>
      <c r="JIM67" s="349"/>
      <c r="JIN67" s="349"/>
      <c r="JIO67" s="349"/>
      <c r="JIP67" s="349"/>
      <c r="JIQ67" s="349"/>
      <c r="JIR67" s="349"/>
      <c r="JIS67" s="349"/>
      <c r="JIT67" s="349"/>
      <c r="JIU67" s="349"/>
      <c r="JIV67" s="349"/>
      <c r="JIW67" s="349"/>
      <c r="JIX67" s="349"/>
      <c r="JIY67" s="349"/>
      <c r="JIZ67" s="349"/>
      <c r="JJA67" s="349"/>
      <c r="JJB67" s="349"/>
      <c r="JJC67" s="349"/>
      <c r="JJD67" s="349"/>
      <c r="JJE67" s="349"/>
      <c r="JJF67" s="349"/>
      <c r="JJG67" s="349"/>
      <c r="JJH67" s="349"/>
      <c r="JJI67" s="349"/>
      <c r="JJJ67" s="349"/>
      <c r="JJK67" s="349"/>
      <c r="JJL67" s="349"/>
      <c r="JJM67" s="349"/>
      <c r="JJN67" s="349"/>
      <c r="JJO67" s="349"/>
      <c r="JJP67" s="349"/>
      <c r="JJQ67" s="349"/>
      <c r="JJR67" s="349"/>
      <c r="JJS67" s="349"/>
      <c r="JJT67" s="349"/>
      <c r="JJU67" s="349"/>
      <c r="JJV67" s="349"/>
      <c r="JJW67" s="349"/>
      <c r="JJX67" s="349"/>
      <c r="JJY67" s="349"/>
      <c r="JJZ67" s="349"/>
      <c r="JKA67" s="349"/>
      <c r="JKB67" s="349"/>
      <c r="JKC67" s="349"/>
      <c r="JKD67" s="349"/>
      <c r="JKE67" s="349"/>
      <c r="JKF67" s="349"/>
      <c r="JKG67" s="349"/>
      <c r="JKH67" s="349"/>
      <c r="JKI67" s="349"/>
      <c r="JKJ67" s="349"/>
      <c r="JKK67" s="349"/>
      <c r="JKL67" s="349"/>
      <c r="JKM67" s="349"/>
      <c r="JKN67" s="349"/>
      <c r="JKO67" s="349"/>
      <c r="JKP67" s="349"/>
      <c r="JKQ67" s="349"/>
      <c r="JKR67" s="349"/>
      <c r="JKS67" s="349"/>
      <c r="JKT67" s="349"/>
      <c r="JKU67" s="349"/>
      <c r="JKV67" s="349"/>
      <c r="JKW67" s="349"/>
      <c r="JKX67" s="349"/>
      <c r="JKY67" s="349"/>
      <c r="JKZ67" s="349"/>
      <c r="JLA67" s="349"/>
      <c r="JLB67" s="349"/>
      <c r="JLC67" s="349"/>
      <c r="JLD67" s="349"/>
      <c r="JLE67" s="349"/>
      <c r="JLF67" s="349"/>
      <c r="JLG67" s="349"/>
      <c r="JLH67" s="349"/>
      <c r="JLI67" s="349"/>
      <c r="JLJ67" s="349"/>
      <c r="JLK67" s="349"/>
      <c r="JLL67" s="349"/>
      <c r="JLM67" s="349"/>
      <c r="JLN67" s="349"/>
      <c r="JLO67" s="349"/>
      <c r="JLP67" s="349"/>
      <c r="JLQ67" s="349"/>
      <c r="JLR67" s="349"/>
      <c r="JLS67" s="349"/>
      <c r="JLT67" s="349"/>
      <c r="JLU67" s="349"/>
      <c r="JLV67" s="349"/>
      <c r="JLW67" s="349"/>
      <c r="JLX67" s="349"/>
      <c r="JLY67" s="349"/>
      <c r="JLZ67" s="349"/>
      <c r="JMA67" s="349"/>
      <c r="JMB67" s="349"/>
      <c r="JMC67" s="349"/>
      <c r="JMD67" s="349"/>
      <c r="JME67" s="349"/>
      <c r="JMF67" s="349"/>
      <c r="JMG67" s="349"/>
      <c r="JMH67" s="349"/>
      <c r="JMI67" s="349"/>
      <c r="JMJ67" s="349"/>
      <c r="JMK67" s="349"/>
      <c r="JML67" s="349"/>
      <c r="JMM67" s="349"/>
      <c r="JMN67" s="349"/>
      <c r="JMO67" s="349"/>
      <c r="JMP67" s="349"/>
      <c r="JMQ67" s="349"/>
      <c r="JMR67" s="349"/>
      <c r="JMS67" s="349"/>
      <c r="JMT67" s="349"/>
      <c r="JMU67" s="349"/>
      <c r="JMV67" s="349"/>
      <c r="JMW67" s="349"/>
      <c r="JMX67" s="349"/>
      <c r="JMY67" s="349"/>
      <c r="JMZ67" s="349"/>
      <c r="JNA67" s="349"/>
      <c r="JNB67" s="349"/>
      <c r="JNC67" s="349"/>
      <c r="JND67" s="349"/>
      <c r="JNE67" s="349"/>
      <c r="JNF67" s="349"/>
      <c r="JNG67" s="349"/>
      <c r="JNH67" s="349"/>
      <c r="JNI67" s="349"/>
      <c r="JNJ67" s="349"/>
      <c r="JNK67" s="349"/>
      <c r="JNL67" s="349"/>
      <c r="JNM67" s="349"/>
      <c r="JNN67" s="349"/>
      <c r="JNO67" s="349"/>
      <c r="JNP67" s="349"/>
      <c r="JNQ67" s="349"/>
      <c r="JNR67" s="349"/>
      <c r="JNS67" s="349"/>
      <c r="JNT67" s="349"/>
      <c r="JNU67" s="349"/>
      <c r="JNV67" s="349"/>
      <c r="JNW67" s="349"/>
      <c r="JNX67" s="349"/>
      <c r="JNY67" s="349"/>
      <c r="JNZ67" s="349"/>
      <c r="JOA67" s="349"/>
      <c r="JOB67" s="349"/>
      <c r="JOC67" s="349"/>
      <c r="JOD67" s="349"/>
      <c r="JOE67" s="349"/>
      <c r="JOF67" s="349"/>
      <c r="JOG67" s="349"/>
      <c r="JOH67" s="349"/>
      <c r="JOI67" s="349"/>
      <c r="JOJ67" s="349"/>
      <c r="JOK67" s="349"/>
      <c r="JOL67" s="349"/>
      <c r="JOM67" s="349"/>
      <c r="JON67" s="349"/>
      <c r="JOO67" s="349"/>
      <c r="JOP67" s="349"/>
      <c r="JOQ67" s="349"/>
      <c r="JOR67" s="349"/>
      <c r="JOS67" s="349"/>
      <c r="JOT67" s="349"/>
      <c r="JOU67" s="349"/>
      <c r="JOV67" s="349"/>
      <c r="JOW67" s="349"/>
      <c r="JOX67" s="349"/>
      <c r="JOY67" s="349"/>
      <c r="JOZ67" s="349"/>
      <c r="JPA67" s="349"/>
      <c r="JPB67" s="349"/>
      <c r="JPC67" s="349"/>
      <c r="JPD67" s="349"/>
      <c r="JPE67" s="349"/>
      <c r="JPF67" s="349"/>
      <c r="JPG67" s="349"/>
      <c r="JPH67" s="349"/>
      <c r="JPI67" s="349"/>
      <c r="JPJ67" s="349"/>
      <c r="JPK67" s="349"/>
      <c r="JPL67" s="349"/>
      <c r="JPM67" s="349"/>
      <c r="JPN67" s="349"/>
      <c r="JPO67" s="349"/>
      <c r="JPP67" s="349"/>
      <c r="JPQ67" s="349"/>
      <c r="JPR67" s="349"/>
      <c r="JPS67" s="349"/>
      <c r="JPT67" s="349"/>
      <c r="JPU67" s="349"/>
      <c r="JPV67" s="349"/>
      <c r="JPW67" s="349"/>
      <c r="JPX67" s="349"/>
      <c r="JPY67" s="349"/>
      <c r="JPZ67" s="349"/>
      <c r="JQA67" s="349"/>
      <c r="JQB67" s="349"/>
      <c r="JQC67" s="349"/>
      <c r="JQD67" s="349"/>
      <c r="JQE67" s="349"/>
      <c r="JQF67" s="349"/>
      <c r="JQG67" s="349"/>
      <c r="JQH67" s="349"/>
      <c r="JQI67" s="349"/>
      <c r="JQJ67" s="349"/>
      <c r="JQK67" s="349"/>
      <c r="JQL67" s="349"/>
      <c r="JQM67" s="349"/>
      <c r="JQN67" s="349"/>
      <c r="JQO67" s="349"/>
      <c r="JQP67" s="349"/>
      <c r="JQQ67" s="349"/>
      <c r="JQR67" s="349"/>
      <c r="JQS67" s="349"/>
      <c r="JQT67" s="349"/>
      <c r="JQU67" s="349"/>
      <c r="JQV67" s="349"/>
      <c r="JQW67" s="349"/>
      <c r="JQX67" s="349"/>
      <c r="JQY67" s="349"/>
      <c r="JQZ67" s="349"/>
      <c r="JRA67" s="349"/>
      <c r="JRB67" s="349"/>
      <c r="JRC67" s="349"/>
      <c r="JRD67" s="349"/>
      <c r="JRE67" s="349"/>
      <c r="JRF67" s="349"/>
      <c r="JRG67" s="349"/>
      <c r="JRH67" s="349"/>
      <c r="JRI67" s="349"/>
      <c r="JRJ67" s="349"/>
      <c r="JRK67" s="349"/>
      <c r="JRL67" s="349"/>
      <c r="JRM67" s="349"/>
      <c r="JRN67" s="349"/>
      <c r="JRO67" s="349"/>
      <c r="JRP67" s="349"/>
      <c r="JRQ67" s="349"/>
      <c r="JRR67" s="349"/>
      <c r="JRS67" s="349"/>
      <c r="JRT67" s="349"/>
      <c r="JRU67" s="349"/>
      <c r="JRV67" s="349"/>
      <c r="JRW67" s="349"/>
      <c r="JRX67" s="349"/>
      <c r="JRY67" s="349"/>
      <c r="JRZ67" s="349"/>
      <c r="JSA67" s="349"/>
      <c r="JSB67" s="349"/>
      <c r="JSC67" s="349"/>
      <c r="JSD67" s="349"/>
      <c r="JSE67" s="349"/>
      <c r="JSF67" s="349"/>
      <c r="JSG67" s="349"/>
      <c r="JSH67" s="349"/>
      <c r="JSI67" s="349"/>
      <c r="JSJ67" s="349"/>
      <c r="JSK67" s="349"/>
      <c r="JSL67" s="349"/>
      <c r="JSM67" s="349"/>
      <c r="JSN67" s="349"/>
      <c r="JSO67" s="349"/>
      <c r="JSP67" s="349"/>
      <c r="JSQ67" s="349"/>
      <c r="JSR67" s="349"/>
      <c r="JSS67" s="349"/>
      <c r="JST67" s="349"/>
      <c r="JSU67" s="349"/>
      <c r="JSV67" s="349"/>
      <c r="JSW67" s="349"/>
      <c r="JSX67" s="349"/>
      <c r="JSY67" s="349"/>
      <c r="JSZ67" s="349"/>
      <c r="JTA67" s="349"/>
      <c r="JTB67" s="349"/>
      <c r="JTC67" s="349"/>
      <c r="JTD67" s="349"/>
      <c r="JTE67" s="349"/>
      <c r="JTF67" s="349"/>
      <c r="JTG67" s="349"/>
      <c r="JTH67" s="349"/>
      <c r="JTI67" s="349"/>
      <c r="JTJ67" s="349"/>
      <c r="JTK67" s="349"/>
      <c r="JTL67" s="349"/>
      <c r="JTM67" s="349"/>
      <c r="JTN67" s="349"/>
      <c r="JTO67" s="349"/>
      <c r="JTP67" s="349"/>
      <c r="JTQ67" s="349"/>
      <c r="JTR67" s="349"/>
      <c r="JTS67" s="349"/>
      <c r="JTT67" s="349"/>
      <c r="JTU67" s="349"/>
      <c r="JTV67" s="349"/>
      <c r="JTW67" s="349"/>
      <c r="JTX67" s="349"/>
      <c r="JTY67" s="349"/>
      <c r="JTZ67" s="349"/>
      <c r="JUA67" s="349"/>
      <c r="JUB67" s="349"/>
      <c r="JUC67" s="349"/>
      <c r="JUD67" s="349"/>
      <c r="JUE67" s="349"/>
      <c r="JUF67" s="349"/>
      <c r="JUG67" s="349"/>
      <c r="JUH67" s="349"/>
      <c r="JUI67" s="349"/>
      <c r="JUJ67" s="349"/>
      <c r="JUK67" s="349"/>
      <c r="JUL67" s="349"/>
      <c r="JUM67" s="349"/>
      <c r="JUN67" s="349"/>
      <c r="JUO67" s="349"/>
      <c r="JUP67" s="349"/>
      <c r="JUQ67" s="349"/>
      <c r="JUR67" s="349"/>
      <c r="JUS67" s="349"/>
      <c r="JUT67" s="349"/>
      <c r="JUU67" s="349"/>
      <c r="JUV67" s="349"/>
      <c r="JUW67" s="349"/>
      <c r="JUX67" s="349"/>
      <c r="JUY67" s="349"/>
      <c r="JUZ67" s="349"/>
      <c r="JVA67" s="349"/>
      <c r="JVB67" s="349"/>
      <c r="JVC67" s="349"/>
      <c r="JVD67" s="349"/>
      <c r="JVE67" s="349"/>
      <c r="JVF67" s="349"/>
      <c r="JVG67" s="349"/>
      <c r="JVH67" s="349"/>
      <c r="JVI67" s="349"/>
      <c r="JVJ67" s="349"/>
      <c r="JVK67" s="349"/>
      <c r="JVL67" s="349"/>
      <c r="JVM67" s="349"/>
      <c r="JVN67" s="349"/>
      <c r="JVO67" s="349"/>
      <c r="JVP67" s="349"/>
      <c r="JVQ67" s="349"/>
      <c r="JVR67" s="349"/>
      <c r="JVS67" s="349"/>
      <c r="JVT67" s="349"/>
      <c r="JVU67" s="349"/>
      <c r="JVV67" s="349"/>
      <c r="JVW67" s="349"/>
      <c r="JVX67" s="349"/>
      <c r="JVY67" s="349"/>
      <c r="JVZ67" s="349"/>
      <c r="JWA67" s="349"/>
      <c r="JWB67" s="349"/>
      <c r="JWC67" s="349"/>
      <c r="JWD67" s="349"/>
      <c r="JWE67" s="349"/>
      <c r="JWF67" s="349"/>
      <c r="JWG67" s="349"/>
      <c r="JWH67" s="349"/>
      <c r="JWI67" s="349"/>
      <c r="JWJ67" s="349"/>
      <c r="JWK67" s="349"/>
      <c r="JWL67" s="349"/>
      <c r="JWM67" s="349"/>
      <c r="JWN67" s="349"/>
      <c r="JWO67" s="349"/>
      <c r="JWP67" s="349"/>
      <c r="JWQ67" s="349"/>
      <c r="JWR67" s="349"/>
      <c r="JWS67" s="349"/>
      <c r="JWT67" s="349"/>
      <c r="JWU67" s="349"/>
      <c r="JWV67" s="349"/>
      <c r="JWW67" s="349"/>
      <c r="JWX67" s="349"/>
      <c r="JWY67" s="349"/>
      <c r="JWZ67" s="349"/>
      <c r="JXA67" s="349"/>
      <c r="JXB67" s="349"/>
      <c r="JXC67" s="349"/>
      <c r="JXD67" s="349"/>
      <c r="JXE67" s="349"/>
      <c r="JXF67" s="349"/>
      <c r="JXG67" s="349"/>
      <c r="JXH67" s="349"/>
      <c r="JXI67" s="349"/>
      <c r="JXJ67" s="349"/>
      <c r="JXK67" s="349"/>
      <c r="JXL67" s="349"/>
      <c r="JXM67" s="349"/>
      <c r="JXN67" s="349"/>
      <c r="JXO67" s="349"/>
      <c r="JXP67" s="349"/>
      <c r="JXQ67" s="349"/>
      <c r="JXR67" s="349"/>
      <c r="JXS67" s="349"/>
      <c r="JXT67" s="349"/>
      <c r="JXU67" s="349"/>
      <c r="JXV67" s="349"/>
      <c r="JXW67" s="349"/>
      <c r="JXX67" s="349"/>
      <c r="JXY67" s="349"/>
      <c r="JXZ67" s="349"/>
      <c r="JYA67" s="349"/>
      <c r="JYB67" s="349"/>
      <c r="JYC67" s="349"/>
      <c r="JYD67" s="349"/>
      <c r="JYE67" s="349"/>
      <c r="JYF67" s="349"/>
      <c r="JYG67" s="349"/>
      <c r="JYH67" s="349"/>
      <c r="JYI67" s="349"/>
      <c r="JYJ67" s="349"/>
      <c r="JYK67" s="349"/>
      <c r="JYL67" s="349"/>
      <c r="JYM67" s="349"/>
      <c r="JYN67" s="349"/>
      <c r="JYO67" s="349"/>
      <c r="JYP67" s="349"/>
      <c r="JYQ67" s="349"/>
      <c r="JYR67" s="349"/>
      <c r="JYS67" s="349"/>
      <c r="JYT67" s="349"/>
      <c r="JYU67" s="349"/>
      <c r="JYV67" s="349"/>
      <c r="JYW67" s="349"/>
      <c r="JYX67" s="349"/>
      <c r="JYY67" s="349"/>
      <c r="JYZ67" s="349"/>
      <c r="JZA67" s="349"/>
      <c r="JZB67" s="349"/>
      <c r="JZC67" s="349"/>
      <c r="JZD67" s="349"/>
      <c r="JZE67" s="349"/>
      <c r="JZF67" s="349"/>
      <c r="JZG67" s="349"/>
      <c r="JZH67" s="349"/>
      <c r="JZI67" s="349"/>
      <c r="JZJ67" s="349"/>
      <c r="JZK67" s="349"/>
      <c r="JZL67" s="349"/>
      <c r="JZM67" s="349"/>
      <c r="JZN67" s="349"/>
      <c r="JZO67" s="349"/>
      <c r="JZP67" s="349"/>
      <c r="JZQ67" s="349"/>
      <c r="JZR67" s="349"/>
      <c r="JZS67" s="349"/>
      <c r="JZT67" s="349"/>
      <c r="JZU67" s="349"/>
      <c r="JZV67" s="349"/>
      <c r="JZW67" s="349"/>
      <c r="JZX67" s="349"/>
      <c r="JZY67" s="349"/>
      <c r="JZZ67" s="349"/>
      <c r="KAA67" s="349"/>
      <c r="KAB67" s="349"/>
      <c r="KAC67" s="349"/>
      <c r="KAD67" s="349"/>
      <c r="KAE67" s="349"/>
      <c r="KAF67" s="349"/>
      <c r="KAG67" s="349"/>
      <c r="KAH67" s="349"/>
      <c r="KAI67" s="349"/>
      <c r="KAJ67" s="349"/>
      <c r="KAK67" s="349"/>
      <c r="KAL67" s="349"/>
      <c r="KAM67" s="349"/>
      <c r="KAN67" s="349"/>
      <c r="KAO67" s="349"/>
      <c r="KAP67" s="349"/>
      <c r="KAQ67" s="349"/>
      <c r="KAR67" s="349"/>
      <c r="KAS67" s="349"/>
      <c r="KAT67" s="349"/>
      <c r="KAU67" s="349"/>
      <c r="KAV67" s="349"/>
      <c r="KAW67" s="349"/>
      <c r="KAX67" s="349"/>
      <c r="KAY67" s="349"/>
      <c r="KAZ67" s="349"/>
      <c r="KBA67" s="349"/>
      <c r="KBB67" s="349"/>
      <c r="KBC67" s="349"/>
      <c r="KBD67" s="349"/>
      <c r="KBE67" s="349"/>
      <c r="KBF67" s="349"/>
      <c r="KBG67" s="349"/>
      <c r="KBH67" s="349"/>
      <c r="KBI67" s="349"/>
      <c r="KBJ67" s="349"/>
      <c r="KBK67" s="349"/>
      <c r="KBL67" s="349"/>
      <c r="KBM67" s="349"/>
      <c r="KBN67" s="349"/>
      <c r="KBO67" s="349"/>
      <c r="KBP67" s="349"/>
      <c r="KBQ67" s="349"/>
      <c r="KBR67" s="349"/>
      <c r="KBS67" s="349"/>
      <c r="KBT67" s="349"/>
      <c r="KBU67" s="349"/>
      <c r="KBV67" s="349"/>
      <c r="KBW67" s="349"/>
      <c r="KBX67" s="349"/>
      <c r="KBY67" s="349"/>
      <c r="KBZ67" s="349"/>
      <c r="KCA67" s="349"/>
      <c r="KCB67" s="349"/>
      <c r="KCC67" s="349"/>
      <c r="KCD67" s="349"/>
      <c r="KCE67" s="349"/>
      <c r="KCF67" s="349"/>
      <c r="KCG67" s="349"/>
      <c r="KCH67" s="349"/>
      <c r="KCI67" s="349"/>
      <c r="KCJ67" s="349"/>
      <c r="KCK67" s="349"/>
      <c r="KCL67" s="349"/>
      <c r="KCM67" s="349"/>
      <c r="KCN67" s="349"/>
      <c r="KCO67" s="349"/>
      <c r="KCP67" s="349"/>
      <c r="KCQ67" s="349"/>
      <c r="KCR67" s="349"/>
      <c r="KCS67" s="349"/>
      <c r="KCT67" s="349"/>
      <c r="KCU67" s="349"/>
      <c r="KCV67" s="349"/>
      <c r="KCW67" s="349"/>
      <c r="KCX67" s="349"/>
      <c r="KCY67" s="349"/>
      <c r="KCZ67" s="349"/>
      <c r="KDA67" s="349"/>
      <c r="KDB67" s="349"/>
      <c r="KDC67" s="349"/>
      <c r="KDD67" s="349"/>
      <c r="KDE67" s="349"/>
      <c r="KDF67" s="349"/>
      <c r="KDG67" s="349"/>
      <c r="KDH67" s="349"/>
      <c r="KDI67" s="349"/>
      <c r="KDJ67" s="349"/>
      <c r="KDK67" s="349"/>
      <c r="KDL67" s="349"/>
      <c r="KDM67" s="349"/>
      <c r="KDN67" s="349"/>
      <c r="KDO67" s="349"/>
      <c r="KDP67" s="349"/>
      <c r="KDQ67" s="349"/>
      <c r="KDR67" s="349"/>
      <c r="KDS67" s="349"/>
      <c r="KDT67" s="349"/>
      <c r="KDU67" s="349"/>
      <c r="KDV67" s="349"/>
      <c r="KDW67" s="349"/>
      <c r="KDX67" s="349"/>
      <c r="KDY67" s="349"/>
      <c r="KDZ67" s="349"/>
      <c r="KEA67" s="349"/>
      <c r="KEB67" s="349"/>
      <c r="KEC67" s="349"/>
      <c r="KED67" s="349"/>
      <c r="KEE67" s="349"/>
      <c r="KEF67" s="349"/>
      <c r="KEG67" s="349"/>
      <c r="KEH67" s="349"/>
      <c r="KEI67" s="349"/>
      <c r="KEJ67" s="349"/>
      <c r="KEK67" s="349"/>
      <c r="KEL67" s="349"/>
      <c r="KEM67" s="349"/>
      <c r="KEN67" s="349"/>
      <c r="KEO67" s="349"/>
      <c r="KEP67" s="349"/>
      <c r="KEQ67" s="349"/>
      <c r="KER67" s="349"/>
      <c r="KES67" s="349"/>
      <c r="KET67" s="349"/>
      <c r="KEU67" s="349"/>
      <c r="KEV67" s="349"/>
      <c r="KEW67" s="349"/>
      <c r="KEX67" s="349"/>
      <c r="KEY67" s="349"/>
      <c r="KEZ67" s="349"/>
      <c r="KFA67" s="349"/>
      <c r="KFB67" s="349"/>
      <c r="KFC67" s="349"/>
      <c r="KFD67" s="349"/>
      <c r="KFE67" s="349"/>
      <c r="KFF67" s="349"/>
      <c r="KFG67" s="349"/>
      <c r="KFH67" s="349"/>
      <c r="KFI67" s="349"/>
      <c r="KFJ67" s="349"/>
      <c r="KFK67" s="349"/>
      <c r="KFL67" s="349"/>
      <c r="KFM67" s="349"/>
      <c r="KFN67" s="349"/>
      <c r="KFO67" s="349"/>
      <c r="KFP67" s="349"/>
      <c r="KFQ67" s="349"/>
      <c r="KFR67" s="349"/>
      <c r="KFS67" s="349"/>
      <c r="KFT67" s="349"/>
      <c r="KFU67" s="349"/>
      <c r="KFV67" s="349"/>
      <c r="KFW67" s="349"/>
      <c r="KFX67" s="349"/>
      <c r="KFY67" s="349"/>
      <c r="KFZ67" s="349"/>
      <c r="KGA67" s="349"/>
      <c r="KGB67" s="349"/>
      <c r="KGC67" s="349"/>
      <c r="KGD67" s="349"/>
      <c r="KGE67" s="349"/>
      <c r="KGF67" s="349"/>
      <c r="KGG67" s="349"/>
      <c r="KGH67" s="349"/>
      <c r="KGI67" s="349"/>
      <c r="KGJ67" s="349"/>
      <c r="KGK67" s="349"/>
      <c r="KGL67" s="349"/>
      <c r="KGM67" s="349"/>
      <c r="KGN67" s="349"/>
      <c r="KGO67" s="349"/>
      <c r="KGP67" s="349"/>
      <c r="KGQ67" s="349"/>
      <c r="KGR67" s="349"/>
      <c r="KGS67" s="349"/>
      <c r="KGT67" s="349"/>
      <c r="KGU67" s="349"/>
      <c r="KGV67" s="349"/>
      <c r="KGW67" s="349"/>
      <c r="KGX67" s="349"/>
      <c r="KGY67" s="349"/>
      <c r="KGZ67" s="349"/>
      <c r="KHA67" s="349"/>
      <c r="KHB67" s="349"/>
      <c r="KHC67" s="349"/>
      <c r="KHD67" s="349"/>
      <c r="KHE67" s="349"/>
      <c r="KHF67" s="349"/>
      <c r="KHG67" s="349"/>
      <c r="KHH67" s="349"/>
      <c r="KHI67" s="349"/>
      <c r="KHJ67" s="349"/>
      <c r="KHK67" s="349"/>
      <c r="KHL67" s="349"/>
      <c r="KHM67" s="349"/>
      <c r="KHN67" s="349"/>
      <c r="KHO67" s="349"/>
      <c r="KHP67" s="349"/>
      <c r="KHQ67" s="349"/>
      <c r="KHR67" s="349"/>
      <c r="KHS67" s="349"/>
      <c r="KHT67" s="349"/>
      <c r="KHU67" s="349"/>
      <c r="KHV67" s="349"/>
      <c r="KHW67" s="349"/>
      <c r="KHX67" s="349"/>
      <c r="KHY67" s="349"/>
      <c r="KHZ67" s="349"/>
      <c r="KIA67" s="349"/>
      <c r="KIB67" s="349"/>
      <c r="KIC67" s="349"/>
      <c r="KID67" s="349"/>
      <c r="KIE67" s="349"/>
      <c r="KIF67" s="349"/>
      <c r="KIG67" s="349"/>
      <c r="KIH67" s="349"/>
      <c r="KII67" s="349"/>
      <c r="KIJ67" s="349"/>
      <c r="KIK67" s="349"/>
      <c r="KIL67" s="349"/>
      <c r="KIM67" s="349"/>
      <c r="KIN67" s="349"/>
      <c r="KIO67" s="349"/>
      <c r="KIP67" s="349"/>
      <c r="KIQ67" s="349"/>
      <c r="KIR67" s="349"/>
      <c r="KIS67" s="349"/>
      <c r="KIT67" s="349"/>
      <c r="KIU67" s="349"/>
      <c r="KIV67" s="349"/>
      <c r="KIW67" s="349"/>
      <c r="KIX67" s="349"/>
      <c r="KIY67" s="349"/>
      <c r="KIZ67" s="349"/>
      <c r="KJA67" s="349"/>
      <c r="KJB67" s="349"/>
      <c r="KJC67" s="349"/>
      <c r="KJD67" s="349"/>
      <c r="KJE67" s="349"/>
      <c r="KJF67" s="349"/>
      <c r="KJG67" s="349"/>
      <c r="KJH67" s="349"/>
      <c r="KJI67" s="349"/>
      <c r="KJJ67" s="349"/>
      <c r="KJK67" s="349"/>
      <c r="KJL67" s="349"/>
      <c r="KJM67" s="349"/>
      <c r="KJN67" s="349"/>
      <c r="KJO67" s="349"/>
      <c r="KJP67" s="349"/>
      <c r="KJQ67" s="349"/>
      <c r="KJR67" s="349"/>
      <c r="KJS67" s="349"/>
      <c r="KJT67" s="349"/>
      <c r="KJU67" s="349"/>
      <c r="KJV67" s="349"/>
      <c r="KJW67" s="349"/>
      <c r="KJX67" s="349"/>
      <c r="KJY67" s="349"/>
      <c r="KJZ67" s="349"/>
      <c r="KKA67" s="349"/>
      <c r="KKB67" s="349"/>
      <c r="KKC67" s="349"/>
      <c r="KKD67" s="349"/>
      <c r="KKE67" s="349"/>
      <c r="KKF67" s="349"/>
      <c r="KKG67" s="349"/>
      <c r="KKH67" s="349"/>
      <c r="KKI67" s="349"/>
      <c r="KKJ67" s="349"/>
      <c r="KKK67" s="349"/>
      <c r="KKL67" s="349"/>
      <c r="KKM67" s="349"/>
      <c r="KKN67" s="349"/>
      <c r="KKO67" s="349"/>
      <c r="KKP67" s="349"/>
      <c r="KKQ67" s="349"/>
      <c r="KKR67" s="349"/>
      <c r="KKS67" s="349"/>
      <c r="KKT67" s="349"/>
      <c r="KKU67" s="349"/>
      <c r="KKV67" s="349"/>
      <c r="KKW67" s="349"/>
      <c r="KKX67" s="349"/>
      <c r="KKY67" s="349"/>
      <c r="KKZ67" s="349"/>
      <c r="KLA67" s="349"/>
      <c r="KLB67" s="349"/>
      <c r="KLC67" s="349"/>
      <c r="KLD67" s="349"/>
      <c r="KLE67" s="349"/>
      <c r="KLF67" s="349"/>
      <c r="KLG67" s="349"/>
      <c r="KLH67" s="349"/>
      <c r="KLI67" s="349"/>
      <c r="KLJ67" s="349"/>
      <c r="KLK67" s="349"/>
      <c r="KLL67" s="349"/>
      <c r="KLM67" s="349"/>
      <c r="KLN67" s="349"/>
      <c r="KLO67" s="349"/>
      <c r="KLP67" s="349"/>
      <c r="KLQ67" s="349"/>
      <c r="KLR67" s="349"/>
      <c r="KLS67" s="349"/>
      <c r="KLT67" s="349"/>
      <c r="KLU67" s="349"/>
      <c r="KLV67" s="349"/>
      <c r="KLW67" s="349"/>
      <c r="KLX67" s="349"/>
      <c r="KLY67" s="349"/>
      <c r="KLZ67" s="349"/>
      <c r="KMA67" s="349"/>
      <c r="KMB67" s="349"/>
      <c r="KMC67" s="349"/>
      <c r="KMD67" s="349"/>
      <c r="KME67" s="349"/>
      <c r="KMF67" s="349"/>
      <c r="KMG67" s="349"/>
      <c r="KMH67" s="349"/>
      <c r="KMI67" s="349"/>
      <c r="KMJ67" s="349"/>
      <c r="KMK67" s="349"/>
      <c r="KML67" s="349"/>
      <c r="KMM67" s="349"/>
      <c r="KMN67" s="349"/>
      <c r="KMO67" s="349"/>
      <c r="KMP67" s="349"/>
      <c r="KMQ67" s="349"/>
      <c r="KMR67" s="349"/>
      <c r="KMS67" s="349"/>
      <c r="KMT67" s="349"/>
      <c r="KMU67" s="349"/>
      <c r="KMV67" s="349"/>
      <c r="KMW67" s="349"/>
      <c r="KMX67" s="349"/>
      <c r="KMY67" s="349"/>
      <c r="KMZ67" s="349"/>
      <c r="KNA67" s="349"/>
      <c r="KNB67" s="349"/>
      <c r="KNC67" s="349"/>
      <c r="KND67" s="349"/>
      <c r="KNE67" s="349"/>
      <c r="KNF67" s="349"/>
      <c r="KNG67" s="349"/>
      <c r="KNH67" s="349"/>
      <c r="KNI67" s="349"/>
      <c r="KNJ67" s="349"/>
      <c r="KNK67" s="349"/>
      <c r="KNL67" s="349"/>
      <c r="KNM67" s="349"/>
      <c r="KNN67" s="349"/>
      <c r="KNO67" s="349"/>
      <c r="KNP67" s="349"/>
      <c r="KNQ67" s="349"/>
      <c r="KNR67" s="349"/>
      <c r="KNS67" s="349"/>
      <c r="KNT67" s="349"/>
      <c r="KNU67" s="349"/>
      <c r="KNV67" s="349"/>
      <c r="KNW67" s="349"/>
      <c r="KNX67" s="349"/>
      <c r="KNY67" s="349"/>
      <c r="KNZ67" s="349"/>
      <c r="KOA67" s="349"/>
      <c r="KOB67" s="349"/>
      <c r="KOC67" s="349"/>
      <c r="KOD67" s="349"/>
      <c r="KOE67" s="349"/>
      <c r="KOF67" s="349"/>
      <c r="KOG67" s="349"/>
      <c r="KOH67" s="349"/>
      <c r="KOI67" s="349"/>
      <c r="KOJ67" s="349"/>
      <c r="KOK67" s="349"/>
      <c r="KOL67" s="349"/>
      <c r="KOM67" s="349"/>
      <c r="KON67" s="349"/>
      <c r="KOO67" s="349"/>
      <c r="KOP67" s="349"/>
      <c r="KOQ67" s="349"/>
      <c r="KOR67" s="349"/>
      <c r="KOS67" s="349"/>
      <c r="KOT67" s="349"/>
      <c r="KOU67" s="349"/>
      <c r="KOV67" s="349"/>
      <c r="KOW67" s="349"/>
      <c r="KOX67" s="349"/>
      <c r="KOY67" s="349"/>
      <c r="KOZ67" s="349"/>
      <c r="KPA67" s="349"/>
      <c r="KPB67" s="349"/>
      <c r="KPC67" s="349"/>
      <c r="KPD67" s="349"/>
      <c r="KPE67" s="349"/>
      <c r="KPF67" s="349"/>
      <c r="KPG67" s="349"/>
      <c r="KPH67" s="349"/>
      <c r="KPI67" s="349"/>
      <c r="KPJ67" s="349"/>
      <c r="KPK67" s="349"/>
      <c r="KPL67" s="349"/>
      <c r="KPM67" s="349"/>
      <c r="KPN67" s="349"/>
      <c r="KPO67" s="349"/>
      <c r="KPP67" s="349"/>
      <c r="KPQ67" s="349"/>
      <c r="KPR67" s="349"/>
      <c r="KPS67" s="349"/>
      <c r="KPT67" s="349"/>
      <c r="KPU67" s="349"/>
      <c r="KPV67" s="349"/>
      <c r="KPW67" s="349"/>
      <c r="KPX67" s="349"/>
      <c r="KPY67" s="349"/>
      <c r="KPZ67" s="349"/>
      <c r="KQA67" s="349"/>
      <c r="KQB67" s="349"/>
      <c r="KQC67" s="349"/>
      <c r="KQD67" s="349"/>
      <c r="KQE67" s="349"/>
      <c r="KQF67" s="349"/>
      <c r="KQG67" s="349"/>
      <c r="KQH67" s="349"/>
      <c r="KQI67" s="349"/>
      <c r="KQJ67" s="349"/>
      <c r="KQK67" s="349"/>
      <c r="KQL67" s="349"/>
      <c r="KQM67" s="349"/>
      <c r="KQN67" s="349"/>
      <c r="KQO67" s="349"/>
      <c r="KQP67" s="349"/>
      <c r="KQQ67" s="349"/>
      <c r="KQR67" s="349"/>
      <c r="KQS67" s="349"/>
      <c r="KQT67" s="349"/>
      <c r="KQU67" s="349"/>
      <c r="KQV67" s="349"/>
      <c r="KQW67" s="349"/>
      <c r="KQX67" s="349"/>
      <c r="KQY67" s="349"/>
      <c r="KQZ67" s="349"/>
      <c r="KRA67" s="349"/>
      <c r="KRB67" s="349"/>
      <c r="KRC67" s="349"/>
      <c r="KRD67" s="349"/>
      <c r="KRE67" s="349"/>
      <c r="KRF67" s="349"/>
      <c r="KRG67" s="349"/>
      <c r="KRH67" s="349"/>
      <c r="KRI67" s="349"/>
      <c r="KRJ67" s="349"/>
      <c r="KRK67" s="349"/>
      <c r="KRL67" s="349"/>
      <c r="KRM67" s="349"/>
      <c r="KRN67" s="349"/>
      <c r="KRO67" s="349"/>
      <c r="KRP67" s="349"/>
      <c r="KRQ67" s="349"/>
      <c r="KRR67" s="349"/>
      <c r="KRS67" s="349"/>
      <c r="KRT67" s="349"/>
      <c r="KRU67" s="349"/>
      <c r="KRV67" s="349"/>
      <c r="KRW67" s="349"/>
      <c r="KRX67" s="349"/>
      <c r="KRY67" s="349"/>
      <c r="KRZ67" s="349"/>
      <c r="KSA67" s="349"/>
      <c r="KSB67" s="349"/>
      <c r="KSC67" s="349"/>
      <c r="KSD67" s="349"/>
      <c r="KSE67" s="349"/>
      <c r="KSF67" s="349"/>
      <c r="KSG67" s="349"/>
      <c r="KSH67" s="349"/>
      <c r="KSI67" s="349"/>
      <c r="KSJ67" s="349"/>
      <c r="KSK67" s="349"/>
      <c r="KSL67" s="349"/>
      <c r="KSM67" s="349"/>
      <c r="KSN67" s="349"/>
      <c r="KSO67" s="349"/>
      <c r="KSP67" s="349"/>
      <c r="KSQ67" s="349"/>
      <c r="KSR67" s="349"/>
      <c r="KSS67" s="349"/>
      <c r="KST67" s="349"/>
      <c r="KSU67" s="349"/>
      <c r="KSV67" s="349"/>
      <c r="KSW67" s="349"/>
      <c r="KSX67" s="349"/>
      <c r="KSY67" s="349"/>
      <c r="KSZ67" s="349"/>
      <c r="KTA67" s="349"/>
      <c r="KTB67" s="349"/>
      <c r="KTC67" s="349"/>
      <c r="KTD67" s="349"/>
      <c r="KTE67" s="349"/>
      <c r="KTF67" s="349"/>
      <c r="KTG67" s="349"/>
      <c r="KTH67" s="349"/>
      <c r="KTI67" s="349"/>
      <c r="KTJ67" s="349"/>
      <c r="KTK67" s="349"/>
      <c r="KTL67" s="349"/>
      <c r="KTM67" s="349"/>
      <c r="KTN67" s="349"/>
      <c r="KTO67" s="349"/>
      <c r="KTP67" s="349"/>
      <c r="KTQ67" s="349"/>
      <c r="KTR67" s="349"/>
      <c r="KTS67" s="349"/>
      <c r="KTT67" s="349"/>
      <c r="KTU67" s="349"/>
      <c r="KTV67" s="349"/>
      <c r="KTW67" s="349"/>
      <c r="KTX67" s="349"/>
      <c r="KTY67" s="349"/>
      <c r="KTZ67" s="349"/>
      <c r="KUA67" s="349"/>
      <c r="KUB67" s="349"/>
      <c r="KUC67" s="349"/>
      <c r="KUD67" s="349"/>
      <c r="KUE67" s="349"/>
      <c r="KUF67" s="349"/>
      <c r="KUG67" s="349"/>
      <c r="KUH67" s="349"/>
      <c r="KUI67" s="349"/>
      <c r="KUJ67" s="349"/>
      <c r="KUK67" s="349"/>
      <c r="KUL67" s="349"/>
      <c r="KUM67" s="349"/>
      <c r="KUN67" s="349"/>
      <c r="KUO67" s="349"/>
      <c r="KUP67" s="349"/>
      <c r="KUQ67" s="349"/>
      <c r="KUR67" s="349"/>
      <c r="KUS67" s="349"/>
      <c r="KUT67" s="349"/>
      <c r="KUU67" s="349"/>
      <c r="KUV67" s="349"/>
      <c r="KUW67" s="349"/>
      <c r="KUX67" s="349"/>
      <c r="KUY67" s="349"/>
      <c r="KUZ67" s="349"/>
      <c r="KVA67" s="349"/>
      <c r="KVB67" s="349"/>
      <c r="KVC67" s="349"/>
      <c r="KVD67" s="349"/>
      <c r="KVE67" s="349"/>
      <c r="KVF67" s="349"/>
      <c r="KVG67" s="349"/>
      <c r="KVH67" s="349"/>
      <c r="KVI67" s="349"/>
      <c r="KVJ67" s="349"/>
      <c r="KVK67" s="349"/>
      <c r="KVL67" s="349"/>
      <c r="KVM67" s="349"/>
      <c r="KVN67" s="349"/>
      <c r="KVO67" s="349"/>
      <c r="KVP67" s="349"/>
      <c r="KVQ67" s="349"/>
      <c r="KVR67" s="349"/>
      <c r="KVS67" s="349"/>
      <c r="KVT67" s="349"/>
      <c r="KVU67" s="349"/>
      <c r="KVV67" s="349"/>
      <c r="KVW67" s="349"/>
      <c r="KVX67" s="349"/>
      <c r="KVY67" s="349"/>
      <c r="KVZ67" s="349"/>
      <c r="KWA67" s="349"/>
      <c r="KWB67" s="349"/>
      <c r="KWC67" s="349"/>
      <c r="KWD67" s="349"/>
      <c r="KWE67" s="349"/>
      <c r="KWF67" s="349"/>
      <c r="KWG67" s="349"/>
      <c r="KWH67" s="349"/>
      <c r="KWI67" s="349"/>
      <c r="KWJ67" s="349"/>
      <c r="KWK67" s="349"/>
      <c r="KWL67" s="349"/>
      <c r="KWM67" s="349"/>
      <c r="KWN67" s="349"/>
      <c r="KWO67" s="349"/>
      <c r="KWP67" s="349"/>
      <c r="KWQ67" s="349"/>
      <c r="KWR67" s="349"/>
      <c r="KWS67" s="349"/>
      <c r="KWT67" s="349"/>
      <c r="KWU67" s="349"/>
      <c r="KWV67" s="349"/>
      <c r="KWW67" s="349"/>
      <c r="KWX67" s="349"/>
      <c r="KWY67" s="349"/>
      <c r="KWZ67" s="349"/>
      <c r="KXA67" s="349"/>
      <c r="KXB67" s="349"/>
      <c r="KXC67" s="349"/>
      <c r="KXD67" s="349"/>
      <c r="KXE67" s="349"/>
      <c r="KXF67" s="349"/>
      <c r="KXG67" s="349"/>
      <c r="KXH67" s="349"/>
      <c r="KXI67" s="349"/>
      <c r="KXJ67" s="349"/>
      <c r="KXK67" s="349"/>
      <c r="KXL67" s="349"/>
      <c r="KXM67" s="349"/>
      <c r="KXN67" s="349"/>
      <c r="KXO67" s="349"/>
      <c r="KXP67" s="349"/>
      <c r="KXQ67" s="349"/>
      <c r="KXR67" s="349"/>
      <c r="KXS67" s="349"/>
      <c r="KXT67" s="349"/>
      <c r="KXU67" s="349"/>
      <c r="KXV67" s="349"/>
      <c r="KXW67" s="349"/>
      <c r="KXX67" s="349"/>
      <c r="KXY67" s="349"/>
      <c r="KXZ67" s="349"/>
      <c r="KYA67" s="349"/>
      <c r="KYB67" s="349"/>
      <c r="KYC67" s="349"/>
      <c r="KYD67" s="349"/>
      <c r="KYE67" s="349"/>
      <c r="KYF67" s="349"/>
      <c r="KYG67" s="349"/>
      <c r="KYH67" s="349"/>
      <c r="KYI67" s="349"/>
      <c r="KYJ67" s="349"/>
      <c r="KYK67" s="349"/>
      <c r="KYL67" s="349"/>
      <c r="KYM67" s="349"/>
      <c r="KYN67" s="349"/>
      <c r="KYO67" s="349"/>
      <c r="KYP67" s="349"/>
      <c r="KYQ67" s="349"/>
      <c r="KYR67" s="349"/>
      <c r="KYS67" s="349"/>
      <c r="KYT67" s="349"/>
      <c r="KYU67" s="349"/>
      <c r="KYV67" s="349"/>
      <c r="KYW67" s="349"/>
      <c r="KYX67" s="349"/>
      <c r="KYY67" s="349"/>
      <c r="KYZ67" s="349"/>
      <c r="KZA67" s="349"/>
      <c r="KZB67" s="349"/>
      <c r="KZC67" s="349"/>
      <c r="KZD67" s="349"/>
      <c r="KZE67" s="349"/>
      <c r="KZF67" s="349"/>
      <c r="KZG67" s="349"/>
      <c r="KZH67" s="349"/>
      <c r="KZI67" s="349"/>
      <c r="KZJ67" s="349"/>
      <c r="KZK67" s="349"/>
      <c r="KZL67" s="349"/>
      <c r="KZM67" s="349"/>
      <c r="KZN67" s="349"/>
      <c r="KZO67" s="349"/>
      <c r="KZP67" s="349"/>
      <c r="KZQ67" s="349"/>
      <c r="KZR67" s="349"/>
      <c r="KZS67" s="349"/>
      <c r="KZT67" s="349"/>
      <c r="KZU67" s="349"/>
      <c r="KZV67" s="349"/>
      <c r="KZW67" s="349"/>
      <c r="KZX67" s="349"/>
      <c r="KZY67" s="349"/>
      <c r="KZZ67" s="349"/>
      <c r="LAA67" s="349"/>
      <c r="LAB67" s="349"/>
      <c r="LAC67" s="349"/>
      <c r="LAD67" s="349"/>
      <c r="LAE67" s="349"/>
      <c r="LAF67" s="349"/>
      <c r="LAG67" s="349"/>
      <c r="LAH67" s="349"/>
      <c r="LAI67" s="349"/>
      <c r="LAJ67" s="349"/>
      <c r="LAK67" s="349"/>
      <c r="LAL67" s="349"/>
      <c r="LAM67" s="349"/>
      <c r="LAN67" s="349"/>
      <c r="LAO67" s="349"/>
      <c r="LAP67" s="349"/>
      <c r="LAQ67" s="349"/>
      <c r="LAR67" s="349"/>
      <c r="LAS67" s="349"/>
      <c r="LAT67" s="349"/>
      <c r="LAU67" s="349"/>
      <c r="LAV67" s="349"/>
      <c r="LAW67" s="349"/>
      <c r="LAX67" s="349"/>
      <c r="LAY67" s="349"/>
      <c r="LAZ67" s="349"/>
      <c r="LBA67" s="349"/>
      <c r="LBB67" s="349"/>
      <c r="LBC67" s="349"/>
      <c r="LBD67" s="349"/>
      <c r="LBE67" s="349"/>
      <c r="LBF67" s="349"/>
      <c r="LBG67" s="349"/>
      <c r="LBH67" s="349"/>
      <c r="LBI67" s="349"/>
      <c r="LBJ67" s="349"/>
      <c r="LBK67" s="349"/>
      <c r="LBL67" s="349"/>
      <c r="LBM67" s="349"/>
      <c r="LBN67" s="349"/>
      <c r="LBO67" s="349"/>
      <c r="LBP67" s="349"/>
      <c r="LBQ67" s="349"/>
      <c r="LBR67" s="349"/>
      <c r="LBS67" s="349"/>
      <c r="LBT67" s="349"/>
      <c r="LBU67" s="349"/>
      <c r="LBV67" s="349"/>
      <c r="LBW67" s="349"/>
      <c r="LBX67" s="349"/>
      <c r="LBY67" s="349"/>
      <c r="LBZ67" s="349"/>
      <c r="LCA67" s="349"/>
      <c r="LCB67" s="349"/>
      <c r="LCC67" s="349"/>
      <c r="LCD67" s="349"/>
      <c r="LCE67" s="349"/>
      <c r="LCF67" s="349"/>
      <c r="LCG67" s="349"/>
      <c r="LCH67" s="349"/>
      <c r="LCI67" s="349"/>
      <c r="LCJ67" s="349"/>
      <c r="LCK67" s="349"/>
      <c r="LCL67" s="349"/>
      <c r="LCM67" s="349"/>
      <c r="LCN67" s="349"/>
      <c r="LCO67" s="349"/>
      <c r="LCP67" s="349"/>
      <c r="LCQ67" s="349"/>
      <c r="LCR67" s="349"/>
      <c r="LCS67" s="349"/>
      <c r="LCT67" s="349"/>
      <c r="LCU67" s="349"/>
      <c r="LCV67" s="349"/>
      <c r="LCW67" s="349"/>
      <c r="LCX67" s="349"/>
      <c r="LCY67" s="349"/>
      <c r="LCZ67" s="349"/>
      <c r="LDA67" s="349"/>
      <c r="LDB67" s="349"/>
      <c r="LDC67" s="349"/>
      <c r="LDD67" s="349"/>
      <c r="LDE67" s="349"/>
      <c r="LDF67" s="349"/>
      <c r="LDG67" s="349"/>
      <c r="LDH67" s="349"/>
      <c r="LDI67" s="349"/>
      <c r="LDJ67" s="349"/>
      <c r="LDK67" s="349"/>
      <c r="LDL67" s="349"/>
      <c r="LDM67" s="349"/>
      <c r="LDN67" s="349"/>
      <c r="LDO67" s="349"/>
      <c r="LDP67" s="349"/>
      <c r="LDQ67" s="349"/>
      <c r="LDR67" s="349"/>
      <c r="LDS67" s="349"/>
      <c r="LDT67" s="349"/>
      <c r="LDU67" s="349"/>
      <c r="LDV67" s="349"/>
      <c r="LDW67" s="349"/>
      <c r="LDX67" s="349"/>
      <c r="LDY67" s="349"/>
      <c r="LDZ67" s="349"/>
      <c r="LEA67" s="349"/>
      <c r="LEB67" s="349"/>
      <c r="LEC67" s="349"/>
      <c r="LED67" s="349"/>
      <c r="LEE67" s="349"/>
      <c r="LEF67" s="349"/>
      <c r="LEG67" s="349"/>
      <c r="LEH67" s="349"/>
      <c r="LEI67" s="349"/>
      <c r="LEJ67" s="349"/>
      <c r="LEK67" s="349"/>
      <c r="LEL67" s="349"/>
      <c r="LEM67" s="349"/>
      <c r="LEN67" s="349"/>
      <c r="LEO67" s="349"/>
      <c r="LEP67" s="349"/>
      <c r="LEQ67" s="349"/>
      <c r="LER67" s="349"/>
      <c r="LES67" s="349"/>
      <c r="LET67" s="349"/>
      <c r="LEU67" s="349"/>
      <c r="LEV67" s="349"/>
      <c r="LEW67" s="349"/>
      <c r="LEX67" s="349"/>
      <c r="LEY67" s="349"/>
      <c r="LEZ67" s="349"/>
      <c r="LFA67" s="349"/>
      <c r="LFB67" s="349"/>
      <c r="LFC67" s="349"/>
      <c r="LFD67" s="349"/>
      <c r="LFE67" s="349"/>
      <c r="LFF67" s="349"/>
      <c r="LFG67" s="349"/>
      <c r="LFH67" s="349"/>
      <c r="LFI67" s="349"/>
      <c r="LFJ67" s="349"/>
      <c r="LFK67" s="349"/>
      <c r="LFL67" s="349"/>
      <c r="LFM67" s="349"/>
      <c r="LFN67" s="349"/>
      <c r="LFO67" s="349"/>
      <c r="LFP67" s="349"/>
      <c r="LFQ67" s="349"/>
      <c r="LFR67" s="349"/>
      <c r="LFS67" s="349"/>
      <c r="LFT67" s="349"/>
      <c r="LFU67" s="349"/>
      <c r="LFV67" s="349"/>
      <c r="LFW67" s="349"/>
      <c r="LFX67" s="349"/>
      <c r="LFY67" s="349"/>
      <c r="LFZ67" s="349"/>
      <c r="LGA67" s="349"/>
      <c r="LGB67" s="349"/>
      <c r="LGC67" s="349"/>
      <c r="LGD67" s="349"/>
      <c r="LGE67" s="349"/>
      <c r="LGF67" s="349"/>
      <c r="LGG67" s="349"/>
      <c r="LGH67" s="349"/>
      <c r="LGI67" s="349"/>
      <c r="LGJ67" s="349"/>
      <c r="LGK67" s="349"/>
      <c r="LGL67" s="349"/>
      <c r="LGM67" s="349"/>
      <c r="LGN67" s="349"/>
      <c r="LGO67" s="349"/>
      <c r="LGP67" s="349"/>
      <c r="LGQ67" s="349"/>
      <c r="LGR67" s="349"/>
      <c r="LGS67" s="349"/>
      <c r="LGT67" s="349"/>
      <c r="LGU67" s="349"/>
      <c r="LGV67" s="349"/>
      <c r="LGW67" s="349"/>
      <c r="LGX67" s="349"/>
      <c r="LGY67" s="349"/>
      <c r="LGZ67" s="349"/>
      <c r="LHA67" s="349"/>
      <c r="LHB67" s="349"/>
      <c r="LHC67" s="349"/>
      <c r="LHD67" s="349"/>
      <c r="LHE67" s="349"/>
      <c r="LHF67" s="349"/>
      <c r="LHG67" s="349"/>
      <c r="LHH67" s="349"/>
      <c r="LHI67" s="349"/>
      <c r="LHJ67" s="349"/>
      <c r="LHK67" s="349"/>
      <c r="LHL67" s="349"/>
      <c r="LHM67" s="349"/>
      <c r="LHN67" s="349"/>
      <c r="LHO67" s="349"/>
      <c r="LHP67" s="349"/>
      <c r="LHQ67" s="349"/>
      <c r="LHR67" s="349"/>
      <c r="LHS67" s="349"/>
      <c r="LHT67" s="349"/>
      <c r="LHU67" s="349"/>
      <c r="LHV67" s="349"/>
      <c r="LHW67" s="349"/>
      <c r="LHX67" s="349"/>
      <c r="LHY67" s="349"/>
      <c r="LHZ67" s="349"/>
      <c r="LIA67" s="349"/>
      <c r="LIB67" s="349"/>
      <c r="LIC67" s="349"/>
      <c r="LID67" s="349"/>
      <c r="LIE67" s="349"/>
      <c r="LIF67" s="349"/>
      <c r="LIG67" s="349"/>
      <c r="LIH67" s="349"/>
      <c r="LII67" s="349"/>
      <c r="LIJ67" s="349"/>
      <c r="LIK67" s="349"/>
      <c r="LIL67" s="349"/>
      <c r="LIM67" s="349"/>
      <c r="LIN67" s="349"/>
      <c r="LIO67" s="349"/>
      <c r="LIP67" s="349"/>
      <c r="LIQ67" s="349"/>
      <c r="LIR67" s="349"/>
      <c r="LIS67" s="349"/>
      <c r="LIT67" s="349"/>
      <c r="LIU67" s="349"/>
      <c r="LIV67" s="349"/>
      <c r="LIW67" s="349"/>
      <c r="LIX67" s="349"/>
      <c r="LIY67" s="349"/>
      <c r="LIZ67" s="349"/>
      <c r="LJA67" s="349"/>
      <c r="LJB67" s="349"/>
      <c r="LJC67" s="349"/>
      <c r="LJD67" s="349"/>
      <c r="LJE67" s="349"/>
      <c r="LJF67" s="349"/>
      <c r="LJG67" s="349"/>
      <c r="LJH67" s="349"/>
      <c r="LJI67" s="349"/>
      <c r="LJJ67" s="349"/>
      <c r="LJK67" s="349"/>
      <c r="LJL67" s="349"/>
      <c r="LJM67" s="349"/>
      <c r="LJN67" s="349"/>
      <c r="LJO67" s="349"/>
      <c r="LJP67" s="349"/>
      <c r="LJQ67" s="349"/>
      <c r="LJR67" s="349"/>
      <c r="LJS67" s="349"/>
      <c r="LJT67" s="349"/>
      <c r="LJU67" s="349"/>
      <c r="LJV67" s="349"/>
      <c r="LJW67" s="349"/>
      <c r="LJX67" s="349"/>
      <c r="LJY67" s="349"/>
      <c r="LJZ67" s="349"/>
      <c r="LKA67" s="349"/>
      <c r="LKB67" s="349"/>
      <c r="LKC67" s="349"/>
      <c r="LKD67" s="349"/>
      <c r="LKE67" s="349"/>
      <c r="LKF67" s="349"/>
      <c r="LKG67" s="349"/>
      <c r="LKH67" s="349"/>
      <c r="LKI67" s="349"/>
      <c r="LKJ67" s="349"/>
      <c r="LKK67" s="349"/>
      <c r="LKL67" s="349"/>
      <c r="LKM67" s="349"/>
      <c r="LKN67" s="349"/>
      <c r="LKO67" s="349"/>
      <c r="LKP67" s="349"/>
      <c r="LKQ67" s="349"/>
      <c r="LKR67" s="349"/>
      <c r="LKS67" s="349"/>
      <c r="LKT67" s="349"/>
      <c r="LKU67" s="349"/>
      <c r="LKV67" s="349"/>
      <c r="LKW67" s="349"/>
      <c r="LKX67" s="349"/>
      <c r="LKY67" s="349"/>
      <c r="LKZ67" s="349"/>
      <c r="LLA67" s="349"/>
      <c r="LLB67" s="349"/>
      <c r="LLC67" s="349"/>
      <c r="LLD67" s="349"/>
      <c r="LLE67" s="349"/>
      <c r="LLF67" s="349"/>
      <c r="LLG67" s="349"/>
      <c r="LLH67" s="349"/>
      <c r="LLI67" s="349"/>
      <c r="LLJ67" s="349"/>
      <c r="LLK67" s="349"/>
      <c r="LLL67" s="349"/>
      <c r="LLM67" s="349"/>
      <c r="LLN67" s="349"/>
      <c r="LLO67" s="349"/>
      <c r="LLP67" s="349"/>
      <c r="LLQ67" s="349"/>
      <c r="LLR67" s="349"/>
      <c r="LLS67" s="349"/>
      <c r="LLT67" s="349"/>
      <c r="LLU67" s="349"/>
      <c r="LLV67" s="349"/>
      <c r="LLW67" s="349"/>
      <c r="LLX67" s="349"/>
      <c r="LLY67" s="349"/>
      <c r="LLZ67" s="349"/>
      <c r="LMA67" s="349"/>
      <c r="LMB67" s="349"/>
      <c r="LMC67" s="349"/>
      <c r="LMD67" s="349"/>
      <c r="LME67" s="349"/>
      <c r="LMF67" s="349"/>
      <c r="LMG67" s="349"/>
      <c r="LMH67" s="349"/>
      <c r="LMI67" s="349"/>
      <c r="LMJ67" s="349"/>
      <c r="LMK67" s="349"/>
      <c r="LML67" s="349"/>
      <c r="LMM67" s="349"/>
      <c r="LMN67" s="349"/>
      <c r="LMO67" s="349"/>
      <c r="LMP67" s="349"/>
      <c r="LMQ67" s="349"/>
      <c r="LMR67" s="349"/>
      <c r="LMS67" s="349"/>
      <c r="LMT67" s="349"/>
      <c r="LMU67" s="349"/>
      <c r="LMV67" s="349"/>
      <c r="LMW67" s="349"/>
      <c r="LMX67" s="349"/>
      <c r="LMY67" s="349"/>
      <c r="LMZ67" s="349"/>
      <c r="LNA67" s="349"/>
      <c r="LNB67" s="349"/>
      <c r="LNC67" s="349"/>
      <c r="LND67" s="349"/>
      <c r="LNE67" s="349"/>
      <c r="LNF67" s="349"/>
      <c r="LNG67" s="349"/>
      <c r="LNH67" s="349"/>
      <c r="LNI67" s="349"/>
      <c r="LNJ67" s="349"/>
      <c r="LNK67" s="349"/>
      <c r="LNL67" s="349"/>
      <c r="LNM67" s="349"/>
      <c r="LNN67" s="349"/>
      <c r="LNO67" s="349"/>
      <c r="LNP67" s="349"/>
      <c r="LNQ67" s="349"/>
      <c r="LNR67" s="349"/>
      <c r="LNS67" s="349"/>
      <c r="LNT67" s="349"/>
      <c r="LNU67" s="349"/>
      <c r="LNV67" s="349"/>
      <c r="LNW67" s="349"/>
      <c r="LNX67" s="349"/>
      <c r="LNY67" s="349"/>
      <c r="LNZ67" s="349"/>
      <c r="LOA67" s="349"/>
      <c r="LOB67" s="349"/>
      <c r="LOC67" s="349"/>
      <c r="LOD67" s="349"/>
      <c r="LOE67" s="349"/>
      <c r="LOF67" s="349"/>
      <c r="LOG67" s="349"/>
      <c r="LOH67" s="349"/>
      <c r="LOI67" s="349"/>
      <c r="LOJ67" s="349"/>
      <c r="LOK67" s="349"/>
      <c r="LOL67" s="349"/>
      <c r="LOM67" s="349"/>
      <c r="LON67" s="349"/>
      <c r="LOO67" s="349"/>
      <c r="LOP67" s="349"/>
      <c r="LOQ67" s="349"/>
      <c r="LOR67" s="349"/>
      <c r="LOS67" s="349"/>
      <c r="LOT67" s="349"/>
      <c r="LOU67" s="349"/>
      <c r="LOV67" s="349"/>
      <c r="LOW67" s="349"/>
      <c r="LOX67" s="349"/>
      <c r="LOY67" s="349"/>
      <c r="LOZ67" s="349"/>
      <c r="LPA67" s="349"/>
      <c r="LPB67" s="349"/>
      <c r="LPC67" s="349"/>
      <c r="LPD67" s="349"/>
      <c r="LPE67" s="349"/>
      <c r="LPF67" s="349"/>
      <c r="LPG67" s="349"/>
      <c r="LPH67" s="349"/>
      <c r="LPI67" s="349"/>
      <c r="LPJ67" s="349"/>
      <c r="LPK67" s="349"/>
      <c r="LPL67" s="349"/>
      <c r="LPM67" s="349"/>
      <c r="LPN67" s="349"/>
      <c r="LPO67" s="349"/>
      <c r="LPP67" s="349"/>
      <c r="LPQ67" s="349"/>
      <c r="LPR67" s="349"/>
      <c r="LPS67" s="349"/>
      <c r="LPT67" s="349"/>
      <c r="LPU67" s="349"/>
      <c r="LPV67" s="349"/>
      <c r="LPW67" s="349"/>
      <c r="LPX67" s="349"/>
      <c r="LPY67" s="349"/>
      <c r="LPZ67" s="349"/>
      <c r="LQA67" s="349"/>
      <c r="LQB67" s="349"/>
      <c r="LQC67" s="349"/>
      <c r="LQD67" s="349"/>
      <c r="LQE67" s="349"/>
      <c r="LQF67" s="349"/>
      <c r="LQG67" s="349"/>
      <c r="LQH67" s="349"/>
      <c r="LQI67" s="349"/>
      <c r="LQJ67" s="349"/>
      <c r="LQK67" s="349"/>
      <c r="LQL67" s="349"/>
      <c r="LQM67" s="349"/>
      <c r="LQN67" s="349"/>
      <c r="LQO67" s="349"/>
      <c r="LQP67" s="349"/>
      <c r="LQQ67" s="349"/>
      <c r="LQR67" s="349"/>
      <c r="LQS67" s="349"/>
      <c r="LQT67" s="349"/>
      <c r="LQU67" s="349"/>
      <c r="LQV67" s="349"/>
      <c r="LQW67" s="349"/>
      <c r="LQX67" s="349"/>
      <c r="LQY67" s="349"/>
      <c r="LQZ67" s="349"/>
      <c r="LRA67" s="349"/>
      <c r="LRB67" s="349"/>
      <c r="LRC67" s="349"/>
      <c r="LRD67" s="349"/>
      <c r="LRE67" s="349"/>
      <c r="LRF67" s="349"/>
      <c r="LRG67" s="349"/>
      <c r="LRH67" s="349"/>
      <c r="LRI67" s="349"/>
      <c r="LRJ67" s="349"/>
      <c r="LRK67" s="349"/>
      <c r="LRL67" s="349"/>
      <c r="LRM67" s="349"/>
      <c r="LRN67" s="349"/>
      <c r="LRO67" s="349"/>
      <c r="LRP67" s="349"/>
      <c r="LRQ67" s="349"/>
      <c r="LRR67" s="349"/>
      <c r="LRS67" s="349"/>
      <c r="LRT67" s="349"/>
      <c r="LRU67" s="349"/>
      <c r="LRV67" s="349"/>
      <c r="LRW67" s="349"/>
      <c r="LRX67" s="349"/>
      <c r="LRY67" s="349"/>
      <c r="LRZ67" s="349"/>
      <c r="LSA67" s="349"/>
      <c r="LSB67" s="349"/>
      <c r="LSC67" s="349"/>
      <c r="LSD67" s="349"/>
      <c r="LSE67" s="349"/>
      <c r="LSF67" s="349"/>
      <c r="LSG67" s="349"/>
      <c r="LSH67" s="349"/>
      <c r="LSI67" s="349"/>
      <c r="LSJ67" s="349"/>
      <c r="LSK67" s="349"/>
      <c r="LSL67" s="349"/>
      <c r="LSM67" s="349"/>
      <c r="LSN67" s="349"/>
      <c r="LSO67" s="349"/>
      <c r="LSP67" s="349"/>
      <c r="LSQ67" s="349"/>
      <c r="LSR67" s="349"/>
      <c r="LSS67" s="349"/>
      <c r="LST67" s="349"/>
      <c r="LSU67" s="349"/>
      <c r="LSV67" s="349"/>
      <c r="LSW67" s="349"/>
      <c r="LSX67" s="349"/>
      <c r="LSY67" s="349"/>
      <c r="LSZ67" s="349"/>
      <c r="LTA67" s="349"/>
      <c r="LTB67" s="349"/>
      <c r="LTC67" s="349"/>
      <c r="LTD67" s="349"/>
      <c r="LTE67" s="349"/>
      <c r="LTF67" s="349"/>
      <c r="LTG67" s="349"/>
      <c r="LTH67" s="349"/>
      <c r="LTI67" s="349"/>
      <c r="LTJ67" s="349"/>
      <c r="LTK67" s="349"/>
      <c r="LTL67" s="349"/>
      <c r="LTM67" s="349"/>
      <c r="LTN67" s="349"/>
      <c r="LTO67" s="349"/>
      <c r="LTP67" s="349"/>
      <c r="LTQ67" s="349"/>
      <c r="LTR67" s="349"/>
      <c r="LTS67" s="349"/>
      <c r="LTT67" s="349"/>
      <c r="LTU67" s="349"/>
      <c r="LTV67" s="349"/>
      <c r="LTW67" s="349"/>
      <c r="LTX67" s="349"/>
      <c r="LTY67" s="349"/>
      <c r="LTZ67" s="349"/>
      <c r="LUA67" s="349"/>
      <c r="LUB67" s="349"/>
      <c r="LUC67" s="349"/>
      <c r="LUD67" s="349"/>
      <c r="LUE67" s="349"/>
      <c r="LUF67" s="349"/>
      <c r="LUG67" s="349"/>
      <c r="LUH67" s="349"/>
      <c r="LUI67" s="349"/>
      <c r="LUJ67" s="349"/>
      <c r="LUK67" s="349"/>
      <c r="LUL67" s="349"/>
      <c r="LUM67" s="349"/>
      <c r="LUN67" s="349"/>
      <c r="LUO67" s="349"/>
      <c r="LUP67" s="349"/>
      <c r="LUQ67" s="349"/>
      <c r="LUR67" s="349"/>
      <c r="LUS67" s="349"/>
      <c r="LUT67" s="349"/>
      <c r="LUU67" s="349"/>
      <c r="LUV67" s="349"/>
      <c r="LUW67" s="349"/>
      <c r="LUX67" s="349"/>
      <c r="LUY67" s="349"/>
      <c r="LUZ67" s="349"/>
      <c r="LVA67" s="349"/>
      <c r="LVB67" s="349"/>
      <c r="LVC67" s="349"/>
      <c r="LVD67" s="349"/>
      <c r="LVE67" s="349"/>
      <c r="LVF67" s="349"/>
      <c r="LVG67" s="349"/>
      <c r="LVH67" s="349"/>
      <c r="LVI67" s="349"/>
      <c r="LVJ67" s="349"/>
      <c r="LVK67" s="349"/>
      <c r="LVL67" s="349"/>
      <c r="LVM67" s="349"/>
      <c r="LVN67" s="349"/>
      <c r="LVO67" s="349"/>
      <c r="LVP67" s="349"/>
      <c r="LVQ67" s="349"/>
      <c r="LVR67" s="349"/>
      <c r="LVS67" s="349"/>
      <c r="LVT67" s="349"/>
      <c r="LVU67" s="349"/>
      <c r="LVV67" s="349"/>
      <c r="LVW67" s="349"/>
      <c r="LVX67" s="349"/>
      <c r="LVY67" s="349"/>
      <c r="LVZ67" s="349"/>
      <c r="LWA67" s="349"/>
      <c r="LWB67" s="349"/>
      <c r="LWC67" s="349"/>
      <c r="LWD67" s="349"/>
      <c r="LWE67" s="349"/>
      <c r="LWF67" s="349"/>
      <c r="LWG67" s="349"/>
      <c r="LWH67" s="349"/>
      <c r="LWI67" s="349"/>
      <c r="LWJ67" s="349"/>
      <c r="LWK67" s="349"/>
      <c r="LWL67" s="349"/>
      <c r="LWM67" s="349"/>
      <c r="LWN67" s="349"/>
      <c r="LWO67" s="349"/>
      <c r="LWP67" s="349"/>
      <c r="LWQ67" s="349"/>
      <c r="LWR67" s="349"/>
      <c r="LWS67" s="349"/>
      <c r="LWT67" s="349"/>
      <c r="LWU67" s="349"/>
      <c r="LWV67" s="349"/>
      <c r="LWW67" s="349"/>
      <c r="LWX67" s="349"/>
      <c r="LWY67" s="349"/>
      <c r="LWZ67" s="349"/>
      <c r="LXA67" s="349"/>
      <c r="LXB67" s="349"/>
      <c r="LXC67" s="349"/>
      <c r="LXD67" s="349"/>
      <c r="LXE67" s="349"/>
      <c r="LXF67" s="349"/>
      <c r="LXG67" s="349"/>
      <c r="LXH67" s="349"/>
      <c r="LXI67" s="349"/>
      <c r="LXJ67" s="349"/>
      <c r="LXK67" s="349"/>
      <c r="LXL67" s="349"/>
      <c r="LXM67" s="349"/>
      <c r="LXN67" s="349"/>
      <c r="LXO67" s="349"/>
      <c r="LXP67" s="349"/>
      <c r="LXQ67" s="349"/>
      <c r="LXR67" s="349"/>
      <c r="LXS67" s="349"/>
      <c r="LXT67" s="349"/>
      <c r="LXU67" s="349"/>
      <c r="LXV67" s="349"/>
      <c r="LXW67" s="349"/>
      <c r="LXX67" s="349"/>
      <c r="LXY67" s="349"/>
      <c r="LXZ67" s="349"/>
      <c r="LYA67" s="349"/>
      <c r="LYB67" s="349"/>
      <c r="LYC67" s="349"/>
      <c r="LYD67" s="349"/>
      <c r="LYE67" s="349"/>
      <c r="LYF67" s="349"/>
      <c r="LYG67" s="349"/>
      <c r="LYH67" s="349"/>
      <c r="LYI67" s="349"/>
      <c r="LYJ67" s="349"/>
      <c r="LYK67" s="349"/>
      <c r="LYL67" s="349"/>
      <c r="LYM67" s="349"/>
      <c r="LYN67" s="349"/>
      <c r="LYO67" s="349"/>
      <c r="LYP67" s="349"/>
      <c r="LYQ67" s="349"/>
      <c r="LYR67" s="349"/>
      <c r="LYS67" s="349"/>
      <c r="LYT67" s="349"/>
      <c r="LYU67" s="349"/>
      <c r="LYV67" s="349"/>
      <c r="LYW67" s="349"/>
      <c r="LYX67" s="349"/>
      <c r="LYY67" s="349"/>
      <c r="LYZ67" s="349"/>
      <c r="LZA67" s="349"/>
      <c r="LZB67" s="349"/>
      <c r="LZC67" s="349"/>
      <c r="LZD67" s="349"/>
      <c r="LZE67" s="349"/>
      <c r="LZF67" s="349"/>
      <c r="LZG67" s="349"/>
      <c r="LZH67" s="349"/>
      <c r="LZI67" s="349"/>
      <c r="LZJ67" s="349"/>
      <c r="LZK67" s="349"/>
      <c r="LZL67" s="349"/>
      <c r="LZM67" s="349"/>
      <c r="LZN67" s="349"/>
      <c r="LZO67" s="349"/>
      <c r="LZP67" s="349"/>
      <c r="LZQ67" s="349"/>
      <c r="LZR67" s="349"/>
      <c r="LZS67" s="349"/>
      <c r="LZT67" s="349"/>
      <c r="LZU67" s="349"/>
      <c r="LZV67" s="349"/>
      <c r="LZW67" s="349"/>
      <c r="LZX67" s="349"/>
      <c r="LZY67" s="349"/>
      <c r="LZZ67" s="349"/>
      <c r="MAA67" s="349"/>
      <c r="MAB67" s="349"/>
      <c r="MAC67" s="349"/>
      <c r="MAD67" s="349"/>
      <c r="MAE67" s="349"/>
      <c r="MAF67" s="349"/>
      <c r="MAG67" s="349"/>
      <c r="MAH67" s="349"/>
      <c r="MAI67" s="349"/>
      <c r="MAJ67" s="349"/>
      <c r="MAK67" s="349"/>
      <c r="MAL67" s="349"/>
      <c r="MAM67" s="349"/>
      <c r="MAN67" s="349"/>
      <c r="MAO67" s="349"/>
      <c r="MAP67" s="349"/>
      <c r="MAQ67" s="349"/>
      <c r="MAR67" s="349"/>
      <c r="MAS67" s="349"/>
      <c r="MAT67" s="349"/>
      <c r="MAU67" s="349"/>
      <c r="MAV67" s="349"/>
      <c r="MAW67" s="349"/>
      <c r="MAX67" s="349"/>
      <c r="MAY67" s="349"/>
      <c r="MAZ67" s="349"/>
      <c r="MBA67" s="349"/>
      <c r="MBB67" s="349"/>
      <c r="MBC67" s="349"/>
      <c r="MBD67" s="349"/>
      <c r="MBE67" s="349"/>
      <c r="MBF67" s="349"/>
      <c r="MBG67" s="349"/>
      <c r="MBH67" s="349"/>
      <c r="MBI67" s="349"/>
      <c r="MBJ67" s="349"/>
      <c r="MBK67" s="349"/>
      <c r="MBL67" s="349"/>
      <c r="MBM67" s="349"/>
      <c r="MBN67" s="349"/>
      <c r="MBO67" s="349"/>
      <c r="MBP67" s="349"/>
      <c r="MBQ67" s="349"/>
      <c r="MBR67" s="349"/>
      <c r="MBS67" s="349"/>
      <c r="MBT67" s="349"/>
      <c r="MBU67" s="349"/>
      <c r="MBV67" s="349"/>
      <c r="MBW67" s="349"/>
      <c r="MBX67" s="349"/>
      <c r="MBY67" s="349"/>
      <c r="MBZ67" s="349"/>
      <c r="MCA67" s="349"/>
      <c r="MCB67" s="349"/>
      <c r="MCC67" s="349"/>
      <c r="MCD67" s="349"/>
      <c r="MCE67" s="349"/>
      <c r="MCF67" s="349"/>
      <c r="MCG67" s="349"/>
      <c r="MCH67" s="349"/>
      <c r="MCI67" s="349"/>
      <c r="MCJ67" s="349"/>
      <c r="MCK67" s="349"/>
      <c r="MCL67" s="349"/>
      <c r="MCM67" s="349"/>
      <c r="MCN67" s="349"/>
      <c r="MCO67" s="349"/>
      <c r="MCP67" s="349"/>
      <c r="MCQ67" s="349"/>
      <c r="MCR67" s="349"/>
      <c r="MCS67" s="349"/>
      <c r="MCT67" s="349"/>
      <c r="MCU67" s="349"/>
      <c r="MCV67" s="349"/>
      <c r="MCW67" s="349"/>
      <c r="MCX67" s="349"/>
      <c r="MCY67" s="349"/>
      <c r="MCZ67" s="349"/>
      <c r="MDA67" s="349"/>
      <c r="MDB67" s="349"/>
      <c r="MDC67" s="349"/>
      <c r="MDD67" s="349"/>
      <c r="MDE67" s="349"/>
      <c r="MDF67" s="349"/>
      <c r="MDG67" s="349"/>
      <c r="MDH67" s="349"/>
      <c r="MDI67" s="349"/>
      <c r="MDJ67" s="349"/>
      <c r="MDK67" s="349"/>
      <c r="MDL67" s="349"/>
      <c r="MDM67" s="349"/>
      <c r="MDN67" s="349"/>
      <c r="MDO67" s="349"/>
      <c r="MDP67" s="349"/>
      <c r="MDQ67" s="349"/>
      <c r="MDR67" s="349"/>
      <c r="MDS67" s="349"/>
      <c r="MDT67" s="349"/>
      <c r="MDU67" s="349"/>
      <c r="MDV67" s="349"/>
      <c r="MDW67" s="349"/>
      <c r="MDX67" s="349"/>
      <c r="MDY67" s="349"/>
      <c r="MDZ67" s="349"/>
      <c r="MEA67" s="349"/>
      <c r="MEB67" s="349"/>
      <c r="MEC67" s="349"/>
      <c r="MED67" s="349"/>
      <c r="MEE67" s="349"/>
      <c r="MEF67" s="349"/>
      <c r="MEG67" s="349"/>
      <c r="MEH67" s="349"/>
      <c r="MEI67" s="349"/>
      <c r="MEJ67" s="349"/>
      <c r="MEK67" s="349"/>
      <c r="MEL67" s="349"/>
      <c r="MEM67" s="349"/>
      <c r="MEN67" s="349"/>
      <c r="MEO67" s="349"/>
      <c r="MEP67" s="349"/>
      <c r="MEQ67" s="349"/>
      <c r="MER67" s="349"/>
      <c r="MES67" s="349"/>
      <c r="MET67" s="349"/>
      <c r="MEU67" s="349"/>
      <c r="MEV67" s="349"/>
      <c r="MEW67" s="349"/>
      <c r="MEX67" s="349"/>
      <c r="MEY67" s="349"/>
      <c r="MEZ67" s="349"/>
      <c r="MFA67" s="349"/>
      <c r="MFB67" s="349"/>
      <c r="MFC67" s="349"/>
      <c r="MFD67" s="349"/>
      <c r="MFE67" s="349"/>
      <c r="MFF67" s="349"/>
      <c r="MFG67" s="349"/>
      <c r="MFH67" s="349"/>
      <c r="MFI67" s="349"/>
      <c r="MFJ67" s="349"/>
      <c r="MFK67" s="349"/>
      <c r="MFL67" s="349"/>
      <c r="MFM67" s="349"/>
      <c r="MFN67" s="349"/>
      <c r="MFO67" s="349"/>
      <c r="MFP67" s="349"/>
      <c r="MFQ67" s="349"/>
      <c r="MFR67" s="349"/>
      <c r="MFS67" s="349"/>
      <c r="MFT67" s="349"/>
      <c r="MFU67" s="349"/>
      <c r="MFV67" s="349"/>
      <c r="MFW67" s="349"/>
      <c r="MFX67" s="349"/>
      <c r="MFY67" s="349"/>
      <c r="MFZ67" s="349"/>
      <c r="MGA67" s="349"/>
      <c r="MGB67" s="349"/>
      <c r="MGC67" s="349"/>
      <c r="MGD67" s="349"/>
      <c r="MGE67" s="349"/>
      <c r="MGF67" s="349"/>
      <c r="MGG67" s="349"/>
      <c r="MGH67" s="349"/>
      <c r="MGI67" s="349"/>
      <c r="MGJ67" s="349"/>
      <c r="MGK67" s="349"/>
      <c r="MGL67" s="349"/>
      <c r="MGM67" s="349"/>
      <c r="MGN67" s="349"/>
      <c r="MGO67" s="349"/>
      <c r="MGP67" s="349"/>
      <c r="MGQ67" s="349"/>
      <c r="MGR67" s="349"/>
      <c r="MGS67" s="349"/>
      <c r="MGT67" s="349"/>
      <c r="MGU67" s="349"/>
      <c r="MGV67" s="349"/>
      <c r="MGW67" s="349"/>
      <c r="MGX67" s="349"/>
      <c r="MGY67" s="349"/>
      <c r="MGZ67" s="349"/>
      <c r="MHA67" s="349"/>
      <c r="MHB67" s="349"/>
      <c r="MHC67" s="349"/>
      <c r="MHD67" s="349"/>
      <c r="MHE67" s="349"/>
      <c r="MHF67" s="349"/>
      <c r="MHG67" s="349"/>
      <c r="MHH67" s="349"/>
      <c r="MHI67" s="349"/>
      <c r="MHJ67" s="349"/>
      <c r="MHK67" s="349"/>
      <c r="MHL67" s="349"/>
      <c r="MHM67" s="349"/>
      <c r="MHN67" s="349"/>
      <c r="MHO67" s="349"/>
      <c r="MHP67" s="349"/>
      <c r="MHQ67" s="349"/>
      <c r="MHR67" s="349"/>
      <c r="MHS67" s="349"/>
      <c r="MHT67" s="349"/>
      <c r="MHU67" s="349"/>
      <c r="MHV67" s="349"/>
      <c r="MHW67" s="349"/>
      <c r="MHX67" s="349"/>
      <c r="MHY67" s="349"/>
      <c r="MHZ67" s="349"/>
      <c r="MIA67" s="349"/>
      <c r="MIB67" s="349"/>
      <c r="MIC67" s="349"/>
      <c r="MID67" s="349"/>
      <c r="MIE67" s="349"/>
      <c r="MIF67" s="349"/>
      <c r="MIG67" s="349"/>
      <c r="MIH67" s="349"/>
      <c r="MII67" s="349"/>
      <c r="MIJ67" s="349"/>
      <c r="MIK67" s="349"/>
      <c r="MIL67" s="349"/>
      <c r="MIM67" s="349"/>
      <c r="MIN67" s="349"/>
      <c r="MIO67" s="349"/>
      <c r="MIP67" s="349"/>
      <c r="MIQ67" s="349"/>
      <c r="MIR67" s="349"/>
      <c r="MIS67" s="349"/>
      <c r="MIT67" s="349"/>
      <c r="MIU67" s="349"/>
      <c r="MIV67" s="349"/>
      <c r="MIW67" s="349"/>
      <c r="MIX67" s="349"/>
      <c r="MIY67" s="349"/>
      <c r="MIZ67" s="349"/>
      <c r="MJA67" s="349"/>
      <c r="MJB67" s="349"/>
      <c r="MJC67" s="349"/>
      <c r="MJD67" s="349"/>
      <c r="MJE67" s="349"/>
      <c r="MJF67" s="349"/>
      <c r="MJG67" s="349"/>
      <c r="MJH67" s="349"/>
      <c r="MJI67" s="349"/>
      <c r="MJJ67" s="349"/>
      <c r="MJK67" s="349"/>
      <c r="MJL67" s="349"/>
      <c r="MJM67" s="349"/>
      <c r="MJN67" s="349"/>
      <c r="MJO67" s="349"/>
      <c r="MJP67" s="349"/>
      <c r="MJQ67" s="349"/>
      <c r="MJR67" s="349"/>
      <c r="MJS67" s="349"/>
      <c r="MJT67" s="349"/>
      <c r="MJU67" s="349"/>
      <c r="MJV67" s="349"/>
      <c r="MJW67" s="349"/>
      <c r="MJX67" s="349"/>
      <c r="MJY67" s="349"/>
      <c r="MJZ67" s="349"/>
      <c r="MKA67" s="349"/>
      <c r="MKB67" s="349"/>
      <c r="MKC67" s="349"/>
      <c r="MKD67" s="349"/>
      <c r="MKE67" s="349"/>
      <c r="MKF67" s="349"/>
      <c r="MKG67" s="349"/>
      <c r="MKH67" s="349"/>
      <c r="MKI67" s="349"/>
      <c r="MKJ67" s="349"/>
      <c r="MKK67" s="349"/>
      <c r="MKL67" s="349"/>
      <c r="MKM67" s="349"/>
      <c r="MKN67" s="349"/>
      <c r="MKO67" s="349"/>
      <c r="MKP67" s="349"/>
      <c r="MKQ67" s="349"/>
      <c r="MKR67" s="349"/>
      <c r="MKS67" s="349"/>
      <c r="MKT67" s="349"/>
      <c r="MKU67" s="349"/>
      <c r="MKV67" s="349"/>
      <c r="MKW67" s="349"/>
      <c r="MKX67" s="349"/>
      <c r="MKY67" s="349"/>
      <c r="MKZ67" s="349"/>
      <c r="MLA67" s="349"/>
      <c r="MLB67" s="349"/>
      <c r="MLC67" s="349"/>
      <c r="MLD67" s="349"/>
      <c r="MLE67" s="349"/>
      <c r="MLF67" s="349"/>
      <c r="MLG67" s="349"/>
      <c r="MLH67" s="349"/>
      <c r="MLI67" s="349"/>
      <c r="MLJ67" s="349"/>
      <c r="MLK67" s="349"/>
      <c r="MLL67" s="349"/>
      <c r="MLM67" s="349"/>
      <c r="MLN67" s="349"/>
      <c r="MLO67" s="349"/>
      <c r="MLP67" s="349"/>
      <c r="MLQ67" s="349"/>
      <c r="MLR67" s="349"/>
      <c r="MLS67" s="349"/>
      <c r="MLT67" s="349"/>
      <c r="MLU67" s="349"/>
      <c r="MLV67" s="349"/>
      <c r="MLW67" s="349"/>
      <c r="MLX67" s="349"/>
      <c r="MLY67" s="349"/>
      <c r="MLZ67" s="349"/>
      <c r="MMA67" s="349"/>
      <c r="MMB67" s="349"/>
      <c r="MMC67" s="349"/>
      <c r="MMD67" s="349"/>
      <c r="MME67" s="349"/>
      <c r="MMF67" s="349"/>
      <c r="MMG67" s="349"/>
      <c r="MMH67" s="349"/>
      <c r="MMI67" s="349"/>
      <c r="MMJ67" s="349"/>
      <c r="MMK67" s="349"/>
      <c r="MML67" s="349"/>
      <c r="MMM67" s="349"/>
      <c r="MMN67" s="349"/>
      <c r="MMO67" s="349"/>
      <c r="MMP67" s="349"/>
      <c r="MMQ67" s="349"/>
      <c r="MMR67" s="349"/>
      <c r="MMS67" s="349"/>
      <c r="MMT67" s="349"/>
      <c r="MMU67" s="349"/>
      <c r="MMV67" s="349"/>
      <c r="MMW67" s="349"/>
      <c r="MMX67" s="349"/>
      <c r="MMY67" s="349"/>
      <c r="MMZ67" s="349"/>
      <c r="MNA67" s="349"/>
      <c r="MNB67" s="349"/>
      <c r="MNC67" s="349"/>
      <c r="MND67" s="349"/>
      <c r="MNE67" s="349"/>
      <c r="MNF67" s="349"/>
      <c r="MNG67" s="349"/>
      <c r="MNH67" s="349"/>
      <c r="MNI67" s="349"/>
      <c r="MNJ67" s="349"/>
      <c r="MNK67" s="349"/>
      <c r="MNL67" s="349"/>
      <c r="MNM67" s="349"/>
      <c r="MNN67" s="349"/>
      <c r="MNO67" s="349"/>
      <c r="MNP67" s="349"/>
      <c r="MNQ67" s="349"/>
      <c r="MNR67" s="349"/>
      <c r="MNS67" s="349"/>
      <c r="MNT67" s="349"/>
      <c r="MNU67" s="349"/>
      <c r="MNV67" s="349"/>
      <c r="MNW67" s="349"/>
      <c r="MNX67" s="349"/>
      <c r="MNY67" s="349"/>
      <c r="MNZ67" s="349"/>
      <c r="MOA67" s="349"/>
      <c r="MOB67" s="349"/>
      <c r="MOC67" s="349"/>
      <c r="MOD67" s="349"/>
      <c r="MOE67" s="349"/>
      <c r="MOF67" s="349"/>
      <c r="MOG67" s="349"/>
      <c r="MOH67" s="349"/>
      <c r="MOI67" s="349"/>
      <c r="MOJ67" s="349"/>
      <c r="MOK67" s="349"/>
      <c r="MOL67" s="349"/>
      <c r="MOM67" s="349"/>
      <c r="MON67" s="349"/>
      <c r="MOO67" s="349"/>
      <c r="MOP67" s="349"/>
      <c r="MOQ67" s="349"/>
      <c r="MOR67" s="349"/>
      <c r="MOS67" s="349"/>
      <c r="MOT67" s="349"/>
      <c r="MOU67" s="349"/>
      <c r="MOV67" s="349"/>
      <c r="MOW67" s="349"/>
      <c r="MOX67" s="349"/>
      <c r="MOY67" s="349"/>
      <c r="MOZ67" s="349"/>
      <c r="MPA67" s="349"/>
      <c r="MPB67" s="349"/>
      <c r="MPC67" s="349"/>
      <c r="MPD67" s="349"/>
      <c r="MPE67" s="349"/>
      <c r="MPF67" s="349"/>
      <c r="MPG67" s="349"/>
      <c r="MPH67" s="349"/>
      <c r="MPI67" s="349"/>
      <c r="MPJ67" s="349"/>
      <c r="MPK67" s="349"/>
      <c r="MPL67" s="349"/>
      <c r="MPM67" s="349"/>
      <c r="MPN67" s="349"/>
      <c r="MPO67" s="349"/>
      <c r="MPP67" s="349"/>
      <c r="MPQ67" s="349"/>
      <c r="MPR67" s="349"/>
      <c r="MPS67" s="349"/>
      <c r="MPT67" s="349"/>
      <c r="MPU67" s="349"/>
      <c r="MPV67" s="349"/>
      <c r="MPW67" s="349"/>
      <c r="MPX67" s="349"/>
      <c r="MPY67" s="349"/>
      <c r="MPZ67" s="349"/>
      <c r="MQA67" s="349"/>
      <c r="MQB67" s="349"/>
      <c r="MQC67" s="349"/>
      <c r="MQD67" s="349"/>
      <c r="MQE67" s="349"/>
      <c r="MQF67" s="349"/>
      <c r="MQG67" s="349"/>
      <c r="MQH67" s="349"/>
      <c r="MQI67" s="349"/>
      <c r="MQJ67" s="349"/>
      <c r="MQK67" s="349"/>
      <c r="MQL67" s="349"/>
      <c r="MQM67" s="349"/>
      <c r="MQN67" s="349"/>
      <c r="MQO67" s="349"/>
      <c r="MQP67" s="349"/>
      <c r="MQQ67" s="349"/>
      <c r="MQR67" s="349"/>
      <c r="MQS67" s="349"/>
      <c r="MQT67" s="349"/>
      <c r="MQU67" s="349"/>
      <c r="MQV67" s="349"/>
      <c r="MQW67" s="349"/>
      <c r="MQX67" s="349"/>
      <c r="MQY67" s="349"/>
      <c r="MQZ67" s="349"/>
      <c r="MRA67" s="349"/>
      <c r="MRB67" s="349"/>
      <c r="MRC67" s="349"/>
      <c r="MRD67" s="349"/>
      <c r="MRE67" s="349"/>
      <c r="MRF67" s="349"/>
      <c r="MRG67" s="349"/>
      <c r="MRH67" s="349"/>
      <c r="MRI67" s="349"/>
      <c r="MRJ67" s="349"/>
      <c r="MRK67" s="349"/>
      <c r="MRL67" s="349"/>
      <c r="MRM67" s="349"/>
      <c r="MRN67" s="349"/>
      <c r="MRO67" s="349"/>
      <c r="MRP67" s="349"/>
      <c r="MRQ67" s="349"/>
      <c r="MRR67" s="349"/>
      <c r="MRS67" s="349"/>
      <c r="MRT67" s="349"/>
      <c r="MRU67" s="349"/>
      <c r="MRV67" s="349"/>
      <c r="MRW67" s="349"/>
      <c r="MRX67" s="349"/>
      <c r="MRY67" s="349"/>
      <c r="MRZ67" s="349"/>
      <c r="MSA67" s="349"/>
      <c r="MSB67" s="349"/>
      <c r="MSC67" s="349"/>
      <c r="MSD67" s="349"/>
      <c r="MSE67" s="349"/>
      <c r="MSF67" s="349"/>
      <c r="MSG67" s="349"/>
      <c r="MSH67" s="349"/>
      <c r="MSI67" s="349"/>
      <c r="MSJ67" s="349"/>
      <c r="MSK67" s="349"/>
      <c r="MSL67" s="349"/>
      <c r="MSM67" s="349"/>
      <c r="MSN67" s="349"/>
      <c r="MSO67" s="349"/>
      <c r="MSP67" s="349"/>
      <c r="MSQ67" s="349"/>
      <c r="MSR67" s="349"/>
      <c r="MSS67" s="349"/>
      <c r="MST67" s="349"/>
      <c r="MSU67" s="349"/>
      <c r="MSV67" s="349"/>
      <c r="MSW67" s="349"/>
      <c r="MSX67" s="349"/>
      <c r="MSY67" s="349"/>
      <c r="MSZ67" s="349"/>
      <c r="MTA67" s="349"/>
      <c r="MTB67" s="349"/>
      <c r="MTC67" s="349"/>
      <c r="MTD67" s="349"/>
      <c r="MTE67" s="349"/>
      <c r="MTF67" s="349"/>
      <c r="MTG67" s="349"/>
      <c r="MTH67" s="349"/>
      <c r="MTI67" s="349"/>
      <c r="MTJ67" s="349"/>
      <c r="MTK67" s="349"/>
      <c r="MTL67" s="349"/>
      <c r="MTM67" s="349"/>
      <c r="MTN67" s="349"/>
      <c r="MTO67" s="349"/>
      <c r="MTP67" s="349"/>
      <c r="MTQ67" s="349"/>
      <c r="MTR67" s="349"/>
      <c r="MTS67" s="349"/>
      <c r="MTT67" s="349"/>
      <c r="MTU67" s="349"/>
      <c r="MTV67" s="349"/>
      <c r="MTW67" s="349"/>
      <c r="MTX67" s="349"/>
      <c r="MTY67" s="349"/>
      <c r="MTZ67" s="349"/>
      <c r="MUA67" s="349"/>
      <c r="MUB67" s="349"/>
      <c r="MUC67" s="349"/>
      <c r="MUD67" s="349"/>
      <c r="MUE67" s="349"/>
      <c r="MUF67" s="349"/>
      <c r="MUG67" s="349"/>
      <c r="MUH67" s="349"/>
      <c r="MUI67" s="349"/>
      <c r="MUJ67" s="349"/>
      <c r="MUK67" s="349"/>
      <c r="MUL67" s="349"/>
      <c r="MUM67" s="349"/>
      <c r="MUN67" s="349"/>
      <c r="MUO67" s="349"/>
      <c r="MUP67" s="349"/>
      <c r="MUQ67" s="349"/>
      <c r="MUR67" s="349"/>
      <c r="MUS67" s="349"/>
      <c r="MUT67" s="349"/>
      <c r="MUU67" s="349"/>
      <c r="MUV67" s="349"/>
      <c r="MUW67" s="349"/>
      <c r="MUX67" s="349"/>
      <c r="MUY67" s="349"/>
      <c r="MUZ67" s="349"/>
      <c r="MVA67" s="349"/>
      <c r="MVB67" s="349"/>
      <c r="MVC67" s="349"/>
      <c r="MVD67" s="349"/>
      <c r="MVE67" s="349"/>
      <c r="MVF67" s="349"/>
      <c r="MVG67" s="349"/>
      <c r="MVH67" s="349"/>
      <c r="MVI67" s="349"/>
      <c r="MVJ67" s="349"/>
      <c r="MVK67" s="349"/>
      <c r="MVL67" s="349"/>
      <c r="MVM67" s="349"/>
      <c r="MVN67" s="349"/>
      <c r="MVO67" s="349"/>
      <c r="MVP67" s="349"/>
      <c r="MVQ67" s="349"/>
      <c r="MVR67" s="349"/>
      <c r="MVS67" s="349"/>
      <c r="MVT67" s="349"/>
      <c r="MVU67" s="349"/>
      <c r="MVV67" s="349"/>
      <c r="MVW67" s="349"/>
      <c r="MVX67" s="349"/>
      <c r="MVY67" s="349"/>
      <c r="MVZ67" s="349"/>
      <c r="MWA67" s="349"/>
      <c r="MWB67" s="349"/>
      <c r="MWC67" s="349"/>
      <c r="MWD67" s="349"/>
      <c r="MWE67" s="349"/>
      <c r="MWF67" s="349"/>
      <c r="MWG67" s="349"/>
      <c r="MWH67" s="349"/>
      <c r="MWI67" s="349"/>
      <c r="MWJ67" s="349"/>
      <c r="MWK67" s="349"/>
      <c r="MWL67" s="349"/>
      <c r="MWM67" s="349"/>
      <c r="MWN67" s="349"/>
      <c r="MWO67" s="349"/>
      <c r="MWP67" s="349"/>
      <c r="MWQ67" s="349"/>
      <c r="MWR67" s="349"/>
      <c r="MWS67" s="349"/>
      <c r="MWT67" s="349"/>
      <c r="MWU67" s="349"/>
      <c r="MWV67" s="349"/>
      <c r="MWW67" s="349"/>
      <c r="MWX67" s="349"/>
      <c r="MWY67" s="349"/>
      <c r="MWZ67" s="349"/>
      <c r="MXA67" s="349"/>
      <c r="MXB67" s="349"/>
      <c r="MXC67" s="349"/>
      <c r="MXD67" s="349"/>
      <c r="MXE67" s="349"/>
      <c r="MXF67" s="349"/>
      <c r="MXG67" s="349"/>
      <c r="MXH67" s="349"/>
      <c r="MXI67" s="349"/>
      <c r="MXJ67" s="349"/>
      <c r="MXK67" s="349"/>
      <c r="MXL67" s="349"/>
      <c r="MXM67" s="349"/>
      <c r="MXN67" s="349"/>
      <c r="MXO67" s="349"/>
      <c r="MXP67" s="349"/>
      <c r="MXQ67" s="349"/>
      <c r="MXR67" s="349"/>
      <c r="MXS67" s="349"/>
      <c r="MXT67" s="349"/>
      <c r="MXU67" s="349"/>
      <c r="MXV67" s="349"/>
      <c r="MXW67" s="349"/>
      <c r="MXX67" s="349"/>
      <c r="MXY67" s="349"/>
      <c r="MXZ67" s="349"/>
      <c r="MYA67" s="349"/>
      <c r="MYB67" s="349"/>
      <c r="MYC67" s="349"/>
      <c r="MYD67" s="349"/>
      <c r="MYE67" s="349"/>
      <c r="MYF67" s="349"/>
      <c r="MYG67" s="349"/>
      <c r="MYH67" s="349"/>
      <c r="MYI67" s="349"/>
      <c r="MYJ67" s="349"/>
      <c r="MYK67" s="349"/>
      <c r="MYL67" s="349"/>
      <c r="MYM67" s="349"/>
      <c r="MYN67" s="349"/>
      <c r="MYO67" s="349"/>
      <c r="MYP67" s="349"/>
      <c r="MYQ67" s="349"/>
      <c r="MYR67" s="349"/>
      <c r="MYS67" s="349"/>
      <c r="MYT67" s="349"/>
      <c r="MYU67" s="349"/>
      <c r="MYV67" s="349"/>
      <c r="MYW67" s="349"/>
      <c r="MYX67" s="349"/>
      <c r="MYY67" s="349"/>
      <c r="MYZ67" s="349"/>
      <c r="MZA67" s="349"/>
      <c r="MZB67" s="349"/>
      <c r="MZC67" s="349"/>
      <c r="MZD67" s="349"/>
      <c r="MZE67" s="349"/>
      <c r="MZF67" s="349"/>
      <c r="MZG67" s="349"/>
      <c r="MZH67" s="349"/>
      <c r="MZI67" s="349"/>
      <c r="MZJ67" s="349"/>
      <c r="MZK67" s="349"/>
      <c r="MZL67" s="349"/>
      <c r="MZM67" s="349"/>
      <c r="MZN67" s="349"/>
      <c r="MZO67" s="349"/>
      <c r="MZP67" s="349"/>
      <c r="MZQ67" s="349"/>
      <c r="MZR67" s="349"/>
      <c r="MZS67" s="349"/>
      <c r="MZT67" s="349"/>
      <c r="MZU67" s="349"/>
      <c r="MZV67" s="349"/>
      <c r="MZW67" s="349"/>
      <c r="MZX67" s="349"/>
      <c r="MZY67" s="349"/>
      <c r="MZZ67" s="349"/>
      <c r="NAA67" s="349"/>
      <c r="NAB67" s="349"/>
      <c r="NAC67" s="349"/>
      <c r="NAD67" s="349"/>
      <c r="NAE67" s="349"/>
      <c r="NAF67" s="349"/>
      <c r="NAG67" s="349"/>
      <c r="NAH67" s="349"/>
      <c r="NAI67" s="349"/>
      <c r="NAJ67" s="349"/>
      <c r="NAK67" s="349"/>
      <c r="NAL67" s="349"/>
      <c r="NAM67" s="349"/>
      <c r="NAN67" s="349"/>
      <c r="NAO67" s="349"/>
      <c r="NAP67" s="349"/>
      <c r="NAQ67" s="349"/>
      <c r="NAR67" s="349"/>
      <c r="NAS67" s="349"/>
      <c r="NAT67" s="349"/>
      <c r="NAU67" s="349"/>
      <c r="NAV67" s="349"/>
      <c r="NAW67" s="349"/>
      <c r="NAX67" s="349"/>
      <c r="NAY67" s="349"/>
      <c r="NAZ67" s="349"/>
      <c r="NBA67" s="349"/>
      <c r="NBB67" s="349"/>
      <c r="NBC67" s="349"/>
      <c r="NBD67" s="349"/>
      <c r="NBE67" s="349"/>
      <c r="NBF67" s="349"/>
      <c r="NBG67" s="349"/>
      <c r="NBH67" s="349"/>
      <c r="NBI67" s="349"/>
      <c r="NBJ67" s="349"/>
      <c r="NBK67" s="349"/>
      <c r="NBL67" s="349"/>
      <c r="NBM67" s="349"/>
      <c r="NBN67" s="349"/>
      <c r="NBO67" s="349"/>
      <c r="NBP67" s="349"/>
      <c r="NBQ67" s="349"/>
      <c r="NBR67" s="349"/>
      <c r="NBS67" s="349"/>
      <c r="NBT67" s="349"/>
      <c r="NBU67" s="349"/>
      <c r="NBV67" s="349"/>
      <c r="NBW67" s="349"/>
      <c r="NBX67" s="349"/>
      <c r="NBY67" s="349"/>
      <c r="NBZ67" s="349"/>
      <c r="NCA67" s="349"/>
      <c r="NCB67" s="349"/>
      <c r="NCC67" s="349"/>
      <c r="NCD67" s="349"/>
      <c r="NCE67" s="349"/>
      <c r="NCF67" s="349"/>
      <c r="NCG67" s="349"/>
      <c r="NCH67" s="349"/>
      <c r="NCI67" s="349"/>
      <c r="NCJ67" s="349"/>
      <c r="NCK67" s="349"/>
      <c r="NCL67" s="349"/>
      <c r="NCM67" s="349"/>
      <c r="NCN67" s="349"/>
      <c r="NCO67" s="349"/>
      <c r="NCP67" s="349"/>
      <c r="NCQ67" s="349"/>
      <c r="NCR67" s="349"/>
      <c r="NCS67" s="349"/>
      <c r="NCT67" s="349"/>
      <c r="NCU67" s="349"/>
      <c r="NCV67" s="349"/>
      <c r="NCW67" s="349"/>
      <c r="NCX67" s="349"/>
      <c r="NCY67" s="349"/>
      <c r="NCZ67" s="349"/>
      <c r="NDA67" s="349"/>
      <c r="NDB67" s="349"/>
      <c r="NDC67" s="349"/>
      <c r="NDD67" s="349"/>
      <c r="NDE67" s="349"/>
      <c r="NDF67" s="349"/>
      <c r="NDG67" s="349"/>
      <c r="NDH67" s="349"/>
      <c r="NDI67" s="349"/>
      <c r="NDJ67" s="349"/>
      <c r="NDK67" s="349"/>
      <c r="NDL67" s="349"/>
      <c r="NDM67" s="349"/>
      <c r="NDN67" s="349"/>
      <c r="NDO67" s="349"/>
      <c r="NDP67" s="349"/>
      <c r="NDQ67" s="349"/>
      <c r="NDR67" s="349"/>
      <c r="NDS67" s="349"/>
      <c r="NDT67" s="349"/>
      <c r="NDU67" s="349"/>
      <c r="NDV67" s="349"/>
      <c r="NDW67" s="349"/>
      <c r="NDX67" s="349"/>
      <c r="NDY67" s="349"/>
      <c r="NDZ67" s="349"/>
      <c r="NEA67" s="349"/>
      <c r="NEB67" s="349"/>
      <c r="NEC67" s="349"/>
      <c r="NED67" s="349"/>
      <c r="NEE67" s="349"/>
      <c r="NEF67" s="349"/>
      <c r="NEG67" s="349"/>
      <c r="NEH67" s="349"/>
      <c r="NEI67" s="349"/>
      <c r="NEJ67" s="349"/>
      <c r="NEK67" s="349"/>
      <c r="NEL67" s="349"/>
      <c r="NEM67" s="349"/>
      <c r="NEN67" s="349"/>
      <c r="NEO67" s="349"/>
      <c r="NEP67" s="349"/>
      <c r="NEQ67" s="349"/>
      <c r="NER67" s="349"/>
      <c r="NES67" s="349"/>
      <c r="NET67" s="349"/>
      <c r="NEU67" s="349"/>
      <c r="NEV67" s="349"/>
      <c r="NEW67" s="349"/>
      <c r="NEX67" s="349"/>
      <c r="NEY67" s="349"/>
      <c r="NEZ67" s="349"/>
      <c r="NFA67" s="349"/>
      <c r="NFB67" s="349"/>
      <c r="NFC67" s="349"/>
      <c r="NFD67" s="349"/>
      <c r="NFE67" s="349"/>
      <c r="NFF67" s="349"/>
      <c r="NFG67" s="349"/>
      <c r="NFH67" s="349"/>
      <c r="NFI67" s="349"/>
      <c r="NFJ67" s="349"/>
      <c r="NFK67" s="349"/>
      <c r="NFL67" s="349"/>
      <c r="NFM67" s="349"/>
      <c r="NFN67" s="349"/>
      <c r="NFO67" s="349"/>
      <c r="NFP67" s="349"/>
      <c r="NFQ67" s="349"/>
      <c r="NFR67" s="349"/>
      <c r="NFS67" s="349"/>
      <c r="NFT67" s="349"/>
      <c r="NFU67" s="349"/>
      <c r="NFV67" s="349"/>
      <c r="NFW67" s="349"/>
      <c r="NFX67" s="349"/>
      <c r="NFY67" s="349"/>
      <c r="NFZ67" s="349"/>
      <c r="NGA67" s="349"/>
      <c r="NGB67" s="349"/>
      <c r="NGC67" s="349"/>
      <c r="NGD67" s="349"/>
      <c r="NGE67" s="349"/>
      <c r="NGF67" s="349"/>
      <c r="NGG67" s="349"/>
      <c r="NGH67" s="349"/>
      <c r="NGI67" s="349"/>
      <c r="NGJ67" s="349"/>
      <c r="NGK67" s="349"/>
      <c r="NGL67" s="349"/>
      <c r="NGM67" s="349"/>
      <c r="NGN67" s="349"/>
      <c r="NGO67" s="349"/>
      <c r="NGP67" s="349"/>
      <c r="NGQ67" s="349"/>
      <c r="NGR67" s="349"/>
      <c r="NGS67" s="349"/>
      <c r="NGT67" s="349"/>
      <c r="NGU67" s="349"/>
      <c r="NGV67" s="349"/>
      <c r="NGW67" s="349"/>
      <c r="NGX67" s="349"/>
      <c r="NGY67" s="349"/>
      <c r="NGZ67" s="349"/>
      <c r="NHA67" s="349"/>
      <c r="NHB67" s="349"/>
      <c r="NHC67" s="349"/>
      <c r="NHD67" s="349"/>
      <c r="NHE67" s="349"/>
      <c r="NHF67" s="349"/>
      <c r="NHG67" s="349"/>
      <c r="NHH67" s="349"/>
      <c r="NHI67" s="349"/>
      <c r="NHJ67" s="349"/>
      <c r="NHK67" s="349"/>
      <c r="NHL67" s="349"/>
      <c r="NHM67" s="349"/>
      <c r="NHN67" s="349"/>
      <c r="NHO67" s="349"/>
      <c r="NHP67" s="349"/>
      <c r="NHQ67" s="349"/>
      <c r="NHR67" s="349"/>
      <c r="NHS67" s="349"/>
      <c r="NHT67" s="349"/>
      <c r="NHU67" s="349"/>
      <c r="NHV67" s="349"/>
      <c r="NHW67" s="349"/>
      <c r="NHX67" s="349"/>
      <c r="NHY67" s="349"/>
      <c r="NHZ67" s="349"/>
      <c r="NIA67" s="349"/>
      <c r="NIB67" s="349"/>
      <c r="NIC67" s="349"/>
      <c r="NID67" s="349"/>
      <c r="NIE67" s="349"/>
      <c r="NIF67" s="349"/>
      <c r="NIG67" s="349"/>
      <c r="NIH67" s="349"/>
      <c r="NII67" s="349"/>
      <c r="NIJ67" s="349"/>
      <c r="NIK67" s="349"/>
      <c r="NIL67" s="349"/>
      <c r="NIM67" s="349"/>
      <c r="NIN67" s="349"/>
      <c r="NIO67" s="349"/>
      <c r="NIP67" s="349"/>
      <c r="NIQ67" s="349"/>
      <c r="NIR67" s="349"/>
      <c r="NIS67" s="349"/>
      <c r="NIT67" s="349"/>
      <c r="NIU67" s="349"/>
      <c r="NIV67" s="349"/>
      <c r="NIW67" s="349"/>
      <c r="NIX67" s="349"/>
      <c r="NIY67" s="349"/>
      <c r="NIZ67" s="349"/>
      <c r="NJA67" s="349"/>
      <c r="NJB67" s="349"/>
      <c r="NJC67" s="349"/>
      <c r="NJD67" s="349"/>
      <c r="NJE67" s="349"/>
      <c r="NJF67" s="349"/>
      <c r="NJG67" s="349"/>
      <c r="NJH67" s="349"/>
      <c r="NJI67" s="349"/>
      <c r="NJJ67" s="349"/>
      <c r="NJK67" s="349"/>
      <c r="NJL67" s="349"/>
      <c r="NJM67" s="349"/>
      <c r="NJN67" s="349"/>
      <c r="NJO67" s="349"/>
      <c r="NJP67" s="349"/>
      <c r="NJQ67" s="349"/>
      <c r="NJR67" s="349"/>
      <c r="NJS67" s="349"/>
      <c r="NJT67" s="349"/>
      <c r="NJU67" s="349"/>
      <c r="NJV67" s="349"/>
      <c r="NJW67" s="349"/>
      <c r="NJX67" s="349"/>
      <c r="NJY67" s="349"/>
      <c r="NJZ67" s="349"/>
      <c r="NKA67" s="349"/>
      <c r="NKB67" s="349"/>
      <c r="NKC67" s="349"/>
      <c r="NKD67" s="349"/>
      <c r="NKE67" s="349"/>
      <c r="NKF67" s="349"/>
      <c r="NKG67" s="349"/>
      <c r="NKH67" s="349"/>
      <c r="NKI67" s="349"/>
      <c r="NKJ67" s="349"/>
      <c r="NKK67" s="349"/>
      <c r="NKL67" s="349"/>
      <c r="NKM67" s="349"/>
      <c r="NKN67" s="349"/>
      <c r="NKO67" s="349"/>
      <c r="NKP67" s="349"/>
      <c r="NKQ67" s="349"/>
      <c r="NKR67" s="349"/>
      <c r="NKS67" s="349"/>
      <c r="NKT67" s="349"/>
      <c r="NKU67" s="349"/>
      <c r="NKV67" s="349"/>
      <c r="NKW67" s="349"/>
      <c r="NKX67" s="349"/>
      <c r="NKY67" s="349"/>
      <c r="NKZ67" s="349"/>
      <c r="NLA67" s="349"/>
      <c r="NLB67" s="349"/>
      <c r="NLC67" s="349"/>
      <c r="NLD67" s="349"/>
      <c r="NLE67" s="349"/>
      <c r="NLF67" s="349"/>
      <c r="NLG67" s="349"/>
      <c r="NLH67" s="349"/>
      <c r="NLI67" s="349"/>
      <c r="NLJ67" s="349"/>
      <c r="NLK67" s="349"/>
      <c r="NLL67" s="349"/>
      <c r="NLM67" s="349"/>
      <c r="NLN67" s="349"/>
      <c r="NLO67" s="349"/>
      <c r="NLP67" s="349"/>
      <c r="NLQ67" s="349"/>
      <c r="NLR67" s="349"/>
      <c r="NLS67" s="349"/>
      <c r="NLT67" s="349"/>
      <c r="NLU67" s="349"/>
      <c r="NLV67" s="349"/>
      <c r="NLW67" s="349"/>
      <c r="NLX67" s="349"/>
      <c r="NLY67" s="349"/>
      <c r="NLZ67" s="349"/>
      <c r="NMA67" s="349"/>
      <c r="NMB67" s="349"/>
      <c r="NMC67" s="349"/>
      <c r="NMD67" s="349"/>
      <c r="NME67" s="349"/>
      <c r="NMF67" s="349"/>
      <c r="NMG67" s="349"/>
      <c r="NMH67" s="349"/>
      <c r="NMI67" s="349"/>
      <c r="NMJ67" s="349"/>
      <c r="NMK67" s="349"/>
      <c r="NML67" s="349"/>
      <c r="NMM67" s="349"/>
      <c r="NMN67" s="349"/>
      <c r="NMO67" s="349"/>
      <c r="NMP67" s="349"/>
      <c r="NMQ67" s="349"/>
      <c r="NMR67" s="349"/>
      <c r="NMS67" s="349"/>
      <c r="NMT67" s="349"/>
      <c r="NMU67" s="349"/>
      <c r="NMV67" s="349"/>
      <c r="NMW67" s="349"/>
      <c r="NMX67" s="349"/>
      <c r="NMY67" s="349"/>
      <c r="NMZ67" s="349"/>
      <c r="NNA67" s="349"/>
      <c r="NNB67" s="349"/>
      <c r="NNC67" s="349"/>
      <c r="NND67" s="349"/>
      <c r="NNE67" s="349"/>
      <c r="NNF67" s="349"/>
      <c r="NNG67" s="349"/>
      <c r="NNH67" s="349"/>
      <c r="NNI67" s="349"/>
      <c r="NNJ67" s="349"/>
      <c r="NNK67" s="349"/>
      <c r="NNL67" s="349"/>
      <c r="NNM67" s="349"/>
      <c r="NNN67" s="349"/>
      <c r="NNO67" s="349"/>
      <c r="NNP67" s="349"/>
      <c r="NNQ67" s="349"/>
      <c r="NNR67" s="349"/>
      <c r="NNS67" s="349"/>
      <c r="NNT67" s="349"/>
      <c r="NNU67" s="349"/>
      <c r="NNV67" s="349"/>
      <c r="NNW67" s="349"/>
      <c r="NNX67" s="349"/>
      <c r="NNY67" s="349"/>
      <c r="NNZ67" s="349"/>
      <c r="NOA67" s="349"/>
      <c r="NOB67" s="349"/>
      <c r="NOC67" s="349"/>
      <c r="NOD67" s="349"/>
      <c r="NOE67" s="349"/>
      <c r="NOF67" s="349"/>
      <c r="NOG67" s="349"/>
      <c r="NOH67" s="349"/>
      <c r="NOI67" s="349"/>
      <c r="NOJ67" s="349"/>
      <c r="NOK67" s="349"/>
      <c r="NOL67" s="349"/>
      <c r="NOM67" s="349"/>
      <c r="NON67" s="349"/>
      <c r="NOO67" s="349"/>
      <c r="NOP67" s="349"/>
      <c r="NOQ67" s="349"/>
      <c r="NOR67" s="349"/>
      <c r="NOS67" s="349"/>
      <c r="NOT67" s="349"/>
      <c r="NOU67" s="349"/>
      <c r="NOV67" s="349"/>
      <c r="NOW67" s="349"/>
      <c r="NOX67" s="349"/>
      <c r="NOY67" s="349"/>
      <c r="NOZ67" s="349"/>
      <c r="NPA67" s="349"/>
      <c r="NPB67" s="349"/>
      <c r="NPC67" s="349"/>
      <c r="NPD67" s="349"/>
      <c r="NPE67" s="349"/>
      <c r="NPF67" s="349"/>
      <c r="NPG67" s="349"/>
      <c r="NPH67" s="349"/>
      <c r="NPI67" s="349"/>
      <c r="NPJ67" s="349"/>
      <c r="NPK67" s="349"/>
      <c r="NPL67" s="349"/>
      <c r="NPM67" s="349"/>
      <c r="NPN67" s="349"/>
      <c r="NPO67" s="349"/>
      <c r="NPP67" s="349"/>
      <c r="NPQ67" s="349"/>
      <c r="NPR67" s="349"/>
      <c r="NPS67" s="349"/>
      <c r="NPT67" s="349"/>
      <c r="NPU67" s="349"/>
      <c r="NPV67" s="349"/>
      <c r="NPW67" s="349"/>
      <c r="NPX67" s="349"/>
      <c r="NPY67" s="349"/>
      <c r="NPZ67" s="349"/>
      <c r="NQA67" s="349"/>
      <c r="NQB67" s="349"/>
      <c r="NQC67" s="349"/>
      <c r="NQD67" s="349"/>
      <c r="NQE67" s="349"/>
      <c r="NQF67" s="349"/>
      <c r="NQG67" s="349"/>
      <c r="NQH67" s="349"/>
      <c r="NQI67" s="349"/>
      <c r="NQJ67" s="349"/>
      <c r="NQK67" s="349"/>
      <c r="NQL67" s="349"/>
      <c r="NQM67" s="349"/>
      <c r="NQN67" s="349"/>
      <c r="NQO67" s="349"/>
      <c r="NQP67" s="349"/>
      <c r="NQQ67" s="349"/>
      <c r="NQR67" s="349"/>
      <c r="NQS67" s="349"/>
      <c r="NQT67" s="349"/>
      <c r="NQU67" s="349"/>
      <c r="NQV67" s="349"/>
      <c r="NQW67" s="349"/>
      <c r="NQX67" s="349"/>
      <c r="NQY67" s="349"/>
      <c r="NQZ67" s="349"/>
      <c r="NRA67" s="349"/>
      <c r="NRB67" s="349"/>
      <c r="NRC67" s="349"/>
      <c r="NRD67" s="349"/>
      <c r="NRE67" s="349"/>
      <c r="NRF67" s="349"/>
      <c r="NRG67" s="349"/>
      <c r="NRH67" s="349"/>
      <c r="NRI67" s="349"/>
      <c r="NRJ67" s="349"/>
      <c r="NRK67" s="349"/>
      <c r="NRL67" s="349"/>
      <c r="NRM67" s="349"/>
      <c r="NRN67" s="349"/>
      <c r="NRO67" s="349"/>
      <c r="NRP67" s="349"/>
      <c r="NRQ67" s="349"/>
      <c r="NRR67" s="349"/>
      <c r="NRS67" s="349"/>
      <c r="NRT67" s="349"/>
      <c r="NRU67" s="349"/>
      <c r="NRV67" s="349"/>
      <c r="NRW67" s="349"/>
      <c r="NRX67" s="349"/>
      <c r="NRY67" s="349"/>
      <c r="NRZ67" s="349"/>
      <c r="NSA67" s="349"/>
      <c r="NSB67" s="349"/>
      <c r="NSC67" s="349"/>
      <c r="NSD67" s="349"/>
      <c r="NSE67" s="349"/>
      <c r="NSF67" s="349"/>
      <c r="NSG67" s="349"/>
      <c r="NSH67" s="349"/>
      <c r="NSI67" s="349"/>
      <c r="NSJ67" s="349"/>
      <c r="NSK67" s="349"/>
      <c r="NSL67" s="349"/>
      <c r="NSM67" s="349"/>
      <c r="NSN67" s="349"/>
      <c r="NSO67" s="349"/>
      <c r="NSP67" s="349"/>
      <c r="NSQ67" s="349"/>
      <c r="NSR67" s="349"/>
      <c r="NSS67" s="349"/>
      <c r="NST67" s="349"/>
      <c r="NSU67" s="349"/>
      <c r="NSV67" s="349"/>
      <c r="NSW67" s="349"/>
      <c r="NSX67" s="349"/>
      <c r="NSY67" s="349"/>
      <c r="NSZ67" s="349"/>
      <c r="NTA67" s="349"/>
      <c r="NTB67" s="349"/>
      <c r="NTC67" s="349"/>
      <c r="NTD67" s="349"/>
      <c r="NTE67" s="349"/>
      <c r="NTF67" s="349"/>
      <c r="NTG67" s="349"/>
      <c r="NTH67" s="349"/>
      <c r="NTI67" s="349"/>
      <c r="NTJ67" s="349"/>
      <c r="NTK67" s="349"/>
      <c r="NTL67" s="349"/>
      <c r="NTM67" s="349"/>
      <c r="NTN67" s="349"/>
      <c r="NTO67" s="349"/>
      <c r="NTP67" s="349"/>
      <c r="NTQ67" s="349"/>
      <c r="NTR67" s="349"/>
      <c r="NTS67" s="349"/>
      <c r="NTT67" s="349"/>
      <c r="NTU67" s="349"/>
      <c r="NTV67" s="349"/>
      <c r="NTW67" s="349"/>
      <c r="NTX67" s="349"/>
      <c r="NTY67" s="349"/>
      <c r="NTZ67" s="349"/>
      <c r="NUA67" s="349"/>
      <c r="NUB67" s="349"/>
      <c r="NUC67" s="349"/>
      <c r="NUD67" s="349"/>
      <c r="NUE67" s="349"/>
      <c r="NUF67" s="349"/>
      <c r="NUG67" s="349"/>
      <c r="NUH67" s="349"/>
      <c r="NUI67" s="349"/>
      <c r="NUJ67" s="349"/>
      <c r="NUK67" s="349"/>
      <c r="NUL67" s="349"/>
      <c r="NUM67" s="349"/>
      <c r="NUN67" s="349"/>
      <c r="NUO67" s="349"/>
      <c r="NUP67" s="349"/>
      <c r="NUQ67" s="349"/>
      <c r="NUR67" s="349"/>
      <c r="NUS67" s="349"/>
      <c r="NUT67" s="349"/>
      <c r="NUU67" s="349"/>
      <c r="NUV67" s="349"/>
      <c r="NUW67" s="349"/>
      <c r="NUX67" s="349"/>
      <c r="NUY67" s="349"/>
      <c r="NUZ67" s="349"/>
      <c r="NVA67" s="349"/>
      <c r="NVB67" s="349"/>
      <c r="NVC67" s="349"/>
      <c r="NVD67" s="349"/>
      <c r="NVE67" s="349"/>
      <c r="NVF67" s="349"/>
      <c r="NVG67" s="349"/>
      <c r="NVH67" s="349"/>
      <c r="NVI67" s="349"/>
      <c r="NVJ67" s="349"/>
      <c r="NVK67" s="349"/>
      <c r="NVL67" s="349"/>
      <c r="NVM67" s="349"/>
      <c r="NVN67" s="349"/>
      <c r="NVO67" s="349"/>
      <c r="NVP67" s="349"/>
      <c r="NVQ67" s="349"/>
      <c r="NVR67" s="349"/>
      <c r="NVS67" s="349"/>
      <c r="NVT67" s="349"/>
      <c r="NVU67" s="349"/>
      <c r="NVV67" s="349"/>
      <c r="NVW67" s="349"/>
      <c r="NVX67" s="349"/>
      <c r="NVY67" s="349"/>
      <c r="NVZ67" s="349"/>
      <c r="NWA67" s="349"/>
      <c r="NWB67" s="349"/>
      <c r="NWC67" s="349"/>
      <c r="NWD67" s="349"/>
      <c r="NWE67" s="349"/>
      <c r="NWF67" s="349"/>
      <c r="NWG67" s="349"/>
      <c r="NWH67" s="349"/>
      <c r="NWI67" s="349"/>
      <c r="NWJ67" s="349"/>
      <c r="NWK67" s="349"/>
      <c r="NWL67" s="349"/>
      <c r="NWM67" s="349"/>
      <c r="NWN67" s="349"/>
      <c r="NWO67" s="349"/>
      <c r="NWP67" s="349"/>
      <c r="NWQ67" s="349"/>
      <c r="NWR67" s="349"/>
      <c r="NWS67" s="349"/>
      <c r="NWT67" s="349"/>
      <c r="NWU67" s="349"/>
      <c r="NWV67" s="349"/>
      <c r="NWW67" s="349"/>
      <c r="NWX67" s="349"/>
      <c r="NWY67" s="349"/>
      <c r="NWZ67" s="349"/>
      <c r="NXA67" s="349"/>
      <c r="NXB67" s="349"/>
      <c r="NXC67" s="349"/>
      <c r="NXD67" s="349"/>
      <c r="NXE67" s="349"/>
      <c r="NXF67" s="349"/>
      <c r="NXG67" s="349"/>
      <c r="NXH67" s="349"/>
      <c r="NXI67" s="349"/>
      <c r="NXJ67" s="349"/>
      <c r="NXK67" s="349"/>
      <c r="NXL67" s="349"/>
      <c r="NXM67" s="349"/>
      <c r="NXN67" s="349"/>
      <c r="NXO67" s="349"/>
      <c r="NXP67" s="349"/>
      <c r="NXQ67" s="349"/>
      <c r="NXR67" s="349"/>
      <c r="NXS67" s="349"/>
      <c r="NXT67" s="349"/>
      <c r="NXU67" s="349"/>
      <c r="NXV67" s="349"/>
      <c r="NXW67" s="349"/>
      <c r="NXX67" s="349"/>
      <c r="NXY67" s="349"/>
      <c r="NXZ67" s="349"/>
      <c r="NYA67" s="349"/>
      <c r="NYB67" s="349"/>
      <c r="NYC67" s="349"/>
      <c r="NYD67" s="349"/>
      <c r="NYE67" s="349"/>
      <c r="NYF67" s="349"/>
      <c r="NYG67" s="349"/>
      <c r="NYH67" s="349"/>
      <c r="NYI67" s="349"/>
      <c r="NYJ67" s="349"/>
      <c r="NYK67" s="349"/>
      <c r="NYL67" s="349"/>
      <c r="NYM67" s="349"/>
      <c r="NYN67" s="349"/>
      <c r="NYO67" s="349"/>
      <c r="NYP67" s="349"/>
      <c r="NYQ67" s="349"/>
      <c r="NYR67" s="349"/>
      <c r="NYS67" s="349"/>
      <c r="NYT67" s="349"/>
      <c r="NYU67" s="349"/>
      <c r="NYV67" s="349"/>
      <c r="NYW67" s="349"/>
      <c r="NYX67" s="349"/>
      <c r="NYY67" s="349"/>
      <c r="NYZ67" s="349"/>
      <c r="NZA67" s="349"/>
      <c r="NZB67" s="349"/>
      <c r="NZC67" s="349"/>
      <c r="NZD67" s="349"/>
      <c r="NZE67" s="349"/>
      <c r="NZF67" s="349"/>
      <c r="NZG67" s="349"/>
      <c r="NZH67" s="349"/>
      <c r="NZI67" s="349"/>
      <c r="NZJ67" s="349"/>
      <c r="NZK67" s="349"/>
      <c r="NZL67" s="349"/>
      <c r="NZM67" s="349"/>
      <c r="NZN67" s="349"/>
      <c r="NZO67" s="349"/>
      <c r="NZP67" s="349"/>
      <c r="NZQ67" s="349"/>
      <c r="NZR67" s="349"/>
      <c r="NZS67" s="349"/>
      <c r="NZT67" s="349"/>
      <c r="NZU67" s="349"/>
      <c r="NZV67" s="349"/>
      <c r="NZW67" s="349"/>
      <c r="NZX67" s="349"/>
      <c r="NZY67" s="349"/>
      <c r="NZZ67" s="349"/>
      <c r="OAA67" s="349"/>
      <c r="OAB67" s="349"/>
      <c r="OAC67" s="349"/>
      <c r="OAD67" s="349"/>
      <c r="OAE67" s="349"/>
      <c r="OAF67" s="349"/>
      <c r="OAG67" s="349"/>
      <c r="OAH67" s="349"/>
      <c r="OAI67" s="349"/>
      <c r="OAJ67" s="349"/>
      <c r="OAK67" s="349"/>
      <c r="OAL67" s="349"/>
      <c r="OAM67" s="349"/>
      <c r="OAN67" s="349"/>
      <c r="OAO67" s="349"/>
      <c r="OAP67" s="349"/>
      <c r="OAQ67" s="349"/>
      <c r="OAR67" s="349"/>
      <c r="OAS67" s="349"/>
      <c r="OAT67" s="349"/>
      <c r="OAU67" s="349"/>
      <c r="OAV67" s="349"/>
      <c r="OAW67" s="349"/>
      <c r="OAX67" s="349"/>
      <c r="OAY67" s="349"/>
      <c r="OAZ67" s="349"/>
      <c r="OBA67" s="349"/>
      <c r="OBB67" s="349"/>
      <c r="OBC67" s="349"/>
      <c r="OBD67" s="349"/>
      <c r="OBE67" s="349"/>
      <c r="OBF67" s="349"/>
      <c r="OBG67" s="349"/>
      <c r="OBH67" s="349"/>
      <c r="OBI67" s="349"/>
      <c r="OBJ67" s="349"/>
      <c r="OBK67" s="349"/>
      <c r="OBL67" s="349"/>
      <c r="OBM67" s="349"/>
      <c r="OBN67" s="349"/>
      <c r="OBO67" s="349"/>
      <c r="OBP67" s="349"/>
      <c r="OBQ67" s="349"/>
      <c r="OBR67" s="349"/>
      <c r="OBS67" s="349"/>
      <c r="OBT67" s="349"/>
      <c r="OBU67" s="349"/>
      <c r="OBV67" s="349"/>
      <c r="OBW67" s="349"/>
      <c r="OBX67" s="349"/>
      <c r="OBY67" s="349"/>
      <c r="OBZ67" s="349"/>
      <c r="OCA67" s="349"/>
      <c r="OCB67" s="349"/>
      <c r="OCC67" s="349"/>
      <c r="OCD67" s="349"/>
      <c r="OCE67" s="349"/>
      <c r="OCF67" s="349"/>
      <c r="OCG67" s="349"/>
      <c r="OCH67" s="349"/>
      <c r="OCI67" s="349"/>
      <c r="OCJ67" s="349"/>
      <c r="OCK67" s="349"/>
      <c r="OCL67" s="349"/>
      <c r="OCM67" s="349"/>
      <c r="OCN67" s="349"/>
      <c r="OCO67" s="349"/>
      <c r="OCP67" s="349"/>
      <c r="OCQ67" s="349"/>
      <c r="OCR67" s="349"/>
      <c r="OCS67" s="349"/>
      <c r="OCT67" s="349"/>
      <c r="OCU67" s="349"/>
      <c r="OCV67" s="349"/>
      <c r="OCW67" s="349"/>
      <c r="OCX67" s="349"/>
      <c r="OCY67" s="349"/>
      <c r="OCZ67" s="349"/>
      <c r="ODA67" s="349"/>
      <c r="ODB67" s="349"/>
      <c r="ODC67" s="349"/>
      <c r="ODD67" s="349"/>
      <c r="ODE67" s="349"/>
      <c r="ODF67" s="349"/>
      <c r="ODG67" s="349"/>
      <c r="ODH67" s="349"/>
      <c r="ODI67" s="349"/>
      <c r="ODJ67" s="349"/>
      <c r="ODK67" s="349"/>
      <c r="ODL67" s="349"/>
      <c r="ODM67" s="349"/>
      <c r="ODN67" s="349"/>
      <c r="ODO67" s="349"/>
      <c r="ODP67" s="349"/>
      <c r="ODQ67" s="349"/>
      <c r="ODR67" s="349"/>
      <c r="ODS67" s="349"/>
      <c r="ODT67" s="349"/>
      <c r="ODU67" s="349"/>
      <c r="ODV67" s="349"/>
      <c r="ODW67" s="349"/>
      <c r="ODX67" s="349"/>
      <c r="ODY67" s="349"/>
      <c r="ODZ67" s="349"/>
      <c r="OEA67" s="349"/>
      <c r="OEB67" s="349"/>
      <c r="OEC67" s="349"/>
      <c r="OED67" s="349"/>
      <c r="OEE67" s="349"/>
      <c r="OEF67" s="349"/>
      <c r="OEG67" s="349"/>
      <c r="OEH67" s="349"/>
      <c r="OEI67" s="349"/>
      <c r="OEJ67" s="349"/>
      <c r="OEK67" s="349"/>
      <c r="OEL67" s="349"/>
      <c r="OEM67" s="349"/>
      <c r="OEN67" s="349"/>
      <c r="OEO67" s="349"/>
      <c r="OEP67" s="349"/>
      <c r="OEQ67" s="349"/>
      <c r="OER67" s="349"/>
      <c r="OES67" s="349"/>
      <c r="OET67" s="349"/>
      <c r="OEU67" s="349"/>
      <c r="OEV67" s="349"/>
      <c r="OEW67" s="349"/>
      <c r="OEX67" s="349"/>
      <c r="OEY67" s="349"/>
      <c r="OEZ67" s="349"/>
      <c r="OFA67" s="349"/>
      <c r="OFB67" s="349"/>
      <c r="OFC67" s="349"/>
      <c r="OFD67" s="349"/>
      <c r="OFE67" s="349"/>
      <c r="OFF67" s="349"/>
      <c r="OFG67" s="349"/>
      <c r="OFH67" s="349"/>
      <c r="OFI67" s="349"/>
      <c r="OFJ67" s="349"/>
      <c r="OFK67" s="349"/>
      <c r="OFL67" s="349"/>
      <c r="OFM67" s="349"/>
      <c r="OFN67" s="349"/>
      <c r="OFO67" s="349"/>
      <c r="OFP67" s="349"/>
      <c r="OFQ67" s="349"/>
      <c r="OFR67" s="349"/>
      <c r="OFS67" s="349"/>
      <c r="OFT67" s="349"/>
      <c r="OFU67" s="349"/>
      <c r="OFV67" s="349"/>
      <c r="OFW67" s="349"/>
      <c r="OFX67" s="349"/>
      <c r="OFY67" s="349"/>
      <c r="OFZ67" s="349"/>
      <c r="OGA67" s="349"/>
      <c r="OGB67" s="349"/>
      <c r="OGC67" s="349"/>
      <c r="OGD67" s="349"/>
      <c r="OGE67" s="349"/>
      <c r="OGF67" s="349"/>
      <c r="OGG67" s="349"/>
      <c r="OGH67" s="349"/>
      <c r="OGI67" s="349"/>
      <c r="OGJ67" s="349"/>
      <c r="OGK67" s="349"/>
      <c r="OGL67" s="349"/>
      <c r="OGM67" s="349"/>
      <c r="OGN67" s="349"/>
      <c r="OGO67" s="349"/>
      <c r="OGP67" s="349"/>
      <c r="OGQ67" s="349"/>
      <c r="OGR67" s="349"/>
      <c r="OGS67" s="349"/>
      <c r="OGT67" s="349"/>
      <c r="OGU67" s="349"/>
      <c r="OGV67" s="349"/>
      <c r="OGW67" s="349"/>
      <c r="OGX67" s="349"/>
      <c r="OGY67" s="349"/>
      <c r="OGZ67" s="349"/>
      <c r="OHA67" s="349"/>
      <c r="OHB67" s="349"/>
      <c r="OHC67" s="349"/>
      <c r="OHD67" s="349"/>
      <c r="OHE67" s="349"/>
      <c r="OHF67" s="349"/>
      <c r="OHG67" s="349"/>
      <c r="OHH67" s="349"/>
      <c r="OHI67" s="349"/>
      <c r="OHJ67" s="349"/>
      <c r="OHK67" s="349"/>
      <c r="OHL67" s="349"/>
      <c r="OHM67" s="349"/>
      <c r="OHN67" s="349"/>
      <c r="OHO67" s="349"/>
      <c r="OHP67" s="349"/>
      <c r="OHQ67" s="349"/>
      <c r="OHR67" s="349"/>
      <c r="OHS67" s="349"/>
      <c r="OHT67" s="349"/>
      <c r="OHU67" s="349"/>
      <c r="OHV67" s="349"/>
      <c r="OHW67" s="349"/>
      <c r="OHX67" s="349"/>
      <c r="OHY67" s="349"/>
      <c r="OHZ67" s="349"/>
      <c r="OIA67" s="349"/>
      <c r="OIB67" s="349"/>
      <c r="OIC67" s="349"/>
      <c r="OID67" s="349"/>
      <c r="OIE67" s="349"/>
      <c r="OIF67" s="349"/>
      <c r="OIG67" s="349"/>
      <c r="OIH67" s="349"/>
      <c r="OII67" s="349"/>
      <c r="OIJ67" s="349"/>
      <c r="OIK67" s="349"/>
      <c r="OIL67" s="349"/>
      <c r="OIM67" s="349"/>
      <c r="OIN67" s="349"/>
      <c r="OIO67" s="349"/>
      <c r="OIP67" s="349"/>
      <c r="OIQ67" s="349"/>
      <c r="OIR67" s="349"/>
      <c r="OIS67" s="349"/>
      <c r="OIT67" s="349"/>
      <c r="OIU67" s="349"/>
      <c r="OIV67" s="349"/>
      <c r="OIW67" s="349"/>
      <c r="OIX67" s="349"/>
      <c r="OIY67" s="349"/>
      <c r="OIZ67" s="349"/>
      <c r="OJA67" s="349"/>
      <c r="OJB67" s="349"/>
      <c r="OJC67" s="349"/>
      <c r="OJD67" s="349"/>
      <c r="OJE67" s="349"/>
      <c r="OJF67" s="349"/>
      <c r="OJG67" s="349"/>
      <c r="OJH67" s="349"/>
      <c r="OJI67" s="349"/>
      <c r="OJJ67" s="349"/>
      <c r="OJK67" s="349"/>
      <c r="OJL67" s="349"/>
      <c r="OJM67" s="349"/>
      <c r="OJN67" s="349"/>
      <c r="OJO67" s="349"/>
      <c r="OJP67" s="349"/>
      <c r="OJQ67" s="349"/>
      <c r="OJR67" s="349"/>
      <c r="OJS67" s="349"/>
      <c r="OJT67" s="349"/>
      <c r="OJU67" s="349"/>
      <c r="OJV67" s="349"/>
      <c r="OJW67" s="349"/>
      <c r="OJX67" s="349"/>
      <c r="OJY67" s="349"/>
      <c r="OJZ67" s="349"/>
      <c r="OKA67" s="349"/>
      <c r="OKB67" s="349"/>
      <c r="OKC67" s="349"/>
      <c r="OKD67" s="349"/>
      <c r="OKE67" s="349"/>
      <c r="OKF67" s="349"/>
      <c r="OKG67" s="349"/>
      <c r="OKH67" s="349"/>
      <c r="OKI67" s="349"/>
      <c r="OKJ67" s="349"/>
      <c r="OKK67" s="349"/>
      <c r="OKL67" s="349"/>
      <c r="OKM67" s="349"/>
      <c r="OKN67" s="349"/>
      <c r="OKO67" s="349"/>
      <c r="OKP67" s="349"/>
      <c r="OKQ67" s="349"/>
      <c r="OKR67" s="349"/>
      <c r="OKS67" s="349"/>
      <c r="OKT67" s="349"/>
      <c r="OKU67" s="349"/>
      <c r="OKV67" s="349"/>
      <c r="OKW67" s="349"/>
      <c r="OKX67" s="349"/>
      <c r="OKY67" s="349"/>
      <c r="OKZ67" s="349"/>
      <c r="OLA67" s="349"/>
      <c r="OLB67" s="349"/>
      <c r="OLC67" s="349"/>
      <c r="OLD67" s="349"/>
      <c r="OLE67" s="349"/>
      <c r="OLF67" s="349"/>
      <c r="OLG67" s="349"/>
      <c r="OLH67" s="349"/>
      <c r="OLI67" s="349"/>
      <c r="OLJ67" s="349"/>
      <c r="OLK67" s="349"/>
      <c r="OLL67" s="349"/>
      <c r="OLM67" s="349"/>
      <c r="OLN67" s="349"/>
      <c r="OLO67" s="349"/>
      <c r="OLP67" s="349"/>
      <c r="OLQ67" s="349"/>
      <c r="OLR67" s="349"/>
      <c r="OLS67" s="349"/>
      <c r="OLT67" s="349"/>
      <c r="OLU67" s="349"/>
      <c r="OLV67" s="349"/>
      <c r="OLW67" s="349"/>
      <c r="OLX67" s="349"/>
      <c r="OLY67" s="349"/>
      <c r="OLZ67" s="349"/>
      <c r="OMA67" s="349"/>
      <c r="OMB67" s="349"/>
      <c r="OMC67" s="349"/>
      <c r="OMD67" s="349"/>
      <c r="OME67" s="349"/>
      <c r="OMF67" s="349"/>
      <c r="OMG67" s="349"/>
      <c r="OMH67" s="349"/>
      <c r="OMI67" s="349"/>
      <c r="OMJ67" s="349"/>
      <c r="OMK67" s="349"/>
      <c r="OML67" s="349"/>
      <c r="OMM67" s="349"/>
      <c r="OMN67" s="349"/>
      <c r="OMO67" s="349"/>
      <c r="OMP67" s="349"/>
      <c r="OMQ67" s="349"/>
      <c r="OMR67" s="349"/>
      <c r="OMS67" s="349"/>
      <c r="OMT67" s="349"/>
      <c r="OMU67" s="349"/>
      <c r="OMV67" s="349"/>
      <c r="OMW67" s="349"/>
      <c r="OMX67" s="349"/>
      <c r="OMY67" s="349"/>
      <c r="OMZ67" s="349"/>
      <c r="ONA67" s="349"/>
      <c r="ONB67" s="349"/>
      <c r="ONC67" s="349"/>
      <c r="OND67" s="349"/>
      <c r="ONE67" s="349"/>
      <c r="ONF67" s="349"/>
      <c r="ONG67" s="349"/>
      <c r="ONH67" s="349"/>
      <c r="ONI67" s="349"/>
      <c r="ONJ67" s="349"/>
      <c r="ONK67" s="349"/>
      <c r="ONL67" s="349"/>
      <c r="ONM67" s="349"/>
      <c r="ONN67" s="349"/>
      <c r="ONO67" s="349"/>
      <c r="ONP67" s="349"/>
      <c r="ONQ67" s="349"/>
      <c r="ONR67" s="349"/>
      <c r="ONS67" s="349"/>
      <c r="ONT67" s="349"/>
      <c r="ONU67" s="349"/>
      <c r="ONV67" s="349"/>
      <c r="ONW67" s="349"/>
      <c r="ONX67" s="349"/>
      <c r="ONY67" s="349"/>
      <c r="ONZ67" s="349"/>
      <c r="OOA67" s="349"/>
      <c r="OOB67" s="349"/>
      <c r="OOC67" s="349"/>
      <c r="OOD67" s="349"/>
      <c r="OOE67" s="349"/>
      <c r="OOF67" s="349"/>
      <c r="OOG67" s="349"/>
      <c r="OOH67" s="349"/>
      <c r="OOI67" s="349"/>
      <c r="OOJ67" s="349"/>
      <c r="OOK67" s="349"/>
      <c r="OOL67" s="349"/>
      <c r="OOM67" s="349"/>
      <c r="OON67" s="349"/>
      <c r="OOO67" s="349"/>
      <c r="OOP67" s="349"/>
      <c r="OOQ67" s="349"/>
      <c r="OOR67" s="349"/>
      <c r="OOS67" s="349"/>
      <c r="OOT67" s="349"/>
      <c r="OOU67" s="349"/>
      <c r="OOV67" s="349"/>
      <c r="OOW67" s="349"/>
      <c r="OOX67" s="349"/>
      <c r="OOY67" s="349"/>
      <c r="OOZ67" s="349"/>
      <c r="OPA67" s="349"/>
      <c r="OPB67" s="349"/>
      <c r="OPC67" s="349"/>
      <c r="OPD67" s="349"/>
      <c r="OPE67" s="349"/>
      <c r="OPF67" s="349"/>
      <c r="OPG67" s="349"/>
      <c r="OPH67" s="349"/>
      <c r="OPI67" s="349"/>
      <c r="OPJ67" s="349"/>
      <c r="OPK67" s="349"/>
      <c r="OPL67" s="349"/>
      <c r="OPM67" s="349"/>
      <c r="OPN67" s="349"/>
      <c r="OPO67" s="349"/>
      <c r="OPP67" s="349"/>
      <c r="OPQ67" s="349"/>
      <c r="OPR67" s="349"/>
      <c r="OPS67" s="349"/>
      <c r="OPT67" s="349"/>
      <c r="OPU67" s="349"/>
      <c r="OPV67" s="349"/>
      <c r="OPW67" s="349"/>
      <c r="OPX67" s="349"/>
      <c r="OPY67" s="349"/>
      <c r="OPZ67" s="349"/>
      <c r="OQA67" s="349"/>
      <c r="OQB67" s="349"/>
      <c r="OQC67" s="349"/>
      <c r="OQD67" s="349"/>
      <c r="OQE67" s="349"/>
      <c r="OQF67" s="349"/>
      <c r="OQG67" s="349"/>
      <c r="OQH67" s="349"/>
      <c r="OQI67" s="349"/>
      <c r="OQJ67" s="349"/>
      <c r="OQK67" s="349"/>
      <c r="OQL67" s="349"/>
      <c r="OQM67" s="349"/>
      <c r="OQN67" s="349"/>
      <c r="OQO67" s="349"/>
      <c r="OQP67" s="349"/>
      <c r="OQQ67" s="349"/>
      <c r="OQR67" s="349"/>
      <c r="OQS67" s="349"/>
      <c r="OQT67" s="349"/>
      <c r="OQU67" s="349"/>
      <c r="OQV67" s="349"/>
      <c r="OQW67" s="349"/>
      <c r="OQX67" s="349"/>
      <c r="OQY67" s="349"/>
      <c r="OQZ67" s="349"/>
      <c r="ORA67" s="349"/>
      <c r="ORB67" s="349"/>
      <c r="ORC67" s="349"/>
      <c r="ORD67" s="349"/>
      <c r="ORE67" s="349"/>
      <c r="ORF67" s="349"/>
      <c r="ORG67" s="349"/>
      <c r="ORH67" s="349"/>
      <c r="ORI67" s="349"/>
      <c r="ORJ67" s="349"/>
      <c r="ORK67" s="349"/>
      <c r="ORL67" s="349"/>
      <c r="ORM67" s="349"/>
      <c r="ORN67" s="349"/>
      <c r="ORO67" s="349"/>
      <c r="ORP67" s="349"/>
      <c r="ORQ67" s="349"/>
      <c r="ORR67" s="349"/>
      <c r="ORS67" s="349"/>
      <c r="ORT67" s="349"/>
      <c r="ORU67" s="349"/>
      <c r="ORV67" s="349"/>
      <c r="ORW67" s="349"/>
      <c r="ORX67" s="349"/>
      <c r="ORY67" s="349"/>
      <c r="ORZ67" s="349"/>
      <c r="OSA67" s="349"/>
      <c r="OSB67" s="349"/>
      <c r="OSC67" s="349"/>
      <c r="OSD67" s="349"/>
      <c r="OSE67" s="349"/>
      <c r="OSF67" s="349"/>
      <c r="OSG67" s="349"/>
      <c r="OSH67" s="349"/>
      <c r="OSI67" s="349"/>
      <c r="OSJ67" s="349"/>
      <c r="OSK67" s="349"/>
      <c r="OSL67" s="349"/>
      <c r="OSM67" s="349"/>
      <c r="OSN67" s="349"/>
      <c r="OSO67" s="349"/>
      <c r="OSP67" s="349"/>
      <c r="OSQ67" s="349"/>
      <c r="OSR67" s="349"/>
      <c r="OSS67" s="349"/>
      <c r="OST67" s="349"/>
      <c r="OSU67" s="349"/>
      <c r="OSV67" s="349"/>
      <c r="OSW67" s="349"/>
      <c r="OSX67" s="349"/>
      <c r="OSY67" s="349"/>
      <c r="OSZ67" s="349"/>
      <c r="OTA67" s="349"/>
      <c r="OTB67" s="349"/>
      <c r="OTC67" s="349"/>
      <c r="OTD67" s="349"/>
      <c r="OTE67" s="349"/>
      <c r="OTF67" s="349"/>
      <c r="OTG67" s="349"/>
      <c r="OTH67" s="349"/>
      <c r="OTI67" s="349"/>
      <c r="OTJ67" s="349"/>
      <c r="OTK67" s="349"/>
      <c r="OTL67" s="349"/>
      <c r="OTM67" s="349"/>
      <c r="OTN67" s="349"/>
      <c r="OTO67" s="349"/>
      <c r="OTP67" s="349"/>
      <c r="OTQ67" s="349"/>
      <c r="OTR67" s="349"/>
      <c r="OTS67" s="349"/>
      <c r="OTT67" s="349"/>
      <c r="OTU67" s="349"/>
      <c r="OTV67" s="349"/>
      <c r="OTW67" s="349"/>
      <c r="OTX67" s="349"/>
      <c r="OTY67" s="349"/>
      <c r="OTZ67" s="349"/>
      <c r="OUA67" s="349"/>
      <c r="OUB67" s="349"/>
      <c r="OUC67" s="349"/>
      <c r="OUD67" s="349"/>
      <c r="OUE67" s="349"/>
      <c r="OUF67" s="349"/>
      <c r="OUG67" s="349"/>
      <c r="OUH67" s="349"/>
      <c r="OUI67" s="349"/>
      <c r="OUJ67" s="349"/>
      <c r="OUK67" s="349"/>
      <c r="OUL67" s="349"/>
      <c r="OUM67" s="349"/>
      <c r="OUN67" s="349"/>
      <c r="OUO67" s="349"/>
      <c r="OUP67" s="349"/>
      <c r="OUQ67" s="349"/>
      <c r="OUR67" s="349"/>
      <c r="OUS67" s="349"/>
      <c r="OUT67" s="349"/>
      <c r="OUU67" s="349"/>
      <c r="OUV67" s="349"/>
      <c r="OUW67" s="349"/>
      <c r="OUX67" s="349"/>
      <c r="OUY67" s="349"/>
      <c r="OUZ67" s="349"/>
      <c r="OVA67" s="349"/>
      <c r="OVB67" s="349"/>
      <c r="OVC67" s="349"/>
      <c r="OVD67" s="349"/>
      <c r="OVE67" s="349"/>
      <c r="OVF67" s="349"/>
      <c r="OVG67" s="349"/>
      <c r="OVH67" s="349"/>
      <c r="OVI67" s="349"/>
      <c r="OVJ67" s="349"/>
      <c r="OVK67" s="349"/>
      <c r="OVL67" s="349"/>
      <c r="OVM67" s="349"/>
      <c r="OVN67" s="349"/>
      <c r="OVO67" s="349"/>
      <c r="OVP67" s="349"/>
      <c r="OVQ67" s="349"/>
      <c r="OVR67" s="349"/>
      <c r="OVS67" s="349"/>
      <c r="OVT67" s="349"/>
      <c r="OVU67" s="349"/>
      <c r="OVV67" s="349"/>
      <c r="OVW67" s="349"/>
      <c r="OVX67" s="349"/>
      <c r="OVY67" s="349"/>
      <c r="OVZ67" s="349"/>
      <c r="OWA67" s="349"/>
      <c r="OWB67" s="349"/>
      <c r="OWC67" s="349"/>
      <c r="OWD67" s="349"/>
      <c r="OWE67" s="349"/>
      <c r="OWF67" s="349"/>
      <c r="OWG67" s="349"/>
      <c r="OWH67" s="349"/>
      <c r="OWI67" s="349"/>
      <c r="OWJ67" s="349"/>
      <c r="OWK67" s="349"/>
      <c r="OWL67" s="349"/>
      <c r="OWM67" s="349"/>
      <c r="OWN67" s="349"/>
      <c r="OWO67" s="349"/>
      <c r="OWP67" s="349"/>
      <c r="OWQ67" s="349"/>
      <c r="OWR67" s="349"/>
      <c r="OWS67" s="349"/>
      <c r="OWT67" s="349"/>
      <c r="OWU67" s="349"/>
      <c r="OWV67" s="349"/>
      <c r="OWW67" s="349"/>
      <c r="OWX67" s="349"/>
      <c r="OWY67" s="349"/>
      <c r="OWZ67" s="349"/>
      <c r="OXA67" s="349"/>
      <c r="OXB67" s="349"/>
      <c r="OXC67" s="349"/>
      <c r="OXD67" s="349"/>
      <c r="OXE67" s="349"/>
      <c r="OXF67" s="349"/>
      <c r="OXG67" s="349"/>
      <c r="OXH67" s="349"/>
      <c r="OXI67" s="349"/>
      <c r="OXJ67" s="349"/>
      <c r="OXK67" s="349"/>
      <c r="OXL67" s="349"/>
      <c r="OXM67" s="349"/>
      <c r="OXN67" s="349"/>
      <c r="OXO67" s="349"/>
      <c r="OXP67" s="349"/>
      <c r="OXQ67" s="349"/>
      <c r="OXR67" s="349"/>
      <c r="OXS67" s="349"/>
      <c r="OXT67" s="349"/>
      <c r="OXU67" s="349"/>
      <c r="OXV67" s="349"/>
      <c r="OXW67" s="349"/>
      <c r="OXX67" s="349"/>
      <c r="OXY67" s="349"/>
      <c r="OXZ67" s="349"/>
      <c r="OYA67" s="349"/>
      <c r="OYB67" s="349"/>
      <c r="OYC67" s="349"/>
      <c r="OYD67" s="349"/>
      <c r="OYE67" s="349"/>
      <c r="OYF67" s="349"/>
      <c r="OYG67" s="349"/>
      <c r="OYH67" s="349"/>
      <c r="OYI67" s="349"/>
      <c r="OYJ67" s="349"/>
      <c r="OYK67" s="349"/>
      <c r="OYL67" s="349"/>
      <c r="OYM67" s="349"/>
      <c r="OYN67" s="349"/>
      <c r="OYO67" s="349"/>
      <c r="OYP67" s="349"/>
      <c r="OYQ67" s="349"/>
      <c r="OYR67" s="349"/>
      <c r="OYS67" s="349"/>
      <c r="OYT67" s="349"/>
      <c r="OYU67" s="349"/>
      <c r="OYV67" s="349"/>
      <c r="OYW67" s="349"/>
      <c r="OYX67" s="349"/>
      <c r="OYY67" s="349"/>
      <c r="OYZ67" s="349"/>
      <c r="OZA67" s="349"/>
      <c r="OZB67" s="349"/>
      <c r="OZC67" s="349"/>
      <c r="OZD67" s="349"/>
      <c r="OZE67" s="349"/>
      <c r="OZF67" s="349"/>
      <c r="OZG67" s="349"/>
      <c r="OZH67" s="349"/>
      <c r="OZI67" s="349"/>
      <c r="OZJ67" s="349"/>
      <c r="OZK67" s="349"/>
      <c r="OZL67" s="349"/>
      <c r="OZM67" s="349"/>
      <c r="OZN67" s="349"/>
      <c r="OZO67" s="349"/>
      <c r="OZP67" s="349"/>
      <c r="OZQ67" s="349"/>
      <c r="OZR67" s="349"/>
      <c r="OZS67" s="349"/>
      <c r="OZT67" s="349"/>
      <c r="OZU67" s="349"/>
      <c r="OZV67" s="349"/>
      <c r="OZW67" s="349"/>
      <c r="OZX67" s="349"/>
      <c r="OZY67" s="349"/>
      <c r="OZZ67" s="349"/>
      <c r="PAA67" s="349"/>
      <c r="PAB67" s="349"/>
      <c r="PAC67" s="349"/>
      <c r="PAD67" s="349"/>
      <c r="PAE67" s="349"/>
      <c r="PAF67" s="349"/>
      <c r="PAG67" s="349"/>
      <c r="PAH67" s="349"/>
      <c r="PAI67" s="349"/>
      <c r="PAJ67" s="349"/>
      <c r="PAK67" s="349"/>
      <c r="PAL67" s="349"/>
      <c r="PAM67" s="349"/>
      <c r="PAN67" s="349"/>
      <c r="PAO67" s="349"/>
      <c r="PAP67" s="349"/>
      <c r="PAQ67" s="349"/>
      <c r="PAR67" s="349"/>
      <c r="PAS67" s="349"/>
      <c r="PAT67" s="349"/>
      <c r="PAU67" s="349"/>
      <c r="PAV67" s="349"/>
      <c r="PAW67" s="349"/>
      <c r="PAX67" s="349"/>
      <c r="PAY67" s="349"/>
      <c r="PAZ67" s="349"/>
      <c r="PBA67" s="349"/>
      <c r="PBB67" s="349"/>
      <c r="PBC67" s="349"/>
      <c r="PBD67" s="349"/>
      <c r="PBE67" s="349"/>
      <c r="PBF67" s="349"/>
      <c r="PBG67" s="349"/>
      <c r="PBH67" s="349"/>
      <c r="PBI67" s="349"/>
      <c r="PBJ67" s="349"/>
      <c r="PBK67" s="349"/>
      <c r="PBL67" s="349"/>
      <c r="PBM67" s="349"/>
      <c r="PBN67" s="349"/>
      <c r="PBO67" s="349"/>
      <c r="PBP67" s="349"/>
      <c r="PBQ67" s="349"/>
      <c r="PBR67" s="349"/>
      <c r="PBS67" s="349"/>
      <c r="PBT67" s="349"/>
      <c r="PBU67" s="349"/>
      <c r="PBV67" s="349"/>
      <c r="PBW67" s="349"/>
      <c r="PBX67" s="349"/>
      <c r="PBY67" s="349"/>
      <c r="PBZ67" s="349"/>
      <c r="PCA67" s="349"/>
      <c r="PCB67" s="349"/>
      <c r="PCC67" s="349"/>
      <c r="PCD67" s="349"/>
      <c r="PCE67" s="349"/>
      <c r="PCF67" s="349"/>
      <c r="PCG67" s="349"/>
      <c r="PCH67" s="349"/>
      <c r="PCI67" s="349"/>
      <c r="PCJ67" s="349"/>
      <c r="PCK67" s="349"/>
      <c r="PCL67" s="349"/>
      <c r="PCM67" s="349"/>
      <c r="PCN67" s="349"/>
      <c r="PCO67" s="349"/>
      <c r="PCP67" s="349"/>
      <c r="PCQ67" s="349"/>
      <c r="PCR67" s="349"/>
      <c r="PCS67" s="349"/>
      <c r="PCT67" s="349"/>
      <c r="PCU67" s="349"/>
      <c r="PCV67" s="349"/>
      <c r="PCW67" s="349"/>
      <c r="PCX67" s="349"/>
      <c r="PCY67" s="349"/>
      <c r="PCZ67" s="349"/>
      <c r="PDA67" s="349"/>
      <c r="PDB67" s="349"/>
      <c r="PDC67" s="349"/>
      <c r="PDD67" s="349"/>
      <c r="PDE67" s="349"/>
      <c r="PDF67" s="349"/>
      <c r="PDG67" s="349"/>
      <c r="PDH67" s="349"/>
      <c r="PDI67" s="349"/>
      <c r="PDJ67" s="349"/>
      <c r="PDK67" s="349"/>
      <c r="PDL67" s="349"/>
      <c r="PDM67" s="349"/>
      <c r="PDN67" s="349"/>
      <c r="PDO67" s="349"/>
      <c r="PDP67" s="349"/>
      <c r="PDQ67" s="349"/>
      <c r="PDR67" s="349"/>
      <c r="PDS67" s="349"/>
      <c r="PDT67" s="349"/>
      <c r="PDU67" s="349"/>
      <c r="PDV67" s="349"/>
      <c r="PDW67" s="349"/>
      <c r="PDX67" s="349"/>
      <c r="PDY67" s="349"/>
      <c r="PDZ67" s="349"/>
      <c r="PEA67" s="349"/>
      <c r="PEB67" s="349"/>
      <c r="PEC67" s="349"/>
      <c r="PED67" s="349"/>
      <c r="PEE67" s="349"/>
      <c r="PEF67" s="349"/>
      <c r="PEG67" s="349"/>
      <c r="PEH67" s="349"/>
      <c r="PEI67" s="349"/>
      <c r="PEJ67" s="349"/>
      <c r="PEK67" s="349"/>
      <c r="PEL67" s="349"/>
      <c r="PEM67" s="349"/>
      <c r="PEN67" s="349"/>
      <c r="PEO67" s="349"/>
      <c r="PEP67" s="349"/>
      <c r="PEQ67" s="349"/>
      <c r="PER67" s="349"/>
      <c r="PES67" s="349"/>
      <c r="PET67" s="349"/>
      <c r="PEU67" s="349"/>
      <c r="PEV67" s="349"/>
      <c r="PEW67" s="349"/>
      <c r="PEX67" s="349"/>
      <c r="PEY67" s="349"/>
      <c r="PEZ67" s="349"/>
      <c r="PFA67" s="349"/>
      <c r="PFB67" s="349"/>
      <c r="PFC67" s="349"/>
      <c r="PFD67" s="349"/>
      <c r="PFE67" s="349"/>
      <c r="PFF67" s="349"/>
      <c r="PFG67" s="349"/>
      <c r="PFH67" s="349"/>
      <c r="PFI67" s="349"/>
      <c r="PFJ67" s="349"/>
      <c r="PFK67" s="349"/>
      <c r="PFL67" s="349"/>
      <c r="PFM67" s="349"/>
      <c r="PFN67" s="349"/>
      <c r="PFO67" s="349"/>
      <c r="PFP67" s="349"/>
      <c r="PFQ67" s="349"/>
      <c r="PFR67" s="349"/>
      <c r="PFS67" s="349"/>
      <c r="PFT67" s="349"/>
      <c r="PFU67" s="349"/>
      <c r="PFV67" s="349"/>
      <c r="PFW67" s="349"/>
      <c r="PFX67" s="349"/>
      <c r="PFY67" s="349"/>
      <c r="PFZ67" s="349"/>
      <c r="PGA67" s="349"/>
      <c r="PGB67" s="349"/>
      <c r="PGC67" s="349"/>
      <c r="PGD67" s="349"/>
      <c r="PGE67" s="349"/>
      <c r="PGF67" s="349"/>
      <c r="PGG67" s="349"/>
      <c r="PGH67" s="349"/>
      <c r="PGI67" s="349"/>
      <c r="PGJ67" s="349"/>
      <c r="PGK67" s="349"/>
      <c r="PGL67" s="349"/>
      <c r="PGM67" s="349"/>
      <c r="PGN67" s="349"/>
      <c r="PGO67" s="349"/>
      <c r="PGP67" s="349"/>
      <c r="PGQ67" s="349"/>
      <c r="PGR67" s="349"/>
      <c r="PGS67" s="349"/>
      <c r="PGT67" s="349"/>
      <c r="PGU67" s="349"/>
      <c r="PGV67" s="349"/>
      <c r="PGW67" s="349"/>
      <c r="PGX67" s="349"/>
      <c r="PGY67" s="349"/>
      <c r="PGZ67" s="349"/>
      <c r="PHA67" s="349"/>
      <c r="PHB67" s="349"/>
      <c r="PHC67" s="349"/>
      <c r="PHD67" s="349"/>
      <c r="PHE67" s="349"/>
      <c r="PHF67" s="349"/>
      <c r="PHG67" s="349"/>
      <c r="PHH67" s="349"/>
      <c r="PHI67" s="349"/>
      <c r="PHJ67" s="349"/>
      <c r="PHK67" s="349"/>
      <c r="PHL67" s="349"/>
      <c r="PHM67" s="349"/>
      <c r="PHN67" s="349"/>
      <c r="PHO67" s="349"/>
      <c r="PHP67" s="349"/>
      <c r="PHQ67" s="349"/>
      <c r="PHR67" s="349"/>
      <c r="PHS67" s="349"/>
      <c r="PHT67" s="349"/>
      <c r="PHU67" s="349"/>
      <c r="PHV67" s="349"/>
      <c r="PHW67" s="349"/>
      <c r="PHX67" s="349"/>
      <c r="PHY67" s="349"/>
      <c r="PHZ67" s="349"/>
      <c r="PIA67" s="349"/>
      <c r="PIB67" s="349"/>
      <c r="PIC67" s="349"/>
      <c r="PID67" s="349"/>
      <c r="PIE67" s="349"/>
      <c r="PIF67" s="349"/>
      <c r="PIG67" s="349"/>
      <c r="PIH67" s="349"/>
      <c r="PII67" s="349"/>
      <c r="PIJ67" s="349"/>
      <c r="PIK67" s="349"/>
      <c r="PIL67" s="349"/>
      <c r="PIM67" s="349"/>
      <c r="PIN67" s="349"/>
      <c r="PIO67" s="349"/>
      <c r="PIP67" s="349"/>
      <c r="PIQ67" s="349"/>
      <c r="PIR67" s="349"/>
      <c r="PIS67" s="349"/>
      <c r="PIT67" s="349"/>
      <c r="PIU67" s="349"/>
      <c r="PIV67" s="349"/>
      <c r="PIW67" s="349"/>
      <c r="PIX67" s="349"/>
      <c r="PIY67" s="349"/>
      <c r="PIZ67" s="349"/>
      <c r="PJA67" s="349"/>
      <c r="PJB67" s="349"/>
      <c r="PJC67" s="349"/>
      <c r="PJD67" s="349"/>
      <c r="PJE67" s="349"/>
      <c r="PJF67" s="349"/>
      <c r="PJG67" s="349"/>
      <c r="PJH67" s="349"/>
      <c r="PJI67" s="349"/>
      <c r="PJJ67" s="349"/>
      <c r="PJK67" s="349"/>
      <c r="PJL67" s="349"/>
      <c r="PJM67" s="349"/>
      <c r="PJN67" s="349"/>
      <c r="PJO67" s="349"/>
      <c r="PJP67" s="349"/>
      <c r="PJQ67" s="349"/>
      <c r="PJR67" s="349"/>
      <c r="PJS67" s="349"/>
      <c r="PJT67" s="349"/>
      <c r="PJU67" s="349"/>
      <c r="PJV67" s="349"/>
      <c r="PJW67" s="349"/>
      <c r="PJX67" s="349"/>
      <c r="PJY67" s="349"/>
      <c r="PJZ67" s="349"/>
      <c r="PKA67" s="349"/>
      <c r="PKB67" s="349"/>
      <c r="PKC67" s="349"/>
      <c r="PKD67" s="349"/>
      <c r="PKE67" s="349"/>
      <c r="PKF67" s="349"/>
      <c r="PKG67" s="349"/>
      <c r="PKH67" s="349"/>
      <c r="PKI67" s="349"/>
      <c r="PKJ67" s="349"/>
      <c r="PKK67" s="349"/>
      <c r="PKL67" s="349"/>
      <c r="PKM67" s="349"/>
      <c r="PKN67" s="349"/>
      <c r="PKO67" s="349"/>
      <c r="PKP67" s="349"/>
      <c r="PKQ67" s="349"/>
      <c r="PKR67" s="349"/>
      <c r="PKS67" s="349"/>
      <c r="PKT67" s="349"/>
      <c r="PKU67" s="349"/>
      <c r="PKV67" s="349"/>
      <c r="PKW67" s="349"/>
      <c r="PKX67" s="349"/>
      <c r="PKY67" s="349"/>
      <c r="PKZ67" s="349"/>
      <c r="PLA67" s="349"/>
      <c r="PLB67" s="349"/>
      <c r="PLC67" s="349"/>
      <c r="PLD67" s="349"/>
      <c r="PLE67" s="349"/>
      <c r="PLF67" s="349"/>
      <c r="PLG67" s="349"/>
      <c r="PLH67" s="349"/>
      <c r="PLI67" s="349"/>
      <c r="PLJ67" s="349"/>
      <c r="PLK67" s="349"/>
      <c r="PLL67" s="349"/>
      <c r="PLM67" s="349"/>
      <c r="PLN67" s="349"/>
      <c r="PLO67" s="349"/>
      <c r="PLP67" s="349"/>
      <c r="PLQ67" s="349"/>
      <c r="PLR67" s="349"/>
      <c r="PLS67" s="349"/>
      <c r="PLT67" s="349"/>
      <c r="PLU67" s="349"/>
      <c r="PLV67" s="349"/>
      <c r="PLW67" s="349"/>
      <c r="PLX67" s="349"/>
      <c r="PLY67" s="349"/>
      <c r="PLZ67" s="349"/>
      <c r="PMA67" s="349"/>
      <c r="PMB67" s="349"/>
      <c r="PMC67" s="349"/>
      <c r="PMD67" s="349"/>
      <c r="PME67" s="349"/>
      <c r="PMF67" s="349"/>
      <c r="PMG67" s="349"/>
      <c r="PMH67" s="349"/>
      <c r="PMI67" s="349"/>
      <c r="PMJ67" s="349"/>
      <c r="PMK67" s="349"/>
      <c r="PML67" s="349"/>
      <c r="PMM67" s="349"/>
      <c r="PMN67" s="349"/>
      <c r="PMO67" s="349"/>
      <c r="PMP67" s="349"/>
      <c r="PMQ67" s="349"/>
      <c r="PMR67" s="349"/>
      <c r="PMS67" s="349"/>
      <c r="PMT67" s="349"/>
      <c r="PMU67" s="349"/>
      <c r="PMV67" s="349"/>
      <c r="PMW67" s="349"/>
      <c r="PMX67" s="349"/>
      <c r="PMY67" s="349"/>
      <c r="PMZ67" s="349"/>
      <c r="PNA67" s="349"/>
      <c r="PNB67" s="349"/>
      <c r="PNC67" s="349"/>
      <c r="PND67" s="349"/>
      <c r="PNE67" s="349"/>
      <c r="PNF67" s="349"/>
      <c r="PNG67" s="349"/>
      <c r="PNH67" s="349"/>
      <c r="PNI67" s="349"/>
      <c r="PNJ67" s="349"/>
      <c r="PNK67" s="349"/>
      <c r="PNL67" s="349"/>
      <c r="PNM67" s="349"/>
      <c r="PNN67" s="349"/>
      <c r="PNO67" s="349"/>
      <c r="PNP67" s="349"/>
      <c r="PNQ67" s="349"/>
      <c r="PNR67" s="349"/>
      <c r="PNS67" s="349"/>
      <c r="PNT67" s="349"/>
      <c r="PNU67" s="349"/>
      <c r="PNV67" s="349"/>
      <c r="PNW67" s="349"/>
      <c r="PNX67" s="349"/>
      <c r="PNY67" s="349"/>
      <c r="PNZ67" s="349"/>
      <c r="POA67" s="349"/>
      <c r="POB67" s="349"/>
      <c r="POC67" s="349"/>
      <c r="POD67" s="349"/>
      <c r="POE67" s="349"/>
      <c r="POF67" s="349"/>
      <c r="POG67" s="349"/>
      <c r="POH67" s="349"/>
      <c r="POI67" s="349"/>
      <c r="POJ67" s="349"/>
      <c r="POK67" s="349"/>
      <c r="POL67" s="349"/>
      <c r="POM67" s="349"/>
      <c r="PON67" s="349"/>
      <c r="POO67" s="349"/>
      <c r="POP67" s="349"/>
      <c r="POQ67" s="349"/>
      <c r="POR67" s="349"/>
      <c r="POS67" s="349"/>
      <c r="POT67" s="349"/>
      <c r="POU67" s="349"/>
      <c r="POV67" s="349"/>
      <c r="POW67" s="349"/>
      <c r="POX67" s="349"/>
      <c r="POY67" s="349"/>
      <c r="POZ67" s="349"/>
      <c r="PPA67" s="349"/>
      <c r="PPB67" s="349"/>
      <c r="PPC67" s="349"/>
      <c r="PPD67" s="349"/>
      <c r="PPE67" s="349"/>
      <c r="PPF67" s="349"/>
      <c r="PPG67" s="349"/>
      <c r="PPH67" s="349"/>
      <c r="PPI67" s="349"/>
      <c r="PPJ67" s="349"/>
      <c r="PPK67" s="349"/>
      <c r="PPL67" s="349"/>
      <c r="PPM67" s="349"/>
      <c r="PPN67" s="349"/>
      <c r="PPO67" s="349"/>
      <c r="PPP67" s="349"/>
      <c r="PPQ67" s="349"/>
      <c r="PPR67" s="349"/>
      <c r="PPS67" s="349"/>
      <c r="PPT67" s="349"/>
      <c r="PPU67" s="349"/>
      <c r="PPV67" s="349"/>
      <c r="PPW67" s="349"/>
      <c r="PPX67" s="349"/>
      <c r="PPY67" s="349"/>
      <c r="PPZ67" s="349"/>
      <c r="PQA67" s="349"/>
      <c r="PQB67" s="349"/>
      <c r="PQC67" s="349"/>
      <c r="PQD67" s="349"/>
      <c r="PQE67" s="349"/>
      <c r="PQF67" s="349"/>
      <c r="PQG67" s="349"/>
      <c r="PQH67" s="349"/>
      <c r="PQI67" s="349"/>
      <c r="PQJ67" s="349"/>
      <c r="PQK67" s="349"/>
      <c r="PQL67" s="349"/>
      <c r="PQM67" s="349"/>
      <c r="PQN67" s="349"/>
      <c r="PQO67" s="349"/>
      <c r="PQP67" s="349"/>
      <c r="PQQ67" s="349"/>
      <c r="PQR67" s="349"/>
      <c r="PQS67" s="349"/>
      <c r="PQT67" s="349"/>
      <c r="PQU67" s="349"/>
      <c r="PQV67" s="349"/>
      <c r="PQW67" s="349"/>
      <c r="PQX67" s="349"/>
      <c r="PQY67" s="349"/>
      <c r="PQZ67" s="349"/>
      <c r="PRA67" s="349"/>
      <c r="PRB67" s="349"/>
      <c r="PRC67" s="349"/>
      <c r="PRD67" s="349"/>
      <c r="PRE67" s="349"/>
      <c r="PRF67" s="349"/>
      <c r="PRG67" s="349"/>
      <c r="PRH67" s="349"/>
      <c r="PRI67" s="349"/>
      <c r="PRJ67" s="349"/>
      <c r="PRK67" s="349"/>
      <c r="PRL67" s="349"/>
      <c r="PRM67" s="349"/>
      <c r="PRN67" s="349"/>
      <c r="PRO67" s="349"/>
      <c r="PRP67" s="349"/>
      <c r="PRQ67" s="349"/>
      <c r="PRR67" s="349"/>
      <c r="PRS67" s="349"/>
      <c r="PRT67" s="349"/>
      <c r="PRU67" s="349"/>
      <c r="PRV67" s="349"/>
      <c r="PRW67" s="349"/>
      <c r="PRX67" s="349"/>
      <c r="PRY67" s="349"/>
      <c r="PRZ67" s="349"/>
      <c r="PSA67" s="349"/>
      <c r="PSB67" s="349"/>
      <c r="PSC67" s="349"/>
      <c r="PSD67" s="349"/>
      <c r="PSE67" s="349"/>
      <c r="PSF67" s="349"/>
      <c r="PSG67" s="349"/>
      <c r="PSH67" s="349"/>
      <c r="PSI67" s="349"/>
      <c r="PSJ67" s="349"/>
      <c r="PSK67" s="349"/>
      <c r="PSL67" s="349"/>
      <c r="PSM67" s="349"/>
      <c r="PSN67" s="349"/>
      <c r="PSO67" s="349"/>
      <c r="PSP67" s="349"/>
      <c r="PSQ67" s="349"/>
      <c r="PSR67" s="349"/>
      <c r="PSS67" s="349"/>
      <c r="PST67" s="349"/>
      <c r="PSU67" s="349"/>
      <c r="PSV67" s="349"/>
      <c r="PSW67" s="349"/>
      <c r="PSX67" s="349"/>
      <c r="PSY67" s="349"/>
      <c r="PSZ67" s="349"/>
      <c r="PTA67" s="349"/>
      <c r="PTB67" s="349"/>
      <c r="PTC67" s="349"/>
      <c r="PTD67" s="349"/>
      <c r="PTE67" s="349"/>
      <c r="PTF67" s="349"/>
      <c r="PTG67" s="349"/>
      <c r="PTH67" s="349"/>
      <c r="PTI67" s="349"/>
      <c r="PTJ67" s="349"/>
      <c r="PTK67" s="349"/>
      <c r="PTL67" s="349"/>
      <c r="PTM67" s="349"/>
      <c r="PTN67" s="349"/>
      <c r="PTO67" s="349"/>
      <c r="PTP67" s="349"/>
      <c r="PTQ67" s="349"/>
      <c r="PTR67" s="349"/>
      <c r="PTS67" s="349"/>
      <c r="PTT67" s="349"/>
      <c r="PTU67" s="349"/>
      <c r="PTV67" s="349"/>
      <c r="PTW67" s="349"/>
      <c r="PTX67" s="349"/>
      <c r="PTY67" s="349"/>
      <c r="PTZ67" s="349"/>
      <c r="PUA67" s="349"/>
      <c r="PUB67" s="349"/>
      <c r="PUC67" s="349"/>
      <c r="PUD67" s="349"/>
      <c r="PUE67" s="349"/>
      <c r="PUF67" s="349"/>
      <c r="PUG67" s="349"/>
      <c r="PUH67" s="349"/>
      <c r="PUI67" s="349"/>
      <c r="PUJ67" s="349"/>
      <c r="PUK67" s="349"/>
      <c r="PUL67" s="349"/>
      <c r="PUM67" s="349"/>
      <c r="PUN67" s="349"/>
      <c r="PUO67" s="349"/>
      <c r="PUP67" s="349"/>
      <c r="PUQ67" s="349"/>
      <c r="PUR67" s="349"/>
      <c r="PUS67" s="349"/>
      <c r="PUT67" s="349"/>
      <c r="PUU67" s="349"/>
      <c r="PUV67" s="349"/>
      <c r="PUW67" s="349"/>
      <c r="PUX67" s="349"/>
      <c r="PUY67" s="349"/>
      <c r="PUZ67" s="349"/>
      <c r="PVA67" s="349"/>
      <c r="PVB67" s="349"/>
      <c r="PVC67" s="349"/>
      <c r="PVD67" s="349"/>
      <c r="PVE67" s="349"/>
      <c r="PVF67" s="349"/>
      <c r="PVG67" s="349"/>
      <c r="PVH67" s="349"/>
      <c r="PVI67" s="349"/>
      <c r="PVJ67" s="349"/>
      <c r="PVK67" s="349"/>
      <c r="PVL67" s="349"/>
      <c r="PVM67" s="349"/>
      <c r="PVN67" s="349"/>
      <c r="PVO67" s="349"/>
      <c r="PVP67" s="349"/>
      <c r="PVQ67" s="349"/>
      <c r="PVR67" s="349"/>
      <c r="PVS67" s="349"/>
      <c r="PVT67" s="349"/>
      <c r="PVU67" s="349"/>
      <c r="PVV67" s="349"/>
      <c r="PVW67" s="349"/>
      <c r="PVX67" s="349"/>
      <c r="PVY67" s="349"/>
      <c r="PVZ67" s="349"/>
      <c r="PWA67" s="349"/>
      <c r="PWB67" s="349"/>
      <c r="PWC67" s="349"/>
      <c r="PWD67" s="349"/>
      <c r="PWE67" s="349"/>
      <c r="PWF67" s="349"/>
      <c r="PWG67" s="349"/>
      <c r="PWH67" s="349"/>
      <c r="PWI67" s="349"/>
      <c r="PWJ67" s="349"/>
      <c r="PWK67" s="349"/>
      <c r="PWL67" s="349"/>
      <c r="PWM67" s="349"/>
      <c r="PWN67" s="349"/>
      <c r="PWO67" s="349"/>
      <c r="PWP67" s="349"/>
      <c r="PWQ67" s="349"/>
      <c r="PWR67" s="349"/>
      <c r="PWS67" s="349"/>
      <c r="PWT67" s="349"/>
      <c r="PWU67" s="349"/>
      <c r="PWV67" s="349"/>
      <c r="PWW67" s="349"/>
      <c r="PWX67" s="349"/>
      <c r="PWY67" s="349"/>
      <c r="PWZ67" s="349"/>
      <c r="PXA67" s="349"/>
      <c r="PXB67" s="349"/>
      <c r="PXC67" s="349"/>
      <c r="PXD67" s="349"/>
      <c r="PXE67" s="349"/>
      <c r="PXF67" s="349"/>
      <c r="PXG67" s="349"/>
      <c r="PXH67" s="349"/>
      <c r="PXI67" s="349"/>
      <c r="PXJ67" s="349"/>
      <c r="PXK67" s="349"/>
      <c r="PXL67" s="349"/>
      <c r="PXM67" s="349"/>
      <c r="PXN67" s="349"/>
      <c r="PXO67" s="349"/>
      <c r="PXP67" s="349"/>
      <c r="PXQ67" s="349"/>
      <c r="PXR67" s="349"/>
      <c r="PXS67" s="349"/>
      <c r="PXT67" s="349"/>
      <c r="PXU67" s="349"/>
      <c r="PXV67" s="349"/>
      <c r="PXW67" s="349"/>
      <c r="PXX67" s="349"/>
      <c r="PXY67" s="349"/>
      <c r="PXZ67" s="349"/>
      <c r="PYA67" s="349"/>
      <c r="PYB67" s="349"/>
      <c r="PYC67" s="349"/>
      <c r="PYD67" s="349"/>
      <c r="PYE67" s="349"/>
      <c r="PYF67" s="349"/>
      <c r="PYG67" s="349"/>
      <c r="PYH67" s="349"/>
      <c r="PYI67" s="349"/>
      <c r="PYJ67" s="349"/>
      <c r="PYK67" s="349"/>
      <c r="PYL67" s="349"/>
      <c r="PYM67" s="349"/>
      <c r="PYN67" s="349"/>
      <c r="PYO67" s="349"/>
      <c r="PYP67" s="349"/>
      <c r="PYQ67" s="349"/>
      <c r="PYR67" s="349"/>
      <c r="PYS67" s="349"/>
      <c r="PYT67" s="349"/>
      <c r="PYU67" s="349"/>
      <c r="PYV67" s="349"/>
      <c r="PYW67" s="349"/>
      <c r="PYX67" s="349"/>
      <c r="PYY67" s="349"/>
      <c r="PYZ67" s="349"/>
      <c r="PZA67" s="349"/>
      <c r="PZB67" s="349"/>
      <c r="PZC67" s="349"/>
      <c r="PZD67" s="349"/>
      <c r="PZE67" s="349"/>
      <c r="PZF67" s="349"/>
      <c r="PZG67" s="349"/>
      <c r="PZH67" s="349"/>
      <c r="PZI67" s="349"/>
      <c r="PZJ67" s="349"/>
      <c r="PZK67" s="349"/>
      <c r="PZL67" s="349"/>
      <c r="PZM67" s="349"/>
      <c r="PZN67" s="349"/>
      <c r="PZO67" s="349"/>
      <c r="PZP67" s="349"/>
      <c r="PZQ67" s="349"/>
      <c r="PZR67" s="349"/>
      <c r="PZS67" s="349"/>
      <c r="PZT67" s="349"/>
      <c r="PZU67" s="349"/>
      <c r="PZV67" s="349"/>
      <c r="PZW67" s="349"/>
      <c r="PZX67" s="349"/>
      <c r="PZY67" s="349"/>
      <c r="PZZ67" s="349"/>
      <c r="QAA67" s="349"/>
      <c r="QAB67" s="349"/>
      <c r="QAC67" s="349"/>
      <c r="QAD67" s="349"/>
      <c r="QAE67" s="349"/>
      <c r="QAF67" s="349"/>
      <c r="QAG67" s="349"/>
      <c r="QAH67" s="349"/>
      <c r="QAI67" s="349"/>
      <c r="QAJ67" s="349"/>
      <c r="QAK67" s="349"/>
      <c r="QAL67" s="349"/>
      <c r="QAM67" s="349"/>
      <c r="QAN67" s="349"/>
      <c r="QAO67" s="349"/>
      <c r="QAP67" s="349"/>
      <c r="QAQ67" s="349"/>
      <c r="QAR67" s="349"/>
      <c r="QAS67" s="349"/>
      <c r="QAT67" s="349"/>
      <c r="QAU67" s="349"/>
      <c r="QAV67" s="349"/>
      <c r="QAW67" s="349"/>
      <c r="QAX67" s="349"/>
      <c r="QAY67" s="349"/>
      <c r="QAZ67" s="349"/>
      <c r="QBA67" s="349"/>
      <c r="QBB67" s="349"/>
      <c r="QBC67" s="349"/>
      <c r="QBD67" s="349"/>
      <c r="QBE67" s="349"/>
      <c r="QBF67" s="349"/>
      <c r="QBG67" s="349"/>
      <c r="QBH67" s="349"/>
      <c r="QBI67" s="349"/>
      <c r="QBJ67" s="349"/>
      <c r="QBK67" s="349"/>
      <c r="QBL67" s="349"/>
      <c r="QBM67" s="349"/>
      <c r="QBN67" s="349"/>
      <c r="QBO67" s="349"/>
      <c r="QBP67" s="349"/>
      <c r="QBQ67" s="349"/>
      <c r="QBR67" s="349"/>
      <c r="QBS67" s="349"/>
      <c r="QBT67" s="349"/>
      <c r="QBU67" s="349"/>
      <c r="QBV67" s="349"/>
      <c r="QBW67" s="349"/>
      <c r="QBX67" s="349"/>
      <c r="QBY67" s="349"/>
      <c r="QBZ67" s="349"/>
      <c r="QCA67" s="349"/>
      <c r="QCB67" s="349"/>
      <c r="QCC67" s="349"/>
      <c r="QCD67" s="349"/>
      <c r="QCE67" s="349"/>
      <c r="QCF67" s="349"/>
      <c r="QCG67" s="349"/>
      <c r="QCH67" s="349"/>
      <c r="QCI67" s="349"/>
      <c r="QCJ67" s="349"/>
      <c r="QCK67" s="349"/>
      <c r="QCL67" s="349"/>
      <c r="QCM67" s="349"/>
      <c r="QCN67" s="349"/>
      <c r="QCO67" s="349"/>
      <c r="QCP67" s="349"/>
      <c r="QCQ67" s="349"/>
      <c r="QCR67" s="349"/>
      <c r="QCS67" s="349"/>
      <c r="QCT67" s="349"/>
      <c r="QCU67" s="349"/>
      <c r="QCV67" s="349"/>
      <c r="QCW67" s="349"/>
      <c r="QCX67" s="349"/>
      <c r="QCY67" s="349"/>
      <c r="QCZ67" s="349"/>
      <c r="QDA67" s="349"/>
      <c r="QDB67" s="349"/>
      <c r="QDC67" s="349"/>
      <c r="QDD67" s="349"/>
      <c r="QDE67" s="349"/>
      <c r="QDF67" s="349"/>
      <c r="QDG67" s="349"/>
      <c r="QDH67" s="349"/>
      <c r="QDI67" s="349"/>
      <c r="QDJ67" s="349"/>
      <c r="QDK67" s="349"/>
      <c r="QDL67" s="349"/>
      <c r="QDM67" s="349"/>
      <c r="QDN67" s="349"/>
      <c r="QDO67" s="349"/>
      <c r="QDP67" s="349"/>
      <c r="QDQ67" s="349"/>
      <c r="QDR67" s="349"/>
      <c r="QDS67" s="349"/>
      <c r="QDT67" s="349"/>
      <c r="QDU67" s="349"/>
      <c r="QDV67" s="349"/>
      <c r="QDW67" s="349"/>
      <c r="QDX67" s="349"/>
      <c r="QDY67" s="349"/>
      <c r="QDZ67" s="349"/>
      <c r="QEA67" s="349"/>
      <c r="QEB67" s="349"/>
      <c r="QEC67" s="349"/>
      <c r="QED67" s="349"/>
      <c r="QEE67" s="349"/>
      <c r="QEF67" s="349"/>
      <c r="QEG67" s="349"/>
      <c r="QEH67" s="349"/>
      <c r="QEI67" s="349"/>
      <c r="QEJ67" s="349"/>
      <c r="QEK67" s="349"/>
      <c r="QEL67" s="349"/>
      <c r="QEM67" s="349"/>
      <c r="QEN67" s="349"/>
      <c r="QEO67" s="349"/>
      <c r="QEP67" s="349"/>
      <c r="QEQ67" s="349"/>
      <c r="QER67" s="349"/>
      <c r="QES67" s="349"/>
      <c r="QET67" s="349"/>
      <c r="QEU67" s="349"/>
      <c r="QEV67" s="349"/>
      <c r="QEW67" s="349"/>
      <c r="QEX67" s="349"/>
      <c r="QEY67" s="349"/>
      <c r="QEZ67" s="349"/>
      <c r="QFA67" s="349"/>
      <c r="QFB67" s="349"/>
      <c r="QFC67" s="349"/>
      <c r="QFD67" s="349"/>
      <c r="QFE67" s="349"/>
      <c r="QFF67" s="349"/>
      <c r="QFG67" s="349"/>
      <c r="QFH67" s="349"/>
      <c r="QFI67" s="349"/>
      <c r="QFJ67" s="349"/>
      <c r="QFK67" s="349"/>
      <c r="QFL67" s="349"/>
      <c r="QFM67" s="349"/>
      <c r="QFN67" s="349"/>
      <c r="QFO67" s="349"/>
      <c r="QFP67" s="349"/>
      <c r="QFQ67" s="349"/>
      <c r="QFR67" s="349"/>
      <c r="QFS67" s="349"/>
      <c r="QFT67" s="349"/>
      <c r="QFU67" s="349"/>
      <c r="QFV67" s="349"/>
      <c r="QFW67" s="349"/>
      <c r="QFX67" s="349"/>
      <c r="QFY67" s="349"/>
      <c r="QFZ67" s="349"/>
      <c r="QGA67" s="349"/>
      <c r="QGB67" s="349"/>
      <c r="QGC67" s="349"/>
      <c r="QGD67" s="349"/>
      <c r="QGE67" s="349"/>
      <c r="QGF67" s="349"/>
      <c r="QGG67" s="349"/>
      <c r="QGH67" s="349"/>
      <c r="QGI67" s="349"/>
      <c r="QGJ67" s="349"/>
      <c r="QGK67" s="349"/>
      <c r="QGL67" s="349"/>
      <c r="QGM67" s="349"/>
      <c r="QGN67" s="349"/>
      <c r="QGO67" s="349"/>
      <c r="QGP67" s="349"/>
      <c r="QGQ67" s="349"/>
      <c r="QGR67" s="349"/>
      <c r="QGS67" s="349"/>
      <c r="QGT67" s="349"/>
      <c r="QGU67" s="349"/>
      <c r="QGV67" s="349"/>
      <c r="QGW67" s="349"/>
      <c r="QGX67" s="349"/>
      <c r="QGY67" s="349"/>
      <c r="QGZ67" s="349"/>
      <c r="QHA67" s="349"/>
      <c r="QHB67" s="349"/>
      <c r="QHC67" s="349"/>
      <c r="QHD67" s="349"/>
      <c r="QHE67" s="349"/>
      <c r="QHF67" s="349"/>
      <c r="QHG67" s="349"/>
      <c r="QHH67" s="349"/>
      <c r="QHI67" s="349"/>
      <c r="QHJ67" s="349"/>
      <c r="QHK67" s="349"/>
      <c r="QHL67" s="349"/>
      <c r="QHM67" s="349"/>
      <c r="QHN67" s="349"/>
      <c r="QHO67" s="349"/>
      <c r="QHP67" s="349"/>
      <c r="QHQ67" s="349"/>
      <c r="QHR67" s="349"/>
      <c r="QHS67" s="349"/>
      <c r="QHT67" s="349"/>
      <c r="QHU67" s="349"/>
      <c r="QHV67" s="349"/>
      <c r="QHW67" s="349"/>
      <c r="QHX67" s="349"/>
      <c r="QHY67" s="349"/>
      <c r="QHZ67" s="349"/>
      <c r="QIA67" s="349"/>
      <c r="QIB67" s="349"/>
      <c r="QIC67" s="349"/>
      <c r="QID67" s="349"/>
      <c r="QIE67" s="349"/>
      <c r="QIF67" s="349"/>
      <c r="QIG67" s="349"/>
      <c r="QIH67" s="349"/>
      <c r="QII67" s="349"/>
      <c r="QIJ67" s="349"/>
      <c r="QIK67" s="349"/>
      <c r="QIL67" s="349"/>
      <c r="QIM67" s="349"/>
      <c r="QIN67" s="349"/>
      <c r="QIO67" s="349"/>
      <c r="QIP67" s="349"/>
      <c r="QIQ67" s="349"/>
      <c r="QIR67" s="349"/>
      <c r="QIS67" s="349"/>
      <c r="QIT67" s="349"/>
      <c r="QIU67" s="349"/>
      <c r="QIV67" s="349"/>
      <c r="QIW67" s="349"/>
      <c r="QIX67" s="349"/>
      <c r="QIY67" s="349"/>
      <c r="QIZ67" s="349"/>
      <c r="QJA67" s="349"/>
      <c r="QJB67" s="349"/>
      <c r="QJC67" s="349"/>
      <c r="QJD67" s="349"/>
      <c r="QJE67" s="349"/>
      <c r="QJF67" s="349"/>
      <c r="QJG67" s="349"/>
      <c r="QJH67" s="349"/>
      <c r="QJI67" s="349"/>
      <c r="QJJ67" s="349"/>
      <c r="QJK67" s="349"/>
      <c r="QJL67" s="349"/>
      <c r="QJM67" s="349"/>
      <c r="QJN67" s="349"/>
      <c r="QJO67" s="349"/>
      <c r="QJP67" s="349"/>
      <c r="QJQ67" s="349"/>
      <c r="QJR67" s="349"/>
      <c r="QJS67" s="349"/>
      <c r="QJT67" s="349"/>
      <c r="QJU67" s="349"/>
      <c r="QJV67" s="349"/>
      <c r="QJW67" s="349"/>
      <c r="QJX67" s="349"/>
      <c r="QJY67" s="349"/>
      <c r="QJZ67" s="349"/>
      <c r="QKA67" s="349"/>
      <c r="QKB67" s="349"/>
      <c r="QKC67" s="349"/>
      <c r="QKD67" s="349"/>
      <c r="QKE67" s="349"/>
      <c r="QKF67" s="349"/>
      <c r="QKG67" s="349"/>
      <c r="QKH67" s="349"/>
      <c r="QKI67" s="349"/>
      <c r="QKJ67" s="349"/>
      <c r="QKK67" s="349"/>
      <c r="QKL67" s="349"/>
      <c r="QKM67" s="349"/>
      <c r="QKN67" s="349"/>
      <c r="QKO67" s="349"/>
      <c r="QKP67" s="349"/>
      <c r="QKQ67" s="349"/>
      <c r="QKR67" s="349"/>
      <c r="QKS67" s="349"/>
      <c r="QKT67" s="349"/>
      <c r="QKU67" s="349"/>
      <c r="QKV67" s="349"/>
      <c r="QKW67" s="349"/>
      <c r="QKX67" s="349"/>
      <c r="QKY67" s="349"/>
      <c r="QKZ67" s="349"/>
      <c r="QLA67" s="349"/>
      <c r="QLB67" s="349"/>
      <c r="QLC67" s="349"/>
      <c r="QLD67" s="349"/>
      <c r="QLE67" s="349"/>
      <c r="QLF67" s="349"/>
      <c r="QLG67" s="349"/>
      <c r="QLH67" s="349"/>
      <c r="QLI67" s="349"/>
      <c r="QLJ67" s="349"/>
      <c r="QLK67" s="349"/>
      <c r="QLL67" s="349"/>
      <c r="QLM67" s="349"/>
      <c r="QLN67" s="349"/>
      <c r="QLO67" s="349"/>
      <c r="QLP67" s="349"/>
      <c r="QLQ67" s="349"/>
      <c r="QLR67" s="349"/>
      <c r="QLS67" s="349"/>
      <c r="QLT67" s="349"/>
      <c r="QLU67" s="349"/>
      <c r="QLV67" s="349"/>
      <c r="QLW67" s="349"/>
      <c r="QLX67" s="349"/>
      <c r="QLY67" s="349"/>
      <c r="QLZ67" s="349"/>
      <c r="QMA67" s="349"/>
      <c r="QMB67" s="349"/>
      <c r="QMC67" s="349"/>
      <c r="QMD67" s="349"/>
      <c r="QME67" s="349"/>
      <c r="QMF67" s="349"/>
      <c r="QMG67" s="349"/>
      <c r="QMH67" s="349"/>
      <c r="QMI67" s="349"/>
      <c r="QMJ67" s="349"/>
      <c r="QMK67" s="349"/>
      <c r="QML67" s="349"/>
      <c r="QMM67" s="349"/>
      <c r="QMN67" s="349"/>
      <c r="QMO67" s="349"/>
      <c r="QMP67" s="349"/>
      <c r="QMQ67" s="349"/>
      <c r="QMR67" s="349"/>
      <c r="QMS67" s="349"/>
      <c r="QMT67" s="349"/>
      <c r="QMU67" s="349"/>
      <c r="QMV67" s="349"/>
      <c r="QMW67" s="349"/>
      <c r="QMX67" s="349"/>
      <c r="QMY67" s="349"/>
      <c r="QMZ67" s="349"/>
      <c r="QNA67" s="349"/>
      <c r="QNB67" s="349"/>
      <c r="QNC67" s="349"/>
      <c r="QND67" s="349"/>
      <c r="QNE67" s="349"/>
      <c r="QNF67" s="349"/>
      <c r="QNG67" s="349"/>
      <c r="QNH67" s="349"/>
      <c r="QNI67" s="349"/>
      <c r="QNJ67" s="349"/>
      <c r="QNK67" s="349"/>
      <c r="QNL67" s="349"/>
      <c r="QNM67" s="349"/>
      <c r="QNN67" s="349"/>
      <c r="QNO67" s="349"/>
      <c r="QNP67" s="349"/>
      <c r="QNQ67" s="349"/>
      <c r="QNR67" s="349"/>
      <c r="QNS67" s="349"/>
      <c r="QNT67" s="349"/>
      <c r="QNU67" s="349"/>
      <c r="QNV67" s="349"/>
      <c r="QNW67" s="349"/>
      <c r="QNX67" s="349"/>
      <c r="QNY67" s="349"/>
      <c r="QNZ67" s="349"/>
      <c r="QOA67" s="349"/>
      <c r="QOB67" s="349"/>
      <c r="QOC67" s="349"/>
      <c r="QOD67" s="349"/>
      <c r="QOE67" s="349"/>
      <c r="QOF67" s="349"/>
      <c r="QOG67" s="349"/>
      <c r="QOH67" s="349"/>
      <c r="QOI67" s="349"/>
      <c r="QOJ67" s="349"/>
      <c r="QOK67" s="349"/>
      <c r="QOL67" s="349"/>
      <c r="QOM67" s="349"/>
      <c r="QON67" s="349"/>
      <c r="QOO67" s="349"/>
      <c r="QOP67" s="349"/>
      <c r="QOQ67" s="349"/>
      <c r="QOR67" s="349"/>
      <c r="QOS67" s="349"/>
      <c r="QOT67" s="349"/>
      <c r="QOU67" s="349"/>
      <c r="QOV67" s="349"/>
      <c r="QOW67" s="349"/>
      <c r="QOX67" s="349"/>
      <c r="QOY67" s="349"/>
      <c r="QOZ67" s="349"/>
      <c r="QPA67" s="349"/>
      <c r="QPB67" s="349"/>
      <c r="QPC67" s="349"/>
      <c r="QPD67" s="349"/>
      <c r="QPE67" s="349"/>
      <c r="QPF67" s="349"/>
      <c r="QPG67" s="349"/>
      <c r="QPH67" s="349"/>
      <c r="QPI67" s="349"/>
      <c r="QPJ67" s="349"/>
      <c r="QPK67" s="349"/>
      <c r="QPL67" s="349"/>
      <c r="QPM67" s="349"/>
      <c r="QPN67" s="349"/>
      <c r="QPO67" s="349"/>
      <c r="QPP67" s="349"/>
      <c r="QPQ67" s="349"/>
      <c r="QPR67" s="349"/>
      <c r="QPS67" s="349"/>
      <c r="QPT67" s="349"/>
      <c r="QPU67" s="349"/>
      <c r="QPV67" s="349"/>
      <c r="QPW67" s="349"/>
      <c r="QPX67" s="349"/>
      <c r="QPY67" s="349"/>
      <c r="QPZ67" s="349"/>
      <c r="QQA67" s="349"/>
      <c r="QQB67" s="349"/>
      <c r="QQC67" s="349"/>
      <c r="QQD67" s="349"/>
      <c r="QQE67" s="349"/>
      <c r="QQF67" s="349"/>
      <c r="QQG67" s="349"/>
      <c r="QQH67" s="349"/>
      <c r="QQI67" s="349"/>
      <c r="QQJ67" s="349"/>
      <c r="QQK67" s="349"/>
      <c r="QQL67" s="349"/>
      <c r="QQM67" s="349"/>
      <c r="QQN67" s="349"/>
      <c r="QQO67" s="349"/>
      <c r="QQP67" s="349"/>
      <c r="QQQ67" s="349"/>
      <c r="QQR67" s="349"/>
      <c r="QQS67" s="349"/>
      <c r="QQT67" s="349"/>
      <c r="QQU67" s="349"/>
      <c r="QQV67" s="349"/>
      <c r="QQW67" s="349"/>
      <c r="QQX67" s="349"/>
      <c r="QQY67" s="349"/>
      <c r="QQZ67" s="349"/>
      <c r="QRA67" s="349"/>
      <c r="QRB67" s="349"/>
      <c r="QRC67" s="349"/>
      <c r="QRD67" s="349"/>
      <c r="QRE67" s="349"/>
      <c r="QRF67" s="349"/>
      <c r="QRG67" s="349"/>
      <c r="QRH67" s="349"/>
      <c r="QRI67" s="349"/>
      <c r="QRJ67" s="349"/>
      <c r="QRK67" s="349"/>
      <c r="QRL67" s="349"/>
      <c r="QRM67" s="349"/>
      <c r="QRN67" s="349"/>
      <c r="QRO67" s="349"/>
      <c r="QRP67" s="349"/>
      <c r="QRQ67" s="349"/>
      <c r="QRR67" s="349"/>
      <c r="QRS67" s="349"/>
      <c r="QRT67" s="349"/>
      <c r="QRU67" s="349"/>
      <c r="QRV67" s="349"/>
      <c r="QRW67" s="349"/>
      <c r="QRX67" s="349"/>
      <c r="QRY67" s="349"/>
      <c r="QRZ67" s="349"/>
      <c r="QSA67" s="349"/>
      <c r="QSB67" s="349"/>
      <c r="QSC67" s="349"/>
      <c r="QSD67" s="349"/>
      <c r="QSE67" s="349"/>
      <c r="QSF67" s="349"/>
      <c r="QSG67" s="349"/>
      <c r="QSH67" s="349"/>
      <c r="QSI67" s="349"/>
      <c r="QSJ67" s="349"/>
      <c r="QSK67" s="349"/>
      <c r="QSL67" s="349"/>
      <c r="QSM67" s="349"/>
      <c r="QSN67" s="349"/>
      <c r="QSO67" s="349"/>
      <c r="QSP67" s="349"/>
      <c r="QSQ67" s="349"/>
      <c r="QSR67" s="349"/>
      <c r="QSS67" s="349"/>
      <c r="QST67" s="349"/>
      <c r="QSU67" s="349"/>
      <c r="QSV67" s="349"/>
      <c r="QSW67" s="349"/>
      <c r="QSX67" s="349"/>
      <c r="QSY67" s="349"/>
      <c r="QSZ67" s="349"/>
      <c r="QTA67" s="349"/>
      <c r="QTB67" s="349"/>
      <c r="QTC67" s="349"/>
      <c r="QTD67" s="349"/>
      <c r="QTE67" s="349"/>
      <c r="QTF67" s="349"/>
      <c r="QTG67" s="349"/>
      <c r="QTH67" s="349"/>
      <c r="QTI67" s="349"/>
      <c r="QTJ67" s="349"/>
      <c r="QTK67" s="349"/>
      <c r="QTL67" s="349"/>
      <c r="QTM67" s="349"/>
      <c r="QTN67" s="349"/>
      <c r="QTO67" s="349"/>
      <c r="QTP67" s="349"/>
      <c r="QTQ67" s="349"/>
      <c r="QTR67" s="349"/>
      <c r="QTS67" s="349"/>
      <c r="QTT67" s="349"/>
      <c r="QTU67" s="349"/>
      <c r="QTV67" s="349"/>
      <c r="QTW67" s="349"/>
      <c r="QTX67" s="349"/>
      <c r="QTY67" s="349"/>
      <c r="QTZ67" s="349"/>
      <c r="QUA67" s="349"/>
      <c r="QUB67" s="349"/>
      <c r="QUC67" s="349"/>
      <c r="QUD67" s="349"/>
      <c r="QUE67" s="349"/>
      <c r="QUF67" s="349"/>
      <c r="QUG67" s="349"/>
      <c r="QUH67" s="349"/>
      <c r="QUI67" s="349"/>
      <c r="QUJ67" s="349"/>
      <c r="QUK67" s="349"/>
      <c r="QUL67" s="349"/>
      <c r="QUM67" s="349"/>
      <c r="QUN67" s="349"/>
      <c r="QUO67" s="349"/>
      <c r="QUP67" s="349"/>
      <c r="QUQ67" s="349"/>
      <c r="QUR67" s="349"/>
      <c r="QUS67" s="349"/>
      <c r="QUT67" s="349"/>
      <c r="QUU67" s="349"/>
      <c r="QUV67" s="349"/>
      <c r="QUW67" s="349"/>
      <c r="QUX67" s="349"/>
      <c r="QUY67" s="349"/>
      <c r="QUZ67" s="349"/>
      <c r="QVA67" s="349"/>
      <c r="QVB67" s="349"/>
      <c r="QVC67" s="349"/>
      <c r="QVD67" s="349"/>
      <c r="QVE67" s="349"/>
      <c r="QVF67" s="349"/>
      <c r="QVG67" s="349"/>
      <c r="QVH67" s="349"/>
      <c r="QVI67" s="349"/>
      <c r="QVJ67" s="349"/>
      <c r="QVK67" s="349"/>
      <c r="QVL67" s="349"/>
      <c r="QVM67" s="349"/>
      <c r="QVN67" s="349"/>
      <c r="QVO67" s="349"/>
      <c r="QVP67" s="349"/>
      <c r="QVQ67" s="349"/>
      <c r="QVR67" s="349"/>
      <c r="QVS67" s="349"/>
      <c r="QVT67" s="349"/>
      <c r="QVU67" s="349"/>
      <c r="QVV67" s="349"/>
      <c r="QVW67" s="349"/>
      <c r="QVX67" s="349"/>
      <c r="QVY67" s="349"/>
      <c r="QVZ67" s="349"/>
      <c r="QWA67" s="349"/>
      <c r="QWB67" s="349"/>
      <c r="QWC67" s="349"/>
      <c r="QWD67" s="349"/>
      <c r="QWE67" s="349"/>
      <c r="QWF67" s="349"/>
      <c r="QWG67" s="349"/>
      <c r="QWH67" s="349"/>
      <c r="QWI67" s="349"/>
      <c r="QWJ67" s="349"/>
      <c r="QWK67" s="349"/>
      <c r="QWL67" s="349"/>
      <c r="QWM67" s="349"/>
      <c r="QWN67" s="349"/>
      <c r="QWO67" s="349"/>
      <c r="QWP67" s="349"/>
      <c r="QWQ67" s="349"/>
      <c r="QWR67" s="349"/>
      <c r="QWS67" s="349"/>
      <c r="QWT67" s="349"/>
      <c r="QWU67" s="349"/>
      <c r="QWV67" s="349"/>
      <c r="QWW67" s="349"/>
      <c r="QWX67" s="349"/>
      <c r="QWY67" s="349"/>
      <c r="QWZ67" s="349"/>
      <c r="QXA67" s="349"/>
      <c r="QXB67" s="349"/>
      <c r="QXC67" s="349"/>
      <c r="QXD67" s="349"/>
      <c r="QXE67" s="349"/>
      <c r="QXF67" s="349"/>
      <c r="QXG67" s="349"/>
      <c r="QXH67" s="349"/>
      <c r="QXI67" s="349"/>
      <c r="QXJ67" s="349"/>
      <c r="QXK67" s="349"/>
      <c r="QXL67" s="349"/>
      <c r="QXM67" s="349"/>
      <c r="QXN67" s="349"/>
      <c r="QXO67" s="349"/>
      <c r="QXP67" s="349"/>
      <c r="QXQ67" s="349"/>
      <c r="QXR67" s="349"/>
      <c r="QXS67" s="349"/>
      <c r="QXT67" s="349"/>
      <c r="QXU67" s="349"/>
      <c r="QXV67" s="349"/>
      <c r="QXW67" s="349"/>
      <c r="QXX67" s="349"/>
      <c r="QXY67" s="349"/>
      <c r="QXZ67" s="349"/>
      <c r="QYA67" s="349"/>
      <c r="QYB67" s="349"/>
      <c r="QYC67" s="349"/>
      <c r="QYD67" s="349"/>
      <c r="QYE67" s="349"/>
      <c r="QYF67" s="349"/>
      <c r="QYG67" s="349"/>
      <c r="QYH67" s="349"/>
      <c r="QYI67" s="349"/>
      <c r="QYJ67" s="349"/>
      <c r="QYK67" s="349"/>
      <c r="QYL67" s="349"/>
      <c r="QYM67" s="349"/>
      <c r="QYN67" s="349"/>
      <c r="QYO67" s="349"/>
      <c r="QYP67" s="349"/>
      <c r="QYQ67" s="349"/>
      <c r="QYR67" s="349"/>
      <c r="QYS67" s="349"/>
      <c r="QYT67" s="349"/>
      <c r="QYU67" s="349"/>
      <c r="QYV67" s="349"/>
      <c r="QYW67" s="349"/>
      <c r="QYX67" s="349"/>
      <c r="QYY67" s="349"/>
      <c r="QYZ67" s="349"/>
      <c r="QZA67" s="349"/>
      <c r="QZB67" s="349"/>
      <c r="QZC67" s="349"/>
      <c r="QZD67" s="349"/>
      <c r="QZE67" s="349"/>
      <c r="QZF67" s="349"/>
      <c r="QZG67" s="349"/>
      <c r="QZH67" s="349"/>
      <c r="QZI67" s="349"/>
      <c r="QZJ67" s="349"/>
      <c r="QZK67" s="349"/>
      <c r="QZL67" s="349"/>
      <c r="QZM67" s="349"/>
      <c r="QZN67" s="349"/>
      <c r="QZO67" s="349"/>
      <c r="QZP67" s="349"/>
      <c r="QZQ67" s="349"/>
      <c r="QZR67" s="349"/>
      <c r="QZS67" s="349"/>
      <c r="QZT67" s="349"/>
      <c r="QZU67" s="349"/>
      <c r="QZV67" s="349"/>
      <c r="QZW67" s="349"/>
      <c r="QZX67" s="349"/>
      <c r="QZY67" s="349"/>
      <c r="QZZ67" s="349"/>
      <c r="RAA67" s="349"/>
      <c r="RAB67" s="349"/>
      <c r="RAC67" s="349"/>
      <c r="RAD67" s="349"/>
      <c r="RAE67" s="349"/>
      <c r="RAF67" s="349"/>
      <c r="RAG67" s="349"/>
      <c r="RAH67" s="349"/>
      <c r="RAI67" s="349"/>
      <c r="RAJ67" s="349"/>
      <c r="RAK67" s="349"/>
      <c r="RAL67" s="349"/>
      <c r="RAM67" s="349"/>
      <c r="RAN67" s="349"/>
      <c r="RAO67" s="349"/>
      <c r="RAP67" s="349"/>
      <c r="RAQ67" s="349"/>
      <c r="RAR67" s="349"/>
      <c r="RAS67" s="349"/>
      <c r="RAT67" s="349"/>
      <c r="RAU67" s="349"/>
      <c r="RAV67" s="349"/>
      <c r="RAW67" s="349"/>
      <c r="RAX67" s="349"/>
      <c r="RAY67" s="349"/>
      <c r="RAZ67" s="349"/>
      <c r="RBA67" s="349"/>
      <c r="RBB67" s="349"/>
      <c r="RBC67" s="349"/>
      <c r="RBD67" s="349"/>
      <c r="RBE67" s="349"/>
      <c r="RBF67" s="349"/>
      <c r="RBG67" s="349"/>
      <c r="RBH67" s="349"/>
      <c r="RBI67" s="349"/>
      <c r="RBJ67" s="349"/>
      <c r="RBK67" s="349"/>
      <c r="RBL67" s="349"/>
      <c r="RBM67" s="349"/>
      <c r="RBN67" s="349"/>
      <c r="RBO67" s="349"/>
      <c r="RBP67" s="349"/>
      <c r="RBQ67" s="349"/>
      <c r="RBR67" s="349"/>
      <c r="RBS67" s="349"/>
      <c r="RBT67" s="349"/>
      <c r="RBU67" s="349"/>
      <c r="RBV67" s="349"/>
      <c r="RBW67" s="349"/>
      <c r="RBX67" s="349"/>
      <c r="RBY67" s="349"/>
      <c r="RBZ67" s="349"/>
      <c r="RCA67" s="349"/>
      <c r="RCB67" s="349"/>
      <c r="RCC67" s="349"/>
      <c r="RCD67" s="349"/>
      <c r="RCE67" s="349"/>
      <c r="RCF67" s="349"/>
      <c r="RCG67" s="349"/>
      <c r="RCH67" s="349"/>
      <c r="RCI67" s="349"/>
      <c r="RCJ67" s="349"/>
      <c r="RCK67" s="349"/>
      <c r="RCL67" s="349"/>
      <c r="RCM67" s="349"/>
      <c r="RCN67" s="349"/>
      <c r="RCO67" s="349"/>
      <c r="RCP67" s="349"/>
      <c r="RCQ67" s="349"/>
      <c r="RCR67" s="349"/>
      <c r="RCS67" s="349"/>
      <c r="RCT67" s="349"/>
      <c r="RCU67" s="349"/>
      <c r="RCV67" s="349"/>
      <c r="RCW67" s="349"/>
      <c r="RCX67" s="349"/>
      <c r="RCY67" s="349"/>
      <c r="RCZ67" s="349"/>
      <c r="RDA67" s="349"/>
      <c r="RDB67" s="349"/>
      <c r="RDC67" s="349"/>
      <c r="RDD67" s="349"/>
      <c r="RDE67" s="349"/>
      <c r="RDF67" s="349"/>
      <c r="RDG67" s="349"/>
      <c r="RDH67" s="349"/>
      <c r="RDI67" s="349"/>
      <c r="RDJ67" s="349"/>
      <c r="RDK67" s="349"/>
      <c r="RDL67" s="349"/>
      <c r="RDM67" s="349"/>
      <c r="RDN67" s="349"/>
      <c r="RDO67" s="349"/>
      <c r="RDP67" s="349"/>
      <c r="RDQ67" s="349"/>
      <c r="RDR67" s="349"/>
      <c r="RDS67" s="349"/>
      <c r="RDT67" s="349"/>
      <c r="RDU67" s="349"/>
      <c r="RDV67" s="349"/>
      <c r="RDW67" s="349"/>
      <c r="RDX67" s="349"/>
      <c r="RDY67" s="349"/>
      <c r="RDZ67" s="349"/>
      <c r="REA67" s="349"/>
      <c r="REB67" s="349"/>
      <c r="REC67" s="349"/>
      <c r="RED67" s="349"/>
      <c r="REE67" s="349"/>
      <c r="REF67" s="349"/>
      <c r="REG67" s="349"/>
      <c r="REH67" s="349"/>
      <c r="REI67" s="349"/>
      <c r="REJ67" s="349"/>
      <c r="REK67" s="349"/>
      <c r="REL67" s="349"/>
      <c r="REM67" s="349"/>
      <c r="REN67" s="349"/>
      <c r="REO67" s="349"/>
      <c r="REP67" s="349"/>
      <c r="REQ67" s="349"/>
      <c r="RER67" s="349"/>
      <c r="RES67" s="349"/>
      <c r="RET67" s="349"/>
      <c r="REU67" s="349"/>
      <c r="REV67" s="349"/>
      <c r="REW67" s="349"/>
      <c r="REX67" s="349"/>
      <c r="REY67" s="349"/>
      <c r="REZ67" s="349"/>
      <c r="RFA67" s="349"/>
      <c r="RFB67" s="349"/>
      <c r="RFC67" s="349"/>
      <c r="RFD67" s="349"/>
      <c r="RFE67" s="349"/>
      <c r="RFF67" s="349"/>
      <c r="RFG67" s="349"/>
      <c r="RFH67" s="349"/>
      <c r="RFI67" s="349"/>
      <c r="RFJ67" s="349"/>
      <c r="RFK67" s="349"/>
      <c r="RFL67" s="349"/>
      <c r="RFM67" s="349"/>
      <c r="RFN67" s="349"/>
      <c r="RFO67" s="349"/>
      <c r="RFP67" s="349"/>
      <c r="RFQ67" s="349"/>
      <c r="RFR67" s="349"/>
      <c r="RFS67" s="349"/>
      <c r="RFT67" s="349"/>
      <c r="RFU67" s="349"/>
      <c r="RFV67" s="349"/>
      <c r="RFW67" s="349"/>
      <c r="RFX67" s="349"/>
      <c r="RFY67" s="349"/>
      <c r="RFZ67" s="349"/>
      <c r="RGA67" s="349"/>
      <c r="RGB67" s="349"/>
      <c r="RGC67" s="349"/>
      <c r="RGD67" s="349"/>
      <c r="RGE67" s="349"/>
      <c r="RGF67" s="349"/>
      <c r="RGG67" s="349"/>
      <c r="RGH67" s="349"/>
      <c r="RGI67" s="349"/>
      <c r="RGJ67" s="349"/>
      <c r="RGK67" s="349"/>
      <c r="RGL67" s="349"/>
      <c r="RGM67" s="349"/>
      <c r="RGN67" s="349"/>
      <c r="RGO67" s="349"/>
      <c r="RGP67" s="349"/>
      <c r="RGQ67" s="349"/>
      <c r="RGR67" s="349"/>
      <c r="RGS67" s="349"/>
      <c r="RGT67" s="349"/>
      <c r="RGU67" s="349"/>
      <c r="RGV67" s="349"/>
      <c r="RGW67" s="349"/>
      <c r="RGX67" s="349"/>
      <c r="RGY67" s="349"/>
      <c r="RGZ67" s="349"/>
      <c r="RHA67" s="349"/>
      <c r="RHB67" s="349"/>
      <c r="RHC67" s="349"/>
      <c r="RHD67" s="349"/>
      <c r="RHE67" s="349"/>
      <c r="RHF67" s="349"/>
      <c r="RHG67" s="349"/>
      <c r="RHH67" s="349"/>
      <c r="RHI67" s="349"/>
      <c r="RHJ67" s="349"/>
      <c r="RHK67" s="349"/>
      <c r="RHL67" s="349"/>
      <c r="RHM67" s="349"/>
      <c r="RHN67" s="349"/>
      <c r="RHO67" s="349"/>
      <c r="RHP67" s="349"/>
      <c r="RHQ67" s="349"/>
      <c r="RHR67" s="349"/>
      <c r="RHS67" s="349"/>
      <c r="RHT67" s="349"/>
      <c r="RHU67" s="349"/>
      <c r="RHV67" s="349"/>
      <c r="RHW67" s="349"/>
      <c r="RHX67" s="349"/>
      <c r="RHY67" s="349"/>
      <c r="RHZ67" s="349"/>
      <c r="RIA67" s="349"/>
      <c r="RIB67" s="349"/>
      <c r="RIC67" s="349"/>
      <c r="RID67" s="349"/>
      <c r="RIE67" s="349"/>
      <c r="RIF67" s="349"/>
      <c r="RIG67" s="349"/>
      <c r="RIH67" s="349"/>
      <c r="RII67" s="349"/>
      <c r="RIJ67" s="349"/>
      <c r="RIK67" s="349"/>
      <c r="RIL67" s="349"/>
      <c r="RIM67" s="349"/>
      <c r="RIN67" s="349"/>
      <c r="RIO67" s="349"/>
      <c r="RIP67" s="349"/>
      <c r="RIQ67" s="349"/>
      <c r="RIR67" s="349"/>
      <c r="RIS67" s="349"/>
      <c r="RIT67" s="349"/>
      <c r="RIU67" s="349"/>
      <c r="RIV67" s="349"/>
      <c r="RIW67" s="349"/>
      <c r="RIX67" s="349"/>
      <c r="RIY67" s="349"/>
      <c r="RIZ67" s="349"/>
      <c r="RJA67" s="349"/>
      <c r="RJB67" s="349"/>
      <c r="RJC67" s="349"/>
      <c r="RJD67" s="349"/>
      <c r="RJE67" s="349"/>
      <c r="RJF67" s="349"/>
      <c r="RJG67" s="349"/>
      <c r="RJH67" s="349"/>
      <c r="RJI67" s="349"/>
      <c r="RJJ67" s="349"/>
      <c r="RJK67" s="349"/>
      <c r="RJL67" s="349"/>
      <c r="RJM67" s="349"/>
      <c r="RJN67" s="349"/>
      <c r="RJO67" s="349"/>
      <c r="RJP67" s="349"/>
      <c r="RJQ67" s="349"/>
      <c r="RJR67" s="349"/>
      <c r="RJS67" s="349"/>
      <c r="RJT67" s="349"/>
      <c r="RJU67" s="349"/>
      <c r="RJV67" s="349"/>
      <c r="RJW67" s="349"/>
      <c r="RJX67" s="349"/>
      <c r="RJY67" s="349"/>
      <c r="RJZ67" s="349"/>
      <c r="RKA67" s="349"/>
      <c r="RKB67" s="349"/>
      <c r="RKC67" s="349"/>
      <c r="RKD67" s="349"/>
      <c r="RKE67" s="349"/>
      <c r="RKF67" s="349"/>
      <c r="RKG67" s="349"/>
      <c r="RKH67" s="349"/>
      <c r="RKI67" s="349"/>
      <c r="RKJ67" s="349"/>
      <c r="RKK67" s="349"/>
      <c r="RKL67" s="349"/>
      <c r="RKM67" s="349"/>
      <c r="RKN67" s="349"/>
      <c r="RKO67" s="349"/>
      <c r="RKP67" s="349"/>
      <c r="RKQ67" s="349"/>
      <c r="RKR67" s="349"/>
      <c r="RKS67" s="349"/>
      <c r="RKT67" s="349"/>
      <c r="RKU67" s="349"/>
      <c r="RKV67" s="349"/>
      <c r="RKW67" s="349"/>
      <c r="RKX67" s="349"/>
      <c r="RKY67" s="349"/>
      <c r="RKZ67" s="349"/>
      <c r="RLA67" s="349"/>
      <c r="RLB67" s="349"/>
      <c r="RLC67" s="349"/>
      <c r="RLD67" s="349"/>
      <c r="RLE67" s="349"/>
      <c r="RLF67" s="349"/>
      <c r="RLG67" s="349"/>
      <c r="RLH67" s="349"/>
      <c r="RLI67" s="349"/>
      <c r="RLJ67" s="349"/>
      <c r="RLK67" s="349"/>
      <c r="RLL67" s="349"/>
      <c r="RLM67" s="349"/>
      <c r="RLN67" s="349"/>
      <c r="RLO67" s="349"/>
      <c r="RLP67" s="349"/>
      <c r="RLQ67" s="349"/>
      <c r="RLR67" s="349"/>
      <c r="RLS67" s="349"/>
      <c r="RLT67" s="349"/>
      <c r="RLU67" s="349"/>
      <c r="RLV67" s="349"/>
      <c r="RLW67" s="349"/>
      <c r="RLX67" s="349"/>
      <c r="RLY67" s="349"/>
      <c r="RLZ67" s="349"/>
      <c r="RMA67" s="349"/>
      <c r="RMB67" s="349"/>
      <c r="RMC67" s="349"/>
      <c r="RMD67" s="349"/>
      <c r="RME67" s="349"/>
      <c r="RMF67" s="349"/>
      <c r="RMG67" s="349"/>
      <c r="RMH67" s="349"/>
      <c r="RMI67" s="349"/>
      <c r="RMJ67" s="349"/>
      <c r="RMK67" s="349"/>
      <c r="RML67" s="349"/>
      <c r="RMM67" s="349"/>
      <c r="RMN67" s="349"/>
      <c r="RMO67" s="349"/>
      <c r="RMP67" s="349"/>
      <c r="RMQ67" s="349"/>
      <c r="RMR67" s="349"/>
      <c r="RMS67" s="349"/>
      <c r="RMT67" s="349"/>
      <c r="RMU67" s="349"/>
      <c r="RMV67" s="349"/>
      <c r="RMW67" s="349"/>
      <c r="RMX67" s="349"/>
      <c r="RMY67" s="349"/>
      <c r="RMZ67" s="349"/>
      <c r="RNA67" s="349"/>
      <c r="RNB67" s="349"/>
      <c r="RNC67" s="349"/>
      <c r="RND67" s="349"/>
      <c r="RNE67" s="349"/>
      <c r="RNF67" s="349"/>
      <c r="RNG67" s="349"/>
      <c r="RNH67" s="349"/>
      <c r="RNI67" s="349"/>
      <c r="RNJ67" s="349"/>
      <c r="RNK67" s="349"/>
      <c r="RNL67" s="349"/>
      <c r="RNM67" s="349"/>
      <c r="RNN67" s="349"/>
      <c r="RNO67" s="349"/>
      <c r="RNP67" s="349"/>
      <c r="RNQ67" s="349"/>
      <c r="RNR67" s="349"/>
      <c r="RNS67" s="349"/>
      <c r="RNT67" s="349"/>
      <c r="RNU67" s="349"/>
      <c r="RNV67" s="349"/>
      <c r="RNW67" s="349"/>
      <c r="RNX67" s="349"/>
      <c r="RNY67" s="349"/>
      <c r="RNZ67" s="349"/>
      <c r="ROA67" s="349"/>
      <c r="ROB67" s="349"/>
      <c r="ROC67" s="349"/>
      <c r="ROD67" s="349"/>
      <c r="ROE67" s="349"/>
      <c r="ROF67" s="349"/>
      <c r="ROG67" s="349"/>
      <c r="ROH67" s="349"/>
      <c r="ROI67" s="349"/>
      <c r="ROJ67" s="349"/>
      <c r="ROK67" s="349"/>
      <c r="ROL67" s="349"/>
      <c r="ROM67" s="349"/>
      <c r="RON67" s="349"/>
      <c r="ROO67" s="349"/>
      <c r="ROP67" s="349"/>
      <c r="ROQ67" s="349"/>
      <c r="ROR67" s="349"/>
      <c r="ROS67" s="349"/>
      <c r="ROT67" s="349"/>
      <c r="ROU67" s="349"/>
      <c r="ROV67" s="349"/>
      <c r="ROW67" s="349"/>
      <c r="ROX67" s="349"/>
      <c r="ROY67" s="349"/>
      <c r="ROZ67" s="349"/>
      <c r="RPA67" s="349"/>
      <c r="RPB67" s="349"/>
      <c r="RPC67" s="349"/>
      <c r="RPD67" s="349"/>
      <c r="RPE67" s="349"/>
      <c r="RPF67" s="349"/>
      <c r="RPG67" s="349"/>
      <c r="RPH67" s="349"/>
      <c r="RPI67" s="349"/>
      <c r="RPJ67" s="349"/>
      <c r="RPK67" s="349"/>
      <c r="RPL67" s="349"/>
      <c r="RPM67" s="349"/>
      <c r="RPN67" s="349"/>
      <c r="RPO67" s="349"/>
      <c r="RPP67" s="349"/>
      <c r="RPQ67" s="349"/>
      <c r="RPR67" s="349"/>
      <c r="RPS67" s="349"/>
      <c r="RPT67" s="349"/>
      <c r="RPU67" s="349"/>
      <c r="RPV67" s="349"/>
      <c r="RPW67" s="349"/>
      <c r="RPX67" s="349"/>
      <c r="RPY67" s="349"/>
      <c r="RPZ67" s="349"/>
      <c r="RQA67" s="349"/>
      <c r="RQB67" s="349"/>
      <c r="RQC67" s="349"/>
      <c r="RQD67" s="349"/>
      <c r="RQE67" s="349"/>
      <c r="RQF67" s="349"/>
      <c r="RQG67" s="349"/>
      <c r="RQH67" s="349"/>
      <c r="RQI67" s="349"/>
      <c r="RQJ67" s="349"/>
      <c r="RQK67" s="349"/>
      <c r="RQL67" s="349"/>
      <c r="RQM67" s="349"/>
      <c r="RQN67" s="349"/>
      <c r="RQO67" s="349"/>
      <c r="RQP67" s="349"/>
      <c r="RQQ67" s="349"/>
      <c r="RQR67" s="349"/>
      <c r="RQS67" s="349"/>
      <c r="RQT67" s="349"/>
      <c r="RQU67" s="349"/>
      <c r="RQV67" s="349"/>
      <c r="RQW67" s="349"/>
      <c r="RQX67" s="349"/>
      <c r="RQY67" s="349"/>
      <c r="RQZ67" s="349"/>
      <c r="RRA67" s="349"/>
      <c r="RRB67" s="349"/>
      <c r="RRC67" s="349"/>
      <c r="RRD67" s="349"/>
      <c r="RRE67" s="349"/>
      <c r="RRF67" s="349"/>
      <c r="RRG67" s="349"/>
      <c r="RRH67" s="349"/>
      <c r="RRI67" s="349"/>
      <c r="RRJ67" s="349"/>
      <c r="RRK67" s="349"/>
      <c r="RRL67" s="349"/>
      <c r="RRM67" s="349"/>
      <c r="RRN67" s="349"/>
      <c r="RRO67" s="349"/>
      <c r="RRP67" s="349"/>
      <c r="RRQ67" s="349"/>
      <c r="RRR67" s="349"/>
      <c r="RRS67" s="349"/>
      <c r="RRT67" s="349"/>
      <c r="RRU67" s="349"/>
      <c r="RRV67" s="349"/>
      <c r="RRW67" s="349"/>
      <c r="RRX67" s="349"/>
      <c r="RRY67" s="349"/>
      <c r="RRZ67" s="349"/>
      <c r="RSA67" s="349"/>
      <c r="RSB67" s="349"/>
      <c r="RSC67" s="349"/>
      <c r="RSD67" s="349"/>
      <c r="RSE67" s="349"/>
      <c r="RSF67" s="349"/>
      <c r="RSG67" s="349"/>
      <c r="RSH67" s="349"/>
      <c r="RSI67" s="349"/>
      <c r="RSJ67" s="349"/>
      <c r="RSK67" s="349"/>
      <c r="RSL67" s="349"/>
      <c r="RSM67" s="349"/>
      <c r="RSN67" s="349"/>
      <c r="RSO67" s="349"/>
      <c r="RSP67" s="349"/>
      <c r="RSQ67" s="349"/>
      <c r="RSR67" s="349"/>
      <c r="RSS67" s="349"/>
      <c r="RST67" s="349"/>
      <c r="RSU67" s="349"/>
      <c r="RSV67" s="349"/>
      <c r="RSW67" s="349"/>
      <c r="RSX67" s="349"/>
      <c r="RSY67" s="349"/>
      <c r="RSZ67" s="349"/>
      <c r="RTA67" s="349"/>
      <c r="RTB67" s="349"/>
      <c r="RTC67" s="349"/>
      <c r="RTD67" s="349"/>
      <c r="RTE67" s="349"/>
      <c r="RTF67" s="349"/>
      <c r="RTG67" s="349"/>
      <c r="RTH67" s="349"/>
      <c r="RTI67" s="349"/>
      <c r="RTJ67" s="349"/>
      <c r="RTK67" s="349"/>
      <c r="RTL67" s="349"/>
      <c r="RTM67" s="349"/>
      <c r="RTN67" s="349"/>
      <c r="RTO67" s="349"/>
      <c r="RTP67" s="349"/>
      <c r="RTQ67" s="349"/>
      <c r="RTR67" s="349"/>
      <c r="RTS67" s="349"/>
      <c r="RTT67" s="349"/>
      <c r="RTU67" s="349"/>
      <c r="RTV67" s="349"/>
      <c r="RTW67" s="349"/>
      <c r="RTX67" s="349"/>
      <c r="RTY67" s="349"/>
      <c r="RTZ67" s="349"/>
      <c r="RUA67" s="349"/>
      <c r="RUB67" s="349"/>
      <c r="RUC67" s="349"/>
      <c r="RUD67" s="349"/>
      <c r="RUE67" s="349"/>
      <c r="RUF67" s="349"/>
      <c r="RUG67" s="349"/>
      <c r="RUH67" s="349"/>
      <c r="RUI67" s="349"/>
      <c r="RUJ67" s="349"/>
      <c r="RUK67" s="349"/>
      <c r="RUL67" s="349"/>
      <c r="RUM67" s="349"/>
      <c r="RUN67" s="349"/>
      <c r="RUO67" s="349"/>
      <c r="RUP67" s="349"/>
      <c r="RUQ67" s="349"/>
      <c r="RUR67" s="349"/>
      <c r="RUS67" s="349"/>
      <c r="RUT67" s="349"/>
      <c r="RUU67" s="349"/>
      <c r="RUV67" s="349"/>
      <c r="RUW67" s="349"/>
      <c r="RUX67" s="349"/>
      <c r="RUY67" s="349"/>
      <c r="RUZ67" s="349"/>
      <c r="RVA67" s="349"/>
      <c r="RVB67" s="349"/>
      <c r="RVC67" s="349"/>
      <c r="RVD67" s="349"/>
      <c r="RVE67" s="349"/>
      <c r="RVF67" s="349"/>
      <c r="RVG67" s="349"/>
      <c r="RVH67" s="349"/>
      <c r="RVI67" s="349"/>
      <c r="RVJ67" s="349"/>
      <c r="RVK67" s="349"/>
      <c r="RVL67" s="349"/>
      <c r="RVM67" s="349"/>
      <c r="RVN67" s="349"/>
      <c r="RVO67" s="349"/>
      <c r="RVP67" s="349"/>
      <c r="RVQ67" s="349"/>
      <c r="RVR67" s="349"/>
      <c r="RVS67" s="349"/>
      <c r="RVT67" s="349"/>
      <c r="RVU67" s="349"/>
      <c r="RVV67" s="349"/>
      <c r="RVW67" s="349"/>
      <c r="RVX67" s="349"/>
      <c r="RVY67" s="349"/>
      <c r="RVZ67" s="349"/>
      <c r="RWA67" s="349"/>
      <c r="RWB67" s="349"/>
      <c r="RWC67" s="349"/>
      <c r="RWD67" s="349"/>
      <c r="RWE67" s="349"/>
      <c r="RWF67" s="349"/>
      <c r="RWG67" s="349"/>
      <c r="RWH67" s="349"/>
      <c r="RWI67" s="349"/>
      <c r="RWJ67" s="349"/>
      <c r="RWK67" s="349"/>
      <c r="RWL67" s="349"/>
      <c r="RWM67" s="349"/>
      <c r="RWN67" s="349"/>
      <c r="RWO67" s="349"/>
      <c r="RWP67" s="349"/>
      <c r="RWQ67" s="349"/>
      <c r="RWR67" s="349"/>
      <c r="RWS67" s="349"/>
      <c r="RWT67" s="349"/>
      <c r="RWU67" s="349"/>
      <c r="RWV67" s="349"/>
      <c r="RWW67" s="349"/>
      <c r="RWX67" s="349"/>
      <c r="RWY67" s="349"/>
      <c r="RWZ67" s="349"/>
      <c r="RXA67" s="349"/>
      <c r="RXB67" s="349"/>
      <c r="RXC67" s="349"/>
      <c r="RXD67" s="349"/>
      <c r="RXE67" s="349"/>
      <c r="RXF67" s="349"/>
      <c r="RXG67" s="349"/>
      <c r="RXH67" s="349"/>
      <c r="RXI67" s="349"/>
      <c r="RXJ67" s="349"/>
      <c r="RXK67" s="349"/>
      <c r="RXL67" s="349"/>
      <c r="RXM67" s="349"/>
      <c r="RXN67" s="349"/>
      <c r="RXO67" s="349"/>
      <c r="RXP67" s="349"/>
      <c r="RXQ67" s="349"/>
      <c r="RXR67" s="349"/>
      <c r="RXS67" s="349"/>
      <c r="RXT67" s="349"/>
      <c r="RXU67" s="349"/>
      <c r="RXV67" s="349"/>
      <c r="RXW67" s="349"/>
      <c r="RXX67" s="349"/>
      <c r="RXY67" s="349"/>
      <c r="RXZ67" s="349"/>
      <c r="RYA67" s="349"/>
      <c r="RYB67" s="349"/>
      <c r="RYC67" s="349"/>
      <c r="RYD67" s="349"/>
      <c r="RYE67" s="349"/>
      <c r="RYF67" s="349"/>
      <c r="RYG67" s="349"/>
      <c r="RYH67" s="349"/>
      <c r="RYI67" s="349"/>
      <c r="RYJ67" s="349"/>
      <c r="RYK67" s="349"/>
      <c r="RYL67" s="349"/>
      <c r="RYM67" s="349"/>
      <c r="RYN67" s="349"/>
      <c r="RYO67" s="349"/>
      <c r="RYP67" s="349"/>
      <c r="RYQ67" s="349"/>
      <c r="RYR67" s="349"/>
      <c r="RYS67" s="349"/>
      <c r="RYT67" s="349"/>
      <c r="RYU67" s="349"/>
      <c r="RYV67" s="349"/>
      <c r="RYW67" s="349"/>
      <c r="RYX67" s="349"/>
      <c r="RYY67" s="349"/>
      <c r="RYZ67" s="349"/>
      <c r="RZA67" s="349"/>
      <c r="RZB67" s="349"/>
      <c r="RZC67" s="349"/>
      <c r="RZD67" s="349"/>
      <c r="RZE67" s="349"/>
      <c r="RZF67" s="349"/>
      <c r="RZG67" s="349"/>
      <c r="RZH67" s="349"/>
      <c r="RZI67" s="349"/>
      <c r="RZJ67" s="349"/>
      <c r="RZK67" s="349"/>
      <c r="RZL67" s="349"/>
      <c r="RZM67" s="349"/>
      <c r="RZN67" s="349"/>
      <c r="RZO67" s="349"/>
      <c r="RZP67" s="349"/>
      <c r="RZQ67" s="349"/>
      <c r="RZR67" s="349"/>
      <c r="RZS67" s="349"/>
      <c r="RZT67" s="349"/>
      <c r="RZU67" s="349"/>
      <c r="RZV67" s="349"/>
      <c r="RZW67" s="349"/>
      <c r="RZX67" s="349"/>
      <c r="RZY67" s="349"/>
      <c r="RZZ67" s="349"/>
      <c r="SAA67" s="349"/>
      <c r="SAB67" s="349"/>
      <c r="SAC67" s="349"/>
      <c r="SAD67" s="349"/>
      <c r="SAE67" s="349"/>
      <c r="SAF67" s="349"/>
      <c r="SAG67" s="349"/>
      <c r="SAH67" s="349"/>
      <c r="SAI67" s="349"/>
      <c r="SAJ67" s="349"/>
      <c r="SAK67" s="349"/>
      <c r="SAL67" s="349"/>
      <c r="SAM67" s="349"/>
      <c r="SAN67" s="349"/>
      <c r="SAO67" s="349"/>
      <c r="SAP67" s="349"/>
      <c r="SAQ67" s="349"/>
      <c r="SAR67" s="349"/>
      <c r="SAS67" s="349"/>
      <c r="SAT67" s="349"/>
      <c r="SAU67" s="349"/>
      <c r="SAV67" s="349"/>
      <c r="SAW67" s="349"/>
      <c r="SAX67" s="349"/>
      <c r="SAY67" s="349"/>
      <c r="SAZ67" s="349"/>
      <c r="SBA67" s="349"/>
      <c r="SBB67" s="349"/>
      <c r="SBC67" s="349"/>
      <c r="SBD67" s="349"/>
      <c r="SBE67" s="349"/>
      <c r="SBF67" s="349"/>
      <c r="SBG67" s="349"/>
      <c r="SBH67" s="349"/>
      <c r="SBI67" s="349"/>
      <c r="SBJ67" s="349"/>
      <c r="SBK67" s="349"/>
      <c r="SBL67" s="349"/>
      <c r="SBM67" s="349"/>
      <c r="SBN67" s="349"/>
      <c r="SBO67" s="349"/>
      <c r="SBP67" s="349"/>
      <c r="SBQ67" s="349"/>
      <c r="SBR67" s="349"/>
      <c r="SBS67" s="349"/>
      <c r="SBT67" s="349"/>
      <c r="SBU67" s="349"/>
      <c r="SBV67" s="349"/>
      <c r="SBW67" s="349"/>
      <c r="SBX67" s="349"/>
      <c r="SBY67" s="349"/>
      <c r="SBZ67" s="349"/>
      <c r="SCA67" s="349"/>
      <c r="SCB67" s="349"/>
      <c r="SCC67" s="349"/>
      <c r="SCD67" s="349"/>
      <c r="SCE67" s="349"/>
      <c r="SCF67" s="349"/>
      <c r="SCG67" s="349"/>
      <c r="SCH67" s="349"/>
      <c r="SCI67" s="349"/>
      <c r="SCJ67" s="349"/>
      <c r="SCK67" s="349"/>
      <c r="SCL67" s="349"/>
      <c r="SCM67" s="349"/>
      <c r="SCN67" s="349"/>
      <c r="SCO67" s="349"/>
      <c r="SCP67" s="349"/>
      <c r="SCQ67" s="349"/>
      <c r="SCR67" s="349"/>
      <c r="SCS67" s="349"/>
      <c r="SCT67" s="349"/>
      <c r="SCU67" s="349"/>
      <c r="SCV67" s="349"/>
      <c r="SCW67" s="349"/>
      <c r="SCX67" s="349"/>
      <c r="SCY67" s="349"/>
      <c r="SCZ67" s="349"/>
      <c r="SDA67" s="349"/>
      <c r="SDB67" s="349"/>
      <c r="SDC67" s="349"/>
      <c r="SDD67" s="349"/>
      <c r="SDE67" s="349"/>
      <c r="SDF67" s="349"/>
      <c r="SDG67" s="349"/>
      <c r="SDH67" s="349"/>
      <c r="SDI67" s="349"/>
      <c r="SDJ67" s="349"/>
      <c r="SDK67" s="349"/>
      <c r="SDL67" s="349"/>
      <c r="SDM67" s="349"/>
      <c r="SDN67" s="349"/>
      <c r="SDO67" s="349"/>
      <c r="SDP67" s="349"/>
      <c r="SDQ67" s="349"/>
      <c r="SDR67" s="349"/>
      <c r="SDS67" s="349"/>
      <c r="SDT67" s="349"/>
      <c r="SDU67" s="349"/>
      <c r="SDV67" s="349"/>
      <c r="SDW67" s="349"/>
      <c r="SDX67" s="349"/>
      <c r="SDY67" s="349"/>
      <c r="SDZ67" s="349"/>
      <c r="SEA67" s="349"/>
      <c r="SEB67" s="349"/>
      <c r="SEC67" s="349"/>
      <c r="SED67" s="349"/>
      <c r="SEE67" s="349"/>
      <c r="SEF67" s="349"/>
      <c r="SEG67" s="349"/>
      <c r="SEH67" s="349"/>
      <c r="SEI67" s="349"/>
      <c r="SEJ67" s="349"/>
      <c r="SEK67" s="349"/>
      <c r="SEL67" s="349"/>
      <c r="SEM67" s="349"/>
      <c r="SEN67" s="349"/>
      <c r="SEO67" s="349"/>
      <c r="SEP67" s="349"/>
      <c r="SEQ67" s="349"/>
      <c r="SER67" s="349"/>
      <c r="SES67" s="349"/>
      <c r="SET67" s="349"/>
      <c r="SEU67" s="349"/>
      <c r="SEV67" s="349"/>
      <c r="SEW67" s="349"/>
      <c r="SEX67" s="349"/>
      <c r="SEY67" s="349"/>
      <c r="SEZ67" s="349"/>
      <c r="SFA67" s="349"/>
      <c r="SFB67" s="349"/>
      <c r="SFC67" s="349"/>
      <c r="SFD67" s="349"/>
      <c r="SFE67" s="349"/>
      <c r="SFF67" s="349"/>
      <c r="SFG67" s="349"/>
      <c r="SFH67" s="349"/>
      <c r="SFI67" s="349"/>
      <c r="SFJ67" s="349"/>
      <c r="SFK67" s="349"/>
      <c r="SFL67" s="349"/>
      <c r="SFM67" s="349"/>
      <c r="SFN67" s="349"/>
      <c r="SFO67" s="349"/>
      <c r="SFP67" s="349"/>
      <c r="SFQ67" s="349"/>
      <c r="SFR67" s="349"/>
      <c r="SFS67" s="349"/>
      <c r="SFT67" s="349"/>
      <c r="SFU67" s="349"/>
      <c r="SFV67" s="349"/>
      <c r="SFW67" s="349"/>
      <c r="SFX67" s="349"/>
      <c r="SFY67" s="349"/>
      <c r="SFZ67" s="349"/>
      <c r="SGA67" s="349"/>
      <c r="SGB67" s="349"/>
      <c r="SGC67" s="349"/>
      <c r="SGD67" s="349"/>
      <c r="SGE67" s="349"/>
      <c r="SGF67" s="349"/>
      <c r="SGG67" s="349"/>
      <c r="SGH67" s="349"/>
      <c r="SGI67" s="349"/>
      <c r="SGJ67" s="349"/>
      <c r="SGK67" s="349"/>
      <c r="SGL67" s="349"/>
      <c r="SGM67" s="349"/>
      <c r="SGN67" s="349"/>
      <c r="SGO67" s="349"/>
      <c r="SGP67" s="349"/>
      <c r="SGQ67" s="349"/>
      <c r="SGR67" s="349"/>
      <c r="SGS67" s="349"/>
      <c r="SGT67" s="349"/>
      <c r="SGU67" s="349"/>
      <c r="SGV67" s="349"/>
      <c r="SGW67" s="349"/>
      <c r="SGX67" s="349"/>
      <c r="SGY67" s="349"/>
      <c r="SGZ67" s="349"/>
      <c r="SHA67" s="349"/>
      <c r="SHB67" s="349"/>
      <c r="SHC67" s="349"/>
      <c r="SHD67" s="349"/>
      <c r="SHE67" s="349"/>
      <c r="SHF67" s="349"/>
      <c r="SHG67" s="349"/>
      <c r="SHH67" s="349"/>
      <c r="SHI67" s="349"/>
      <c r="SHJ67" s="349"/>
      <c r="SHK67" s="349"/>
      <c r="SHL67" s="349"/>
      <c r="SHM67" s="349"/>
      <c r="SHN67" s="349"/>
      <c r="SHO67" s="349"/>
      <c r="SHP67" s="349"/>
      <c r="SHQ67" s="349"/>
      <c r="SHR67" s="349"/>
      <c r="SHS67" s="349"/>
      <c r="SHT67" s="349"/>
      <c r="SHU67" s="349"/>
      <c r="SHV67" s="349"/>
      <c r="SHW67" s="349"/>
      <c r="SHX67" s="349"/>
      <c r="SHY67" s="349"/>
      <c r="SHZ67" s="349"/>
      <c r="SIA67" s="349"/>
      <c r="SIB67" s="349"/>
      <c r="SIC67" s="349"/>
      <c r="SID67" s="349"/>
      <c r="SIE67" s="349"/>
      <c r="SIF67" s="349"/>
      <c r="SIG67" s="349"/>
      <c r="SIH67" s="349"/>
      <c r="SII67" s="349"/>
      <c r="SIJ67" s="349"/>
      <c r="SIK67" s="349"/>
      <c r="SIL67" s="349"/>
      <c r="SIM67" s="349"/>
      <c r="SIN67" s="349"/>
      <c r="SIO67" s="349"/>
      <c r="SIP67" s="349"/>
      <c r="SIQ67" s="349"/>
      <c r="SIR67" s="349"/>
      <c r="SIS67" s="349"/>
      <c r="SIT67" s="349"/>
      <c r="SIU67" s="349"/>
      <c r="SIV67" s="349"/>
      <c r="SIW67" s="349"/>
      <c r="SIX67" s="349"/>
      <c r="SIY67" s="349"/>
      <c r="SIZ67" s="349"/>
      <c r="SJA67" s="349"/>
      <c r="SJB67" s="349"/>
      <c r="SJC67" s="349"/>
      <c r="SJD67" s="349"/>
      <c r="SJE67" s="349"/>
      <c r="SJF67" s="349"/>
      <c r="SJG67" s="349"/>
      <c r="SJH67" s="349"/>
      <c r="SJI67" s="349"/>
      <c r="SJJ67" s="349"/>
      <c r="SJK67" s="349"/>
      <c r="SJL67" s="349"/>
      <c r="SJM67" s="349"/>
      <c r="SJN67" s="349"/>
      <c r="SJO67" s="349"/>
      <c r="SJP67" s="349"/>
      <c r="SJQ67" s="349"/>
      <c r="SJR67" s="349"/>
      <c r="SJS67" s="349"/>
      <c r="SJT67" s="349"/>
      <c r="SJU67" s="349"/>
      <c r="SJV67" s="349"/>
      <c r="SJW67" s="349"/>
      <c r="SJX67" s="349"/>
      <c r="SJY67" s="349"/>
      <c r="SJZ67" s="349"/>
      <c r="SKA67" s="349"/>
      <c r="SKB67" s="349"/>
      <c r="SKC67" s="349"/>
      <c r="SKD67" s="349"/>
      <c r="SKE67" s="349"/>
      <c r="SKF67" s="349"/>
      <c r="SKG67" s="349"/>
      <c r="SKH67" s="349"/>
      <c r="SKI67" s="349"/>
      <c r="SKJ67" s="349"/>
      <c r="SKK67" s="349"/>
      <c r="SKL67" s="349"/>
      <c r="SKM67" s="349"/>
      <c r="SKN67" s="349"/>
      <c r="SKO67" s="349"/>
      <c r="SKP67" s="349"/>
      <c r="SKQ67" s="349"/>
      <c r="SKR67" s="349"/>
      <c r="SKS67" s="349"/>
      <c r="SKT67" s="349"/>
      <c r="SKU67" s="349"/>
      <c r="SKV67" s="349"/>
      <c r="SKW67" s="349"/>
      <c r="SKX67" s="349"/>
      <c r="SKY67" s="349"/>
      <c r="SKZ67" s="349"/>
      <c r="SLA67" s="349"/>
      <c r="SLB67" s="349"/>
      <c r="SLC67" s="349"/>
      <c r="SLD67" s="349"/>
      <c r="SLE67" s="349"/>
      <c r="SLF67" s="349"/>
      <c r="SLG67" s="349"/>
      <c r="SLH67" s="349"/>
      <c r="SLI67" s="349"/>
      <c r="SLJ67" s="349"/>
      <c r="SLK67" s="349"/>
      <c r="SLL67" s="349"/>
      <c r="SLM67" s="349"/>
      <c r="SLN67" s="349"/>
      <c r="SLO67" s="349"/>
      <c r="SLP67" s="349"/>
      <c r="SLQ67" s="349"/>
      <c r="SLR67" s="349"/>
      <c r="SLS67" s="349"/>
      <c r="SLT67" s="349"/>
      <c r="SLU67" s="349"/>
      <c r="SLV67" s="349"/>
      <c r="SLW67" s="349"/>
      <c r="SLX67" s="349"/>
      <c r="SLY67" s="349"/>
      <c r="SLZ67" s="349"/>
      <c r="SMA67" s="349"/>
      <c r="SMB67" s="349"/>
      <c r="SMC67" s="349"/>
      <c r="SMD67" s="349"/>
      <c r="SME67" s="349"/>
      <c r="SMF67" s="349"/>
      <c r="SMG67" s="349"/>
      <c r="SMH67" s="349"/>
      <c r="SMI67" s="349"/>
      <c r="SMJ67" s="349"/>
      <c r="SMK67" s="349"/>
      <c r="SML67" s="349"/>
      <c r="SMM67" s="349"/>
      <c r="SMN67" s="349"/>
      <c r="SMO67" s="349"/>
      <c r="SMP67" s="349"/>
      <c r="SMQ67" s="349"/>
      <c r="SMR67" s="349"/>
      <c r="SMS67" s="349"/>
      <c r="SMT67" s="349"/>
      <c r="SMU67" s="349"/>
      <c r="SMV67" s="349"/>
      <c r="SMW67" s="349"/>
      <c r="SMX67" s="349"/>
      <c r="SMY67" s="349"/>
      <c r="SMZ67" s="349"/>
      <c r="SNA67" s="349"/>
      <c r="SNB67" s="349"/>
      <c r="SNC67" s="349"/>
      <c r="SND67" s="349"/>
      <c r="SNE67" s="349"/>
      <c r="SNF67" s="349"/>
      <c r="SNG67" s="349"/>
      <c r="SNH67" s="349"/>
      <c r="SNI67" s="349"/>
      <c r="SNJ67" s="349"/>
      <c r="SNK67" s="349"/>
      <c r="SNL67" s="349"/>
      <c r="SNM67" s="349"/>
      <c r="SNN67" s="349"/>
      <c r="SNO67" s="349"/>
      <c r="SNP67" s="349"/>
      <c r="SNQ67" s="349"/>
      <c r="SNR67" s="349"/>
      <c r="SNS67" s="349"/>
      <c r="SNT67" s="349"/>
      <c r="SNU67" s="349"/>
      <c r="SNV67" s="349"/>
      <c r="SNW67" s="349"/>
      <c r="SNX67" s="349"/>
      <c r="SNY67" s="349"/>
      <c r="SNZ67" s="349"/>
      <c r="SOA67" s="349"/>
      <c r="SOB67" s="349"/>
      <c r="SOC67" s="349"/>
      <c r="SOD67" s="349"/>
      <c r="SOE67" s="349"/>
      <c r="SOF67" s="349"/>
      <c r="SOG67" s="349"/>
      <c r="SOH67" s="349"/>
      <c r="SOI67" s="349"/>
      <c r="SOJ67" s="349"/>
      <c r="SOK67" s="349"/>
      <c r="SOL67" s="349"/>
      <c r="SOM67" s="349"/>
      <c r="SON67" s="349"/>
      <c r="SOO67" s="349"/>
      <c r="SOP67" s="349"/>
      <c r="SOQ67" s="349"/>
      <c r="SOR67" s="349"/>
      <c r="SOS67" s="349"/>
      <c r="SOT67" s="349"/>
      <c r="SOU67" s="349"/>
      <c r="SOV67" s="349"/>
      <c r="SOW67" s="349"/>
      <c r="SOX67" s="349"/>
      <c r="SOY67" s="349"/>
      <c r="SOZ67" s="349"/>
      <c r="SPA67" s="349"/>
      <c r="SPB67" s="349"/>
      <c r="SPC67" s="349"/>
      <c r="SPD67" s="349"/>
      <c r="SPE67" s="349"/>
      <c r="SPF67" s="349"/>
      <c r="SPG67" s="349"/>
      <c r="SPH67" s="349"/>
      <c r="SPI67" s="349"/>
      <c r="SPJ67" s="349"/>
      <c r="SPK67" s="349"/>
      <c r="SPL67" s="349"/>
      <c r="SPM67" s="349"/>
      <c r="SPN67" s="349"/>
      <c r="SPO67" s="349"/>
      <c r="SPP67" s="349"/>
      <c r="SPQ67" s="349"/>
      <c r="SPR67" s="349"/>
      <c r="SPS67" s="349"/>
      <c r="SPT67" s="349"/>
      <c r="SPU67" s="349"/>
      <c r="SPV67" s="349"/>
      <c r="SPW67" s="349"/>
      <c r="SPX67" s="349"/>
      <c r="SPY67" s="349"/>
      <c r="SPZ67" s="349"/>
      <c r="SQA67" s="349"/>
      <c r="SQB67" s="349"/>
      <c r="SQC67" s="349"/>
      <c r="SQD67" s="349"/>
      <c r="SQE67" s="349"/>
      <c r="SQF67" s="349"/>
      <c r="SQG67" s="349"/>
      <c r="SQH67" s="349"/>
      <c r="SQI67" s="349"/>
      <c r="SQJ67" s="349"/>
      <c r="SQK67" s="349"/>
      <c r="SQL67" s="349"/>
      <c r="SQM67" s="349"/>
      <c r="SQN67" s="349"/>
      <c r="SQO67" s="349"/>
      <c r="SQP67" s="349"/>
      <c r="SQQ67" s="349"/>
      <c r="SQR67" s="349"/>
      <c r="SQS67" s="349"/>
      <c r="SQT67" s="349"/>
      <c r="SQU67" s="349"/>
      <c r="SQV67" s="349"/>
      <c r="SQW67" s="349"/>
      <c r="SQX67" s="349"/>
      <c r="SQY67" s="349"/>
      <c r="SQZ67" s="349"/>
      <c r="SRA67" s="349"/>
      <c r="SRB67" s="349"/>
      <c r="SRC67" s="349"/>
      <c r="SRD67" s="349"/>
      <c r="SRE67" s="349"/>
      <c r="SRF67" s="349"/>
      <c r="SRG67" s="349"/>
      <c r="SRH67" s="349"/>
      <c r="SRI67" s="349"/>
      <c r="SRJ67" s="349"/>
      <c r="SRK67" s="349"/>
      <c r="SRL67" s="349"/>
      <c r="SRM67" s="349"/>
      <c r="SRN67" s="349"/>
      <c r="SRO67" s="349"/>
      <c r="SRP67" s="349"/>
      <c r="SRQ67" s="349"/>
      <c r="SRR67" s="349"/>
      <c r="SRS67" s="349"/>
      <c r="SRT67" s="349"/>
      <c r="SRU67" s="349"/>
      <c r="SRV67" s="349"/>
      <c r="SRW67" s="349"/>
      <c r="SRX67" s="349"/>
      <c r="SRY67" s="349"/>
      <c r="SRZ67" s="349"/>
      <c r="SSA67" s="349"/>
      <c r="SSB67" s="349"/>
      <c r="SSC67" s="349"/>
      <c r="SSD67" s="349"/>
      <c r="SSE67" s="349"/>
      <c r="SSF67" s="349"/>
      <c r="SSG67" s="349"/>
      <c r="SSH67" s="349"/>
      <c r="SSI67" s="349"/>
      <c r="SSJ67" s="349"/>
      <c r="SSK67" s="349"/>
      <c r="SSL67" s="349"/>
      <c r="SSM67" s="349"/>
      <c r="SSN67" s="349"/>
      <c r="SSO67" s="349"/>
      <c r="SSP67" s="349"/>
      <c r="SSQ67" s="349"/>
      <c r="SSR67" s="349"/>
      <c r="SSS67" s="349"/>
      <c r="SST67" s="349"/>
      <c r="SSU67" s="349"/>
      <c r="SSV67" s="349"/>
      <c r="SSW67" s="349"/>
      <c r="SSX67" s="349"/>
      <c r="SSY67" s="349"/>
      <c r="SSZ67" s="349"/>
      <c r="STA67" s="349"/>
      <c r="STB67" s="349"/>
      <c r="STC67" s="349"/>
      <c r="STD67" s="349"/>
      <c r="STE67" s="349"/>
      <c r="STF67" s="349"/>
      <c r="STG67" s="349"/>
      <c r="STH67" s="349"/>
      <c r="STI67" s="349"/>
      <c r="STJ67" s="349"/>
      <c r="STK67" s="349"/>
      <c r="STL67" s="349"/>
      <c r="STM67" s="349"/>
      <c r="STN67" s="349"/>
      <c r="STO67" s="349"/>
      <c r="STP67" s="349"/>
      <c r="STQ67" s="349"/>
      <c r="STR67" s="349"/>
      <c r="STS67" s="349"/>
      <c r="STT67" s="349"/>
      <c r="STU67" s="349"/>
      <c r="STV67" s="349"/>
      <c r="STW67" s="349"/>
      <c r="STX67" s="349"/>
      <c r="STY67" s="349"/>
      <c r="STZ67" s="349"/>
      <c r="SUA67" s="349"/>
      <c r="SUB67" s="349"/>
      <c r="SUC67" s="349"/>
      <c r="SUD67" s="349"/>
      <c r="SUE67" s="349"/>
      <c r="SUF67" s="349"/>
      <c r="SUG67" s="349"/>
      <c r="SUH67" s="349"/>
      <c r="SUI67" s="349"/>
      <c r="SUJ67" s="349"/>
      <c r="SUK67" s="349"/>
      <c r="SUL67" s="349"/>
      <c r="SUM67" s="349"/>
      <c r="SUN67" s="349"/>
      <c r="SUO67" s="349"/>
      <c r="SUP67" s="349"/>
      <c r="SUQ67" s="349"/>
      <c r="SUR67" s="349"/>
      <c r="SUS67" s="349"/>
      <c r="SUT67" s="349"/>
      <c r="SUU67" s="349"/>
      <c r="SUV67" s="349"/>
      <c r="SUW67" s="349"/>
      <c r="SUX67" s="349"/>
      <c r="SUY67" s="349"/>
      <c r="SUZ67" s="349"/>
      <c r="SVA67" s="349"/>
      <c r="SVB67" s="349"/>
      <c r="SVC67" s="349"/>
      <c r="SVD67" s="349"/>
      <c r="SVE67" s="349"/>
      <c r="SVF67" s="349"/>
      <c r="SVG67" s="349"/>
      <c r="SVH67" s="349"/>
      <c r="SVI67" s="349"/>
      <c r="SVJ67" s="349"/>
      <c r="SVK67" s="349"/>
      <c r="SVL67" s="349"/>
      <c r="SVM67" s="349"/>
      <c r="SVN67" s="349"/>
      <c r="SVO67" s="349"/>
      <c r="SVP67" s="349"/>
      <c r="SVQ67" s="349"/>
      <c r="SVR67" s="349"/>
      <c r="SVS67" s="349"/>
      <c r="SVT67" s="349"/>
      <c r="SVU67" s="349"/>
      <c r="SVV67" s="349"/>
      <c r="SVW67" s="349"/>
      <c r="SVX67" s="349"/>
      <c r="SVY67" s="349"/>
      <c r="SVZ67" s="349"/>
      <c r="SWA67" s="349"/>
      <c r="SWB67" s="349"/>
      <c r="SWC67" s="349"/>
      <c r="SWD67" s="349"/>
      <c r="SWE67" s="349"/>
      <c r="SWF67" s="349"/>
      <c r="SWG67" s="349"/>
      <c r="SWH67" s="349"/>
      <c r="SWI67" s="349"/>
      <c r="SWJ67" s="349"/>
      <c r="SWK67" s="349"/>
      <c r="SWL67" s="349"/>
      <c r="SWM67" s="349"/>
      <c r="SWN67" s="349"/>
      <c r="SWO67" s="349"/>
      <c r="SWP67" s="349"/>
      <c r="SWQ67" s="349"/>
      <c r="SWR67" s="349"/>
      <c r="SWS67" s="349"/>
      <c r="SWT67" s="349"/>
      <c r="SWU67" s="349"/>
      <c r="SWV67" s="349"/>
      <c r="SWW67" s="349"/>
      <c r="SWX67" s="349"/>
      <c r="SWY67" s="349"/>
      <c r="SWZ67" s="349"/>
      <c r="SXA67" s="349"/>
      <c r="SXB67" s="349"/>
      <c r="SXC67" s="349"/>
      <c r="SXD67" s="349"/>
      <c r="SXE67" s="349"/>
      <c r="SXF67" s="349"/>
      <c r="SXG67" s="349"/>
      <c r="SXH67" s="349"/>
      <c r="SXI67" s="349"/>
      <c r="SXJ67" s="349"/>
      <c r="SXK67" s="349"/>
      <c r="SXL67" s="349"/>
      <c r="SXM67" s="349"/>
      <c r="SXN67" s="349"/>
      <c r="SXO67" s="349"/>
      <c r="SXP67" s="349"/>
      <c r="SXQ67" s="349"/>
      <c r="SXR67" s="349"/>
      <c r="SXS67" s="349"/>
      <c r="SXT67" s="349"/>
      <c r="SXU67" s="349"/>
      <c r="SXV67" s="349"/>
      <c r="SXW67" s="349"/>
      <c r="SXX67" s="349"/>
      <c r="SXY67" s="349"/>
      <c r="SXZ67" s="349"/>
      <c r="SYA67" s="349"/>
      <c r="SYB67" s="349"/>
      <c r="SYC67" s="349"/>
      <c r="SYD67" s="349"/>
      <c r="SYE67" s="349"/>
      <c r="SYF67" s="349"/>
      <c r="SYG67" s="349"/>
      <c r="SYH67" s="349"/>
      <c r="SYI67" s="349"/>
      <c r="SYJ67" s="349"/>
      <c r="SYK67" s="349"/>
      <c r="SYL67" s="349"/>
      <c r="SYM67" s="349"/>
      <c r="SYN67" s="349"/>
      <c r="SYO67" s="349"/>
      <c r="SYP67" s="349"/>
      <c r="SYQ67" s="349"/>
      <c r="SYR67" s="349"/>
      <c r="SYS67" s="349"/>
      <c r="SYT67" s="349"/>
      <c r="SYU67" s="349"/>
      <c r="SYV67" s="349"/>
      <c r="SYW67" s="349"/>
      <c r="SYX67" s="349"/>
      <c r="SYY67" s="349"/>
      <c r="SYZ67" s="349"/>
      <c r="SZA67" s="349"/>
      <c r="SZB67" s="349"/>
      <c r="SZC67" s="349"/>
      <c r="SZD67" s="349"/>
      <c r="SZE67" s="349"/>
      <c r="SZF67" s="349"/>
      <c r="SZG67" s="349"/>
      <c r="SZH67" s="349"/>
      <c r="SZI67" s="349"/>
      <c r="SZJ67" s="349"/>
      <c r="SZK67" s="349"/>
      <c r="SZL67" s="349"/>
      <c r="SZM67" s="349"/>
      <c r="SZN67" s="349"/>
      <c r="SZO67" s="349"/>
      <c r="SZP67" s="349"/>
      <c r="SZQ67" s="349"/>
      <c r="SZR67" s="349"/>
      <c r="SZS67" s="349"/>
      <c r="SZT67" s="349"/>
      <c r="SZU67" s="349"/>
      <c r="SZV67" s="349"/>
      <c r="SZW67" s="349"/>
      <c r="SZX67" s="349"/>
      <c r="SZY67" s="349"/>
      <c r="SZZ67" s="349"/>
      <c r="TAA67" s="349"/>
      <c r="TAB67" s="349"/>
      <c r="TAC67" s="349"/>
      <c r="TAD67" s="349"/>
      <c r="TAE67" s="349"/>
      <c r="TAF67" s="349"/>
      <c r="TAG67" s="349"/>
      <c r="TAH67" s="349"/>
      <c r="TAI67" s="349"/>
      <c r="TAJ67" s="349"/>
      <c r="TAK67" s="349"/>
      <c r="TAL67" s="349"/>
      <c r="TAM67" s="349"/>
      <c r="TAN67" s="349"/>
      <c r="TAO67" s="349"/>
      <c r="TAP67" s="349"/>
      <c r="TAQ67" s="349"/>
      <c r="TAR67" s="349"/>
      <c r="TAS67" s="349"/>
      <c r="TAT67" s="349"/>
      <c r="TAU67" s="349"/>
      <c r="TAV67" s="349"/>
      <c r="TAW67" s="349"/>
      <c r="TAX67" s="349"/>
      <c r="TAY67" s="349"/>
      <c r="TAZ67" s="349"/>
      <c r="TBA67" s="349"/>
      <c r="TBB67" s="349"/>
      <c r="TBC67" s="349"/>
      <c r="TBD67" s="349"/>
      <c r="TBE67" s="349"/>
      <c r="TBF67" s="349"/>
      <c r="TBG67" s="349"/>
      <c r="TBH67" s="349"/>
      <c r="TBI67" s="349"/>
      <c r="TBJ67" s="349"/>
      <c r="TBK67" s="349"/>
      <c r="TBL67" s="349"/>
      <c r="TBM67" s="349"/>
      <c r="TBN67" s="349"/>
      <c r="TBO67" s="349"/>
      <c r="TBP67" s="349"/>
      <c r="TBQ67" s="349"/>
      <c r="TBR67" s="349"/>
      <c r="TBS67" s="349"/>
      <c r="TBT67" s="349"/>
      <c r="TBU67" s="349"/>
      <c r="TBV67" s="349"/>
      <c r="TBW67" s="349"/>
      <c r="TBX67" s="349"/>
      <c r="TBY67" s="349"/>
      <c r="TBZ67" s="349"/>
      <c r="TCA67" s="349"/>
      <c r="TCB67" s="349"/>
      <c r="TCC67" s="349"/>
      <c r="TCD67" s="349"/>
      <c r="TCE67" s="349"/>
      <c r="TCF67" s="349"/>
      <c r="TCG67" s="349"/>
      <c r="TCH67" s="349"/>
      <c r="TCI67" s="349"/>
      <c r="TCJ67" s="349"/>
      <c r="TCK67" s="349"/>
      <c r="TCL67" s="349"/>
      <c r="TCM67" s="349"/>
      <c r="TCN67" s="349"/>
      <c r="TCO67" s="349"/>
      <c r="TCP67" s="349"/>
      <c r="TCQ67" s="349"/>
      <c r="TCR67" s="349"/>
      <c r="TCS67" s="349"/>
      <c r="TCT67" s="349"/>
      <c r="TCU67" s="349"/>
      <c r="TCV67" s="349"/>
      <c r="TCW67" s="349"/>
      <c r="TCX67" s="349"/>
      <c r="TCY67" s="349"/>
      <c r="TCZ67" s="349"/>
      <c r="TDA67" s="349"/>
      <c r="TDB67" s="349"/>
      <c r="TDC67" s="349"/>
      <c r="TDD67" s="349"/>
      <c r="TDE67" s="349"/>
      <c r="TDF67" s="349"/>
      <c r="TDG67" s="349"/>
      <c r="TDH67" s="349"/>
      <c r="TDI67" s="349"/>
      <c r="TDJ67" s="349"/>
      <c r="TDK67" s="349"/>
      <c r="TDL67" s="349"/>
      <c r="TDM67" s="349"/>
      <c r="TDN67" s="349"/>
      <c r="TDO67" s="349"/>
      <c r="TDP67" s="349"/>
      <c r="TDQ67" s="349"/>
      <c r="TDR67" s="349"/>
      <c r="TDS67" s="349"/>
      <c r="TDT67" s="349"/>
      <c r="TDU67" s="349"/>
      <c r="TDV67" s="349"/>
      <c r="TDW67" s="349"/>
      <c r="TDX67" s="349"/>
      <c r="TDY67" s="349"/>
      <c r="TDZ67" s="349"/>
      <c r="TEA67" s="349"/>
      <c r="TEB67" s="349"/>
      <c r="TEC67" s="349"/>
      <c r="TED67" s="349"/>
      <c r="TEE67" s="349"/>
      <c r="TEF67" s="349"/>
      <c r="TEG67" s="349"/>
      <c r="TEH67" s="349"/>
      <c r="TEI67" s="349"/>
      <c r="TEJ67" s="349"/>
      <c r="TEK67" s="349"/>
      <c r="TEL67" s="349"/>
      <c r="TEM67" s="349"/>
      <c r="TEN67" s="349"/>
      <c r="TEO67" s="349"/>
      <c r="TEP67" s="349"/>
      <c r="TEQ67" s="349"/>
      <c r="TER67" s="349"/>
      <c r="TES67" s="349"/>
      <c r="TET67" s="349"/>
      <c r="TEU67" s="349"/>
      <c r="TEV67" s="349"/>
      <c r="TEW67" s="349"/>
      <c r="TEX67" s="349"/>
      <c r="TEY67" s="349"/>
      <c r="TEZ67" s="349"/>
      <c r="TFA67" s="349"/>
      <c r="TFB67" s="349"/>
      <c r="TFC67" s="349"/>
      <c r="TFD67" s="349"/>
      <c r="TFE67" s="349"/>
      <c r="TFF67" s="349"/>
      <c r="TFG67" s="349"/>
      <c r="TFH67" s="349"/>
      <c r="TFI67" s="349"/>
      <c r="TFJ67" s="349"/>
      <c r="TFK67" s="349"/>
      <c r="TFL67" s="349"/>
      <c r="TFM67" s="349"/>
      <c r="TFN67" s="349"/>
      <c r="TFO67" s="349"/>
      <c r="TFP67" s="349"/>
      <c r="TFQ67" s="349"/>
      <c r="TFR67" s="349"/>
      <c r="TFS67" s="349"/>
      <c r="TFT67" s="349"/>
      <c r="TFU67" s="349"/>
      <c r="TFV67" s="349"/>
      <c r="TFW67" s="349"/>
      <c r="TFX67" s="349"/>
      <c r="TFY67" s="349"/>
      <c r="TFZ67" s="349"/>
      <c r="TGA67" s="349"/>
      <c r="TGB67" s="349"/>
      <c r="TGC67" s="349"/>
      <c r="TGD67" s="349"/>
      <c r="TGE67" s="349"/>
      <c r="TGF67" s="349"/>
      <c r="TGG67" s="349"/>
      <c r="TGH67" s="349"/>
      <c r="TGI67" s="349"/>
      <c r="TGJ67" s="349"/>
      <c r="TGK67" s="349"/>
      <c r="TGL67" s="349"/>
      <c r="TGM67" s="349"/>
      <c r="TGN67" s="349"/>
      <c r="TGO67" s="349"/>
      <c r="TGP67" s="349"/>
      <c r="TGQ67" s="349"/>
      <c r="TGR67" s="349"/>
      <c r="TGS67" s="349"/>
      <c r="TGT67" s="349"/>
      <c r="TGU67" s="349"/>
      <c r="TGV67" s="349"/>
      <c r="TGW67" s="349"/>
      <c r="TGX67" s="349"/>
      <c r="TGY67" s="349"/>
      <c r="TGZ67" s="349"/>
      <c r="THA67" s="349"/>
      <c r="THB67" s="349"/>
      <c r="THC67" s="349"/>
      <c r="THD67" s="349"/>
      <c r="THE67" s="349"/>
      <c r="THF67" s="349"/>
      <c r="THG67" s="349"/>
      <c r="THH67" s="349"/>
      <c r="THI67" s="349"/>
      <c r="THJ67" s="349"/>
      <c r="THK67" s="349"/>
      <c r="THL67" s="349"/>
      <c r="THM67" s="349"/>
      <c r="THN67" s="349"/>
      <c r="THO67" s="349"/>
      <c r="THP67" s="349"/>
      <c r="THQ67" s="349"/>
      <c r="THR67" s="349"/>
      <c r="THS67" s="349"/>
      <c r="THT67" s="349"/>
      <c r="THU67" s="349"/>
      <c r="THV67" s="349"/>
      <c r="THW67" s="349"/>
      <c r="THX67" s="349"/>
      <c r="THY67" s="349"/>
      <c r="THZ67" s="349"/>
      <c r="TIA67" s="349"/>
      <c r="TIB67" s="349"/>
      <c r="TIC67" s="349"/>
      <c r="TID67" s="349"/>
      <c r="TIE67" s="349"/>
      <c r="TIF67" s="349"/>
      <c r="TIG67" s="349"/>
      <c r="TIH67" s="349"/>
      <c r="TII67" s="349"/>
      <c r="TIJ67" s="349"/>
      <c r="TIK67" s="349"/>
      <c r="TIL67" s="349"/>
      <c r="TIM67" s="349"/>
      <c r="TIN67" s="349"/>
      <c r="TIO67" s="349"/>
      <c r="TIP67" s="349"/>
      <c r="TIQ67" s="349"/>
      <c r="TIR67" s="349"/>
      <c r="TIS67" s="349"/>
      <c r="TIT67" s="349"/>
      <c r="TIU67" s="349"/>
      <c r="TIV67" s="349"/>
      <c r="TIW67" s="349"/>
      <c r="TIX67" s="349"/>
      <c r="TIY67" s="349"/>
      <c r="TIZ67" s="349"/>
      <c r="TJA67" s="349"/>
      <c r="TJB67" s="349"/>
      <c r="TJC67" s="349"/>
      <c r="TJD67" s="349"/>
      <c r="TJE67" s="349"/>
      <c r="TJF67" s="349"/>
      <c r="TJG67" s="349"/>
      <c r="TJH67" s="349"/>
      <c r="TJI67" s="349"/>
      <c r="TJJ67" s="349"/>
      <c r="TJK67" s="349"/>
      <c r="TJL67" s="349"/>
      <c r="TJM67" s="349"/>
      <c r="TJN67" s="349"/>
      <c r="TJO67" s="349"/>
      <c r="TJP67" s="349"/>
      <c r="TJQ67" s="349"/>
      <c r="TJR67" s="349"/>
      <c r="TJS67" s="349"/>
      <c r="TJT67" s="349"/>
      <c r="TJU67" s="349"/>
      <c r="TJV67" s="349"/>
      <c r="TJW67" s="349"/>
      <c r="TJX67" s="349"/>
      <c r="TJY67" s="349"/>
      <c r="TJZ67" s="349"/>
      <c r="TKA67" s="349"/>
      <c r="TKB67" s="349"/>
      <c r="TKC67" s="349"/>
      <c r="TKD67" s="349"/>
      <c r="TKE67" s="349"/>
      <c r="TKF67" s="349"/>
      <c r="TKG67" s="349"/>
      <c r="TKH67" s="349"/>
      <c r="TKI67" s="349"/>
      <c r="TKJ67" s="349"/>
      <c r="TKK67" s="349"/>
      <c r="TKL67" s="349"/>
      <c r="TKM67" s="349"/>
      <c r="TKN67" s="349"/>
      <c r="TKO67" s="349"/>
      <c r="TKP67" s="349"/>
      <c r="TKQ67" s="349"/>
      <c r="TKR67" s="349"/>
      <c r="TKS67" s="349"/>
      <c r="TKT67" s="349"/>
      <c r="TKU67" s="349"/>
      <c r="TKV67" s="349"/>
      <c r="TKW67" s="349"/>
      <c r="TKX67" s="349"/>
      <c r="TKY67" s="349"/>
      <c r="TKZ67" s="349"/>
      <c r="TLA67" s="349"/>
      <c r="TLB67" s="349"/>
      <c r="TLC67" s="349"/>
      <c r="TLD67" s="349"/>
      <c r="TLE67" s="349"/>
      <c r="TLF67" s="349"/>
      <c r="TLG67" s="349"/>
      <c r="TLH67" s="349"/>
      <c r="TLI67" s="349"/>
      <c r="TLJ67" s="349"/>
      <c r="TLK67" s="349"/>
      <c r="TLL67" s="349"/>
      <c r="TLM67" s="349"/>
      <c r="TLN67" s="349"/>
      <c r="TLO67" s="349"/>
      <c r="TLP67" s="349"/>
      <c r="TLQ67" s="349"/>
      <c r="TLR67" s="349"/>
      <c r="TLS67" s="349"/>
      <c r="TLT67" s="349"/>
      <c r="TLU67" s="349"/>
      <c r="TLV67" s="349"/>
      <c r="TLW67" s="349"/>
      <c r="TLX67" s="349"/>
      <c r="TLY67" s="349"/>
      <c r="TLZ67" s="349"/>
      <c r="TMA67" s="349"/>
      <c r="TMB67" s="349"/>
      <c r="TMC67" s="349"/>
      <c r="TMD67" s="349"/>
      <c r="TME67" s="349"/>
      <c r="TMF67" s="349"/>
      <c r="TMG67" s="349"/>
      <c r="TMH67" s="349"/>
      <c r="TMI67" s="349"/>
      <c r="TMJ67" s="349"/>
      <c r="TMK67" s="349"/>
      <c r="TML67" s="349"/>
      <c r="TMM67" s="349"/>
      <c r="TMN67" s="349"/>
      <c r="TMO67" s="349"/>
      <c r="TMP67" s="349"/>
      <c r="TMQ67" s="349"/>
      <c r="TMR67" s="349"/>
      <c r="TMS67" s="349"/>
      <c r="TMT67" s="349"/>
      <c r="TMU67" s="349"/>
      <c r="TMV67" s="349"/>
      <c r="TMW67" s="349"/>
      <c r="TMX67" s="349"/>
      <c r="TMY67" s="349"/>
      <c r="TMZ67" s="349"/>
      <c r="TNA67" s="349"/>
      <c r="TNB67" s="349"/>
      <c r="TNC67" s="349"/>
      <c r="TND67" s="349"/>
      <c r="TNE67" s="349"/>
      <c r="TNF67" s="349"/>
      <c r="TNG67" s="349"/>
      <c r="TNH67" s="349"/>
      <c r="TNI67" s="349"/>
      <c r="TNJ67" s="349"/>
      <c r="TNK67" s="349"/>
      <c r="TNL67" s="349"/>
      <c r="TNM67" s="349"/>
      <c r="TNN67" s="349"/>
      <c r="TNO67" s="349"/>
      <c r="TNP67" s="349"/>
      <c r="TNQ67" s="349"/>
      <c r="TNR67" s="349"/>
      <c r="TNS67" s="349"/>
      <c r="TNT67" s="349"/>
      <c r="TNU67" s="349"/>
      <c r="TNV67" s="349"/>
      <c r="TNW67" s="349"/>
      <c r="TNX67" s="349"/>
      <c r="TNY67" s="349"/>
      <c r="TNZ67" s="349"/>
      <c r="TOA67" s="349"/>
      <c r="TOB67" s="349"/>
      <c r="TOC67" s="349"/>
      <c r="TOD67" s="349"/>
      <c r="TOE67" s="349"/>
      <c r="TOF67" s="349"/>
      <c r="TOG67" s="349"/>
      <c r="TOH67" s="349"/>
      <c r="TOI67" s="349"/>
      <c r="TOJ67" s="349"/>
      <c r="TOK67" s="349"/>
      <c r="TOL67" s="349"/>
      <c r="TOM67" s="349"/>
      <c r="TON67" s="349"/>
      <c r="TOO67" s="349"/>
      <c r="TOP67" s="349"/>
      <c r="TOQ67" s="349"/>
      <c r="TOR67" s="349"/>
      <c r="TOS67" s="349"/>
      <c r="TOT67" s="349"/>
      <c r="TOU67" s="349"/>
      <c r="TOV67" s="349"/>
      <c r="TOW67" s="349"/>
      <c r="TOX67" s="349"/>
      <c r="TOY67" s="349"/>
      <c r="TOZ67" s="349"/>
      <c r="TPA67" s="349"/>
      <c r="TPB67" s="349"/>
      <c r="TPC67" s="349"/>
      <c r="TPD67" s="349"/>
      <c r="TPE67" s="349"/>
      <c r="TPF67" s="349"/>
      <c r="TPG67" s="349"/>
      <c r="TPH67" s="349"/>
      <c r="TPI67" s="349"/>
      <c r="TPJ67" s="349"/>
      <c r="TPK67" s="349"/>
      <c r="TPL67" s="349"/>
      <c r="TPM67" s="349"/>
      <c r="TPN67" s="349"/>
      <c r="TPO67" s="349"/>
      <c r="TPP67" s="349"/>
      <c r="TPQ67" s="349"/>
      <c r="TPR67" s="349"/>
      <c r="TPS67" s="349"/>
      <c r="TPT67" s="349"/>
      <c r="TPU67" s="349"/>
      <c r="TPV67" s="349"/>
      <c r="TPW67" s="349"/>
      <c r="TPX67" s="349"/>
      <c r="TPY67" s="349"/>
      <c r="TPZ67" s="349"/>
      <c r="TQA67" s="349"/>
      <c r="TQB67" s="349"/>
      <c r="TQC67" s="349"/>
      <c r="TQD67" s="349"/>
      <c r="TQE67" s="349"/>
      <c r="TQF67" s="349"/>
      <c r="TQG67" s="349"/>
      <c r="TQH67" s="349"/>
      <c r="TQI67" s="349"/>
      <c r="TQJ67" s="349"/>
      <c r="TQK67" s="349"/>
      <c r="TQL67" s="349"/>
      <c r="TQM67" s="349"/>
      <c r="TQN67" s="349"/>
      <c r="TQO67" s="349"/>
      <c r="TQP67" s="349"/>
      <c r="TQQ67" s="349"/>
      <c r="TQR67" s="349"/>
      <c r="TQS67" s="349"/>
      <c r="TQT67" s="349"/>
      <c r="TQU67" s="349"/>
      <c r="TQV67" s="349"/>
      <c r="TQW67" s="349"/>
      <c r="TQX67" s="349"/>
      <c r="TQY67" s="349"/>
      <c r="TQZ67" s="349"/>
      <c r="TRA67" s="349"/>
      <c r="TRB67" s="349"/>
      <c r="TRC67" s="349"/>
      <c r="TRD67" s="349"/>
      <c r="TRE67" s="349"/>
      <c r="TRF67" s="349"/>
      <c r="TRG67" s="349"/>
      <c r="TRH67" s="349"/>
      <c r="TRI67" s="349"/>
      <c r="TRJ67" s="349"/>
      <c r="TRK67" s="349"/>
      <c r="TRL67" s="349"/>
      <c r="TRM67" s="349"/>
      <c r="TRN67" s="349"/>
      <c r="TRO67" s="349"/>
      <c r="TRP67" s="349"/>
      <c r="TRQ67" s="349"/>
      <c r="TRR67" s="349"/>
      <c r="TRS67" s="349"/>
      <c r="TRT67" s="349"/>
      <c r="TRU67" s="349"/>
      <c r="TRV67" s="349"/>
      <c r="TRW67" s="349"/>
      <c r="TRX67" s="349"/>
      <c r="TRY67" s="349"/>
      <c r="TRZ67" s="349"/>
      <c r="TSA67" s="349"/>
      <c r="TSB67" s="349"/>
      <c r="TSC67" s="349"/>
      <c r="TSD67" s="349"/>
      <c r="TSE67" s="349"/>
      <c r="TSF67" s="349"/>
      <c r="TSG67" s="349"/>
      <c r="TSH67" s="349"/>
      <c r="TSI67" s="349"/>
      <c r="TSJ67" s="349"/>
      <c r="TSK67" s="349"/>
      <c r="TSL67" s="349"/>
      <c r="TSM67" s="349"/>
      <c r="TSN67" s="349"/>
      <c r="TSO67" s="349"/>
      <c r="TSP67" s="349"/>
      <c r="TSQ67" s="349"/>
      <c r="TSR67" s="349"/>
      <c r="TSS67" s="349"/>
      <c r="TST67" s="349"/>
      <c r="TSU67" s="349"/>
      <c r="TSV67" s="349"/>
      <c r="TSW67" s="349"/>
      <c r="TSX67" s="349"/>
      <c r="TSY67" s="349"/>
      <c r="TSZ67" s="349"/>
      <c r="TTA67" s="349"/>
      <c r="TTB67" s="349"/>
      <c r="TTC67" s="349"/>
      <c r="TTD67" s="349"/>
      <c r="TTE67" s="349"/>
      <c r="TTF67" s="349"/>
      <c r="TTG67" s="349"/>
      <c r="TTH67" s="349"/>
      <c r="TTI67" s="349"/>
      <c r="TTJ67" s="349"/>
      <c r="TTK67" s="349"/>
      <c r="TTL67" s="349"/>
      <c r="TTM67" s="349"/>
      <c r="TTN67" s="349"/>
      <c r="TTO67" s="349"/>
      <c r="TTP67" s="349"/>
      <c r="TTQ67" s="349"/>
      <c r="TTR67" s="349"/>
      <c r="TTS67" s="349"/>
      <c r="TTT67" s="349"/>
      <c r="TTU67" s="349"/>
      <c r="TTV67" s="349"/>
      <c r="TTW67" s="349"/>
      <c r="TTX67" s="349"/>
      <c r="TTY67" s="349"/>
      <c r="TTZ67" s="349"/>
      <c r="TUA67" s="349"/>
      <c r="TUB67" s="349"/>
      <c r="TUC67" s="349"/>
      <c r="TUD67" s="349"/>
      <c r="TUE67" s="349"/>
      <c r="TUF67" s="349"/>
      <c r="TUG67" s="349"/>
      <c r="TUH67" s="349"/>
      <c r="TUI67" s="349"/>
      <c r="TUJ67" s="349"/>
      <c r="TUK67" s="349"/>
      <c r="TUL67" s="349"/>
      <c r="TUM67" s="349"/>
      <c r="TUN67" s="349"/>
      <c r="TUO67" s="349"/>
      <c r="TUP67" s="349"/>
      <c r="TUQ67" s="349"/>
      <c r="TUR67" s="349"/>
      <c r="TUS67" s="349"/>
      <c r="TUT67" s="349"/>
      <c r="TUU67" s="349"/>
      <c r="TUV67" s="349"/>
      <c r="TUW67" s="349"/>
      <c r="TUX67" s="349"/>
      <c r="TUY67" s="349"/>
      <c r="TUZ67" s="349"/>
      <c r="TVA67" s="349"/>
      <c r="TVB67" s="349"/>
      <c r="TVC67" s="349"/>
      <c r="TVD67" s="349"/>
      <c r="TVE67" s="349"/>
      <c r="TVF67" s="349"/>
      <c r="TVG67" s="349"/>
      <c r="TVH67" s="349"/>
      <c r="TVI67" s="349"/>
      <c r="TVJ67" s="349"/>
      <c r="TVK67" s="349"/>
      <c r="TVL67" s="349"/>
      <c r="TVM67" s="349"/>
      <c r="TVN67" s="349"/>
      <c r="TVO67" s="349"/>
      <c r="TVP67" s="349"/>
      <c r="TVQ67" s="349"/>
      <c r="TVR67" s="349"/>
      <c r="TVS67" s="349"/>
      <c r="TVT67" s="349"/>
      <c r="TVU67" s="349"/>
      <c r="TVV67" s="349"/>
      <c r="TVW67" s="349"/>
      <c r="TVX67" s="349"/>
      <c r="TVY67" s="349"/>
      <c r="TVZ67" s="349"/>
      <c r="TWA67" s="349"/>
      <c r="TWB67" s="349"/>
      <c r="TWC67" s="349"/>
      <c r="TWD67" s="349"/>
      <c r="TWE67" s="349"/>
      <c r="TWF67" s="349"/>
      <c r="TWG67" s="349"/>
      <c r="TWH67" s="349"/>
      <c r="TWI67" s="349"/>
      <c r="TWJ67" s="349"/>
      <c r="TWK67" s="349"/>
      <c r="TWL67" s="349"/>
      <c r="TWM67" s="349"/>
      <c r="TWN67" s="349"/>
      <c r="TWO67" s="349"/>
      <c r="TWP67" s="349"/>
      <c r="TWQ67" s="349"/>
      <c r="TWR67" s="349"/>
      <c r="TWS67" s="349"/>
      <c r="TWT67" s="349"/>
      <c r="TWU67" s="349"/>
      <c r="TWV67" s="349"/>
      <c r="TWW67" s="349"/>
      <c r="TWX67" s="349"/>
      <c r="TWY67" s="349"/>
      <c r="TWZ67" s="349"/>
      <c r="TXA67" s="349"/>
      <c r="TXB67" s="349"/>
      <c r="TXC67" s="349"/>
      <c r="TXD67" s="349"/>
      <c r="TXE67" s="349"/>
      <c r="TXF67" s="349"/>
      <c r="TXG67" s="349"/>
      <c r="TXH67" s="349"/>
      <c r="TXI67" s="349"/>
      <c r="TXJ67" s="349"/>
      <c r="TXK67" s="349"/>
      <c r="TXL67" s="349"/>
      <c r="TXM67" s="349"/>
      <c r="TXN67" s="349"/>
      <c r="TXO67" s="349"/>
      <c r="TXP67" s="349"/>
      <c r="TXQ67" s="349"/>
      <c r="TXR67" s="349"/>
      <c r="TXS67" s="349"/>
      <c r="TXT67" s="349"/>
      <c r="TXU67" s="349"/>
      <c r="TXV67" s="349"/>
      <c r="TXW67" s="349"/>
      <c r="TXX67" s="349"/>
      <c r="TXY67" s="349"/>
      <c r="TXZ67" s="349"/>
      <c r="TYA67" s="349"/>
      <c r="TYB67" s="349"/>
      <c r="TYC67" s="349"/>
      <c r="TYD67" s="349"/>
      <c r="TYE67" s="349"/>
      <c r="TYF67" s="349"/>
      <c r="TYG67" s="349"/>
      <c r="TYH67" s="349"/>
      <c r="TYI67" s="349"/>
      <c r="TYJ67" s="349"/>
      <c r="TYK67" s="349"/>
      <c r="TYL67" s="349"/>
      <c r="TYM67" s="349"/>
      <c r="TYN67" s="349"/>
      <c r="TYO67" s="349"/>
      <c r="TYP67" s="349"/>
      <c r="TYQ67" s="349"/>
      <c r="TYR67" s="349"/>
      <c r="TYS67" s="349"/>
      <c r="TYT67" s="349"/>
      <c r="TYU67" s="349"/>
      <c r="TYV67" s="349"/>
      <c r="TYW67" s="349"/>
      <c r="TYX67" s="349"/>
      <c r="TYY67" s="349"/>
      <c r="TYZ67" s="349"/>
      <c r="TZA67" s="349"/>
      <c r="TZB67" s="349"/>
      <c r="TZC67" s="349"/>
      <c r="TZD67" s="349"/>
      <c r="TZE67" s="349"/>
      <c r="TZF67" s="349"/>
      <c r="TZG67" s="349"/>
      <c r="TZH67" s="349"/>
      <c r="TZI67" s="349"/>
      <c r="TZJ67" s="349"/>
      <c r="TZK67" s="349"/>
      <c r="TZL67" s="349"/>
      <c r="TZM67" s="349"/>
      <c r="TZN67" s="349"/>
      <c r="TZO67" s="349"/>
      <c r="TZP67" s="349"/>
      <c r="TZQ67" s="349"/>
      <c r="TZR67" s="349"/>
      <c r="TZS67" s="349"/>
      <c r="TZT67" s="349"/>
      <c r="TZU67" s="349"/>
      <c r="TZV67" s="349"/>
      <c r="TZW67" s="349"/>
      <c r="TZX67" s="349"/>
      <c r="TZY67" s="349"/>
      <c r="TZZ67" s="349"/>
      <c r="UAA67" s="349"/>
      <c r="UAB67" s="349"/>
      <c r="UAC67" s="349"/>
      <c r="UAD67" s="349"/>
      <c r="UAE67" s="349"/>
      <c r="UAF67" s="349"/>
      <c r="UAG67" s="349"/>
      <c r="UAH67" s="349"/>
      <c r="UAI67" s="349"/>
      <c r="UAJ67" s="349"/>
      <c r="UAK67" s="349"/>
      <c r="UAL67" s="349"/>
      <c r="UAM67" s="349"/>
      <c r="UAN67" s="349"/>
      <c r="UAO67" s="349"/>
      <c r="UAP67" s="349"/>
      <c r="UAQ67" s="349"/>
      <c r="UAR67" s="349"/>
      <c r="UAS67" s="349"/>
      <c r="UAT67" s="349"/>
      <c r="UAU67" s="349"/>
      <c r="UAV67" s="349"/>
      <c r="UAW67" s="349"/>
      <c r="UAX67" s="349"/>
      <c r="UAY67" s="349"/>
      <c r="UAZ67" s="349"/>
      <c r="UBA67" s="349"/>
      <c r="UBB67" s="349"/>
      <c r="UBC67" s="349"/>
      <c r="UBD67" s="349"/>
      <c r="UBE67" s="349"/>
      <c r="UBF67" s="349"/>
      <c r="UBG67" s="349"/>
      <c r="UBH67" s="349"/>
      <c r="UBI67" s="349"/>
      <c r="UBJ67" s="349"/>
      <c r="UBK67" s="349"/>
      <c r="UBL67" s="349"/>
      <c r="UBM67" s="349"/>
      <c r="UBN67" s="349"/>
      <c r="UBO67" s="349"/>
      <c r="UBP67" s="349"/>
      <c r="UBQ67" s="349"/>
      <c r="UBR67" s="349"/>
      <c r="UBS67" s="349"/>
      <c r="UBT67" s="349"/>
      <c r="UBU67" s="349"/>
      <c r="UBV67" s="349"/>
      <c r="UBW67" s="349"/>
      <c r="UBX67" s="349"/>
      <c r="UBY67" s="349"/>
      <c r="UBZ67" s="349"/>
      <c r="UCA67" s="349"/>
      <c r="UCB67" s="349"/>
      <c r="UCC67" s="349"/>
      <c r="UCD67" s="349"/>
      <c r="UCE67" s="349"/>
      <c r="UCF67" s="349"/>
      <c r="UCG67" s="349"/>
      <c r="UCH67" s="349"/>
      <c r="UCI67" s="349"/>
      <c r="UCJ67" s="349"/>
      <c r="UCK67" s="349"/>
      <c r="UCL67" s="349"/>
      <c r="UCM67" s="349"/>
      <c r="UCN67" s="349"/>
      <c r="UCO67" s="349"/>
      <c r="UCP67" s="349"/>
      <c r="UCQ67" s="349"/>
      <c r="UCR67" s="349"/>
      <c r="UCS67" s="349"/>
      <c r="UCT67" s="349"/>
      <c r="UCU67" s="349"/>
      <c r="UCV67" s="349"/>
      <c r="UCW67" s="349"/>
      <c r="UCX67" s="349"/>
      <c r="UCY67" s="349"/>
      <c r="UCZ67" s="349"/>
      <c r="UDA67" s="349"/>
      <c r="UDB67" s="349"/>
      <c r="UDC67" s="349"/>
      <c r="UDD67" s="349"/>
      <c r="UDE67" s="349"/>
      <c r="UDF67" s="349"/>
      <c r="UDG67" s="349"/>
      <c r="UDH67" s="349"/>
      <c r="UDI67" s="349"/>
      <c r="UDJ67" s="349"/>
      <c r="UDK67" s="349"/>
      <c r="UDL67" s="349"/>
      <c r="UDM67" s="349"/>
      <c r="UDN67" s="349"/>
      <c r="UDO67" s="349"/>
      <c r="UDP67" s="349"/>
      <c r="UDQ67" s="349"/>
      <c r="UDR67" s="349"/>
      <c r="UDS67" s="349"/>
      <c r="UDT67" s="349"/>
      <c r="UDU67" s="349"/>
      <c r="UDV67" s="349"/>
      <c r="UDW67" s="349"/>
      <c r="UDX67" s="349"/>
      <c r="UDY67" s="349"/>
      <c r="UDZ67" s="349"/>
      <c r="UEA67" s="349"/>
      <c r="UEB67" s="349"/>
      <c r="UEC67" s="349"/>
      <c r="UED67" s="349"/>
      <c r="UEE67" s="349"/>
      <c r="UEF67" s="349"/>
      <c r="UEG67" s="349"/>
      <c r="UEH67" s="349"/>
      <c r="UEI67" s="349"/>
      <c r="UEJ67" s="349"/>
      <c r="UEK67" s="349"/>
      <c r="UEL67" s="349"/>
      <c r="UEM67" s="349"/>
      <c r="UEN67" s="349"/>
      <c r="UEO67" s="349"/>
      <c r="UEP67" s="349"/>
      <c r="UEQ67" s="349"/>
      <c r="UER67" s="349"/>
      <c r="UES67" s="349"/>
      <c r="UET67" s="349"/>
      <c r="UEU67" s="349"/>
      <c r="UEV67" s="349"/>
      <c r="UEW67" s="349"/>
      <c r="UEX67" s="349"/>
      <c r="UEY67" s="349"/>
      <c r="UEZ67" s="349"/>
      <c r="UFA67" s="349"/>
      <c r="UFB67" s="349"/>
      <c r="UFC67" s="349"/>
      <c r="UFD67" s="349"/>
      <c r="UFE67" s="349"/>
      <c r="UFF67" s="349"/>
      <c r="UFG67" s="349"/>
      <c r="UFH67" s="349"/>
      <c r="UFI67" s="349"/>
      <c r="UFJ67" s="349"/>
      <c r="UFK67" s="349"/>
      <c r="UFL67" s="349"/>
      <c r="UFM67" s="349"/>
      <c r="UFN67" s="349"/>
      <c r="UFO67" s="349"/>
      <c r="UFP67" s="349"/>
      <c r="UFQ67" s="349"/>
      <c r="UFR67" s="349"/>
      <c r="UFS67" s="349"/>
      <c r="UFT67" s="349"/>
      <c r="UFU67" s="349"/>
      <c r="UFV67" s="349"/>
      <c r="UFW67" s="349"/>
      <c r="UFX67" s="349"/>
      <c r="UFY67" s="349"/>
      <c r="UFZ67" s="349"/>
      <c r="UGA67" s="349"/>
      <c r="UGB67" s="349"/>
      <c r="UGC67" s="349"/>
      <c r="UGD67" s="349"/>
      <c r="UGE67" s="349"/>
      <c r="UGF67" s="349"/>
      <c r="UGG67" s="349"/>
      <c r="UGH67" s="349"/>
      <c r="UGI67" s="349"/>
      <c r="UGJ67" s="349"/>
      <c r="UGK67" s="349"/>
      <c r="UGL67" s="349"/>
      <c r="UGM67" s="349"/>
      <c r="UGN67" s="349"/>
      <c r="UGO67" s="349"/>
      <c r="UGP67" s="349"/>
      <c r="UGQ67" s="349"/>
      <c r="UGR67" s="349"/>
      <c r="UGS67" s="349"/>
      <c r="UGT67" s="349"/>
      <c r="UGU67" s="349"/>
      <c r="UGV67" s="349"/>
      <c r="UGW67" s="349"/>
      <c r="UGX67" s="349"/>
      <c r="UGY67" s="349"/>
      <c r="UGZ67" s="349"/>
      <c r="UHA67" s="349"/>
      <c r="UHB67" s="349"/>
      <c r="UHC67" s="349"/>
      <c r="UHD67" s="349"/>
      <c r="UHE67" s="349"/>
      <c r="UHF67" s="349"/>
      <c r="UHG67" s="349"/>
      <c r="UHH67" s="349"/>
      <c r="UHI67" s="349"/>
      <c r="UHJ67" s="349"/>
      <c r="UHK67" s="349"/>
      <c r="UHL67" s="349"/>
      <c r="UHM67" s="349"/>
      <c r="UHN67" s="349"/>
      <c r="UHO67" s="349"/>
      <c r="UHP67" s="349"/>
      <c r="UHQ67" s="349"/>
      <c r="UHR67" s="349"/>
      <c r="UHS67" s="349"/>
      <c r="UHT67" s="349"/>
      <c r="UHU67" s="349"/>
      <c r="UHV67" s="349"/>
      <c r="UHW67" s="349"/>
      <c r="UHX67" s="349"/>
      <c r="UHY67" s="349"/>
      <c r="UHZ67" s="349"/>
      <c r="UIA67" s="349"/>
      <c r="UIB67" s="349"/>
      <c r="UIC67" s="349"/>
      <c r="UID67" s="349"/>
      <c r="UIE67" s="349"/>
      <c r="UIF67" s="349"/>
      <c r="UIG67" s="349"/>
      <c r="UIH67" s="349"/>
      <c r="UII67" s="349"/>
      <c r="UIJ67" s="349"/>
      <c r="UIK67" s="349"/>
      <c r="UIL67" s="349"/>
      <c r="UIM67" s="349"/>
      <c r="UIN67" s="349"/>
      <c r="UIO67" s="349"/>
      <c r="UIP67" s="349"/>
      <c r="UIQ67" s="349"/>
      <c r="UIR67" s="349"/>
      <c r="UIS67" s="349"/>
      <c r="UIT67" s="349"/>
      <c r="UIU67" s="349"/>
      <c r="UIV67" s="349"/>
      <c r="UIW67" s="349"/>
      <c r="UIX67" s="349"/>
      <c r="UIY67" s="349"/>
      <c r="UIZ67" s="349"/>
      <c r="UJA67" s="349"/>
      <c r="UJB67" s="349"/>
      <c r="UJC67" s="349"/>
      <c r="UJD67" s="349"/>
      <c r="UJE67" s="349"/>
      <c r="UJF67" s="349"/>
      <c r="UJG67" s="349"/>
      <c r="UJH67" s="349"/>
      <c r="UJI67" s="349"/>
      <c r="UJJ67" s="349"/>
      <c r="UJK67" s="349"/>
      <c r="UJL67" s="349"/>
      <c r="UJM67" s="349"/>
      <c r="UJN67" s="349"/>
      <c r="UJO67" s="349"/>
      <c r="UJP67" s="349"/>
      <c r="UJQ67" s="349"/>
      <c r="UJR67" s="349"/>
      <c r="UJS67" s="349"/>
      <c r="UJT67" s="349"/>
      <c r="UJU67" s="349"/>
      <c r="UJV67" s="349"/>
      <c r="UJW67" s="349"/>
      <c r="UJX67" s="349"/>
      <c r="UJY67" s="349"/>
      <c r="UJZ67" s="349"/>
      <c r="UKA67" s="349"/>
      <c r="UKB67" s="349"/>
      <c r="UKC67" s="349"/>
      <c r="UKD67" s="349"/>
      <c r="UKE67" s="349"/>
      <c r="UKF67" s="349"/>
      <c r="UKG67" s="349"/>
      <c r="UKH67" s="349"/>
      <c r="UKI67" s="349"/>
      <c r="UKJ67" s="349"/>
      <c r="UKK67" s="349"/>
      <c r="UKL67" s="349"/>
      <c r="UKM67" s="349"/>
      <c r="UKN67" s="349"/>
      <c r="UKO67" s="349"/>
      <c r="UKP67" s="349"/>
      <c r="UKQ67" s="349"/>
      <c r="UKR67" s="349"/>
      <c r="UKS67" s="349"/>
      <c r="UKT67" s="349"/>
      <c r="UKU67" s="349"/>
      <c r="UKV67" s="349"/>
      <c r="UKW67" s="349"/>
      <c r="UKX67" s="349"/>
      <c r="UKY67" s="349"/>
      <c r="UKZ67" s="349"/>
      <c r="ULA67" s="349"/>
      <c r="ULB67" s="349"/>
      <c r="ULC67" s="349"/>
      <c r="ULD67" s="349"/>
      <c r="ULE67" s="349"/>
      <c r="ULF67" s="349"/>
      <c r="ULG67" s="349"/>
      <c r="ULH67" s="349"/>
      <c r="ULI67" s="349"/>
      <c r="ULJ67" s="349"/>
      <c r="ULK67" s="349"/>
      <c r="ULL67" s="349"/>
      <c r="ULM67" s="349"/>
      <c r="ULN67" s="349"/>
      <c r="ULO67" s="349"/>
      <c r="ULP67" s="349"/>
      <c r="ULQ67" s="349"/>
      <c r="ULR67" s="349"/>
      <c r="ULS67" s="349"/>
      <c r="ULT67" s="349"/>
      <c r="ULU67" s="349"/>
      <c r="ULV67" s="349"/>
      <c r="ULW67" s="349"/>
      <c r="ULX67" s="349"/>
      <c r="ULY67" s="349"/>
      <c r="ULZ67" s="349"/>
      <c r="UMA67" s="349"/>
      <c r="UMB67" s="349"/>
      <c r="UMC67" s="349"/>
      <c r="UMD67" s="349"/>
      <c r="UME67" s="349"/>
      <c r="UMF67" s="349"/>
      <c r="UMG67" s="349"/>
      <c r="UMH67" s="349"/>
      <c r="UMI67" s="349"/>
      <c r="UMJ67" s="349"/>
      <c r="UMK67" s="349"/>
      <c r="UML67" s="349"/>
      <c r="UMM67" s="349"/>
      <c r="UMN67" s="349"/>
      <c r="UMO67" s="349"/>
      <c r="UMP67" s="349"/>
      <c r="UMQ67" s="349"/>
      <c r="UMR67" s="349"/>
      <c r="UMS67" s="349"/>
      <c r="UMT67" s="349"/>
      <c r="UMU67" s="349"/>
      <c r="UMV67" s="349"/>
      <c r="UMW67" s="349"/>
      <c r="UMX67" s="349"/>
      <c r="UMY67" s="349"/>
      <c r="UMZ67" s="349"/>
      <c r="UNA67" s="349"/>
      <c r="UNB67" s="349"/>
      <c r="UNC67" s="349"/>
      <c r="UND67" s="349"/>
      <c r="UNE67" s="349"/>
      <c r="UNF67" s="349"/>
      <c r="UNG67" s="349"/>
      <c r="UNH67" s="349"/>
      <c r="UNI67" s="349"/>
      <c r="UNJ67" s="349"/>
      <c r="UNK67" s="349"/>
      <c r="UNL67" s="349"/>
      <c r="UNM67" s="349"/>
      <c r="UNN67" s="349"/>
      <c r="UNO67" s="349"/>
      <c r="UNP67" s="349"/>
      <c r="UNQ67" s="349"/>
      <c r="UNR67" s="349"/>
      <c r="UNS67" s="349"/>
      <c r="UNT67" s="349"/>
      <c r="UNU67" s="349"/>
      <c r="UNV67" s="349"/>
      <c r="UNW67" s="349"/>
      <c r="UNX67" s="349"/>
      <c r="UNY67" s="349"/>
      <c r="UNZ67" s="349"/>
      <c r="UOA67" s="349"/>
      <c r="UOB67" s="349"/>
      <c r="UOC67" s="349"/>
      <c r="UOD67" s="349"/>
      <c r="UOE67" s="349"/>
      <c r="UOF67" s="349"/>
      <c r="UOG67" s="349"/>
      <c r="UOH67" s="349"/>
      <c r="UOI67" s="349"/>
      <c r="UOJ67" s="349"/>
      <c r="UOK67" s="349"/>
      <c r="UOL67" s="349"/>
      <c r="UOM67" s="349"/>
      <c r="UON67" s="349"/>
      <c r="UOO67" s="349"/>
      <c r="UOP67" s="349"/>
      <c r="UOQ67" s="349"/>
      <c r="UOR67" s="349"/>
      <c r="UOS67" s="349"/>
      <c r="UOT67" s="349"/>
      <c r="UOU67" s="349"/>
      <c r="UOV67" s="349"/>
      <c r="UOW67" s="349"/>
      <c r="UOX67" s="349"/>
      <c r="UOY67" s="349"/>
      <c r="UOZ67" s="349"/>
      <c r="UPA67" s="349"/>
      <c r="UPB67" s="349"/>
      <c r="UPC67" s="349"/>
      <c r="UPD67" s="349"/>
      <c r="UPE67" s="349"/>
      <c r="UPF67" s="349"/>
      <c r="UPG67" s="349"/>
      <c r="UPH67" s="349"/>
      <c r="UPI67" s="349"/>
      <c r="UPJ67" s="349"/>
      <c r="UPK67" s="349"/>
      <c r="UPL67" s="349"/>
      <c r="UPM67" s="349"/>
      <c r="UPN67" s="349"/>
      <c r="UPO67" s="349"/>
      <c r="UPP67" s="349"/>
      <c r="UPQ67" s="349"/>
      <c r="UPR67" s="349"/>
      <c r="UPS67" s="349"/>
      <c r="UPT67" s="349"/>
      <c r="UPU67" s="349"/>
      <c r="UPV67" s="349"/>
      <c r="UPW67" s="349"/>
      <c r="UPX67" s="349"/>
      <c r="UPY67" s="349"/>
      <c r="UPZ67" s="349"/>
      <c r="UQA67" s="349"/>
      <c r="UQB67" s="349"/>
      <c r="UQC67" s="349"/>
      <c r="UQD67" s="349"/>
      <c r="UQE67" s="349"/>
      <c r="UQF67" s="349"/>
      <c r="UQG67" s="349"/>
      <c r="UQH67" s="349"/>
      <c r="UQI67" s="349"/>
      <c r="UQJ67" s="349"/>
      <c r="UQK67" s="349"/>
      <c r="UQL67" s="349"/>
      <c r="UQM67" s="349"/>
      <c r="UQN67" s="349"/>
      <c r="UQO67" s="349"/>
      <c r="UQP67" s="349"/>
      <c r="UQQ67" s="349"/>
      <c r="UQR67" s="349"/>
      <c r="UQS67" s="349"/>
      <c r="UQT67" s="349"/>
      <c r="UQU67" s="349"/>
      <c r="UQV67" s="349"/>
      <c r="UQW67" s="349"/>
      <c r="UQX67" s="349"/>
      <c r="UQY67" s="349"/>
      <c r="UQZ67" s="349"/>
      <c r="URA67" s="349"/>
      <c r="URB67" s="349"/>
      <c r="URC67" s="349"/>
      <c r="URD67" s="349"/>
      <c r="URE67" s="349"/>
      <c r="URF67" s="349"/>
      <c r="URG67" s="349"/>
      <c r="URH67" s="349"/>
      <c r="URI67" s="349"/>
      <c r="URJ67" s="349"/>
      <c r="URK67" s="349"/>
      <c r="URL67" s="349"/>
      <c r="URM67" s="349"/>
      <c r="URN67" s="349"/>
      <c r="URO67" s="349"/>
      <c r="URP67" s="349"/>
      <c r="URQ67" s="349"/>
      <c r="URR67" s="349"/>
      <c r="URS67" s="349"/>
      <c r="URT67" s="349"/>
      <c r="URU67" s="349"/>
      <c r="URV67" s="349"/>
      <c r="URW67" s="349"/>
      <c r="URX67" s="349"/>
      <c r="URY67" s="349"/>
      <c r="URZ67" s="349"/>
      <c r="USA67" s="349"/>
      <c r="USB67" s="349"/>
      <c r="USC67" s="349"/>
      <c r="USD67" s="349"/>
      <c r="USE67" s="349"/>
      <c r="USF67" s="349"/>
      <c r="USG67" s="349"/>
      <c r="USH67" s="349"/>
      <c r="USI67" s="349"/>
      <c r="USJ67" s="349"/>
      <c r="USK67" s="349"/>
      <c r="USL67" s="349"/>
      <c r="USM67" s="349"/>
      <c r="USN67" s="349"/>
      <c r="USO67" s="349"/>
      <c r="USP67" s="349"/>
      <c r="USQ67" s="349"/>
      <c r="USR67" s="349"/>
      <c r="USS67" s="349"/>
      <c r="UST67" s="349"/>
      <c r="USU67" s="349"/>
      <c r="USV67" s="349"/>
      <c r="USW67" s="349"/>
      <c r="USX67" s="349"/>
      <c r="USY67" s="349"/>
      <c r="USZ67" s="349"/>
      <c r="UTA67" s="349"/>
      <c r="UTB67" s="349"/>
      <c r="UTC67" s="349"/>
      <c r="UTD67" s="349"/>
      <c r="UTE67" s="349"/>
      <c r="UTF67" s="349"/>
      <c r="UTG67" s="349"/>
      <c r="UTH67" s="349"/>
      <c r="UTI67" s="349"/>
      <c r="UTJ67" s="349"/>
      <c r="UTK67" s="349"/>
      <c r="UTL67" s="349"/>
      <c r="UTM67" s="349"/>
      <c r="UTN67" s="349"/>
      <c r="UTO67" s="349"/>
      <c r="UTP67" s="349"/>
      <c r="UTQ67" s="349"/>
      <c r="UTR67" s="349"/>
      <c r="UTS67" s="349"/>
      <c r="UTT67" s="349"/>
      <c r="UTU67" s="349"/>
      <c r="UTV67" s="349"/>
      <c r="UTW67" s="349"/>
      <c r="UTX67" s="349"/>
      <c r="UTY67" s="349"/>
      <c r="UTZ67" s="349"/>
      <c r="UUA67" s="349"/>
      <c r="UUB67" s="349"/>
      <c r="UUC67" s="349"/>
      <c r="UUD67" s="349"/>
      <c r="UUE67" s="349"/>
      <c r="UUF67" s="349"/>
      <c r="UUG67" s="349"/>
      <c r="UUH67" s="349"/>
      <c r="UUI67" s="349"/>
      <c r="UUJ67" s="349"/>
      <c r="UUK67" s="349"/>
      <c r="UUL67" s="349"/>
      <c r="UUM67" s="349"/>
      <c r="UUN67" s="349"/>
      <c r="UUO67" s="349"/>
      <c r="UUP67" s="349"/>
      <c r="UUQ67" s="349"/>
      <c r="UUR67" s="349"/>
      <c r="UUS67" s="349"/>
      <c r="UUT67" s="349"/>
      <c r="UUU67" s="349"/>
      <c r="UUV67" s="349"/>
      <c r="UUW67" s="349"/>
      <c r="UUX67" s="349"/>
      <c r="UUY67" s="349"/>
      <c r="UUZ67" s="349"/>
      <c r="UVA67" s="349"/>
      <c r="UVB67" s="349"/>
      <c r="UVC67" s="349"/>
      <c r="UVD67" s="349"/>
      <c r="UVE67" s="349"/>
      <c r="UVF67" s="349"/>
      <c r="UVG67" s="349"/>
      <c r="UVH67" s="349"/>
      <c r="UVI67" s="349"/>
      <c r="UVJ67" s="349"/>
      <c r="UVK67" s="349"/>
      <c r="UVL67" s="349"/>
      <c r="UVM67" s="349"/>
      <c r="UVN67" s="349"/>
      <c r="UVO67" s="349"/>
      <c r="UVP67" s="349"/>
      <c r="UVQ67" s="349"/>
      <c r="UVR67" s="349"/>
      <c r="UVS67" s="349"/>
      <c r="UVT67" s="349"/>
      <c r="UVU67" s="349"/>
      <c r="UVV67" s="349"/>
      <c r="UVW67" s="349"/>
      <c r="UVX67" s="349"/>
      <c r="UVY67" s="349"/>
      <c r="UVZ67" s="349"/>
      <c r="UWA67" s="349"/>
      <c r="UWB67" s="349"/>
      <c r="UWC67" s="349"/>
      <c r="UWD67" s="349"/>
      <c r="UWE67" s="349"/>
      <c r="UWF67" s="349"/>
      <c r="UWG67" s="349"/>
      <c r="UWH67" s="349"/>
      <c r="UWI67" s="349"/>
      <c r="UWJ67" s="349"/>
      <c r="UWK67" s="349"/>
      <c r="UWL67" s="349"/>
      <c r="UWM67" s="349"/>
      <c r="UWN67" s="349"/>
      <c r="UWO67" s="349"/>
      <c r="UWP67" s="349"/>
      <c r="UWQ67" s="349"/>
      <c r="UWR67" s="349"/>
      <c r="UWS67" s="349"/>
      <c r="UWT67" s="349"/>
      <c r="UWU67" s="349"/>
      <c r="UWV67" s="349"/>
      <c r="UWW67" s="349"/>
      <c r="UWX67" s="349"/>
      <c r="UWY67" s="349"/>
      <c r="UWZ67" s="349"/>
      <c r="UXA67" s="349"/>
      <c r="UXB67" s="349"/>
      <c r="UXC67" s="349"/>
      <c r="UXD67" s="349"/>
      <c r="UXE67" s="349"/>
      <c r="UXF67" s="349"/>
      <c r="UXG67" s="349"/>
      <c r="UXH67" s="349"/>
      <c r="UXI67" s="349"/>
      <c r="UXJ67" s="349"/>
      <c r="UXK67" s="349"/>
      <c r="UXL67" s="349"/>
      <c r="UXM67" s="349"/>
      <c r="UXN67" s="349"/>
      <c r="UXO67" s="349"/>
      <c r="UXP67" s="349"/>
      <c r="UXQ67" s="349"/>
      <c r="UXR67" s="349"/>
      <c r="UXS67" s="349"/>
      <c r="UXT67" s="349"/>
      <c r="UXU67" s="349"/>
      <c r="UXV67" s="349"/>
      <c r="UXW67" s="349"/>
      <c r="UXX67" s="349"/>
      <c r="UXY67" s="349"/>
      <c r="UXZ67" s="349"/>
      <c r="UYA67" s="349"/>
      <c r="UYB67" s="349"/>
      <c r="UYC67" s="349"/>
      <c r="UYD67" s="349"/>
      <c r="UYE67" s="349"/>
      <c r="UYF67" s="349"/>
      <c r="UYG67" s="349"/>
      <c r="UYH67" s="349"/>
      <c r="UYI67" s="349"/>
      <c r="UYJ67" s="349"/>
      <c r="UYK67" s="349"/>
      <c r="UYL67" s="349"/>
      <c r="UYM67" s="349"/>
      <c r="UYN67" s="349"/>
      <c r="UYO67" s="349"/>
      <c r="UYP67" s="349"/>
      <c r="UYQ67" s="349"/>
      <c r="UYR67" s="349"/>
      <c r="UYS67" s="349"/>
      <c r="UYT67" s="349"/>
      <c r="UYU67" s="349"/>
      <c r="UYV67" s="349"/>
      <c r="UYW67" s="349"/>
      <c r="UYX67" s="349"/>
      <c r="UYY67" s="349"/>
      <c r="UYZ67" s="349"/>
      <c r="UZA67" s="349"/>
      <c r="UZB67" s="349"/>
      <c r="UZC67" s="349"/>
      <c r="UZD67" s="349"/>
      <c r="UZE67" s="349"/>
      <c r="UZF67" s="349"/>
      <c r="UZG67" s="349"/>
      <c r="UZH67" s="349"/>
      <c r="UZI67" s="349"/>
      <c r="UZJ67" s="349"/>
      <c r="UZK67" s="349"/>
      <c r="UZL67" s="349"/>
      <c r="UZM67" s="349"/>
      <c r="UZN67" s="349"/>
      <c r="UZO67" s="349"/>
      <c r="UZP67" s="349"/>
      <c r="UZQ67" s="349"/>
      <c r="UZR67" s="349"/>
      <c r="UZS67" s="349"/>
      <c r="UZT67" s="349"/>
      <c r="UZU67" s="349"/>
      <c r="UZV67" s="349"/>
      <c r="UZW67" s="349"/>
      <c r="UZX67" s="349"/>
      <c r="UZY67" s="349"/>
      <c r="UZZ67" s="349"/>
      <c r="VAA67" s="349"/>
      <c r="VAB67" s="349"/>
      <c r="VAC67" s="349"/>
      <c r="VAD67" s="349"/>
      <c r="VAE67" s="349"/>
      <c r="VAF67" s="349"/>
      <c r="VAG67" s="349"/>
      <c r="VAH67" s="349"/>
      <c r="VAI67" s="349"/>
      <c r="VAJ67" s="349"/>
      <c r="VAK67" s="349"/>
      <c r="VAL67" s="349"/>
      <c r="VAM67" s="349"/>
      <c r="VAN67" s="349"/>
      <c r="VAO67" s="349"/>
      <c r="VAP67" s="349"/>
      <c r="VAQ67" s="349"/>
      <c r="VAR67" s="349"/>
      <c r="VAS67" s="349"/>
      <c r="VAT67" s="349"/>
      <c r="VAU67" s="349"/>
      <c r="VAV67" s="349"/>
      <c r="VAW67" s="349"/>
      <c r="VAX67" s="349"/>
      <c r="VAY67" s="349"/>
      <c r="VAZ67" s="349"/>
      <c r="VBA67" s="349"/>
      <c r="VBB67" s="349"/>
      <c r="VBC67" s="349"/>
      <c r="VBD67" s="349"/>
      <c r="VBE67" s="349"/>
      <c r="VBF67" s="349"/>
      <c r="VBG67" s="349"/>
      <c r="VBH67" s="349"/>
      <c r="VBI67" s="349"/>
      <c r="VBJ67" s="349"/>
      <c r="VBK67" s="349"/>
      <c r="VBL67" s="349"/>
      <c r="VBM67" s="349"/>
      <c r="VBN67" s="349"/>
      <c r="VBO67" s="349"/>
      <c r="VBP67" s="349"/>
      <c r="VBQ67" s="349"/>
      <c r="VBR67" s="349"/>
      <c r="VBS67" s="349"/>
      <c r="VBT67" s="349"/>
      <c r="VBU67" s="349"/>
      <c r="VBV67" s="349"/>
      <c r="VBW67" s="349"/>
      <c r="VBX67" s="349"/>
      <c r="VBY67" s="349"/>
      <c r="VBZ67" s="349"/>
      <c r="VCA67" s="349"/>
      <c r="VCB67" s="349"/>
      <c r="VCC67" s="349"/>
      <c r="VCD67" s="349"/>
      <c r="VCE67" s="349"/>
      <c r="VCF67" s="349"/>
      <c r="VCG67" s="349"/>
      <c r="VCH67" s="349"/>
      <c r="VCI67" s="349"/>
      <c r="VCJ67" s="349"/>
      <c r="VCK67" s="349"/>
      <c r="VCL67" s="349"/>
      <c r="VCM67" s="349"/>
      <c r="VCN67" s="349"/>
      <c r="VCO67" s="349"/>
      <c r="VCP67" s="349"/>
      <c r="VCQ67" s="349"/>
      <c r="VCR67" s="349"/>
      <c r="VCS67" s="349"/>
      <c r="VCT67" s="349"/>
      <c r="VCU67" s="349"/>
      <c r="VCV67" s="349"/>
      <c r="VCW67" s="349"/>
      <c r="VCX67" s="349"/>
      <c r="VCY67" s="349"/>
      <c r="VCZ67" s="349"/>
      <c r="VDA67" s="349"/>
      <c r="VDB67" s="349"/>
      <c r="VDC67" s="349"/>
      <c r="VDD67" s="349"/>
      <c r="VDE67" s="349"/>
      <c r="VDF67" s="349"/>
      <c r="VDG67" s="349"/>
      <c r="VDH67" s="349"/>
      <c r="VDI67" s="349"/>
      <c r="VDJ67" s="349"/>
      <c r="VDK67" s="349"/>
      <c r="VDL67" s="349"/>
      <c r="VDM67" s="349"/>
      <c r="VDN67" s="349"/>
      <c r="VDO67" s="349"/>
      <c r="VDP67" s="349"/>
      <c r="VDQ67" s="349"/>
      <c r="VDR67" s="349"/>
      <c r="VDS67" s="349"/>
      <c r="VDT67" s="349"/>
      <c r="VDU67" s="349"/>
      <c r="VDV67" s="349"/>
      <c r="VDW67" s="349"/>
      <c r="VDX67" s="349"/>
      <c r="VDY67" s="349"/>
      <c r="VDZ67" s="349"/>
      <c r="VEA67" s="349"/>
      <c r="VEB67" s="349"/>
      <c r="VEC67" s="349"/>
      <c r="VED67" s="349"/>
      <c r="VEE67" s="349"/>
      <c r="VEF67" s="349"/>
      <c r="VEG67" s="349"/>
      <c r="VEH67" s="349"/>
      <c r="VEI67" s="349"/>
      <c r="VEJ67" s="349"/>
      <c r="VEK67" s="349"/>
      <c r="VEL67" s="349"/>
      <c r="VEM67" s="349"/>
      <c r="VEN67" s="349"/>
      <c r="VEO67" s="349"/>
      <c r="VEP67" s="349"/>
      <c r="VEQ67" s="349"/>
      <c r="VER67" s="349"/>
      <c r="VES67" s="349"/>
      <c r="VET67" s="349"/>
      <c r="VEU67" s="349"/>
      <c r="VEV67" s="349"/>
      <c r="VEW67" s="349"/>
      <c r="VEX67" s="349"/>
      <c r="VEY67" s="349"/>
      <c r="VEZ67" s="349"/>
      <c r="VFA67" s="349"/>
      <c r="VFB67" s="349"/>
      <c r="VFC67" s="349"/>
      <c r="VFD67" s="349"/>
      <c r="VFE67" s="349"/>
      <c r="VFF67" s="349"/>
      <c r="VFG67" s="349"/>
      <c r="VFH67" s="349"/>
      <c r="VFI67" s="349"/>
      <c r="VFJ67" s="349"/>
      <c r="VFK67" s="349"/>
      <c r="VFL67" s="349"/>
      <c r="VFM67" s="349"/>
      <c r="VFN67" s="349"/>
      <c r="VFO67" s="349"/>
      <c r="VFP67" s="349"/>
      <c r="VFQ67" s="349"/>
      <c r="VFR67" s="349"/>
      <c r="VFS67" s="349"/>
      <c r="VFT67" s="349"/>
      <c r="VFU67" s="349"/>
      <c r="VFV67" s="349"/>
      <c r="VFW67" s="349"/>
      <c r="VFX67" s="349"/>
      <c r="VFY67" s="349"/>
      <c r="VFZ67" s="349"/>
      <c r="VGA67" s="349"/>
      <c r="VGB67" s="349"/>
      <c r="VGC67" s="349"/>
      <c r="VGD67" s="349"/>
      <c r="VGE67" s="349"/>
      <c r="VGF67" s="349"/>
      <c r="VGG67" s="349"/>
      <c r="VGH67" s="349"/>
      <c r="VGI67" s="349"/>
      <c r="VGJ67" s="349"/>
      <c r="VGK67" s="349"/>
      <c r="VGL67" s="349"/>
      <c r="VGM67" s="349"/>
      <c r="VGN67" s="349"/>
      <c r="VGO67" s="349"/>
      <c r="VGP67" s="349"/>
      <c r="VGQ67" s="349"/>
      <c r="VGR67" s="349"/>
      <c r="VGS67" s="349"/>
      <c r="VGT67" s="349"/>
      <c r="VGU67" s="349"/>
      <c r="VGV67" s="349"/>
      <c r="VGW67" s="349"/>
      <c r="VGX67" s="349"/>
      <c r="VGY67" s="349"/>
      <c r="VGZ67" s="349"/>
      <c r="VHA67" s="349"/>
      <c r="VHB67" s="349"/>
      <c r="VHC67" s="349"/>
      <c r="VHD67" s="349"/>
      <c r="VHE67" s="349"/>
      <c r="VHF67" s="349"/>
      <c r="VHG67" s="349"/>
      <c r="VHH67" s="349"/>
      <c r="VHI67" s="349"/>
      <c r="VHJ67" s="349"/>
      <c r="VHK67" s="349"/>
      <c r="VHL67" s="349"/>
      <c r="VHM67" s="349"/>
      <c r="VHN67" s="349"/>
      <c r="VHO67" s="349"/>
      <c r="VHP67" s="349"/>
      <c r="VHQ67" s="349"/>
      <c r="VHR67" s="349"/>
      <c r="VHS67" s="349"/>
      <c r="VHT67" s="349"/>
      <c r="VHU67" s="349"/>
      <c r="VHV67" s="349"/>
      <c r="VHW67" s="349"/>
      <c r="VHX67" s="349"/>
      <c r="VHY67" s="349"/>
      <c r="VHZ67" s="349"/>
      <c r="VIA67" s="349"/>
      <c r="VIB67" s="349"/>
      <c r="VIC67" s="349"/>
      <c r="VID67" s="349"/>
      <c r="VIE67" s="349"/>
      <c r="VIF67" s="349"/>
      <c r="VIG67" s="349"/>
      <c r="VIH67" s="349"/>
      <c r="VII67" s="349"/>
      <c r="VIJ67" s="349"/>
      <c r="VIK67" s="349"/>
      <c r="VIL67" s="349"/>
      <c r="VIM67" s="349"/>
      <c r="VIN67" s="349"/>
      <c r="VIO67" s="349"/>
      <c r="VIP67" s="349"/>
      <c r="VIQ67" s="349"/>
      <c r="VIR67" s="349"/>
      <c r="VIS67" s="349"/>
      <c r="VIT67" s="349"/>
      <c r="VIU67" s="349"/>
      <c r="VIV67" s="349"/>
      <c r="VIW67" s="349"/>
      <c r="VIX67" s="349"/>
      <c r="VIY67" s="349"/>
      <c r="VIZ67" s="349"/>
      <c r="VJA67" s="349"/>
      <c r="VJB67" s="349"/>
      <c r="VJC67" s="349"/>
      <c r="VJD67" s="349"/>
      <c r="VJE67" s="349"/>
      <c r="VJF67" s="349"/>
      <c r="VJG67" s="349"/>
      <c r="VJH67" s="349"/>
      <c r="VJI67" s="349"/>
      <c r="VJJ67" s="349"/>
      <c r="VJK67" s="349"/>
      <c r="VJL67" s="349"/>
      <c r="VJM67" s="349"/>
      <c r="VJN67" s="349"/>
      <c r="VJO67" s="349"/>
      <c r="VJP67" s="349"/>
      <c r="VJQ67" s="349"/>
      <c r="VJR67" s="349"/>
      <c r="VJS67" s="349"/>
      <c r="VJT67" s="349"/>
      <c r="VJU67" s="349"/>
      <c r="VJV67" s="349"/>
      <c r="VJW67" s="349"/>
      <c r="VJX67" s="349"/>
      <c r="VJY67" s="349"/>
      <c r="VJZ67" s="349"/>
      <c r="VKA67" s="349"/>
      <c r="VKB67" s="349"/>
      <c r="VKC67" s="349"/>
      <c r="VKD67" s="349"/>
      <c r="VKE67" s="349"/>
      <c r="VKF67" s="349"/>
      <c r="VKG67" s="349"/>
      <c r="VKH67" s="349"/>
      <c r="VKI67" s="349"/>
      <c r="VKJ67" s="349"/>
      <c r="VKK67" s="349"/>
      <c r="VKL67" s="349"/>
      <c r="VKM67" s="349"/>
      <c r="VKN67" s="349"/>
      <c r="VKO67" s="349"/>
      <c r="VKP67" s="349"/>
      <c r="VKQ67" s="349"/>
      <c r="VKR67" s="349"/>
      <c r="VKS67" s="349"/>
      <c r="VKT67" s="349"/>
      <c r="VKU67" s="349"/>
      <c r="VKV67" s="349"/>
      <c r="VKW67" s="349"/>
      <c r="VKX67" s="349"/>
      <c r="VKY67" s="349"/>
      <c r="VKZ67" s="349"/>
      <c r="VLA67" s="349"/>
      <c r="VLB67" s="349"/>
      <c r="VLC67" s="349"/>
      <c r="VLD67" s="349"/>
      <c r="VLE67" s="349"/>
      <c r="VLF67" s="349"/>
      <c r="VLG67" s="349"/>
      <c r="VLH67" s="349"/>
      <c r="VLI67" s="349"/>
      <c r="VLJ67" s="349"/>
      <c r="VLK67" s="349"/>
      <c r="VLL67" s="349"/>
      <c r="VLM67" s="349"/>
      <c r="VLN67" s="349"/>
      <c r="VLO67" s="349"/>
      <c r="VLP67" s="349"/>
      <c r="VLQ67" s="349"/>
      <c r="VLR67" s="349"/>
      <c r="VLS67" s="349"/>
      <c r="VLT67" s="349"/>
      <c r="VLU67" s="349"/>
      <c r="VLV67" s="349"/>
      <c r="VLW67" s="349"/>
      <c r="VLX67" s="349"/>
      <c r="VLY67" s="349"/>
      <c r="VLZ67" s="349"/>
      <c r="VMA67" s="349"/>
      <c r="VMB67" s="349"/>
      <c r="VMC67" s="349"/>
      <c r="VMD67" s="349"/>
      <c r="VME67" s="349"/>
      <c r="VMF67" s="349"/>
      <c r="VMG67" s="349"/>
      <c r="VMH67" s="349"/>
      <c r="VMI67" s="349"/>
      <c r="VMJ67" s="349"/>
      <c r="VMK67" s="349"/>
      <c r="VML67" s="349"/>
      <c r="VMM67" s="349"/>
      <c r="VMN67" s="349"/>
      <c r="VMO67" s="349"/>
      <c r="VMP67" s="349"/>
      <c r="VMQ67" s="349"/>
      <c r="VMR67" s="349"/>
      <c r="VMS67" s="349"/>
      <c r="VMT67" s="349"/>
      <c r="VMU67" s="349"/>
      <c r="VMV67" s="349"/>
      <c r="VMW67" s="349"/>
      <c r="VMX67" s="349"/>
      <c r="VMY67" s="349"/>
      <c r="VMZ67" s="349"/>
      <c r="VNA67" s="349"/>
      <c r="VNB67" s="349"/>
      <c r="VNC67" s="349"/>
      <c r="VND67" s="349"/>
      <c r="VNE67" s="349"/>
      <c r="VNF67" s="349"/>
      <c r="VNG67" s="349"/>
      <c r="VNH67" s="349"/>
      <c r="VNI67" s="349"/>
      <c r="VNJ67" s="349"/>
      <c r="VNK67" s="349"/>
      <c r="VNL67" s="349"/>
      <c r="VNM67" s="349"/>
      <c r="VNN67" s="349"/>
      <c r="VNO67" s="349"/>
      <c r="VNP67" s="349"/>
      <c r="VNQ67" s="349"/>
      <c r="VNR67" s="349"/>
      <c r="VNS67" s="349"/>
      <c r="VNT67" s="349"/>
      <c r="VNU67" s="349"/>
      <c r="VNV67" s="349"/>
      <c r="VNW67" s="349"/>
      <c r="VNX67" s="349"/>
      <c r="VNY67" s="349"/>
      <c r="VNZ67" s="349"/>
      <c r="VOA67" s="349"/>
      <c r="VOB67" s="349"/>
      <c r="VOC67" s="349"/>
      <c r="VOD67" s="349"/>
      <c r="VOE67" s="349"/>
      <c r="VOF67" s="349"/>
      <c r="VOG67" s="349"/>
      <c r="VOH67" s="349"/>
      <c r="VOI67" s="349"/>
      <c r="VOJ67" s="349"/>
      <c r="VOK67" s="349"/>
      <c r="VOL67" s="349"/>
      <c r="VOM67" s="349"/>
      <c r="VON67" s="349"/>
      <c r="VOO67" s="349"/>
      <c r="VOP67" s="349"/>
      <c r="VOQ67" s="349"/>
      <c r="VOR67" s="349"/>
      <c r="VOS67" s="349"/>
      <c r="VOT67" s="349"/>
      <c r="VOU67" s="349"/>
      <c r="VOV67" s="349"/>
      <c r="VOW67" s="349"/>
      <c r="VOX67" s="349"/>
      <c r="VOY67" s="349"/>
      <c r="VOZ67" s="349"/>
      <c r="VPA67" s="349"/>
      <c r="VPB67" s="349"/>
      <c r="VPC67" s="349"/>
      <c r="VPD67" s="349"/>
      <c r="VPE67" s="349"/>
      <c r="VPF67" s="349"/>
      <c r="VPG67" s="349"/>
      <c r="VPH67" s="349"/>
      <c r="VPI67" s="349"/>
      <c r="VPJ67" s="349"/>
      <c r="VPK67" s="349"/>
      <c r="VPL67" s="349"/>
      <c r="VPM67" s="349"/>
      <c r="VPN67" s="349"/>
      <c r="VPO67" s="349"/>
      <c r="VPP67" s="349"/>
      <c r="VPQ67" s="349"/>
      <c r="VPR67" s="349"/>
      <c r="VPS67" s="349"/>
      <c r="VPT67" s="349"/>
      <c r="VPU67" s="349"/>
      <c r="VPV67" s="349"/>
      <c r="VPW67" s="349"/>
      <c r="VPX67" s="349"/>
      <c r="VPY67" s="349"/>
      <c r="VPZ67" s="349"/>
      <c r="VQA67" s="349"/>
      <c r="VQB67" s="349"/>
      <c r="VQC67" s="349"/>
      <c r="VQD67" s="349"/>
      <c r="VQE67" s="349"/>
      <c r="VQF67" s="349"/>
      <c r="VQG67" s="349"/>
      <c r="VQH67" s="349"/>
      <c r="VQI67" s="349"/>
      <c r="VQJ67" s="349"/>
      <c r="VQK67" s="349"/>
      <c r="VQL67" s="349"/>
      <c r="VQM67" s="349"/>
      <c r="VQN67" s="349"/>
      <c r="VQO67" s="349"/>
      <c r="VQP67" s="349"/>
      <c r="VQQ67" s="349"/>
      <c r="VQR67" s="349"/>
      <c r="VQS67" s="349"/>
      <c r="VQT67" s="349"/>
      <c r="VQU67" s="349"/>
      <c r="VQV67" s="349"/>
      <c r="VQW67" s="349"/>
      <c r="VQX67" s="349"/>
      <c r="VQY67" s="349"/>
      <c r="VQZ67" s="349"/>
      <c r="VRA67" s="349"/>
      <c r="VRB67" s="349"/>
      <c r="VRC67" s="349"/>
      <c r="VRD67" s="349"/>
      <c r="VRE67" s="349"/>
      <c r="VRF67" s="349"/>
      <c r="VRG67" s="349"/>
      <c r="VRH67" s="349"/>
      <c r="VRI67" s="349"/>
      <c r="VRJ67" s="349"/>
      <c r="VRK67" s="349"/>
      <c r="VRL67" s="349"/>
      <c r="VRM67" s="349"/>
      <c r="VRN67" s="349"/>
      <c r="VRO67" s="349"/>
      <c r="VRP67" s="349"/>
      <c r="VRQ67" s="349"/>
      <c r="VRR67" s="349"/>
      <c r="VRS67" s="349"/>
      <c r="VRT67" s="349"/>
      <c r="VRU67" s="349"/>
      <c r="VRV67" s="349"/>
      <c r="VRW67" s="349"/>
      <c r="VRX67" s="349"/>
      <c r="VRY67" s="349"/>
      <c r="VRZ67" s="349"/>
      <c r="VSA67" s="349"/>
      <c r="VSB67" s="349"/>
      <c r="VSC67" s="349"/>
      <c r="VSD67" s="349"/>
      <c r="VSE67" s="349"/>
      <c r="VSF67" s="349"/>
      <c r="VSG67" s="349"/>
      <c r="VSH67" s="349"/>
      <c r="VSI67" s="349"/>
      <c r="VSJ67" s="349"/>
      <c r="VSK67" s="349"/>
      <c r="VSL67" s="349"/>
      <c r="VSM67" s="349"/>
      <c r="VSN67" s="349"/>
      <c r="VSO67" s="349"/>
      <c r="VSP67" s="349"/>
      <c r="VSQ67" s="349"/>
      <c r="VSR67" s="349"/>
      <c r="VSS67" s="349"/>
      <c r="VST67" s="349"/>
      <c r="VSU67" s="349"/>
      <c r="VSV67" s="349"/>
      <c r="VSW67" s="349"/>
      <c r="VSX67" s="349"/>
      <c r="VSY67" s="349"/>
      <c r="VSZ67" s="349"/>
      <c r="VTA67" s="349"/>
      <c r="VTB67" s="349"/>
      <c r="VTC67" s="349"/>
      <c r="VTD67" s="349"/>
      <c r="VTE67" s="349"/>
      <c r="VTF67" s="349"/>
      <c r="VTG67" s="349"/>
      <c r="VTH67" s="349"/>
      <c r="VTI67" s="349"/>
      <c r="VTJ67" s="349"/>
      <c r="VTK67" s="349"/>
      <c r="VTL67" s="349"/>
      <c r="VTM67" s="349"/>
      <c r="VTN67" s="349"/>
      <c r="VTO67" s="349"/>
      <c r="VTP67" s="349"/>
      <c r="VTQ67" s="349"/>
      <c r="VTR67" s="349"/>
      <c r="VTS67" s="349"/>
      <c r="VTT67" s="349"/>
      <c r="VTU67" s="349"/>
      <c r="VTV67" s="349"/>
      <c r="VTW67" s="349"/>
      <c r="VTX67" s="349"/>
      <c r="VTY67" s="349"/>
      <c r="VTZ67" s="349"/>
      <c r="VUA67" s="349"/>
      <c r="VUB67" s="349"/>
      <c r="VUC67" s="349"/>
      <c r="VUD67" s="349"/>
      <c r="VUE67" s="349"/>
      <c r="VUF67" s="349"/>
      <c r="VUG67" s="349"/>
      <c r="VUH67" s="349"/>
      <c r="VUI67" s="349"/>
      <c r="VUJ67" s="349"/>
      <c r="VUK67" s="349"/>
      <c r="VUL67" s="349"/>
      <c r="VUM67" s="349"/>
      <c r="VUN67" s="349"/>
      <c r="VUO67" s="349"/>
      <c r="VUP67" s="349"/>
      <c r="VUQ67" s="349"/>
      <c r="VUR67" s="349"/>
      <c r="VUS67" s="349"/>
      <c r="VUT67" s="349"/>
      <c r="VUU67" s="349"/>
      <c r="VUV67" s="349"/>
      <c r="VUW67" s="349"/>
      <c r="VUX67" s="349"/>
      <c r="VUY67" s="349"/>
      <c r="VUZ67" s="349"/>
      <c r="VVA67" s="349"/>
      <c r="VVB67" s="349"/>
      <c r="VVC67" s="349"/>
      <c r="VVD67" s="349"/>
      <c r="VVE67" s="349"/>
      <c r="VVF67" s="349"/>
      <c r="VVG67" s="349"/>
      <c r="VVH67" s="349"/>
      <c r="VVI67" s="349"/>
      <c r="VVJ67" s="349"/>
      <c r="VVK67" s="349"/>
      <c r="VVL67" s="349"/>
      <c r="VVM67" s="349"/>
      <c r="VVN67" s="349"/>
      <c r="VVO67" s="349"/>
      <c r="VVP67" s="349"/>
      <c r="VVQ67" s="349"/>
      <c r="VVR67" s="349"/>
      <c r="VVS67" s="349"/>
      <c r="VVT67" s="349"/>
      <c r="VVU67" s="349"/>
      <c r="VVV67" s="349"/>
      <c r="VVW67" s="349"/>
      <c r="VVX67" s="349"/>
      <c r="VVY67" s="349"/>
      <c r="VVZ67" s="349"/>
      <c r="VWA67" s="349"/>
      <c r="VWB67" s="349"/>
      <c r="VWC67" s="349"/>
      <c r="VWD67" s="349"/>
      <c r="VWE67" s="349"/>
      <c r="VWF67" s="349"/>
      <c r="VWG67" s="349"/>
      <c r="VWH67" s="349"/>
      <c r="VWI67" s="349"/>
      <c r="VWJ67" s="349"/>
      <c r="VWK67" s="349"/>
      <c r="VWL67" s="349"/>
      <c r="VWM67" s="349"/>
      <c r="VWN67" s="349"/>
      <c r="VWO67" s="349"/>
      <c r="VWP67" s="349"/>
      <c r="VWQ67" s="349"/>
      <c r="VWR67" s="349"/>
      <c r="VWS67" s="349"/>
      <c r="VWT67" s="349"/>
      <c r="VWU67" s="349"/>
      <c r="VWV67" s="349"/>
      <c r="VWW67" s="349"/>
      <c r="VWX67" s="349"/>
      <c r="VWY67" s="349"/>
      <c r="VWZ67" s="349"/>
      <c r="VXA67" s="349"/>
      <c r="VXB67" s="349"/>
      <c r="VXC67" s="349"/>
      <c r="VXD67" s="349"/>
      <c r="VXE67" s="349"/>
      <c r="VXF67" s="349"/>
      <c r="VXG67" s="349"/>
      <c r="VXH67" s="349"/>
      <c r="VXI67" s="349"/>
      <c r="VXJ67" s="349"/>
      <c r="VXK67" s="349"/>
      <c r="VXL67" s="349"/>
      <c r="VXM67" s="349"/>
      <c r="VXN67" s="349"/>
      <c r="VXO67" s="349"/>
      <c r="VXP67" s="349"/>
      <c r="VXQ67" s="349"/>
      <c r="VXR67" s="349"/>
      <c r="VXS67" s="349"/>
      <c r="VXT67" s="349"/>
      <c r="VXU67" s="349"/>
      <c r="VXV67" s="349"/>
      <c r="VXW67" s="349"/>
      <c r="VXX67" s="349"/>
      <c r="VXY67" s="349"/>
      <c r="VXZ67" s="349"/>
      <c r="VYA67" s="349"/>
      <c r="VYB67" s="349"/>
      <c r="VYC67" s="349"/>
      <c r="VYD67" s="349"/>
      <c r="VYE67" s="349"/>
      <c r="VYF67" s="349"/>
      <c r="VYG67" s="349"/>
      <c r="VYH67" s="349"/>
      <c r="VYI67" s="349"/>
      <c r="VYJ67" s="349"/>
      <c r="VYK67" s="349"/>
      <c r="VYL67" s="349"/>
      <c r="VYM67" s="349"/>
      <c r="VYN67" s="349"/>
      <c r="VYO67" s="349"/>
      <c r="VYP67" s="349"/>
      <c r="VYQ67" s="349"/>
      <c r="VYR67" s="349"/>
      <c r="VYS67" s="349"/>
      <c r="VYT67" s="349"/>
      <c r="VYU67" s="349"/>
      <c r="VYV67" s="349"/>
      <c r="VYW67" s="349"/>
      <c r="VYX67" s="349"/>
      <c r="VYY67" s="349"/>
      <c r="VYZ67" s="349"/>
      <c r="VZA67" s="349"/>
      <c r="VZB67" s="349"/>
      <c r="VZC67" s="349"/>
      <c r="VZD67" s="349"/>
      <c r="VZE67" s="349"/>
      <c r="VZF67" s="349"/>
      <c r="VZG67" s="349"/>
      <c r="VZH67" s="349"/>
      <c r="VZI67" s="349"/>
      <c r="VZJ67" s="349"/>
      <c r="VZK67" s="349"/>
      <c r="VZL67" s="349"/>
      <c r="VZM67" s="349"/>
      <c r="VZN67" s="349"/>
      <c r="VZO67" s="349"/>
      <c r="VZP67" s="349"/>
      <c r="VZQ67" s="349"/>
      <c r="VZR67" s="349"/>
      <c r="VZS67" s="349"/>
      <c r="VZT67" s="349"/>
      <c r="VZU67" s="349"/>
      <c r="VZV67" s="349"/>
      <c r="VZW67" s="349"/>
      <c r="VZX67" s="349"/>
      <c r="VZY67" s="349"/>
      <c r="VZZ67" s="349"/>
      <c r="WAA67" s="349"/>
      <c r="WAB67" s="349"/>
      <c r="WAC67" s="349"/>
      <c r="WAD67" s="349"/>
      <c r="WAE67" s="349"/>
      <c r="WAF67" s="349"/>
      <c r="WAG67" s="349"/>
      <c r="WAH67" s="349"/>
      <c r="WAI67" s="349"/>
      <c r="WAJ67" s="349"/>
      <c r="WAK67" s="349"/>
      <c r="WAL67" s="349"/>
      <c r="WAM67" s="349"/>
      <c r="WAN67" s="349"/>
      <c r="WAO67" s="349"/>
      <c r="WAP67" s="349"/>
      <c r="WAQ67" s="349"/>
      <c r="WAR67" s="349"/>
      <c r="WAS67" s="349"/>
      <c r="WAT67" s="349"/>
      <c r="WAU67" s="349"/>
      <c r="WAV67" s="349"/>
      <c r="WAW67" s="349"/>
      <c r="WAX67" s="349"/>
      <c r="WAY67" s="349"/>
      <c r="WAZ67" s="349"/>
      <c r="WBA67" s="349"/>
      <c r="WBB67" s="349"/>
      <c r="WBC67" s="349"/>
      <c r="WBD67" s="349"/>
      <c r="WBE67" s="349"/>
      <c r="WBF67" s="349"/>
      <c r="WBG67" s="349"/>
      <c r="WBH67" s="349"/>
      <c r="WBI67" s="349"/>
      <c r="WBJ67" s="349"/>
      <c r="WBK67" s="349"/>
      <c r="WBL67" s="349"/>
      <c r="WBM67" s="349"/>
      <c r="WBN67" s="349"/>
      <c r="WBO67" s="349"/>
      <c r="WBP67" s="349"/>
      <c r="WBQ67" s="349"/>
      <c r="WBR67" s="349"/>
      <c r="WBS67" s="349"/>
      <c r="WBT67" s="349"/>
      <c r="WBU67" s="349"/>
      <c r="WBV67" s="349"/>
      <c r="WBW67" s="349"/>
      <c r="WBX67" s="349"/>
      <c r="WBY67" s="349"/>
      <c r="WBZ67" s="349"/>
      <c r="WCA67" s="349"/>
      <c r="WCB67" s="349"/>
      <c r="WCC67" s="349"/>
      <c r="WCD67" s="349"/>
      <c r="WCE67" s="349"/>
      <c r="WCF67" s="349"/>
      <c r="WCG67" s="349"/>
      <c r="WCH67" s="349"/>
      <c r="WCI67" s="349"/>
      <c r="WCJ67" s="349"/>
      <c r="WCK67" s="349"/>
      <c r="WCL67" s="349"/>
      <c r="WCM67" s="349"/>
      <c r="WCN67" s="349"/>
      <c r="WCO67" s="349"/>
      <c r="WCP67" s="349"/>
      <c r="WCQ67" s="349"/>
      <c r="WCR67" s="349"/>
      <c r="WCS67" s="349"/>
      <c r="WCT67" s="349"/>
      <c r="WCU67" s="349"/>
      <c r="WCV67" s="349"/>
      <c r="WCW67" s="349"/>
      <c r="WCX67" s="349"/>
      <c r="WCY67" s="349"/>
      <c r="WCZ67" s="349"/>
      <c r="WDA67" s="349"/>
      <c r="WDB67" s="349"/>
      <c r="WDC67" s="349"/>
      <c r="WDD67" s="349"/>
      <c r="WDE67" s="349"/>
      <c r="WDF67" s="349"/>
      <c r="WDG67" s="349"/>
      <c r="WDH67" s="349"/>
      <c r="WDI67" s="349"/>
      <c r="WDJ67" s="349"/>
      <c r="WDK67" s="349"/>
      <c r="WDL67" s="349"/>
      <c r="WDM67" s="349"/>
      <c r="WDN67" s="349"/>
      <c r="WDO67" s="349"/>
      <c r="WDP67" s="349"/>
      <c r="WDQ67" s="349"/>
      <c r="WDR67" s="349"/>
      <c r="WDS67" s="349"/>
      <c r="WDT67" s="349"/>
      <c r="WDU67" s="349"/>
      <c r="WDV67" s="349"/>
      <c r="WDW67" s="349"/>
      <c r="WDX67" s="349"/>
      <c r="WDY67" s="349"/>
      <c r="WDZ67" s="349"/>
      <c r="WEA67" s="349"/>
      <c r="WEB67" s="349"/>
      <c r="WEC67" s="349"/>
      <c r="WED67" s="349"/>
      <c r="WEE67" s="349"/>
      <c r="WEF67" s="349"/>
      <c r="WEG67" s="349"/>
      <c r="WEH67" s="349"/>
      <c r="WEI67" s="349"/>
      <c r="WEJ67" s="349"/>
      <c r="WEK67" s="349"/>
      <c r="WEL67" s="349"/>
      <c r="WEM67" s="349"/>
      <c r="WEN67" s="349"/>
      <c r="WEO67" s="349"/>
      <c r="WEP67" s="349"/>
      <c r="WEQ67" s="349"/>
      <c r="WER67" s="349"/>
      <c r="WES67" s="349"/>
      <c r="WET67" s="349"/>
      <c r="WEU67" s="349"/>
      <c r="WEV67" s="349"/>
      <c r="WEW67" s="349"/>
      <c r="WEX67" s="349"/>
      <c r="WEY67" s="349"/>
      <c r="WEZ67" s="349"/>
      <c r="WFA67" s="349"/>
      <c r="WFB67" s="349"/>
      <c r="WFC67" s="349"/>
      <c r="WFD67" s="349"/>
      <c r="WFE67" s="349"/>
      <c r="WFF67" s="349"/>
      <c r="WFG67" s="349"/>
      <c r="WFH67" s="349"/>
      <c r="WFI67" s="349"/>
      <c r="WFJ67" s="349"/>
      <c r="WFK67" s="349"/>
      <c r="WFL67" s="349"/>
      <c r="WFM67" s="349"/>
      <c r="WFN67" s="349"/>
      <c r="WFO67" s="349"/>
      <c r="WFP67" s="349"/>
      <c r="WFQ67" s="349"/>
      <c r="WFR67" s="349"/>
      <c r="WFS67" s="349"/>
      <c r="WFT67" s="349"/>
      <c r="WFU67" s="349"/>
      <c r="WFV67" s="349"/>
      <c r="WFW67" s="349"/>
      <c r="WFX67" s="349"/>
      <c r="WFY67" s="349"/>
      <c r="WFZ67" s="349"/>
      <c r="WGA67" s="349"/>
      <c r="WGB67" s="349"/>
      <c r="WGC67" s="349"/>
      <c r="WGD67" s="349"/>
      <c r="WGE67" s="349"/>
      <c r="WGF67" s="349"/>
      <c r="WGG67" s="349"/>
      <c r="WGH67" s="349"/>
      <c r="WGI67" s="349"/>
      <c r="WGJ67" s="349"/>
      <c r="WGK67" s="349"/>
      <c r="WGL67" s="349"/>
      <c r="WGM67" s="349"/>
      <c r="WGN67" s="349"/>
      <c r="WGO67" s="349"/>
      <c r="WGP67" s="349"/>
      <c r="WGQ67" s="349"/>
      <c r="WGR67" s="349"/>
      <c r="WGS67" s="349"/>
      <c r="WGT67" s="349"/>
      <c r="WGU67" s="349"/>
      <c r="WGV67" s="349"/>
      <c r="WGW67" s="349"/>
      <c r="WGX67" s="349"/>
      <c r="WGY67" s="349"/>
      <c r="WGZ67" s="349"/>
      <c r="WHA67" s="349"/>
      <c r="WHB67" s="349"/>
      <c r="WHC67" s="349"/>
      <c r="WHD67" s="349"/>
      <c r="WHE67" s="349"/>
      <c r="WHF67" s="349"/>
      <c r="WHG67" s="349"/>
      <c r="WHH67" s="349"/>
      <c r="WHI67" s="349"/>
      <c r="WHJ67" s="349"/>
      <c r="WHK67" s="349"/>
      <c r="WHL67" s="349"/>
      <c r="WHM67" s="349"/>
      <c r="WHN67" s="349"/>
      <c r="WHO67" s="349"/>
      <c r="WHP67" s="349"/>
      <c r="WHQ67" s="349"/>
      <c r="WHR67" s="349"/>
      <c r="WHS67" s="349"/>
      <c r="WHT67" s="349"/>
      <c r="WHU67" s="349"/>
      <c r="WHV67" s="349"/>
      <c r="WHW67" s="349"/>
      <c r="WHX67" s="349"/>
      <c r="WHY67" s="349"/>
      <c r="WHZ67" s="349"/>
      <c r="WIA67" s="349"/>
      <c r="WIB67" s="349"/>
      <c r="WIC67" s="349"/>
      <c r="WID67" s="349"/>
      <c r="WIE67" s="349"/>
      <c r="WIF67" s="349"/>
      <c r="WIG67" s="349"/>
      <c r="WIH67" s="349"/>
      <c r="WII67" s="349"/>
      <c r="WIJ67" s="349"/>
      <c r="WIK67" s="349"/>
      <c r="WIL67" s="349"/>
      <c r="WIM67" s="349"/>
      <c r="WIN67" s="349"/>
      <c r="WIO67" s="349"/>
      <c r="WIP67" s="349"/>
      <c r="WIQ67" s="349"/>
      <c r="WIR67" s="349"/>
      <c r="WIS67" s="349"/>
      <c r="WIT67" s="349"/>
      <c r="WIU67" s="349"/>
      <c r="WIV67" s="349"/>
      <c r="WIW67" s="349"/>
      <c r="WIX67" s="349"/>
      <c r="WIY67" s="349"/>
      <c r="WIZ67" s="349"/>
      <c r="WJA67" s="349"/>
      <c r="WJB67" s="349"/>
      <c r="WJC67" s="349"/>
      <c r="WJD67" s="349"/>
      <c r="WJE67" s="349"/>
      <c r="WJF67" s="349"/>
      <c r="WJG67" s="349"/>
      <c r="WJH67" s="349"/>
      <c r="WJI67" s="349"/>
      <c r="WJJ67" s="349"/>
      <c r="WJK67" s="349"/>
      <c r="WJL67" s="349"/>
      <c r="WJM67" s="349"/>
      <c r="WJN67" s="349"/>
      <c r="WJO67" s="349"/>
      <c r="WJP67" s="349"/>
      <c r="WJQ67" s="349"/>
      <c r="WJR67" s="349"/>
      <c r="WJS67" s="349"/>
      <c r="WJT67" s="349"/>
      <c r="WJU67" s="349"/>
      <c r="WJV67" s="349"/>
      <c r="WJW67" s="349"/>
      <c r="WJX67" s="349"/>
      <c r="WJY67" s="349"/>
      <c r="WJZ67" s="349"/>
      <c r="WKA67" s="349"/>
      <c r="WKB67" s="349"/>
      <c r="WKC67" s="349"/>
      <c r="WKD67" s="349"/>
      <c r="WKE67" s="349"/>
      <c r="WKF67" s="349"/>
      <c r="WKG67" s="349"/>
      <c r="WKH67" s="349"/>
      <c r="WKI67" s="349"/>
      <c r="WKJ67" s="349"/>
      <c r="WKK67" s="349"/>
      <c r="WKL67" s="349"/>
      <c r="WKM67" s="349"/>
      <c r="WKN67" s="349"/>
      <c r="WKO67" s="349"/>
      <c r="WKP67" s="349"/>
      <c r="WKQ67" s="349"/>
      <c r="WKR67" s="349"/>
      <c r="WKS67" s="349"/>
      <c r="WKT67" s="349"/>
      <c r="WKU67" s="349"/>
      <c r="WKV67" s="349"/>
      <c r="WKW67" s="349"/>
      <c r="WKX67" s="349"/>
      <c r="WKY67" s="349"/>
      <c r="WKZ67" s="349"/>
      <c r="WLA67" s="349"/>
      <c r="WLB67" s="349"/>
      <c r="WLC67" s="349"/>
      <c r="WLD67" s="349"/>
      <c r="WLE67" s="349"/>
      <c r="WLF67" s="349"/>
      <c r="WLG67" s="349"/>
      <c r="WLH67" s="349"/>
      <c r="WLI67" s="349"/>
      <c r="WLJ67" s="349"/>
      <c r="WLK67" s="349"/>
      <c r="WLL67" s="349"/>
      <c r="WLM67" s="349"/>
      <c r="WLN67" s="349"/>
      <c r="WLO67" s="349"/>
      <c r="WLP67" s="349"/>
      <c r="WLQ67" s="349"/>
      <c r="WLR67" s="349"/>
      <c r="WLS67" s="349"/>
      <c r="WLT67" s="349"/>
      <c r="WLU67" s="349"/>
      <c r="WLV67" s="349"/>
      <c r="WLW67" s="349"/>
      <c r="WLX67" s="349"/>
      <c r="WLY67" s="349"/>
      <c r="WLZ67" s="349"/>
      <c r="WMA67" s="349"/>
      <c r="WMB67" s="349"/>
      <c r="WMC67" s="349"/>
      <c r="WMD67" s="349"/>
      <c r="WME67" s="349"/>
      <c r="WMF67" s="349"/>
      <c r="WMG67" s="349"/>
      <c r="WMH67" s="349"/>
      <c r="WMI67" s="349"/>
      <c r="WMJ67" s="349"/>
      <c r="WMK67" s="349"/>
      <c r="WML67" s="349"/>
      <c r="WMM67" s="349"/>
      <c r="WMN67" s="349"/>
      <c r="WMO67" s="349"/>
      <c r="WMP67" s="349"/>
      <c r="WMQ67" s="349"/>
      <c r="WMR67" s="349"/>
      <c r="WMS67" s="349"/>
      <c r="WMT67" s="349"/>
      <c r="WMU67" s="349"/>
      <c r="WMV67" s="349"/>
      <c r="WMW67" s="349"/>
      <c r="WMX67" s="349"/>
      <c r="WMY67" s="349"/>
      <c r="WMZ67" s="349"/>
      <c r="WNA67" s="349"/>
      <c r="WNB67" s="349"/>
      <c r="WNC67" s="349"/>
      <c r="WND67" s="349"/>
      <c r="WNE67" s="349"/>
      <c r="WNF67" s="349"/>
      <c r="WNG67" s="349"/>
      <c r="WNH67" s="349"/>
      <c r="WNI67" s="349"/>
      <c r="WNJ67" s="349"/>
      <c r="WNK67" s="349"/>
      <c r="WNL67" s="349"/>
      <c r="WNM67" s="349"/>
      <c r="WNN67" s="349"/>
      <c r="WNO67" s="349"/>
      <c r="WNP67" s="349"/>
      <c r="WNQ67" s="349"/>
      <c r="WNR67" s="349"/>
      <c r="WNS67" s="349"/>
      <c r="WNT67" s="349"/>
      <c r="WNU67" s="349"/>
      <c r="WNV67" s="349"/>
      <c r="WNW67" s="349"/>
      <c r="WNX67" s="349"/>
      <c r="WNY67" s="349"/>
      <c r="WNZ67" s="349"/>
      <c r="WOA67" s="349"/>
      <c r="WOB67" s="349"/>
      <c r="WOC67" s="349"/>
      <c r="WOD67" s="349"/>
      <c r="WOE67" s="349"/>
      <c r="WOF67" s="349"/>
      <c r="WOG67" s="349"/>
      <c r="WOH67" s="349"/>
      <c r="WOI67" s="349"/>
      <c r="WOJ67" s="349"/>
      <c r="WOK67" s="349"/>
      <c r="WOL67" s="349"/>
      <c r="WOM67" s="349"/>
      <c r="WON67" s="349"/>
      <c r="WOO67" s="349"/>
      <c r="WOP67" s="349"/>
      <c r="WOQ67" s="349"/>
      <c r="WOR67" s="349"/>
      <c r="WOS67" s="349"/>
      <c r="WOT67" s="349"/>
      <c r="WOU67" s="349"/>
      <c r="WOV67" s="349"/>
      <c r="WOW67" s="349"/>
      <c r="WOX67" s="349"/>
      <c r="WOY67" s="349"/>
      <c r="WOZ67" s="349"/>
      <c r="WPA67" s="349"/>
      <c r="WPB67" s="349"/>
      <c r="WPC67" s="349"/>
      <c r="WPD67" s="349"/>
      <c r="WPE67" s="349"/>
      <c r="WPF67" s="349"/>
      <c r="WPG67" s="349"/>
      <c r="WPH67" s="349"/>
      <c r="WPI67" s="349"/>
      <c r="WPJ67" s="349"/>
      <c r="WPK67" s="349"/>
      <c r="WPL67" s="349"/>
      <c r="WPM67" s="349"/>
      <c r="WPN67" s="349"/>
      <c r="WPO67" s="349"/>
      <c r="WPP67" s="349"/>
      <c r="WPQ67" s="349"/>
      <c r="WPR67" s="349"/>
      <c r="WPS67" s="349"/>
      <c r="WPT67" s="349"/>
      <c r="WPU67" s="349"/>
      <c r="WPV67" s="349"/>
      <c r="WPW67" s="349"/>
      <c r="WPX67" s="349"/>
      <c r="WPY67" s="349"/>
      <c r="WPZ67" s="349"/>
      <c r="WQA67" s="349"/>
      <c r="WQB67" s="349"/>
      <c r="WQC67" s="349"/>
      <c r="WQD67" s="349"/>
      <c r="WQE67" s="349"/>
      <c r="WQF67" s="349"/>
      <c r="WQG67" s="349"/>
      <c r="WQH67" s="349"/>
      <c r="WQI67" s="349"/>
      <c r="WQJ67" s="349"/>
      <c r="WQK67" s="349"/>
      <c r="WQL67" s="349"/>
      <c r="WQM67" s="349"/>
      <c r="WQN67" s="349"/>
      <c r="WQO67" s="349"/>
      <c r="WQP67" s="349"/>
      <c r="WQQ67" s="349"/>
      <c r="WQR67" s="349"/>
      <c r="WQS67" s="349"/>
      <c r="WQT67" s="349"/>
      <c r="WQU67" s="349"/>
      <c r="WQV67" s="349"/>
      <c r="WQW67" s="349"/>
      <c r="WQX67" s="349"/>
      <c r="WQY67" s="349"/>
      <c r="WQZ67" s="349"/>
      <c r="WRA67" s="349"/>
      <c r="WRB67" s="349"/>
      <c r="WRC67" s="349"/>
      <c r="WRD67" s="349"/>
      <c r="WRE67" s="349"/>
      <c r="WRF67" s="349"/>
      <c r="WRG67" s="349"/>
      <c r="WRH67" s="349"/>
      <c r="WRI67" s="349"/>
      <c r="WRJ67" s="349"/>
      <c r="WRK67" s="349"/>
      <c r="WRL67" s="349"/>
      <c r="WRM67" s="349"/>
      <c r="WRN67" s="349"/>
      <c r="WRO67" s="349"/>
      <c r="WRP67" s="349"/>
      <c r="WRQ67" s="349"/>
      <c r="WRR67" s="349"/>
      <c r="WRS67" s="349"/>
      <c r="WRT67" s="349"/>
      <c r="WRU67" s="349"/>
      <c r="WRV67" s="349"/>
      <c r="WRW67" s="349"/>
      <c r="WRX67" s="349"/>
      <c r="WRY67" s="349"/>
      <c r="WRZ67" s="349"/>
      <c r="WSA67" s="349"/>
      <c r="WSB67" s="349"/>
      <c r="WSC67" s="349"/>
      <c r="WSD67" s="349"/>
      <c r="WSE67" s="349"/>
      <c r="WSF67" s="349"/>
      <c r="WSG67" s="349"/>
      <c r="WSH67" s="349"/>
      <c r="WSI67" s="349"/>
      <c r="WSJ67" s="349"/>
      <c r="WSK67" s="349"/>
      <c r="WSL67" s="349"/>
      <c r="WSM67" s="349"/>
      <c r="WSN67" s="349"/>
      <c r="WSO67" s="349"/>
      <c r="WSP67" s="349"/>
      <c r="WSQ67" s="349"/>
      <c r="WSR67" s="349"/>
      <c r="WSS67" s="349"/>
      <c r="WST67" s="349"/>
      <c r="WSU67" s="349"/>
      <c r="WSV67" s="349"/>
      <c r="WSW67" s="349"/>
      <c r="WSX67" s="349"/>
      <c r="WSY67" s="349"/>
      <c r="WSZ67" s="349"/>
      <c r="WTA67" s="349"/>
      <c r="WTB67" s="349"/>
      <c r="WTC67" s="349"/>
      <c r="WTD67" s="349"/>
      <c r="WTE67" s="349"/>
      <c r="WTF67" s="349"/>
      <c r="WTG67" s="349"/>
      <c r="WTH67" s="349"/>
      <c r="WTI67" s="349"/>
      <c r="WTJ67" s="349"/>
      <c r="WTK67" s="349"/>
      <c r="WTL67" s="349"/>
      <c r="WTM67" s="349"/>
      <c r="WTN67" s="349"/>
      <c r="WTO67" s="349"/>
      <c r="WTP67" s="349"/>
      <c r="WTQ67" s="349"/>
      <c r="WTR67" s="349"/>
      <c r="WTS67" s="349"/>
      <c r="WTT67" s="349"/>
      <c r="WTU67" s="349"/>
      <c r="WTV67" s="349"/>
      <c r="WTW67" s="349"/>
      <c r="WTX67" s="349"/>
      <c r="WTY67" s="349"/>
      <c r="WTZ67" s="349"/>
      <c r="WUA67" s="349"/>
      <c r="WUB67" s="349"/>
      <c r="WUC67" s="349"/>
      <c r="WUD67" s="349"/>
      <c r="WUE67" s="349"/>
      <c r="WUF67" s="349"/>
      <c r="WUG67" s="349"/>
      <c r="WUH67" s="349"/>
      <c r="WUI67" s="349"/>
      <c r="WUJ67" s="349"/>
      <c r="WUK67" s="349"/>
      <c r="WUL67" s="349"/>
      <c r="WUM67" s="349"/>
      <c r="WUN67" s="349"/>
      <c r="WUO67" s="349"/>
      <c r="WUP67" s="349"/>
      <c r="WUQ67" s="349"/>
      <c r="WUR67" s="349"/>
      <c r="WUS67" s="349"/>
      <c r="WUT67" s="349"/>
      <c r="WUU67" s="349"/>
      <c r="WUV67" s="349"/>
      <c r="WUW67" s="349"/>
      <c r="WUX67" s="349"/>
      <c r="WUY67" s="349"/>
      <c r="WUZ67" s="349"/>
      <c r="WVA67" s="349"/>
      <c r="WVB67" s="349"/>
      <c r="WVC67" s="349"/>
      <c r="WVD67" s="349"/>
      <c r="WVE67" s="349"/>
      <c r="WVF67" s="349"/>
      <c r="WVG67" s="349"/>
      <c r="WVH67" s="349"/>
      <c r="WVI67" s="349"/>
      <c r="WVJ67" s="349"/>
      <c r="WVK67" s="349"/>
      <c r="WVL67" s="349"/>
      <c r="WVM67" s="349"/>
      <c r="WVN67" s="349"/>
      <c r="WVO67" s="349"/>
      <c r="WVP67" s="349"/>
      <c r="WVQ67" s="349"/>
      <c r="WVR67" s="349"/>
      <c r="WVS67" s="349"/>
      <c r="WVT67" s="349"/>
      <c r="WVU67" s="349"/>
      <c r="WVV67" s="349"/>
      <c r="WVW67" s="349"/>
      <c r="WVX67" s="349"/>
      <c r="WVY67" s="349"/>
      <c r="WVZ67" s="349"/>
      <c r="WWA67" s="349"/>
      <c r="WWB67" s="349"/>
      <c r="WWC67" s="349"/>
      <c r="WWD67" s="349"/>
      <c r="WWE67" s="349"/>
      <c r="WWF67" s="349"/>
      <c r="WWG67" s="349"/>
      <c r="WWH67" s="349"/>
      <c r="WWI67" s="349"/>
      <c r="WWJ67" s="349"/>
      <c r="WWK67" s="349"/>
      <c r="WWL67" s="349"/>
      <c r="WWM67" s="349"/>
      <c r="WWN67" s="349"/>
      <c r="WWO67" s="349"/>
      <c r="WWP67" s="349"/>
      <c r="WWQ67" s="349"/>
      <c r="WWR67" s="349"/>
      <c r="WWS67" s="349"/>
      <c r="WWT67" s="349"/>
      <c r="WWU67" s="349"/>
      <c r="WWV67" s="349"/>
      <c r="WWW67" s="349"/>
      <c r="WWX67" s="349"/>
      <c r="WWY67" s="349"/>
      <c r="WWZ67" s="349"/>
      <c r="WXA67" s="349"/>
      <c r="WXB67" s="349"/>
      <c r="WXC67" s="349"/>
      <c r="WXD67" s="349"/>
      <c r="WXE67" s="349"/>
      <c r="WXF67" s="349"/>
      <c r="WXG67" s="349"/>
      <c r="WXH67" s="349"/>
      <c r="WXI67" s="349"/>
      <c r="WXJ67" s="349"/>
      <c r="WXK67" s="349"/>
      <c r="WXL67" s="349"/>
      <c r="WXM67" s="349"/>
      <c r="WXN67" s="349"/>
      <c r="WXO67" s="349"/>
      <c r="WXP67" s="349"/>
      <c r="WXQ67" s="349"/>
      <c r="WXR67" s="349"/>
      <c r="WXS67" s="349"/>
      <c r="WXT67" s="349"/>
      <c r="WXU67" s="349"/>
      <c r="WXV67" s="349"/>
      <c r="WXW67" s="349"/>
      <c r="WXX67" s="349"/>
      <c r="WXY67" s="349"/>
      <c r="WXZ67" s="349"/>
      <c r="WYA67" s="349"/>
      <c r="WYB67" s="349"/>
      <c r="WYC67" s="349"/>
      <c r="WYD67" s="349"/>
      <c r="WYE67" s="349"/>
      <c r="WYF67" s="349"/>
      <c r="WYG67" s="349"/>
      <c r="WYH67" s="349"/>
      <c r="WYI67" s="349"/>
      <c r="WYJ67" s="349"/>
      <c r="WYK67" s="349"/>
      <c r="WYL67" s="349"/>
      <c r="WYM67" s="349"/>
      <c r="WYN67" s="349"/>
      <c r="WYO67" s="349"/>
      <c r="WYP67" s="349"/>
      <c r="WYQ67" s="349"/>
      <c r="WYR67" s="349"/>
      <c r="WYS67" s="349"/>
      <c r="WYT67" s="349"/>
      <c r="WYU67" s="349"/>
      <c r="WYV67" s="349"/>
      <c r="WYW67" s="349"/>
      <c r="WYX67" s="349"/>
      <c r="WYY67" s="349"/>
      <c r="WYZ67" s="349"/>
      <c r="WZA67" s="349"/>
      <c r="WZB67" s="349"/>
      <c r="WZC67" s="349"/>
      <c r="WZD67" s="349"/>
      <c r="WZE67" s="349"/>
      <c r="WZF67" s="349"/>
      <c r="WZG67" s="349"/>
      <c r="WZH67" s="349"/>
      <c r="WZI67" s="349"/>
      <c r="WZJ67" s="349"/>
      <c r="WZK67" s="349"/>
      <c r="WZL67" s="349"/>
      <c r="WZM67" s="349"/>
      <c r="WZN67" s="349"/>
      <c r="WZO67" s="349"/>
      <c r="WZP67" s="349"/>
      <c r="WZQ67" s="349"/>
      <c r="WZR67" s="349"/>
      <c r="WZS67" s="349"/>
      <c r="WZT67" s="349"/>
      <c r="WZU67" s="349"/>
      <c r="WZV67" s="349"/>
      <c r="WZW67" s="349"/>
      <c r="WZX67" s="349"/>
      <c r="WZY67" s="349"/>
      <c r="WZZ67" s="349"/>
      <c r="XAA67" s="349"/>
      <c r="XAB67" s="349"/>
      <c r="XAC67" s="349"/>
      <c r="XAD67" s="349"/>
      <c r="XAE67" s="349"/>
      <c r="XAF67" s="349"/>
      <c r="XAG67" s="349"/>
      <c r="XAH67" s="349"/>
      <c r="XAI67" s="349"/>
      <c r="XAJ67" s="349"/>
      <c r="XAK67" s="349"/>
      <c r="XAL67" s="349"/>
      <c r="XAM67" s="349"/>
      <c r="XAN67" s="349"/>
      <c r="XAO67" s="349"/>
      <c r="XAP67" s="349"/>
      <c r="XAQ67" s="349"/>
      <c r="XAR67" s="349"/>
      <c r="XAS67" s="349"/>
      <c r="XAT67" s="349"/>
      <c r="XAU67" s="349"/>
      <c r="XAV67" s="349"/>
      <c r="XAW67" s="349"/>
      <c r="XAX67" s="349"/>
      <c r="XAY67" s="349"/>
      <c r="XAZ67" s="349"/>
      <c r="XBA67" s="349"/>
      <c r="XBB67" s="349"/>
      <c r="XBC67" s="349"/>
      <c r="XBD67" s="349"/>
      <c r="XBE67" s="349"/>
      <c r="XBF67" s="349"/>
      <c r="XBG67" s="349"/>
      <c r="XBH67" s="349"/>
      <c r="XBI67" s="349"/>
      <c r="XBJ67" s="349"/>
      <c r="XBK67" s="349"/>
      <c r="XBL67" s="349"/>
      <c r="XBM67" s="349"/>
      <c r="XBN67" s="349"/>
      <c r="XBO67" s="349"/>
      <c r="XBP67" s="349"/>
      <c r="XBQ67" s="349"/>
      <c r="XBR67" s="349"/>
      <c r="XBS67" s="349"/>
      <c r="XBT67" s="349"/>
      <c r="XBU67" s="349"/>
      <c r="XBV67" s="349"/>
      <c r="XBW67" s="349"/>
      <c r="XBX67" s="349"/>
      <c r="XBY67" s="349"/>
      <c r="XBZ67" s="349"/>
      <c r="XCA67" s="349"/>
      <c r="XCB67" s="349"/>
      <c r="XCC67" s="349"/>
      <c r="XCD67" s="349"/>
      <c r="XCE67" s="349"/>
      <c r="XCF67" s="349"/>
      <c r="XCG67" s="349"/>
      <c r="XCH67" s="349"/>
      <c r="XCI67" s="349"/>
      <c r="XCJ67" s="349"/>
      <c r="XCK67" s="349"/>
      <c r="XCL67" s="349"/>
      <c r="XCM67" s="349"/>
      <c r="XCN67" s="349"/>
      <c r="XCO67" s="349"/>
      <c r="XCP67" s="349"/>
      <c r="XCQ67" s="349"/>
      <c r="XCR67" s="349"/>
      <c r="XCS67" s="349"/>
      <c r="XCT67" s="349"/>
      <c r="XCU67" s="349"/>
      <c r="XCV67" s="349"/>
      <c r="XCW67" s="349"/>
      <c r="XCX67" s="349"/>
      <c r="XCY67" s="349"/>
      <c r="XCZ67" s="349"/>
      <c r="XDA67" s="349"/>
      <c r="XDB67" s="349"/>
      <c r="XDC67" s="349"/>
      <c r="XDD67" s="349"/>
      <c r="XDE67" s="349"/>
      <c r="XDF67" s="349"/>
      <c r="XDG67" s="349"/>
      <c r="XDH67" s="349"/>
      <c r="XDI67" s="349"/>
      <c r="XDJ67" s="349"/>
      <c r="XDK67" s="349"/>
      <c r="XDL67" s="349"/>
      <c r="XDM67" s="349"/>
      <c r="XDN67" s="349"/>
      <c r="XDO67" s="349"/>
      <c r="XDP67" s="349"/>
      <c r="XDQ67" s="349"/>
      <c r="XDR67" s="349"/>
      <c r="XDS67" s="349"/>
      <c r="XDT67" s="349"/>
      <c r="XDU67" s="349"/>
      <c r="XDV67" s="349"/>
      <c r="XDW67" s="349"/>
      <c r="XDX67" s="349"/>
      <c r="XDY67" s="349"/>
      <c r="XDZ67" s="349"/>
      <c r="XEA67" s="349"/>
      <c r="XEB67" s="349"/>
      <c r="XEC67" s="349"/>
      <c r="XED67" s="349"/>
      <c r="XEE67" s="349"/>
      <c r="XEF67" s="349"/>
      <c r="XEG67" s="349"/>
      <c r="XEH67" s="349"/>
      <c r="XEI67" s="349"/>
      <c r="XEJ67" s="349"/>
      <c r="XEK67" s="349"/>
      <c r="XEL67" s="349"/>
      <c r="XEM67" s="349"/>
      <c r="XEN67" s="349"/>
      <c r="XEO67" s="349"/>
      <c r="XEP67" s="349"/>
      <c r="XEQ67" s="349"/>
    </row>
    <row r="68" spans="1:16371" ht="15" customHeight="1">
      <c r="A68" s="45"/>
      <c r="B68" s="154" t="s">
        <v>60</v>
      </c>
      <c r="D68" s="23"/>
      <c r="E68" s="50"/>
      <c r="F68" s="349"/>
      <c r="G68" s="349"/>
      <c r="H68" s="476"/>
      <c r="I68"/>
      <c r="J68" s="476"/>
      <c r="K68" s="476"/>
      <c r="L68" s="476"/>
      <c r="M68" s="349"/>
      <c r="N68" s="476"/>
      <c r="O68" s="476"/>
      <c r="P68" s="476"/>
      <c r="Q68" s="2131"/>
      <c r="R68" s="2192"/>
      <c r="S68" s="349"/>
      <c r="T68" s="349"/>
      <c r="U68" s="349"/>
      <c r="V68" s="349"/>
      <c r="W68" s="349"/>
      <c r="X68" s="349"/>
      <c r="Y68" s="349"/>
      <c r="Z68" s="349"/>
      <c r="AA68" s="349"/>
      <c r="AB68" s="349"/>
      <c r="AC68" s="349"/>
      <c r="AD68" s="349"/>
      <c r="AE68" s="349"/>
      <c r="AF68" s="349"/>
      <c r="AG68" s="349"/>
      <c r="AH68" s="349"/>
      <c r="AI68" s="349"/>
      <c r="AJ68" s="349"/>
      <c r="AK68" s="349"/>
      <c r="AL68" s="349"/>
      <c r="AM68" s="349"/>
      <c r="AN68" s="349"/>
      <c r="AO68" s="349"/>
      <c r="AP68" s="349"/>
      <c r="AQ68" s="349"/>
      <c r="AR68" s="349"/>
      <c r="AS68" s="349"/>
      <c r="AT68" s="349"/>
      <c r="AU68" s="349"/>
      <c r="AV68" s="349"/>
      <c r="AW68" s="349"/>
      <c r="AX68" s="349"/>
      <c r="AY68" s="349"/>
      <c r="AZ68" s="349"/>
      <c r="BA68" s="349"/>
      <c r="BB68" s="349"/>
      <c r="BC68" s="349"/>
      <c r="BD68" s="349"/>
      <c r="BE68" s="349"/>
      <c r="BF68" s="349"/>
      <c r="BG68" s="349"/>
      <c r="BH68" s="349"/>
      <c r="BI68" s="349"/>
      <c r="BJ68" s="349"/>
      <c r="BK68" s="349"/>
      <c r="BL68" s="349"/>
      <c r="BM68" s="349"/>
      <c r="BN68" s="349"/>
      <c r="BO68" s="349"/>
      <c r="BP68" s="349"/>
      <c r="BQ68" s="349"/>
      <c r="BR68" s="349"/>
      <c r="BS68" s="349"/>
      <c r="BT68" s="349"/>
      <c r="BU68" s="349"/>
      <c r="BV68" s="349"/>
      <c r="BW68" s="349"/>
      <c r="BX68" s="349"/>
      <c r="BY68" s="349"/>
      <c r="BZ68" s="349"/>
      <c r="CA68" s="349"/>
      <c r="CB68" s="349"/>
      <c r="CC68" s="349"/>
      <c r="CD68" s="349"/>
      <c r="CE68" s="349"/>
      <c r="CF68" s="349"/>
      <c r="CG68" s="349"/>
      <c r="CH68" s="349"/>
      <c r="CI68" s="349"/>
      <c r="CJ68" s="349"/>
      <c r="CK68" s="349"/>
      <c r="CL68" s="349"/>
      <c r="CM68" s="349"/>
      <c r="CN68" s="349"/>
      <c r="CO68" s="349"/>
      <c r="CP68" s="349"/>
      <c r="CQ68" s="349"/>
      <c r="CR68" s="349"/>
      <c r="CS68" s="349"/>
      <c r="CT68" s="349"/>
      <c r="CU68" s="349"/>
      <c r="CV68" s="349"/>
      <c r="CW68" s="349"/>
      <c r="CX68" s="349"/>
      <c r="CY68" s="349"/>
      <c r="CZ68" s="349"/>
      <c r="DA68" s="349"/>
      <c r="DB68" s="349"/>
      <c r="DC68" s="349"/>
      <c r="DD68" s="349"/>
      <c r="DE68" s="349"/>
      <c r="DF68" s="349"/>
      <c r="DG68" s="349"/>
      <c r="DH68" s="349"/>
      <c r="DI68" s="349"/>
      <c r="DJ68" s="349"/>
      <c r="DK68" s="349"/>
      <c r="DL68" s="349"/>
      <c r="DM68" s="349"/>
      <c r="DN68" s="349"/>
      <c r="DO68" s="349"/>
      <c r="DP68" s="349"/>
      <c r="DQ68" s="349"/>
      <c r="DR68" s="349"/>
      <c r="DS68" s="349"/>
      <c r="DT68" s="349"/>
      <c r="DU68" s="349"/>
      <c r="DV68" s="349"/>
      <c r="DW68" s="349"/>
      <c r="DX68" s="349"/>
      <c r="DY68" s="349"/>
      <c r="DZ68" s="349"/>
      <c r="EA68" s="349"/>
      <c r="EB68" s="349"/>
      <c r="EC68" s="349"/>
      <c r="ED68" s="349"/>
      <c r="EE68" s="349"/>
      <c r="EF68" s="349"/>
      <c r="EG68" s="349"/>
      <c r="EH68" s="349"/>
      <c r="EI68" s="349"/>
      <c r="EJ68" s="349"/>
      <c r="EK68" s="349"/>
      <c r="EL68" s="349"/>
      <c r="EM68" s="349"/>
      <c r="EN68" s="349"/>
      <c r="EO68" s="349"/>
      <c r="EP68" s="349"/>
      <c r="EQ68" s="349"/>
      <c r="ER68" s="349"/>
      <c r="ES68" s="349"/>
      <c r="ET68" s="349"/>
      <c r="EU68" s="349"/>
      <c r="EV68" s="349"/>
      <c r="EW68" s="349"/>
      <c r="EX68" s="349"/>
      <c r="EY68" s="349"/>
      <c r="EZ68" s="349"/>
      <c r="FA68" s="349"/>
      <c r="FB68" s="349"/>
      <c r="FC68" s="349"/>
      <c r="FD68" s="349"/>
      <c r="FE68" s="349"/>
      <c r="FF68" s="349"/>
      <c r="FG68" s="349"/>
      <c r="FH68" s="349"/>
      <c r="FI68" s="349"/>
      <c r="FJ68" s="349"/>
      <c r="FK68" s="349"/>
      <c r="FL68" s="349"/>
      <c r="FM68" s="349"/>
      <c r="FN68" s="349"/>
      <c r="FO68" s="349"/>
      <c r="FP68" s="349"/>
      <c r="FQ68" s="349"/>
      <c r="FR68" s="349"/>
      <c r="FS68" s="349"/>
      <c r="FT68" s="349"/>
      <c r="FU68" s="349"/>
      <c r="FV68" s="349"/>
      <c r="FW68" s="349"/>
      <c r="FX68" s="349"/>
      <c r="FY68" s="349"/>
      <c r="FZ68" s="349"/>
      <c r="GA68" s="349"/>
      <c r="GB68" s="349"/>
      <c r="GC68" s="349"/>
      <c r="GD68" s="349"/>
      <c r="GE68" s="349"/>
      <c r="GF68" s="349"/>
      <c r="GG68" s="349"/>
      <c r="GH68" s="349"/>
      <c r="GI68" s="349"/>
      <c r="GJ68" s="349"/>
      <c r="GK68" s="349"/>
      <c r="GL68" s="349"/>
      <c r="GM68" s="349"/>
      <c r="GN68" s="349"/>
      <c r="GO68" s="349"/>
      <c r="GP68" s="349"/>
      <c r="GQ68" s="349"/>
      <c r="GR68" s="349"/>
      <c r="GS68" s="349"/>
      <c r="GT68" s="349"/>
      <c r="GU68" s="349"/>
      <c r="GV68" s="349"/>
      <c r="GW68" s="349"/>
      <c r="GX68" s="349"/>
      <c r="GY68" s="349"/>
      <c r="GZ68" s="349"/>
      <c r="HA68" s="349"/>
      <c r="HB68" s="349"/>
      <c r="HC68" s="349"/>
      <c r="HD68" s="349"/>
      <c r="HE68" s="349"/>
      <c r="HF68" s="349"/>
      <c r="HG68" s="349"/>
      <c r="HH68" s="349"/>
      <c r="HI68" s="349"/>
      <c r="HJ68" s="349"/>
      <c r="HK68" s="349"/>
      <c r="HL68" s="349"/>
      <c r="HM68" s="349"/>
      <c r="HN68" s="349"/>
      <c r="HO68" s="349"/>
      <c r="HP68" s="349"/>
      <c r="HQ68" s="349"/>
      <c r="HR68" s="349"/>
      <c r="HS68" s="349"/>
      <c r="HT68" s="349"/>
      <c r="HU68" s="349"/>
      <c r="HV68" s="349"/>
      <c r="HW68" s="349"/>
      <c r="HX68" s="349"/>
      <c r="HY68" s="349"/>
      <c r="HZ68" s="349"/>
      <c r="IA68" s="349"/>
      <c r="IB68" s="349"/>
      <c r="IC68" s="349"/>
      <c r="ID68" s="349"/>
      <c r="IE68" s="349"/>
      <c r="IF68" s="349"/>
      <c r="IG68" s="349"/>
      <c r="IH68" s="349"/>
      <c r="II68" s="349"/>
      <c r="IJ68" s="349"/>
      <c r="IK68" s="349"/>
      <c r="IL68" s="349"/>
      <c r="IM68" s="349"/>
      <c r="IN68" s="349"/>
      <c r="IO68" s="349"/>
      <c r="IP68" s="349"/>
      <c r="IQ68" s="349"/>
      <c r="IR68" s="349"/>
      <c r="IS68" s="349"/>
      <c r="IT68" s="349"/>
      <c r="IU68" s="349"/>
      <c r="IV68" s="349"/>
      <c r="IW68" s="349"/>
      <c r="IX68" s="349"/>
      <c r="IY68" s="349"/>
      <c r="IZ68" s="349"/>
      <c r="JA68" s="349"/>
      <c r="JB68" s="349"/>
      <c r="JC68" s="349"/>
      <c r="JD68" s="349"/>
      <c r="JE68" s="349"/>
      <c r="JF68" s="349"/>
      <c r="JG68" s="349"/>
      <c r="JH68" s="349"/>
      <c r="JI68" s="349"/>
      <c r="JJ68" s="349"/>
      <c r="JK68" s="349"/>
      <c r="JL68" s="349"/>
      <c r="JM68" s="349"/>
      <c r="JN68" s="349"/>
      <c r="JO68" s="349"/>
      <c r="JP68" s="349"/>
      <c r="JQ68" s="349"/>
      <c r="JR68" s="349"/>
      <c r="JS68" s="349"/>
      <c r="JT68" s="349"/>
      <c r="JU68" s="349"/>
      <c r="JV68" s="349"/>
      <c r="JW68" s="349"/>
      <c r="JX68" s="349"/>
      <c r="JY68" s="349"/>
      <c r="JZ68" s="349"/>
      <c r="KA68" s="349"/>
      <c r="KB68" s="349"/>
      <c r="KC68" s="349"/>
      <c r="KD68" s="349"/>
      <c r="KE68" s="349"/>
      <c r="KF68" s="349"/>
      <c r="KG68" s="349"/>
      <c r="KH68" s="349"/>
      <c r="KI68" s="349"/>
      <c r="KJ68" s="349"/>
      <c r="KK68" s="349"/>
      <c r="KL68" s="349"/>
      <c r="KM68" s="349"/>
      <c r="KN68" s="349"/>
      <c r="KO68" s="349"/>
      <c r="KP68" s="349"/>
      <c r="KQ68" s="349"/>
      <c r="KR68" s="349"/>
      <c r="KS68" s="349"/>
      <c r="KT68" s="349"/>
      <c r="KU68" s="349"/>
      <c r="KV68" s="349"/>
      <c r="KW68" s="349"/>
      <c r="KX68" s="349"/>
      <c r="KY68" s="349"/>
      <c r="KZ68" s="349"/>
      <c r="LA68" s="349"/>
      <c r="LB68" s="349"/>
      <c r="LC68" s="349"/>
      <c r="LD68" s="349"/>
      <c r="LE68" s="349"/>
      <c r="LF68" s="349"/>
      <c r="LG68" s="349"/>
      <c r="LH68" s="349"/>
      <c r="LI68" s="349"/>
      <c r="LJ68" s="349"/>
      <c r="LK68" s="349"/>
      <c r="LL68" s="349"/>
      <c r="LM68" s="349"/>
      <c r="LN68" s="349"/>
      <c r="LO68" s="349"/>
      <c r="LP68" s="349"/>
      <c r="LQ68" s="349"/>
      <c r="LR68" s="349"/>
      <c r="LS68" s="349"/>
      <c r="LT68" s="349"/>
      <c r="LU68" s="349"/>
      <c r="LV68" s="349"/>
      <c r="LW68" s="349"/>
      <c r="LX68" s="349"/>
      <c r="LY68" s="349"/>
      <c r="LZ68" s="349"/>
      <c r="MA68" s="349"/>
      <c r="MB68" s="349"/>
      <c r="MC68" s="349"/>
      <c r="MD68" s="349"/>
      <c r="ME68" s="349"/>
      <c r="MF68" s="349"/>
      <c r="MG68" s="349"/>
      <c r="MH68" s="349"/>
      <c r="MI68" s="349"/>
      <c r="MJ68" s="349"/>
      <c r="MK68" s="349"/>
      <c r="ML68" s="349"/>
      <c r="MM68" s="349"/>
      <c r="MN68" s="349"/>
      <c r="MO68" s="349"/>
      <c r="MP68" s="349"/>
      <c r="MQ68" s="349"/>
      <c r="MR68" s="349"/>
      <c r="MS68" s="349"/>
      <c r="MT68" s="349"/>
      <c r="MU68" s="349"/>
      <c r="MV68" s="349"/>
      <c r="MW68" s="349"/>
      <c r="MX68" s="349"/>
      <c r="MY68" s="349"/>
      <c r="MZ68" s="349"/>
      <c r="NA68" s="349"/>
      <c r="NB68" s="349"/>
      <c r="NC68" s="349"/>
      <c r="ND68" s="349"/>
      <c r="NE68" s="349"/>
      <c r="NF68" s="349"/>
      <c r="NG68" s="349"/>
      <c r="NH68" s="349"/>
      <c r="NI68" s="349"/>
      <c r="NJ68" s="349"/>
      <c r="NK68" s="349"/>
      <c r="NL68" s="349"/>
      <c r="NM68" s="349"/>
      <c r="NN68" s="349"/>
      <c r="NO68" s="349"/>
      <c r="NP68" s="349"/>
      <c r="NQ68" s="349"/>
      <c r="NR68" s="349"/>
      <c r="NS68" s="349"/>
      <c r="NT68" s="349"/>
      <c r="NU68" s="349"/>
      <c r="NV68" s="349"/>
      <c r="NW68" s="349"/>
      <c r="NX68" s="349"/>
      <c r="NY68" s="349"/>
      <c r="NZ68" s="349"/>
      <c r="OA68" s="349"/>
      <c r="OB68" s="349"/>
      <c r="OC68" s="349"/>
      <c r="OD68" s="349"/>
      <c r="OE68" s="349"/>
      <c r="OF68" s="349"/>
      <c r="OG68" s="349"/>
      <c r="OH68" s="349"/>
      <c r="OI68" s="349"/>
      <c r="OJ68" s="349"/>
      <c r="OK68" s="349"/>
      <c r="OL68" s="349"/>
      <c r="OM68" s="349"/>
      <c r="ON68" s="349"/>
      <c r="OO68" s="349"/>
      <c r="OP68" s="349"/>
      <c r="OQ68" s="349"/>
      <c r="OR68" s="349"/>
      <c r="OS68" s="349"/>
      <c r="OT68" s="349"/>
      <c r="OU68" s="349"/>
      <c r="OV68" s="349"/>
      <c r="OW68" s="349"/>
      <c r="OX68" s="349"/>
      <c r="OY68" s="349"/>
      <c r="OZ68" s="349"/>
      <c r="PA68" s="349"/>
      <c r="PB68" s="349"/>
      <c r="PC68" s="349"/>
      <c r="PD68" s="349"/>
      <c r="PE68" s="349"/>
      <c r="PF68" s="349"/>
      <c r="PG68" s="349"/>
      <c r="PH68" s="349"/>
      <c r="PI68" s="349"/>
      <c r="PJ68" s="349"/>
      <c r="PK68" s="349"/>
      <c r="PL68" s="349"/>
      <c r="PM68" s="349"/>
      <c r="PN68" s="349"/>
      <c r="PO68" s="349"/>
      <c r="PP68" s="349"/>
      <c r="PQ68" s="349"/>
      <c r="PR68" s="349"/>
      <c r="PS68" s="349"/>
      <c r="PT68" s="349"/>
      <c r="PU68" s="349"/>
      <c r="PV68" s="349"/>
      <c r="PW68" s="349"/>
      <c r="PX68" s="349"/>
      <c r="PY68" s="349"/>
      <c r="PZ68" s="349"/>
      <c r="QA68" s="349"/>
      <c r="QB68" s="349"/>
      <c r="QC68" s="349"/>
      <c r="QD68" s="349"/>
      <c r="QE68" s="349"/>
      <c r="QF68" s="349"/>
      <c r="QG68" s="349"/>
      <c r="QH68" s="349"/>
      <c r="QI68" s="349"/>
      <c r="QJ68" s="349"/>
      <c r="QK68" s="349"/>
      <c r="QL68" s="349"/>
      <c r="QM68" s="349"/>
      <c r="QN68" s="349"/>
      <c r="QO68" s="349"/>
      <c r="QP68" s="349"/>
      <c r="QQ68" s="349"/>
      <c r="QR68" s="349"/>
      <c r="QS68" s="349"/>
      <c r="QT68" s="349"/>
      <c r="QU68" s="349"/>
      <c r="QV68" s="349"/>
      <c r="QW68" s="349"/>
      <c r="QX68" s="349"/>
      <c r="QY68" s="349"/>
      <c r="QZ68" s="349"/>
      <c r="RA68" s="349"/>
      <c r="RB68" s="349"/>
      <c r="RC68" s="349"/>
      <c r="RD68" s="349"/>
      <c r="RE68" s="349"/>
      <c r="RF68" s="349"/>
      <c r="RG68" s="349"/>
      <c r="RH68" s="349"/>
      <c r="RI68" s="349"/>
      <c r="RJ68" s="349"/>
      <c r="RK68" s="349"/>
      <c r="RL68" s="349"/>
      <c r="RM68" s="349"/>
      <c r="RN68" s="349"/>
      <c r="RO68" s="349"/>
      <c r="RP68" s="349"/>
      <c r="RQ68" s="349"/>
      <c r="RR68" s="349"/>
      <c r="RS68" s="349"/>
      <c r="RT68" s="349"/>
      <c r="RU68" s="349"/>
      <c r="RV68" s="349"/>
      <c r="RW68" s="349"/>
      <c r="RX68" s="349"/>
      <c r="RY68" s="349"/>
      <c r="RZ68" s="349"/>
      <c r="SA68" s="349"/>
      <c r="SB68" s="349"/>
      <c r="SC68" s="349"/>
      <c r="SD68" s="349"/>
      <c r="SE68" s="349"/>
      <c r="SF68" s="349"/>
      <c r="SG68" s="349"/>
      <c r="SH68" s="349"/>
      <c r="SI68" s="349"/>
      <c r="SJ68" s="349"/>
      <c r="SK68" s="349"/>
      <c r="SL68" s="349"/>
      <c r="SM68" s="349"/>
      <c r="SN68" s="349"/>
      <c r="SO68" s="349"/>
      <c r="SP68" s="349"/>
      <c r="SQ68" s="349"/>
      <c r="SR68" s="349"/>
      <c r="SS68" s="349"/>
      <c r="ST68" s="349"/>
      <c r="SU68" s="349"/>
      <c r="SV68" s="349"/>
      <c r="SW68" s="349"/>
      <c r="SX68" s="349"/>
      <c r="SY68" s="349"/>
      <c r="SZ68" s="349"/>
      <c r="TA68" s="349"/>
      <c r="TB68" s="349"/>
      <c r="TC68" s="349"/>
      <c r="TD68" s="349"/>
      <c r="TE68" s="349"/>
      <c r="TF68" s="349"/>
      <c r="TG68" s="349"/>
      <c r="TH68" s="349"/>
      <c r="TI68" s="349"/>
      <c r="TJ68" s="349"/>
      <c r="TK68" s="349"/>
      <c r="TL68" s="349"/>
      <c r="TM68" s="349"/>
      <c r="TN68" s="349"/>
      <c r="TO68" s="349"/>
      <c r="TP68" s="349"/>
      <c r="TQ68" s="349"/>
      <c r="TR68" s="349"/>
      <c r="TS68" s="349"/>
      <c r="TT68" s="349"/>
      <c r="TU68" s="349"/>
      <c r="TV68" s="349"/>
      <c r="TW68" s="349"/>
      <c r="TX68" s="349"/>
      <c r="TY68" s="349"/>
      <c r="TZ68" s="349"/>
      <c r="UA68" s="349"/>
      <c r="UB68" s="349"/>
      <c r="UC68" s="349"/>
      <c r="UD68" s="349"/>
      <c r="UE68" s="349"/>
      <c r="UF68" s="349"/>
      <c r="UG68" s="349"/>
      <c r="UH68" s="349"/>
      <c r="UI68" s="349"/>
      <c r="UJ68" s="349"/>
      <c r="UK68" s="349"/>
      <c r="UL68" s="349"/>
      <c r="UM68" s="349"/>
      <c r="UN68" s="349"/>
      <c r="UO68" s="349"/>
      <c r="UP68" s="349"/>
      <c r="UQ68" s="349"/>
      <c r="UR68" s="349"/>
      <c r="US68" s="349"/>
      <c r="UT68" s="349"/>
      <c r="UU68" s="349"/>
      <c r="UV68" s="349"/>
      <c r="UW68" s="349"/>
      <c r="UX68" s="349"/>
      <c r="UY68" s="349"/>
      <c r="UZ68" s="349"/>
      <c r="VA68" s="349"/>
      <c r="VB68" s="349"/>
      <c r="VC68" s="349"/>
      <c r="VD68" s="349"/>
      <c r="VE68" s="349"/>
      <c r="VF68" s="349"/>
      <c r="VG68" s="349"/>
      <c r="VH68" s="349"/>
      <c r="VI68" s="349"/>
      <c r="VJ68" s="349"/>
      <c r="VK68" s="349"/>
      <c r="VL68" s="349"/>
      <c r="VM68" s="349"/>
      <c r="VN68" s="349"/>
      <c r="VO68" s="349"/>
      <c r="VP68" s="349"/>
      <c r="VQ68" s="349"/>
      <c r="VR68" s="349"/>
      <c r="VS68" s="349"/>
      <c r="VT68" s="349"/>
      <c r="VU68" s="349"/>
      <c r="VV68" s="349"/>
      <c r="VW68" s="349"/>
      <c r="VX68" s="349"/>
      <c r="VY68" s="349"/>
      <c r="VZ68" s="349"/>
      <c r="WA68" s="349"/>
      <c r="WB68" s="349"/>
      <c r="WC68" s="349"/>
      <c r="WD68" s="349"/>
      <c r="WE68" s="349"/>
      <c r="WF68" s="349"/>
      <c r="WG68" s="349"/>
      <c r="WH68" s="349"/>
      <c r="WI68" s="349"/>
      <c r="WJ68" s="349"/>
      <c r="WK68" s="349"/>
      <c r="WL68" s="349"/>
      <c r="WM68" s="349"/>
      <c r="WN68" s="349"/>
      <c r="WO68" s="349"/>
      <c r="WP68" s="349"/>
      <c r="WQ68" s="349"/>
      <c r="WR68" s="349"/>
      <c r="WS68" s="349"/>
      <c r="WT68" s="349"/>
      <c r="WU68" s="349"/>
      <c r="WV68" s="349"/>
      <c r="WW68" s="349"/>
      <c r="WX68" s="349"/>
      <c r="WY68" s="349"/>
      <c r="WZ68" s="349"/>
      <c r="XA68" s="349"/>
      <c r="XB68" s="349"/>
      <c r="XC68" s="349"/>
      <c r="XD68" s="349"/>
      <c r="XE68" s="349"/>
      <c r="XF68" s="349"/>
      <c r="XG68" s="349"/>
      <c r="XH68" s="349"/>
      <c r="XI68" s="349"/>
      <c r="XJ68" s="349"/>
      <c r="XK68" s="349"/>
      <c r="XL68" s="349"/>
      <c r="XM68" s="349"/>
      <c r="XN68" s="349"/>
      <c r="XO68" s="349"/>
      <c r="XP68" s="349"/>
      <c r="XQ68" s="349"/>
      <c r="XR68" s="349"/>
      <c r="XS68" s="349"/>
      <c r="XT68" s="349"/>
      <c r="XU68" s="349"/>
      <c r="XV68" s="349"/>
      <c r="XW68" s="349"/>
      <c r="XX68" s="349"/>
      <c r="XY68" s="349"/>
      <c r="XZ68" s="349"/>
      <c r="YA68" s="349"/>
      <c r="YB68" s="349"/>
      <c r="YC68" s="349"/>
      <c r="YD68" s="349"/>
      <c r="YE68" s="349"/>
      <c r="YF68" s="349"/>
      <c r="YG68" s="349"/>
      <c r="YH68" s="349"/>
      <c r="YI68" s="349"/>
      <c r="YJ68" s="349"/>
      <c r="YK68" s="349"/>
      <c r="YL68" s="349"/>
      <c r="YM68" s="349"/>
      <c r="YN68" s="349"/>
      <c r="YO68" s="349"/>
      <c r="YP68" s="349"/>
      <c r="YQ68" s="349"/>
      <c r="YR68" s="349"/>
      <c r="YS68" s="349"/>
      <c r="YT68" s="349"/>
      <c r="YU68" s="349"/>
      <c r="YV68" s="349"/>
      <c r="YW68" s="349"/>
      <c r="YX68" s="349"/>
      <c r="YY68" s="349"/>
      <c r="YZ68" s="349"/>
      <c r="ZA68" s="349"/>
      <c r="ZB68" s="349"/>
      <c r="ZC68" s="349"/>
      <c r="ZD68" s="349"/>
      <c r="ZE68" s="349"/>
      <c r="ZF68" s="349"/>
      <c r="ZG68" s="349"/>
      <c r="ZH68" s="349"/>
      <c r="ZI68" s="349"/>
      <c r="ZJ68" s="349"/>
      <c r="ZK68" s="349"/>
      <c r="ZL68" s="349"/>
      <c r="ZM68" s="349"/>
      <c r="ZN68" s="349"/>
      <c r="ZO68" s="349"/>
      <c r="ZP68" s="349"/>
      <c r="ZQ68" s="349"/>
      <c r="ZR68" s="349"/>
      <c r="ZS68" s="349"/>
      <c r="ZT68" s="349"/>
      <c r="ZU68" s="349"/>
      <c r="ZV68" s="349"/>
      <c r="ZW68" s="349"/>
      <c r="ZX68" s="349"/>
      <c r="ZY68" s="349"/>
      <c r="ZZ68" s="349"/>
      <c r="AAA68" s="349"/>
      <c r="AAB68" s="349"/>
      <c r="AAC68" s="349"/>
      <c r="AAD68" s="349"/>
      <c r="AAE68" s="349"/>
      <c r="AAF68" s="349"/>
      <c r="AAG68" s="349"/>
      <c r="AAH68" s="349"/>
      <c r="AAI68" s="349"/>
      <c r="AAJ68" s="349"/>
      <c r="AAK68" s="349"/>
      <c r="AAL68" s="349"/>
      <c r="AAM68" s="349"/>
      <c r="AAN68" s="349"/>
      <c r="AAO68" s="349"/>
      <c r="AAP68" s="349"/>
      <c r="AAQ68" s="349"/>
      <c r="AAR68" s="349"/>
      <c r="AAS68" s="349"/>
      <c r="AAT68" s="349"/>
      <c r="AAU68" s="349"/>
      <c r="AAV68" s="349"/>
      <c r="AAW68" s="349"/>
      <c r="AAX68" s="349"/>
      <c r="AAY68" s="349"/>
      <c r="AAZ68" s="349"/>
      <c r="ABA68" s="349"/>
      <c r="ABB68" s="349"/>
      <c r="ABC68" s="349"/>
      <c r="ABD68" s="349"/>
      <c r="ABE68" s="349"/>
      <c r="ABF68" s="349"/>
      <c r="ABG68" s="349"/>
      <c r="ABH68" s="349"/>
      <c r="ABI68" s="349"/>
      <c r="ABJ68" s="349"/>
      <c r="ABK68" s="349"/>
      <c r="ABL68" s="349"/>
      <c r="ABM68" s="349"/>
      <c r="ABN68" s="349"/>
      <c r="ABO68" s="349"/>
      <c r="ABP68" s="349"/>
      <c r="ABQ68" s="349"/>
      <c r="ABR68" s="349"/>
      <c r="ABS68" s="349"/>
      <c r="ABT68" s="349"/>
      <c r="ABU68" s="349"/>
      <c r="ABV68" s="349"/>
      <c r="ABW68" s="349"/>
      <c r="ABX68" s="349"/>
      <c r="ABY68" s="349"/>
      <c r="ABZ68" s="349"/>
      <c r="ACA68" s="349"/>
      <c r="ACB68" s="349"/>
      <c r="ACC68" s="349"/>
      <c r="ACD68" s="349"/>
      <c r="ACE68" s="349"/>
      <c r="ACF68" s="349"/>
      <c r="ACG68" s="349"/>
      <c r="ACH68" s="349"/>
      <c r="ACI68" s="349"/>
      <c r="ACJ68" s="349"/>
      <c r="ACK68" s="349"/>
      <c r="ACL68" s="349"/>
      <c r="ACM68" s="349"/>
      <c r="ACN68" s="349"/>
      <c r="ACO68" s="349"/>
      <c r="ACP68" s="349"/>
      <c r="ACQ68" s="349"/>
      <c r="ACR68" s="349"/>
      <c r="ACS68" s="349"/>
      <c r="ACT68" s="349"/>
      <c r="ACU68" s="349"/>
      <c r="ACV68" s="349"/>
      <c r="ACW68" s="349"/>
      <c r="ACX68" s="349"/>
      <c r="ACY68" s="349"/>
      <c r="ACZ68" s="349"/>
      <c r="ADA68" s="349"/>
      <c r="ADB68" s="349"/>
      <c r="ADC68" s="349"/>
      <c r="ADD68" s="349"/>
      <c r="ADE68" s="349"/>
      <c r="ADF68" s="349"/>
      <c r="ADG68" s="349"/>
      <c r="ADH68" s="349"/>
      <c r="ADI68" s="349"/>
      <c r="ADJ68" s="349"/>
      <c r="ADK68" s="349"/>
      <c r="ADL68" s="349"/>
      <c r="ADM68" s="349"/>
      <c r="ADN68" s="349"/>
      <c r="ADO68" s="349"/>
      <c r="ADP68" s="349"/>
      <c r="ADQ68" s="349"/>
      <c r="ADR68" s="349"/>
      <c r="ADS68" s="349"/>
      <c r="ADT68" s="349"/>
      <c r="ADU68" s="349"/>
      <c r="ADV68" s="349"/>
      <c r="ADW68" s="349"/>
      <c r="ADX68" s="349"/>
      <c r="ADY68" s="349"/>
      <c r="ADZ68" s="349"/>
      <c r="AEA68" s="349"/>
      <c r="AEB68" s="349"/>
      <c r="AEC68" s="349"/>
      <c r="AED68" s="349"/>
      <c r="AEE68" s="349"/>
      <c r="AEF68" s="349"/>
      <c r="AEG68" s="349"/>
      <c r="AEH68" s="349"/>
      <c r="AEI68" s="349"/>
      <c r="AEJ68" s="349"/>
      <c r="AEK68" s="349"/>
      <c r="AEL68" s="349"/>
      <c r="AEM68" s="349"/>
      <c r="AEN68" s="349"/>
      <c r="AEO68" s="349"/>
      <c r="AEP68" s="349"/>
      <c r="AEQ68" s="349"/>
      <c r="AER68" s="349"/>
      <c r="AES68" s="349"/>
      <c r="AET68" s="349"/>
      <c r="AEU68" s="349"/>
      <c r="AEV68" s="349"/>
      <c r="AEW68" s="349"/>
      <c r="AEX68" s="349"/>
      <c r="AEY68" s="349"/>
      <c r="AEZ68" s="349"/>
      <c r="AFA68" s="349"/>
      <c r="AFB68" s="349"/>
      <c r="AFC68" s="349"/>
      <c r="AFD68" s="349"/>
      <c r="AFE68" s="349"/>
      <c r="AFF68" s="349"/>
      <c r="AFG68" s="349"/>
      <c r="AFH68" s="349"/>
      <c r="AFI68" s="349"/>
      <c r="AFJ68" s="349"/>
      <c r="AFK68" s="349"/>
      <c r="AFL68" s="349"/>
      <c r="AFM68" s="349"/>
      <c r="AFN68" s="349"/>
      <c r="AFO68" s="349"/>
      <c r="AFP68" s="349"/>
      <c r="AFQ68" s="349"/>
      <c r="AFR68" s="349"/>
      <c r="AFS68" s="349"/>
      <c r="AFT68" s="349"/>
      <c r="AFU68" s="349"/>
      <c r="AFV68" s="349"/>
      <c r="AFW68" s="349"/>
      <c r="AFX68" s="349"/>
      <c r="AFY68" s="349"/>
      <c r="AFZ68" s="349"/>
      <c r="AGA68" s="349"/>
      <c r="AGB68" s="349"/>
      <c r="AGC68" s="349"/>
      <c r="AGD68" s="349"/>
      <c r="AGE68" s="349"/>
      <c r="AGF68" s="349"/>
      <c r="AGG68" s="349"/>
      <c r="AGH68" s="349"/>
      <c r="AGI68" s="349"/>
      <c r="AGJ68" s="349"/>
      <c r="AGK68" s="349"/>
      <c r="AGL68" s="349"/>
      <c r="AGM68" s="349"/>
      <c r="AGN68" s="349"/>
      <c r="AGO68" s="349"/>
      <c r="AGP68" s="349"/>
      <c r="AGQ68" s="349"/>
      <c r="AGR68" s="349"/>
      <c r="AGS68" s="349"/>
      <c r="AGT68" s="349"/>
      <c r="AGU68" s="349"/>
      <c r="AGV68" s="349"/>
      <c r="AGW68" s="349"/>
      <c r="AGX68" s="349"/>
      <c r="AGY68" s="349"/>
      <c r="AGZ68" s="349"/>
      <c r="AHA68" s="349"/>
      <c r="AHB68" s="349"/>
      <c r="AHC68" s="349"/>
      <c r="AHD68" s="349"/>
      <c r="AHE68" s="349"/>
      <c r="AHF68" s="349"/>
      <c r="AHG68" s="349"/>
      <c r="AHH68" s="349"/>
      <c r="AHI68" s="349"/>
      <c r="AHJ68" s="349"/>
      <c r="AHK68" s="349"/>
      <c r="AHL68" s="349"/>
      <c r="AHM68" s="349"/>
      <c r="AHN68" s="349"/>
      <c r="AHO68" s="349"/>
      <c r="AHP68" s="349"/>
      <c r="AHQ68" s="349"/>
      <c r="AHR68" s="349"/>
      <c r="AHS68" s="349"/>
      <c r="AHT68" s="349"/>
      <c r="AHU68" s="349"/>
      <c r="AHV68" s="349"/>
      <c r="AHW68" s="349"/>
      <c r="AHX68" s="349"/>
      <c r="AHY68" s="349"/>
      <c r="AHZ68" s="349"/>
      <c r="AIA68" s="349"/>
      <c r="AIB68" s="349"/>
      <c r="AIC68" s="349"/>
      <c r="AID68" s="349"/>
      <c r="AIE68" s="349"/>
      <c r="AIF68" s="349"/>
      <c r="AIG68" s="349"/>
      <c r="AIH68" s="349"/>
      <c r="AII68" s="349"/>
      <c r="AIJ68" s="349"/>
      <c r="AIK68" s="349"/>
      <c r="AIL68" s="349"/>
      <c r="AIM68" s="349"/>
      <c r="AIN68" s="349"/>
      <c r="AIO68" s="349"/>
      <c r="AIP68" s="349"/>
      <c r="AIQ68" s="349"/>
      <c r="AIR68" s="349"/>
      <c r="AIS68" s="349"/>
      <c r="AIT68" s="349"/>
      <c r="AIU68" s="349"/>
      <c r="AIV68" s="349"/>
      <c r="AIW68" s="349"/>
      <c r="AIX68" s="349"/>
      <c r="AIY68" s="349"/>
      <c r="AIZ68" s="349"/>
      <c r="AJA68" s="349"/>
      <c r="AJB68" s="349"/>
      <c r="AJC68" s="349"/>
      <c r="AJD68" s="349"/>
      <c r="AJE68" s="349"/>
      <c r="AJF68" s="349"/>
      <c r="AJG68" s="349"/>
      <c r="AJH68" s="349"/>
      <c r="AJI68" s="349"/>
      <c r="AJJ68" s="349"/>
      <c r="AJK68" s="349"/>
      <c r="AJL68" s="349"/>
      <c r="AJM68" s="349"/>
      <c r="AJN68" s="349"/>
      <c r="AJO68" s="349"/>
      <c r="AJP68" s="349"/>
      <c r="AJQ68" s="349"/>
      <c r="AJR68" s="349"/>
      <c r="AJS68" s="349"/>
      <c r="AJT68" s="349"/>
      <c r="AJU68" s="349"/>
      <c r="AJV68" s="349"/>
      <c r="AJW68" s="349"/>
      <c r="AJX68" s="349"/>
      <c r="AJY68" s="349"/>
      <c r="AJZ68" s="349"/>
      <c r="AKA68" s="349"/>
      <c r="AKB68" s="349"/>
      <c r="AKC68" s="349"/>
      <c r="AKD68" s="349"/>
      <c r="AKE68" s="349"/>
      <c r="AKF68" s="349"/>
      <c r="AKG68" s="349"/>
      <c r="AKH68" s="349"/>
      <c r="AKI68" s="349"/>
      <c r="AKJ68" s="349"/>
      <c r="AKK68" s="349"/>
      <c r="AKL68" s="349"/>
      <c r="AKM68" s="349"/>
      <c r="AKN68" s="349"/>
      <c r="AKO68" s="349"/>
      <c r="AKP68" s="349"/>
      <c r="AKQ68" s="349"/>
      <c r="AKR68" s="349"/>
      <c r="AKS68" s="349"/>
      <c r="AKT68" s="349"/>
      <c r="AKU68" s="349"/>
      <c r="AKV68" s="349"/>
      <c r="AKW68" s="349"/>
      <c r="AKX68" s="349"/>
      <c r="AKY68" s="349"/>
      <c r="AKZ68" s="349"/>
      <c r="ALA68" s="349"/>
      <c r="ALB68" s="349"/>
      <c r="ALC68" s="349"/>
      <c r="ALD68" s="349"/>
      <c r="ALE68" s="349"/>
      <c r="ALF68" s="349"/>
      <c r="ALG68" s="349"/>
      <c r="ALH68" s="349"/>
      <c r="ALI68" s="349"/>
      <c r="ALJ68" s="349"/>
      <c r="ALK68" s="349"/>
      <c r="ALL68" s="349"/>
      <c r="ALM68" s="349"/>
      <c r="ALN68" s="349"/>
      <c r="ALO68" s="349"/>
      <c r="ALP68" s="349"/>
      <c r="ALQ68" s="349"/>
      <c r="ALR68" s="349"/>
      <c r="ALS68" s="349"/>
      <c r="ALT68" s="349"/>
      <c r="ALU68" s="349"/>
      <c r="ALV68" s="349"/>
      <c r="ALW68" s="349"/>
      <c r="ALX68" s="349"/>
      <c r="ALY68" s="349"/>
      <c r="ALZ68" s="349"/>
      <c r="AMA68" s="349"/>
      <c r="AMB68" s="349"/>
      <c r="AMC68" s="349"/>
      <c r="AMD68" s="349"/>
      <c r="AME68" s="349"/>
      <c r="AMF68" s="349"/>
      <c r="AMG68" s="349"/>
      <c r="AMH68" s="349"/>
      <c r="AMI68" s="349"/>
      <c r="AMJ68" s="349"/>
      <c r="AMK68" s="349"/>
      <c r="AML68" s="349"/>
      <c r="AMM68" s="349"/>
      <c r="AMN68" s="349"/>
      <c r="AMO68" s="349"/>
      <c r="AMP68" s="349"/>
      <c r="AMQ68" s="349"/>
      <c r="AMR68" s="349"/>
      <c r="AMS68" s="349"/>
      <c r="AMT68" s="349"/>
      <c r="AMU68" s="349"/>
      <c r="AMV68" s="349"/>
      <c r="AMW68" s="349"/>
      <c r="AMX68" s="349"/>
      <c r="AMY68" s="349"/>
      <c r="AMZ68" s="349"/>
      <c r="ANA68" s="349"/>
      <c r="ANB68" s="349"/>
      <c r="ANC68" s="349"/>
      <c r="AND68" s="349"/>
      <c r="ANE68" s="349"/>
      <c r="ANF68" s="349"/>
      <c r="ANG68" s="349"/>
      <c r="ANH68" s="349"/>
      <c r="ANI68" s="349"/>
      <c r="ANJ68" s="349"/>
      <c r="ANK68" s="349"/>
      <c r="ANL68" s="349"/>
      <c r="ANM68" s="349"/>
      <c r="ANN68" s="349"/>
      <c r="ANO68" s="349"/>
      <c r="ANP68" s="349"/>
      <c r="ANQ68" s="349"/>
      <c r="ANR68" s="349"/>
      <c r="ANS68" s="349"/>
      <c r="ANT68" s="349"/>
      <c r="ANU68" s="349"/>
      <c r="ANV68" s="349"/>
      <c r="ANW68" s="349"/>
      <c r="ANX68" s="349"/>
      <c r="ANY68" s="349"/>
      <c r="ANZ68" s="349"/>
      <c r="AOA68" s="349"/>
      <c r="AOB68" s="349"/>
      <c r="AOC68" s="349"/>
      <c r="AOD68" s="349"/>
      <c r="AOE68" s="349"/>
      <c r="AOF68" s="349"/>
      <c r="AOG68" s="349"/>
      <c r="AOH68" s="349"/>
      <c r="AOI68" s="349"/>
      <c r="AOJ68" s="349"/>
      <c r="AOK68" s="349"/>
      <c r="AOL68" s="349"/>
      <c r="AOM68" s="349"/>
      <c r="AON68" s="349"/>
      <c r="AOO68" s="349"/>
      <c r="AOP68" s="349"/>
      <c r="AOQ68" s="349"/>
      <c r="AOR68" s="349"/>
      <c r="AOS68" s="349"/>
      <c r="AOT68" s="349"/>
      <c r="AOU68" s="349"/>
      <c r="AOV68" s="349"/>
      <c r="AOW68" s="349"/>
      <c r="AOX68" s="349"/>
      <c r="AOY68" s="349"/>
      <c r="AOZ68" s="349"/>
      <c r="APA68" s="349"/>
      <c r="APB68" s="349"/>
      <c r="APC68" s="349"/>
      <c r="APD68" s="349"/>
      <c r="APE68" s="349"/>
      <c r="APF68" s="349"/>
      <c r="APG68" s="349"/>
      <c r="APH68" s="349"/>
      <c r="API68" s="349"/>
      <c r="APJ68" s="349"/>
      <c r="APK68" s="349"/>
      <c r="APL68" s="349"/>
      <c r="APM68" s="349"/>
      <c r="APN68" s="349"/>
      <c r="APO68" s="349"/>
      <c r="APP68" s="349"/>
      <c r="APQ68" s="349"/>
      <c r="APR68" s="349"/>
      <c r="APS68" s="349"/>
      <c r="APT68" s="349"/>
      <c r="APU68" s="349"/>
      <c r="APV68" s="349"/>
      <c r="APW68" s="349"/>
      <c r="APX68" s="349"/>
      <c r="APY68" s="349"/>
      <c r="APZ68" s="349"/>
      <c r="AQA68" s="349"/>
      <c r="AQB68" s="349"/>
      <c r="AQC68" s="349"/>
      <c r="AQD68" s="349"/>
      <c r="AQE68" s="349"/>
      <c r="AQF68" s="349"/>
      <c r="AQG68" s="349"/>
      <c r="AQH68" s="349"/>
      <c r="AQI68" s="349"/>
      <c r="AQJ68" s="349"/>
      <c r="AQK68" s="349"/>
      <c r="AQL68" s="349"/>
      <c r="AQM68" s="349"/>
      <c r="AQN68" s="349"/>
      <c r="AQO68" s="349"/>
      <c r="AQP68" s="349"/>
      <c r="AQQ68" s="349"/>
      <c r="AQR68" s="349"/>
      <c r="AQS68" s="349"/>
      <c r="AQT68" s="349"/>
      <c r="AQU68" s="349"/>
      <c r="AQV68" s="349"/>
      <c r="AQW68" s="349"/>
      <c r="AQX68" s="349"/>
      <c r="AQY68" s="349"/>
      <c r="AQZ68" s="349"/>
      <c r="ARA68" s="349"/>
      <c r="ARB68" s="349"/>
      <c r="ARC68" s="349"/>
      <c r="ARD68" s="349"/>
      <c r="ARE68" s="349"/>
      <c r="ARF68" s="349"/>
      <c r="ARG68" s="349"/>
      <c r="ARH68" s="349"/>
      <c r="ARI68" s="349"/>
      <c r="ARJ68" s="349"/>
      <c r="ARK68" s="349"/>
      <c r="ARL68" s="349"/>
      <c r="ARM68" s="349"/>
      <c r="ARN68" s="349"/>
      <c r="ARO68" s="349"/>
      <c r="ARP68" s="349"/>
      <c r="ARQ68" s="349"/>
      <c r="ARR68" s="349"/>
      <c r="ARS68" s="349"/>
      <c r="ART68" s="349"/>
      <c r="ARU68" s="349"/>
      <c r="ARV68" s="349"/>
      <c r="ARW68" s="349"/>
      <c r="ARX68" s="349"/>
      <c r="ARY68" s="349"/>
      <c r="ARZ68" s="349"/>
      <c r="ASA68" s="349"/>
      <c r="ASB68" s="349"/>
      <c r="ASC68" s="349"/>
      <c r="ASD68" s="349"/>
      <c r="ASE68" s="349"/>
      <c r="ASF68" s="349"/>
      <c r="ASG68" s="349"/>
      <c r="ASH68" s="349"/>
      <c r="ASI68" s="349"/>
      <c r="ASJ68" s="349"/>
      <c r="ASK68" s="349"/>
      <c r="ASL68" s="349"/>
      <c r="ASM68" s="349"/>
      <c r="ASN68" s="349"/>
      <c r="ASO68" s="349"/>
      <c r="ASP68" s="349"/>
      <c r="ASQ68" s="349"/>
      <c r="ASR68" s="349"/>
      <c r="ASS68" s="349"/>
      <c r="AST68" s="349"/>
      <c r="ASU68" s="349"/>
      <c r="ASV68" s="349"/>
      <c r="ASW68" s="349"/>
      <c r="ASX68" s="349"/>
      <c r="ASY68" s="349"/>
      <c r="ASZ68" s="349"/>
      <c r="ATA68" s="349"/>
      <c r="ATB68" s="349"/>
      <c r="ATC68" s="349"/>
      <c r="ATD68" s="349"/>
      <c r="ATE68" s="349"/>
      <c r="ATF68" s="349"/>
      <c r="ATG68" s="349"/>
      <c r="ATH68" s="349"/>
      <c r="ATI68" s="349"/>
      <c r="ATJ68" s="349"/>
      <c r="ATK68" s="349"/>
      <c r="ATL68" s="349"/>
      <c r="ATM68" s="349"/>
      <c r="ATN68" s="349"/>
      <c r="ATO68" s="349"/>
      <c r="ATP68" s="349"/>
      <c r="ATQ68" s="349"/>
      <c r="ATR68" s="349"/>
      <c r="ATS68" s="349"/>
      <c r="ATT68" s="349"/>
      <c r="ATU68" s="349"/>
      <c r="ATV68" s="349"/>
      <c r="ATW68" s="349"/>
      <c r="ATX68" s="349"/>
      <c r="ATY68" s="349"/>
      <c r="ATZ68" s="349"/>
      <c r="AUA68" s="349"/>
      <c r="AUB68" s="349"/>
      <c r="AUC68" s="349"/>
      <c r="AUD68" s="349"/>
      <c r="AUE68" s="349"/>
      <c r="AUF68" s="349"/>
      <c r="AUG68" s="349"/>
      <c r="AUH68" s="349"/>
      <c r="AUI68" s="349"/>
      <c r="AUJ68" s="349"/>
      <c r="AUK68" s="349"/>
      <c r="AUL68" s="349"/>
      <c r="AUM68" s="349"/>
      <c r="AUN68" s="349"/>
      <c r="AUO68" s="349"/>
      <c r="AUP68" s="349"/>
      <c r="AUQ68" s="349"/>
      <c r="AUR68" s="349"/>
      <c r="AUS68" s="349"/>
      <c r="AUT68" s="349"/>
      <c r="AUU68" s="349"/>
      <c r="AUV68" s="349"/>
      <c r="AUW68" s="349"/>
      <c r="AUX68" s="349"/>
      <c r="AUY68" s="349"/>
      <c r="AUZ68" s="349"/>
      <c r="AVA68" s="349"/>
      <c r="AVB68" s="349"/>
      <c r="AVC68" s="349"/>
      <c r="AVD68" s="349"/>
      <c r="AVE68" s="349"/>
      <c r="AVF68" s="349"/>
      <c r="AVG68" s="349"/>
      <c r="AVH68" s="349"/>
      <c r="AVI68" s="349"/>
      <c r="AVJ68" s="349"/>
      <c r="AVK68" s="349"/>
      <c r="AVL68" s="349"/>
      <c r="AVM68" s="349"/>
      <c r="AVN68" s="349"/>
      <c r="AVO68" s="349"/>
      <c r="AVP68" s="349"/>
      <c r="AVQ68" s="349"/>
      <c r="AVR68" s="349"/>
      <c r="AVS68" s="349"/>
      <c r="AVT68" s="349"/>
      <c r="AVU68" s="349"/>
      <c r="AVV68" s="349"/>
      <c r="AVW68" s="349"/>
      <c r="AVX68" s="349"/>
      <c r="AVY68" s="349"/>
      <c r="AVZ68" s="349"/>
      <c r="AWA68" s="349"/>
      <c r="AWB68" s="349"/>
      <c r="AWC68" s="349"/>
      <c r="AWD68" s="349"/>
      <c r="AWE68" s="349"/>
      <c r="AWF68" s="349"/>
      <c r="AWG68" s="349"/>
      <c r="AWH68" s="349"/>
      <c r="AWI68" s="349"/>
      <c r="AWJ68" s="349"/>
      <c r="AWK68" s="349"/>
      <c r="AWL68" s="349"/>
      <c r="AWM68" s="349"/>
      <c r="AWN68" s="349"/>
      <c r="AWO68" s="349"/>
      <c r="AWP68" s="349"/>
      <c r="AWQ68" s="349"/>
      <c r="AWR68" s="349"/>
      <c r="AWS68" s="349"/>
      <c r="AWT68" s="349"/>
      <c r="AWU68" s="349"/>
      <c r="AWV68" s="349"/>
      <c r="AWW68" s="349"/>
      <c r="AWX68" s="349"/>
      <c r="AWY68" s="349"/>
      <c r="AWZ68" s="349"/>
      <c r="AXA68" s="349"/>
      <c r="AXB68" s="349"/>
      <c r="AXC68" s="349"/>
      <c r="AXD68" s="349"/>
      <c r="AXE68" s="349"/>
      <c r="AXF68" s="349"/>
      <c r="AXG68" s="349"/>
      <c r="AXH68" s="349"/>
      <c r="AXI68" s="349"/>
      <c r="AXJ68" s="349"/>
      <c r="AXK68" s="349"/>
      <c r="AXL68" s="349"/>
      <c r="AXM68" s="349"/>
      <c r="AXN68" s="349"/>
      <c r="AXO68" s="349"/>
      <c r="AXP68" s="349"/>
      <c r="AXQ68" s="349"/>
      <c r="AXR68" s="349"/>
      <c r="AXS68" s="349"/>
      <c r="AXT68" s="349"/>
      <c r="AXU68" s="349"/>
      <c r="AXV68" s="349"/>
      <c r="AXW68" s="349"/>
      <c r="AXX68" s="349"/>
      <c r="AXY68" s="349"/>
      <c r="AXZ68" s="349"/>
      <c r="AYA68" s="349"/>
      <c r="AYB68" s="349"/>
      <c r="AYC68" s="349"/>
      <c r="AYD68" s="349"/>
      <c r="AYE68" s="349"/>
      <c r="AYF68" s="349"/>
      <c r="AYG68" s="349"/>
      <c r="AYH68" s="349"/>
      <c r="AYI68" s="349"/>
      <c r="AYJ68" s="349"/>
      <c r="AYK68" s="349"/>
      <c r="AYL68" s="349"/>
      <c r="AYM68" s="349"/>
      <c r="AYN68" s="349"/>
      <c r="AYO68" s="349"/>
      <c r="AYP68" s="349"/>
      <c r="AYQ68" s="349"/>
      <c r="AYR68" s="349"/>
      <c r="AYS68" s="349"/>
      <c r="AYT68" s="349"/>
      <c r="AYU68" s="349"/>
      <c r="AYV68" s="349"/>
      <c r="AYW68" s="349"/>
      <c r="AYX68" s="349"/>
      <c r="AYY68" s="349"/>
      <c r="AYZ68" s="349"/>
      <c r="AZA68" s="349"/>
      <c r="AZB68" s="349"/>
      <c r="AZC68" s="349"/>
      <c r="AZD68" s="349"/>
      <c r="AZE68" s="349"/>
      <c r="AZF68" s="349"/>
      <c r="AZG68" s="349"/>
      <c r="AZH68" s="349"/>
      <c r="AZI68" s="349"/>
      <c r="AZJ68" s="349"/>
      <c r="AZK68" s="349"/>
      <c r="AZL68" s="349"/>
      <c r="AZM68" s="349"/>
      <c r="AZN68" s="349"/>
      <c r="AZO68" s="349"/>
      <c r="AZP68" s="349"/>
      <c r="AZQ68" s="349"/>
      <c r="AZR68" s="349"/>
      <c r="AZS68" s="349"/>
      <c r="AZT68" s="349"/>
      <c r="AZU68" s="349"/>
      <c r="AZV68" s="349"/>
      <c r="AZW68" s="349"/>
      <c r="AZX68" s="349"/>
      <c r="AZY68" s="349"/>
      <c r="AZZ68" s="349"/>
      <c r="BAA68" s="349"/>
      <c r="BAB68" s="349"/>
      <c r="BAC68" s="349"/>
      <c r="BAD68" s="349"/>
      <c r="BAE68" s="349"/>
      <c r="BAF68" s="349"/>
      <c r="BAG68" s="349"/>
      <c r="BAH68" s="349"/>
      <c r="BAI68" s="349"/>
      <c r="BAJ68" s="349"/>
      <c r="BAK68" s="349"/>
      <c r="BAL68" s="349"/>
      <c r="BAM68" s="349"/>
      <c r="BAN68" s="349"/>
      <c r="BAO68" s="349"/>
      <c r="BAP68" s="349"/>
      <c r="BAQ68" s="349"/>
      <c r="BAR68" s="349"/>
      <c r="BAS68" s="349"/>
      <c r="BAT68" s="349"/>
      <c r="BAU68" s="349"/>
      <c r="BAV68" s="349"/>
      <c r="BAW68" s="349"/>
      <c r="BAX68" s="349"/>
      <c r="BAY68" s="349"/>
      <c r="BAZ68" s="349"/>
      <c r="BBA68" s="349"/>
      <c r="BBB68" s="349"/>
      <c r="BBC68" s="349"/>
      <c r="BBD68" s="349"/>
      <c r="BBE68" s="349"/>
      <c r="BBF68" s="349"/>
      <c r="BBG68" s="349"/>
      <c r="BBH68" s="349"/>
      <c r="BBI68" s="349"/>
      <c r="BBJ68" s="349"/>
      <c r="BBK68" s="349"/>
      <c r="BBL68" s="349"/>
      <c r="BBM68" s="349"/>
      <c r="BBN68" s="349"/>
      <c r="BBO68" s="349"/>
      <c r="BBP68" s="349"/>
      <c r="BBQ68" s="349"/>
      <c r="BBR68" s="349"/>
      <c r="BBS68" s="349"/>
      <c r="BBT68" s="349"/>
      <c r="BBU68" s="349"/>
      <c r="BBV68" s="349"/>
      <c r="BBW68" s="349"/>
      <c r="BBX68" s="349"/>
      <c r="BBY68" s="349"/>
      <c r="BBZ68" s="349"/>
      <c r="BCA68" s="349"/>
      <c r="BCB68" s="349"/>
      <c r="BCC68" s="349"/>
      <c r="BCD68" s="349"/>
      <c r="BCE68" s="349"/>
      <c r="BCF68" s="349"/>
      <c r="BCG68" s="349"/>
      <c r="BCH68" s="349"/>
      <c r="BCI68" s="349"/>
      <c r="BCJ68" s="349"/>
      <c r="BCK68" s="349"/>
      <c r="BCL68" s="349"/>
      <c r="BCM68" s="349"/>
      <c r="BCN68" s="349"/>
      <c r="BCO68" s="349"/>
      <c r="BCP68" s="349"/>
      <c r="BCQ68" s="349"/>
      <c r="BCR68" s="349"/>
      <c r="BCS68" s="349"/>
      <c r="BCT68" s="349"/>
      <c r="BCU68" s="349"/>
      <c r="BCV68" s="349"/>
      <c r="BCW68" s="349"/>
      <c r="BCX68" s="349"/>
      <c r="BCY68" s="349"/>
      <c r="BCZ68" s="349"/>
      <c r="BDA68" s="349"/>
      <c r="BDB68" s="349"/>
      <c r="BDC68" s="349"/>
      <c r="BDD68" s="349"/>
      <c r="BDE68" s="349"/>
      <c r="BDF68" s="349"/>
      <c r="BDG68" s="349"/>
      <c r="BDH68" s="349"/>
      <c r="BDI68" s="349"/>
      <c r="BDJ68" s="349"/>
      <c r="BDK68" s="349"/>
      <c r="BDL68" s="349"/>
      <c r="BDM68" s="349"/>
      <c r="BDN68" s="349"/>
      <c r="BDO68" s="349"/>
      <c r="BDP68" s="349"/>
      <c r="BDQ68" s="349"/>
      <c r="BDR68" s="349"/>
      <c r="BDS68" s="349"/>
      <c r="BDT68" s="349"/>
      <c r="BDU68" s="349"/>
      <c r="BDV68" s="349"/>
      <c r="BDW68" s="349"/>
      <c r="BDX68" s="349"/>
      <c r="BDY68" s="349"/>
      <c r="BDZ68" s="349"/>
      <c r="BEA68" s="349"/>
      <c r="BEB68" s="349"/>
      <c r="BEC68" s="349"/>
      <c r="BED68" s="349"/>
      <c r="BEE68" s="349"/>
      <c r="BEF68" s="349"/>
      <c r="BEG68" s="349"/>
      <c r="BEH68" s="349"/>
      <c r="BEI68" s="349"/>
      <c r="BEJ68" s="349"/>
      <c r="BEK68" s="349"/>
      <c r="BEL68" s="349"/>
      <c r="BEM68" s="349"/>
      <c r="BEN68" s="349"/>
      <c r="BEO68" s="349"/>
      <c r="BEP68" s="349"/>
      <c r="BEQ68" s="349"/>
      <c r="BER68" s="349"/>
      <c r="BES68" s="349"/>
      <c r="BET68" s="349"/>
      <c r="BEU68" s="349"/>
      <c r="BEV68" s="349"/>
      <c r="BEW68" s="349"/>
      <c r="BEX68" s="349"/>
      <c r="BEY68" s="349"/>
      <c r="BEZ68" s="349"/>
      <c r="BFA68" s="349"/>
      <c r="BFB68" s="349"/>
      <c r="BFC68" s="349"/>
      <c r="BFD68" s="349"/>
      <c r="BFE68" s="349"/>
      <c r="BFF68" s="349"/>
      <c r="BFG68" s="349"/>
      <c r="BFH68" s="349"/>
      <c r="BFI68" s="349"/>
      <c r="BFJ68" s="349"/>
      <c r="BFK68" s="349"/>
      <c r="BFL68" s="349"/>
      <c r="BFM68" s="349"/>
      <c r="BFN68" s="349"/>
      <c r="BFO68" s="349"/>
      <c r="BFP68" s="349"/>
      <c r="BFQ68" s="349"/>
      <c r="BFR68" s="349"/>
      <c r="BFS68" s="349"/>
      <c r="BFT68" s="349"/>
      <c r="BFU68" s="349"/>
      <c r="BFV68" s="349"/>
      <c r="BFW68" s="349"/>
      <c r="BFX68" s="349"/>
      <c r="BFY68" s="349"/>
      <c r="BFZ68" s="349"/>
      <c r="BGA68" s="349"/>
      <c r="BGB68" s="349"/>
      <c r="BGC68" s="349"/>
      <c r="BGD68" s="349"/>
      <c r="BGE68" s="349"/>
      <c r="BGF68" s="349"/>
      <c r="BGG68" s="349"/>
      <c r="BGH68" s="349"/>
      <c r="BGI68" s="349"/>
      <c r="BGJ68" s="349"/>
      <c r="BGK68" s="349"/>
      <c r="BGL68" s="349"/>
      <c r="BGM68" s="349"/>
      <c r="BGN68" s="349"/>
      <c r="BGO68" s="349"/>
      <c r="BGP68" s="349"/>
      <c r="BGQ68" s="349"/>
      <c r="BGR68" s="349"/>
      <c r="BGS68" s="349"/>
      <c r="BGT68" s="349"/>
      <c r="BGU68" s="349"/>
      <c r="BGV68" s="349"/>
      <c r="BGW68" s="349"/>
      <c r="BGX68" s="349"/>
      <c r="BGY68" s="349"/>
      <c r="BGZ68" s="349"/>
      <c r="BHA68" s="349"/>
      <c r="BHB68" s="349"/>
      <c r="BHC68" s="349"/>
      <c r="BHD68" s="349"/>
      <c r="BHE68" s="349"/>
      <c r="BHF68" s="349"/>
      <c r="BHG68" s="349"/>
      <c r="BHH68" s="349"/>
      <c r="BHI68" s="349"/>
      <c r="BHJ68" s="349"/>
      <c r="BHK68" s="349"/>
      <c r="BHL68" s="349"/>
      <c r="BHM68" s="349"/>
      <c r="BHN68" s="349"/>
      <c r="BHO68" s="349"/>
      <c r="BHP68" s="349"/>
      <c r="BHQ68" s="349"/>
      <c r="BHR68" s="349"/>
      <c r="BHS68" s="349"/>
      <c r="BHT68" s="349"/>
      <c r="BHU68" s="349"/>
      <c r="BHV68" s="349"/>
      <c r="BHW68" s="349"/>
      <c r="BHX68" s="349"/>
      <c r="BHY68" s="349"/>
      <c r="BHZ68" s="349"/>
      <c r="BIA68" s="349"/>
      <c r="BIB68" s="349"/>
      <c r="BIC68" s="349"/>
      <c r="BID68" s="349"/>
      <c r="BIE68" s="349"/>
      <c r="BIF68" s="349"/>
      <c r="BIG68" s="349"/>
      <c r="BIH68" s="349"/>
      <c r="BII68" s="349"/>
      <c r="BIJ68" s="349"/>
      <c r="BIK68" s="349"/>
      <c r="BIL68" s="349"/>
      <c r="BIM68" s="349"/>
      <c r="BIN68" s="349"/>
      <c r="BIO68" s="349"/>
      <c r="BIP68" s="349"/>
      <c r="BIQ68" s="349"/>
      <c r="BIR68" s="349"/>
      <c r="BIS68" s="349"/>
      <c r="BIT68" s="349"/>
      <c r="BIU68" s="349"/>
      <c r="BIV68" s="349"/>
      <c r="BIW68" s="349"/>
      <c r="BIX68" s="349"/>
      <c r="BIY68" s="349"/>
      <c r="BIZ68" s="349"/>
      <c r="BJA68" s="349"/>
      <c r="BJB68" s="349"/>
      <c r="BJC68" s="349"/>
      <c r="BJD68" s="349"/>
      <c r="BJE68" s="349"/>
      <c r="BJF68" s="349"/>
      <c r="BJG68" s="349"/>
      <c r="BJH68" s="349"/>
      <c r="BJI68" s="349"/>
      <c r="BJJ68" s="349"/>
      <c r="BJK68" s="349"/>
      <c r="BJL68" s="349"/>
      <c r="BJM68" s="349"/>
      <c r="BJN68" s="349"/>
      <c r="BJO68" s="349"/>
      <c r="BJP68" s="349"/>
      <c r="BJQ68" s="349"/>
      <c r="BJR68" s="349"/>
      <c r="BJS68" s="349"/>
      <c r="BJT68" s="349"/>
      <c r="BJU68" s="349"/>
      <c r="BJV68" s="349"/>
      <c r="BJW68" s="349"/>
      <c r="BJX68" s="349"/>
      <c r="BJY68" s="349"/>
      <c r="BJZ68" s="349"/>
      <c r="BKA68" s="349"/>
      <c r="BKB68" s="349"/>
      <c r="BKC68" s="349"/>
      <c r="BKD68" s="349"/>
      <c r="BKE68" s="349"/>
      <c r="BKF68" s="349"/>
      <c r="BKG68" s="349"/>
      <c r="BKH68" s="349"/>
      <c r="BKI68" s="349"/>
      <c r="BKJ68" s="349"/>
      <c r="BKK68" s="349"/>
      <c r="BKL68" s="349"/>
      <c r="BKM68" s="349"/>
      <c r="BKN68" s="349"/>
      <c r="BKO68" s="349"/>
      <c r="BKP68" s="349"/>
      <c r="BKQ68" s="349"/>
      <c r="BKR68" s="349"/>
      <c r="BKS68" s="349"/>
      <c r="BKT68" s="349"/>
      <c r="BKU68" s="349"/>
      <c r="BKV68" s="349"/>
      <c r="BKW68" s="349"/>
      <c r="BKX68" s="349"/>
      <c r="BKY68" s="349"/>
      <c r="BKZ68" s="349"/>
      <c r="BLA68" s="349"/>
      <c r="BLB68" s="349"/>
      <c r="BLC68" s="349"/>
      <c r="BLD68" s="349"/>
      <c r="BLE68" s="349"/>
      <c r="BLF68" s="349"/>
      <c r="BLG68" s="349"/>
      <c r="BLH68" s="349"/>
      <c r="BLI68" s="349"/>
      <c r="BLJ68" s="349"/>
      <c r="BLK68" s="349"/>
      <c r="BLL68" s="349"/>
      <c r="BLM68" s="349"/>
      <c r="BLN68" s="349"/>
      <c r="BLO68" s="349"/>
      <c r="BLP68" s="349"/>
      <c r="BLQ68" s="349"/>
      <c r="BLR68" s="349"/>
      <c r="BLS68" s="349"/>
      <c r="BLT68" s="349"/>
      <c r="BLU68" s="349"/>
      <c r="BLV68" s="349"/>
      <c r="BLW68" s="349"/>
      <c r="BLX68" s="349"/>
      <c r="BLY68" s="349"/>
      <c r="BLZ68" s="349"/>
      <c r="BMA68" s="349"/>
      <c r="BMB68" s="349"/>
      <c r="BMC68" s="349"/>
      <c r="BMD68" s="349"/>
      <c r="BME68" s="349"/>
      <c r="BMF68" s="349"/>
      <c r="BMG68" s="349"/>
      <c r="BMH68" s="349"/>
      <c r="BMI68" s="349"/>
      <c r="BMJ68" s="349"/>
      <c r="BMK68" s="349"/>
      <c r="BML68" s="349"/>
      <c r="BMM68" s="349"/>
      <c r="BMN68" s="349"/>
      <c r="BMO68" s="349"/>
      <c r="BMP68" s="349"/>
      <c r="BMQ68" s="349"/>
      <c r="BMR68" s="349"/>
      <c r="BMS68" s="349"/>
      <c r="BMT68" s="349"/>
      <c r="BMU68" s="349"/>
      <c r="BMV68" s="349"/>
      <c r="BMW68" s="349"/>
      <c r="BMX68" s="349"/>
      <c r="BMY68" s="349"/>
      <c r="BMZ68" s="349"/>
      <c r="BNA68" s="349"/>
      <c r="BNB68" s="349"/>
      <c r="BNC68" s="349"/>
      <c r="BND68" s="349"/>
      <c r="BNE68" s="349"/>
      <c r="BNF68" s="349"/>
      <c r="BNG68" s="349"/>
      <c r="BNH68" s="349"/>
      <c r="BNI68" s="349"/>
      <c r="BNJ68" s="349"/>
      <c r="BNK68" s="349"/>
      <c r="BNL68" s="349"/>
      <c r="BNM68" s="349"/>
      <c r="BNN68" s="349"/>
      <c r="BNO68" s="349"/>
      <c r="BNP68" s="349"/>
      <c r="BNQ68" s="349"/>
      <c r="BNR68" s="349"/>
      <c r="BNS68" s="349"/>
      <c r="BNT68" s="349"/>
      <c r="BNU68" s="349"/>
      <c r="BNV68" s="349"/>
      <c r="BNW68" s="349"/>
      <c r="BNX68" s="349"/>
      <c r="BNY68" s="349"/>
      <c r="BNZ68" s="349"/>
      <c r="BOA68" s="349"/>
      <c r="BOB68" s="349"/>
      <c r="BOC68" s="349"/>
      <c r="BOD68" s="349"/>
      <c r="BOE68" s="349"/>
      <c r="BOF68" s="349"/>
      <c r="BOG68" s="349"/>
      <c r="BOH68" s="349"/>
      <c r="BOI68" s="349"/>
      <c r="BOJ68" s="349"/>
      <c r="BOK68" s="349"/>
      <c r="BOL68" s="349"/>
      <c r="BOM68" s="349"/>
      <c r="BON68" s="349"/>
      <c r="BOO68" s="349"/>
      <c r="BOP68" s="349"/>
      <c r="BOQ68" s="349"/>
      <c r="BOR68" s="349"/>
      <c r="BOS68" s="349"/>
      <c r="BOT68" s="349"/>
      <c r="BOU68" s="349"/>
      <c r="BOV68" s="349"/>
      <c r="BOW68" s="349"/>
      <c r="BOX68" s="349"/>
      <c r="BOY68" s="349"/>
      <c r="BOZ68" s="349"/>
      <c r="BPA68" s="349"/>
      <c r="BPB68" s="349"/>
      <c r="BPC68" s="349"/>
      <c r="BPD68" s="349"/>
      <c r="BPE68" s="349"/>
      <c r="BPF68" s="349"/>
      <c r="BPG68" s="349"/>
      <c r="BPH68" s="349"/>
      <c r="BPI68" s="349"/>
      <c r="BPJ68" s="349"/>
      <c r="BPK68" s="349"/>
      <c r="BPL68" s="349"/>
      <c r="BPM68" s="349"/>
      <c r="BPN68" s="349"/>
      <c r="BPO68" s="349"/>
      <c r="BPP68" s="349"/>
      <c r="BPQ68" s="349"/>
      <c r="BPR68" s="349"/>
      <c r="BPS68" s="349"/>
      <c r="BPT68" s="349"/>
      <c r="BPU68" s="349"/>
      <c r="BPV68" s="349"/>
      <c r="BPW68" s="349"/>
      <c r="BPX68" s="349"/>
      <c r="BPY68" s="349"/>
      <c r="BPZ68" s="349"/>
      <c r="BQA68" s="349"/>
      <c r="BQB68" s="349"/>
      <c r="BQC68" s="349"/>
      <c r="BQD68" s="349"/>
      <c r="BQE68" s="349"/>
      <c r="BQF68" s="349"/>
      <c r="BQG68" s="349"/>
      <c r="BQH68" s="349"/>
      <c r="BQI68" s="349"/>
      <c r="BQJ68" s="349"/>
      <c r="BQK68" s="349"/>
      <c r="BQL68" s="349"/>
      <c r="BQM68" s="349"/>
      <c r="BQN68" s="349"/>
      <c r="BQO68" s="349"/>
      <c r="BQP68" s="349"/>
      <c r="BQQ68" s="349"/>
      <c r="BQR68" s="349"/>
      <c r="BQS68" s="349"/>
      <c r="BQT68" s="349"/>
      <c r="BQU68" s="349"/>
      <c r="BQV68" s="349"/>
      <c r="BQW68" s="349"/>
      <c r="BQX68" s="349"/>
      <c r="BQY68" s="349"/>
      <c r="BQZ68" s="349"/>
      <c r="BRA68" s="349"/>
      <c r="BRB68" s="349"/>
      <c r="BRC68" s="349"/>
      <c r="BRD68" s="349"/>
      <c r="BRE68" s="349"/>
      <c r="BRF68" s="349"/>
      <c r="BRG68" s="349"/>
      <c r="BRH68" s="349"/>
      <c r="BRI68" s="349"/>
      <c r="BRJ68" s="349"/>
      <c r="BRK68" s="349"/>
      <c r="BRL68" s="349"/>
      <c r="BRM68" s="349"/>
      <c r="BRN68" s="349"/>
      <c r="BRO68" s="349"/>
      <c r="BRP68" s="349"/>
      <c r="BRQ68" s="349"/>
      <c r="BRR68" s="349"/>
      <c r="BRS68" s="349"/>
      <c r="BRT68" s="349"/>
      <c r="BRU68" s="349"/>
      <c r="BRV68" s="349"/>
      <c r="BRW68" s="349"/>
      <c r="BRX68" s="349"/>
      <c r="BRY68" s="349"/>
      <c r="BRZ68" s="349"/>
      <c r="BSA68" s="349"/>
      <c r="BSB68" s="349"/>
      <c r="BSC68" s="349"/>
      <c r="BSD68" s="349"/>
      <c r="BSE68" s="349"/>
      <c r="BSF68" s="349"/>
      <c r="BSG68" s="349"/>
      <c r="BSH68" s="349"/>
      <c r="BSI68" s="349"/>
      <c r="BSJ68" s="349"/>
      <c r="BSK68" s="349"/>
      <c r="BSL68" s="349"/>
      <c r="BSM68" s="349"/>
      <c r="BSN68" s="349"/>
      <c r="BSO68" s="349"/>
      <c r="BSP68" s="349"/>
      <c r="BSQ68" s="349"/>
      <c r="BSR68" s="349"/>
      <c r="BSS68" s="349"/>
      <c r="BST68" s="349"/>
      <c r="BSU68" s="349"/>
      <c r="BSV68" s="349"/>
      <c r="BSW68" s="349"/>
      <c r="BSX68" s="349"/>
      <c r="BSY68" s="349"/>
      <c r="BSZ68" s="349"/>
      <c r="BTA68" s="349"/>
      <c r="BTB68" s="349"/>
      <c r="BTC68" s="349"/>
      <c r="BTD68" s="349"/>
      <c r="BTE68" s="349"/>
      <c r="BTF68" s="349"/>
      <c r="BTG68" s="349"/>
      <c r="BTH68" s="349"/>
      <c r="BTI68" s="349"/>
      <c r="BTJ68" s="349"/>
      <c r="BTK68" s="349"/>
      <c r="BTL68" s="349"/>
      <c r="BTM68" s="349"/>
      <c r="BTN68" s="349"/>
      <c r="BTO68" s="349"/>
      <c r="BTP68" s="349"/>
      <c r="BTQ68" s="349"/>
      <c r="BTR68" s="349"/>
      <c r="BTS68" s="349"/>
      <c r="BTT68" s="349"/>
      <c r="BTU68" s="349"/>
      <c r="BTV68" s="349"/>
      <c r="BTW68" s="349"/>
      <c r="BTX68" s="349"/>
      <c r="BTY68" s="349"/>
      <c r="BTZ68" s="349"/>
      <c r="BUA68" s="349"/>
      <c r="BUB68" s="349"/>
      <c r="BUC68" s="349"/>
      <c r="BUD68" s="349"/>
      <c r="BUE68" s="349"/>
      <c r="BUF68" s="349"/>
      <c r="BUG68" s="349"/>
      <c r="BUH68" s="349"/>
      <c r="BUI68" s="349"/>
      <c r="BUJ68" s="349"/>
      <c r="BUK68" s="349"/>
      <c r="BUL68" s="349"/>
      <c r="BUM68" s="349"/>
      <c r="BUN68" s="349"/>
      <c r="BUO68" s="349"/>
      <c r="BUP68" s="349"/>
      <c r="BUQ68" s="349"/>
      <c r="BUR68" s="349"/>
      <c r="BUS68" s="349"/>
      <c r="BUT68" s="349"/>
      <c r="BUU68" s="349"/>
      <c r="BUV68" s="349"/>
      <c r="BUW68" s="349"/>
      <c r="BUX68" s="349"/>
      <c r="BUY68" s="349"/>
      <c r="BUZ68" s="349"/>
      <c r="BVA68" s="349"/>
      <c r="BVB68" s="349"/>
      <c r="BVC68" s="349"/>
      <c r="BVD68" s="349"/>
      <c r="BVE68" s="349"/>
      <c r="BVF68" s="349"/>
      <c r="BVG68" s="349"/>
      <c r="BVH68" s="349"/>
      <c r="BVI68" s="349"/>
      <c r="BVJ68" s="349"/>
      <c r="BVK68" s="349"/>
      <c r="BVL68" s="349"/>
      <c r="BVM68" s="349"/>
      <c r="BVN68" s="349"/>
      <c r="BVO68" s="349"/>
      <c r="BVP68" s="349"/>
      <c r="BVQ68" s="349"/>
      <c r="BVR68" s="349"/>
      <c r="BVS68" s="349"/>
      <c r="BVT68" s="349"/>
      <c r="BVU68" s="349"/>
      <c r="BVV68" s="349"/>
      <c r="BVW68" s="349"/>
      <c r="BVX68" s="349"/>
      <c r="BVY68" s="349"/>
      <c r="BVZ68" s="349"/>
      <c r="BWA68" s="349"/>
      <c r="BWB68" s="349"/>
      <c r="BWC68" s="349"/>
      <c r="BWD68" s="349"/>
      <c r="BWE68" s="349"/>
      <c r="BWF68" s="349"/>
      <c r="BWG68" s="349"/>
      <c r="BWH68" s="349"/>
      <c r="BWI68" s="349"/>
      <c r="BWJ68" s="349"/>
      <c r="BWK68" s="349"/>
      <c r="BWL68" s="349"/>
      <c r="BWM68" s="349"/>
      <c r="BWN68" s="349"/>
      <c r="BWO68" s="349"/>
      <c r="BWP68" s="349"/>
      <c r="BWQ68" s="349"/>
      <c r="BWR68" s="349"/>
      <c r="BWS68" s="349"/>
      <c r="BWT68" s="349"/>
      <c r="BWU68" s="349"/>
      <c r="BWV68" s="349"/>
      <c r="BWW68" s="349"/>
      <c r="BWX68" s="349"/>
      <c r="BWY68" s="349"/>
      <c r="BWZ68" s="349"/>
      <c r="BXA68" s="349"/>
      <c r="BXB68" s="349"/>
      <c r="BXC68" s="349"/>
      <c r="BXD68" s="349"/>
      <c r="BXE68" s="349"/>
      <c r="BXF68" s="349"/>
      <c r="BXG68" s="349"/>
      <c r="BXH68" s="349"/>
      <c r="BXI68" s="349"/>
      <c r="BXJ68" s="349"/>
      <c r="BXK68" s="349"/>
      <c r="BXL68" s="349"/>
      <c r="BXM68" s="349"/>
      <c r="BXN68" s="349"/>
      <c r="BXO68" s="349"/>
      <c r="BXP68" s="349"/>
      <c r="BXQ68" s="349"/>
      <c r="BXR68" s="349"/>
      <c r="BXS68" s="349"/>
      <c r="BXT68" s="349"/>
      <c r="BXU68" s="349"/>
      <c r="BXV68" s="349"/>
      <c r="BXW68" s="349"/>
      <c r="BXX68" s="349"/>
      <c r="BXY68" s="349"/>
      <c r="BXZ68" s="349"/>
      <c r="BYA68" s="349"/>
      <c r="BYB68" s="349"/>
      <c r="BYC68" s="349"/>
      <c r="BYD68" s="349"/>
      <c r="BYE68" s="349"/>
      <c r="BYF68" s="349"/>
      <c r="BYG68" s="349"/>
      <c r="BYH68" s="349"/>
      <c r="BYI68" s="349"/>
      <c r="BYJ68" s="349"/>
      <c r="BYK68" s="349"/>
      <c r="BYL68" s="349"/>
      <c r="BYM68" s="349"/>
      <c r="BYN68" s="349"/>
      <c r="BYO68" s="349"/>
      <c r="BYP68" s="349"/>
      <c r="BYQ68" s="349"/>
      <c r="BYR68" s="349"/>
      <c r="BYS68" s="349"/>
      <c r="BYT68" s="349"/>
      <c r="BYU68" s="349"/>
      <c r="BYV68" s="349"/>
      <c r="BYW68" s="349"/>
      <c r="BYX68" s="349"/>
      <c r="BYY68" s="349"/>
      <c r="BYZ68" s="349"/>
      <c r="BZA68" s="349"/>
      <c r="BZB68" s="349"/>
      <c r="BZC68" s="349"/>
      <c r="BZD68" s="349"/>
      <c r="BZE68" s="349"/>
      <c r="BZF68" s="349"/>
      <c r="BZG68" s="349"/>
      <c r="BZH68" s="349"/>
      <c r="BZI68" s="349"/>
      <c r="BZJ68" s="349"/>
      <c r="BZK68" s="349"/>
      <c r="BZL68" s="349"/>
      <c r="BZM68" s="349"/>
      <c r="BZN68" s="349"/>
      <c r="BZO68" s="349"/>
      <c r="BZP68" s="349"/>
      <c r="BZQ68" s="349"/>
      <c r="BZR68" s="349"/>
      <c r="BZS68" s="349"/>
      <c r="BZT68" s="349"/>
      <c r="BZU68" s="349"/>
      <c r="BZV68" s="349"/>
      <c r="BZW68" s="349"/>
      <c r="BZX68" s="349"/>
      <c r="BZY68" s="349"/>
      <c r="BZZ68" s="349"/>
      <c r="CAA68" s="349"/>
      <c r="CAB68" s="349"/>
      <c r="CAC68" s="349"/>
      <c r="CAD68" s="349"/>
      <c r="CAE68" s="349"/>
      <c r="CAF68" s="349"/>
      <c r="CAG68" s="349"/>
      <c r="CAH68" s="349"/>
      <c r="CAI68" s="349"/>
      <c r="CAJ68" s="349"/>
      <c r="CAK68" s="349"/>
      <c r="CAL68" s="349"/>
      <c r="CAM68" s="349"/>
      <c r="CAN68" s="349"/>
      <c r="CAO68" s="349"/>
      <c r="CAP68" s="349"/>
      <c r="CAQ68" s="349"/>
      <c r="CAR68" s="349"/>
      <c r="CAS68" s="349"/>
      <c r="CAT68" s="349"/>
      <c r="CAU68" s="349"/>
      <c r="CAV68" s="349"/>
      <c r="CAW68" s="349"/>
      <c r="CAX68" s="349"/>
      <c r="CAY68" s="349"/>
      <c r="CAZ68" s="349"/>
      <c r="CBA68" s="349"/>
      <c r="CBB68" s="349"/>
      <c r="CBC68" s="349"/>
      <c r="CBD68" s="349"/>
      <c r="CBE68" s="349"/>
      <c r="CBF68" s="349"/>
      <c r="CBG68" s="349"/>
      <c r="CBH68" s="349"/>
      <c r="CBI68" s="349"/>
      <c r="CBJ68" s="349"/>
      <c r="CBK68" s="349"/>
      <c r="CBL68" s="349"/>
      <c r="CBM68" s="349"/>
      <c r="CBN68" s="349"/>
      <c r="CBO68" s="349"/>
      <c r="CBP68" s="349"/>
      <c r="CBQ68" s="349"/>
      <c r="CBR68" s="349"/>
      <c r="CBS68" s="349"/>
      <c r="CBT68" s="349"/>
      <c r="CBU68" s="349"/>
      <c r="CBV68" s="349"/>
      <c r="CBW68" s="349"/>
      <c r="CBX68" s="349"/>
      <c r="CBY68" s="349"/>
      <c r="CBZ68" s="349"/>
      <c r="CCA68" s="349"/>
      <c r="CCB68" s="349"/>
      <c r="CCC68" s="349"/>
      <c r="CCD68" s="349"/>
      <c r="CCE68" s="349"/>
      <c r="CCF68" s="349"/>
      <c r="CCG68" s="349"/>
      <c r="CCH68" s="349"/>
      <c r="CCI68" s="349"/>
      <c r="CCJ68" s="349"/>
      <c r="CCK68" s="349"/>
      <c r="CCL68" s="349"/>
      <c r="CCM68" s="349"/>
      <c r="CCN68" s="349"/>
      <c r="CCO68" s="349"/>
      <c r="CCP68" s="349"/>
      <c r="CCQ68" s="349"/>
      <c r="CCR68" s="349"/>
      <c r="CCS68" s="349"/>
      <c r="CCT68" s="349"/>
      <c r="CCU68" s="349"/>
      <c r="CCV68" s="349"/>
      <c r="CCW68" s="349"/>
      <c r="CCX68" s="349"/>
      <c r="CCY68" s="349"/>
      <c r="CCZ68" s="349"/>
      <c r="CDA68" s="349"/>
      <c r="CDB68" s="349"/>
      <c r="CDC68" s="349"/>
      <c r="CDD68" s="349"/>
      <c r="CDE68" s="349"/>
      <c r="CDF68" s="349"/>
      <c r="CDG68" s="349"/>
      <c r="CDH68" s="349"/>
      <c r="CDI68" s="349"/>
      <c r="CDJ68" s="349"/>
      <c r="CDK68" s="349"/>
      <c r="CDL68" s="349"/>
      <c r="CDM68" s="349"/>
      <c r="CDN68" s="349"/>
      <c r="CDO68" s="349"/>
      <c r="CDP68" s="349"/>
      <c r="CDQ68" s="349"/>
      <c r="CDR68" s="349"/>
      <c r="CDS68" s="349"/>
      <c r="CDT68" s="349"/>
      <c r="CDU68" s="349"/>
      <c r="CDV68" s="349"/>
      <c r="CDW68" s="349"/>
      <c r="CDX68" s="349"/>
      <c r="CDY68" s="349"/>
      <c r="CDZ68" s="349"/>
      <c r="CEA68" s="349"/>
      <c r="CEB68" s="349"/>
      <c r="CEC68" s="349"/>
      <c r="CED68" s="349"/>
      <c r="CEE68" s="349"/>
      <c r="CEF68" s="349"/>
      <c r="CEG68" s="349"/>
      <c r="CEH68" s="349"/>
      <c r="CEI68" s="349"/>
      <c r="CEJ68" s="349"/>
      <c r="CEK68" s="349"/>
      <c r="CEL68" s="349"/>
      <c r="CEM68" s="349"/>
      <c r="CEN68" s="349"/>
      <c r="CEO68" s="349"/>
      <c r="CEP68" s="349"/>
      <c r="CEQ68" s="349"/>
      <c r="CER68" s="349"/>
      <c r="CES68" s="349"/>
      <c r="CET68" s="349"/>
      <c r="CEU68" s="349"/>
      <c r="CEV68" s="349"/>
      <c r="CEW68" s="349"/>
      <c r="CEX68" s="349"/>
      <c r="CEY68" s="349"/>
      <c r="CEZ68" s="349"/>
      <c r="CFA68" s="349"/>
      <c r="CFB68" s="349"/>
      <c r="CFC68" s="349"/>
      <c r="CFD68" s="349"/>
      <c r="CFE68" s="349"/>
      <c r="CFF68" s="349"/>
      <c r="CFG68" s="349"/>
      <c r="CFH68" s="349"/>
      <c r="CFI68" s="349"/>
      <c r="CFJ68" s="349"/>
      <c r="CFK68" s="349"/>
      <c r="CFL68" s="349"/>
      <c r="CFM68" s="349"/>
      <c r="CFN68" s="349"/>
      <c r="CFO68" s="349"/>
      <c r="CFP68" s="349"/>
      <c r="CFQ68" s="349"/>
      <c r="CFR68" s="349"/>
      <c r="CFS68" s="349"/>
      <c r="CFT68" s="349"/>
      <c r="CFU68" s="349"/>
      <c r="CFV68" s="349"/>
      <c r="CFW68" s="349"/>
      <c r="CFX68" s="349"/>
      <c r="CFY68" s="349"/>
      <c r="CFZ68" s="349"/>
      <c r="CGA68" s="349"/>
      <c r="CGB68" s="349"/>
      <c r="CGC68" s="349"/>
      <c r="CGD68" s="349"/>
      <c r="CGE68" s="349"/>
      <c r="CGF68" s="349"/>
      <c r="CGG68" s="349"/>
      <c r="CGH68" s="349"/>
      <c r="CGI68" s="349"/>
      <c r="CGJ68" s="349"/>
      <c r="CGK68" s="349"/>
      <c r="CGL68" s="349"/>
      <c r="CGM68" s="349"/>
      <c r="CGN68" s="349"/>
      <c r="CGO68" s="349"/>
      <c r="CGP68" s="349"/>
      <c r="CGQ68" s="349"/>
      <c r="CGR68" s="349"/>
      <c r="CGS68" s="349"/>
      <c r="CGT68" s="349"/>
      <c r="CGU68" s="349"/>
      <c r="CGV68" s="349"/>
      <c r="CGW68" s="349"/>
      <c r="CGX68" s="349"/>
      <c r="CGY68" s="349"/>
      <c r="CGZ68" s="349"/>
      <c r="CHA68" s="349"/>
      <c r="CHB68" s="349"/>
      <c r="CHC68" s="349"/>
      <c r="CHD68" s="349"/>
      <c r="CHE68" s="349"/>
      <c r="CHF68" s="349"/>
      <c r="CHG68" s="349"/>
      <c r="CHH68" s="349"/>
      <c r="CHI68" s="349"/>
      <c r="CHJ68" s="349"/>
      <c r="CHK68" s="349"/>
      <c r="CHL68" s="349"/>
      <c r="CHM68" s="349"/>
      <c r="CHN68" s="349"/>
      <c r="CHO68" s="349"/>
      <c r="CHP68" s="349"/>
      <c r="CHQ68" s="349"/>
      <c r="CHR68" s="349"/>
      <c r="CHS68" s="349"/>
      <c r="CHT68" s="349"/>
      <c r="CHU68" s="349"/>
      <c r="CHV68" s="349"/>
      <c r="CHW68" s="349"/>
      <c r="CHX68" s="349"/>
      <c r="CHY68" s="349"/>
      <c r="CHZ68" s="349"/>
      <c r="CIA68" s="349"/>
      <c r="CIB68" s="349"/>
      <c r="CIC68" s="349"/>
      <c r="CID68" s="349"/>
      <c r="CIE68" s="349"/>
      <c r="CIF68" s="349"/>
      <c r="CIG68" s="349"/>
      <c r="CIH68" s="349"/>
      <c r="CII68" s="349"/>
      <c r="CIJ68" s="349"/>
      <c r="CIK68" s="349"/>
      <c r="CIL68" s="349"/>
      <c r="CIM68" s="349"/>
      <c r="CIN68" s="349"/>
      <c r="CIO68" s="349"/>
      <c r="CIP68" s="349"/>
      <c r="CIQ68" s="349"/>
      <c r="CIR68" s="349"/>
      <c r="CIS68" s="349"/>
      <c r="CIT68" s="349"/>
      <c r="CIU68" s="349"/>
      <c r="CIV68" s="349"/>
      <c r="CIW68" s="349"/>
      <c r="CIX68" s="349"/>
      <c r="CIY68" s="349"/>
      <c r="CIZ68" s="349"/>
      <c r="CJA68" s="349"/>
      <c r="CJB68" s="349"/>
      <c r="CJC68" s="349"/>
      <c r="CJD68" s="349"/>
      <c r="CJE68" s="349"/>
      <c r="CJF68" s="349"/>
      <c r="CJG68" s="349"/>
      <c r="CJH68" s="349"/>
      <c r="CJI68" s="349"/>
      <c r="CJJ68" s="349"/>
      <c r="CJK68" s="349"/>
      <c r="CJL68" s="349"/>
      <c r="CJM68" s="349"/>
      <c r="CJN68" s="349"/>
      <c r="CJO68" s="349"/>
      <c r="CJP68" s="349"/>
      <c r="CJQ68" s="349"/>
      <c r="CJR68" s="349"/>
      <c r="CJS68" s="349"/>
      <c r="CJT68" s="349"/>
      <c r="CJU68" s="349"/>
      <c r="CJV68" s="349"/>
      <c r="CJW68" s="349"/>
      <c r="CJX68" s="349"/>
      <c r="CJY68" s="349"/>
      <c r="CJZ68" s="349"/>
      <c r="CKA68" s="349"/>
      <c r="CKB68" s="349"/>
      <c r="CKC68" s="349"/>
      <c r="CKD68" s="349"/>
      <c r="CKE68" s="349"/>
      <c r="CKF68" s="349"/>
      <c r="CKG68" s="349"/>
      <c r="CKH68" s="349"/>
      <c r="CKI68" s="349"/>
      <c r="CKJ68" s="349"/>
      <c r="CKK68" s="349"/>
      <c r="CKL68" s="349"/>
      <c r="CKM68" s="349"/>
      <c r="CKN68" s="349"/>
      <c r="CKO68" s="349"/>
      <c r="CKP68" s="349"/>
      <c r="CKQ68" s="349"/>
      <c r="CKR68" s="349"/>
      <c r="CKS68" s="349"/>
      <c r="CKT68" s="349"/>
      <c r="CKU68" s="349"/>
      <c r="CKV68" s="349"/>
      <c r="CKW68" s="349"/>
      <c r="CKX68" s="349"/>
      <c r="CKY68" s="349"/>
      <c r="CKZ68" s="349"/>
      <c r="CLA68" s="349"/>
      <c r="CLB68" s="349"/>
      <c r="CLC68" s="349"/>
      <c r="CLD68" s="349"/>
      <c r="CLE68" s="349"/>
      <c r="CLF68" s="349"/>
      <c r="CLG68" s="349"/>
      <c r="CLH68" s="349"/>
      <c r="CLI68" s="349"/>
      <c r="CLJ68" s="349"/>
      <c r="CLK68" s="349"/>
      <c r="CLL68" s="349"/>
      <c r="CLM68" s="349"/>
      <c r="CLN68" s="349"/>
      <c r="CLO68" s="349"/>
      <c r="CLP68" s="349"/>
      <c r="CLQ68" s="349"/>
      <c r="CLR68" s="349"/>
      <c r="CLS68" s="349"/>
      <c r="CLT68" s="349"/>
      <c r="CLU68" s="349"/>
      <c r="CLV68" s="349"/>
      <c r="CLW68" s="349"/>
      <c r="CLX68" s="349"/>
      <c r="CLY68" s="349"/>
      <c r="CLZ68" s="349"/>
      <c r="CMA68" s="349"/>
      <c r="CMB68" s="349"/>
      <c r="CMC68" s="349"/>
      <c r="CMD68" s="349"/>
      <c r="CME68" s="349"/>
      <c r="CMF68" s="349"/>
      <c r="CMG68" s="349"/>
      <c r="CMH68" s="349"/>
      <c r="CMI68" s="349"/>
      <c r="CMJ68" s="349"/>
      <c r="CMK68" s="349"/>
      <c r="CML68" s="349"/>
      <c r="CMM68" s="349"/>
      <c r="CMN68" s="349"/>
      <c r="CMO68" s="349"/>
      <c r="CMP68" s="349"/>
      <c r="CMQ68" s="349"/>
      <c r="CMR68" s="349"/>
      <c r="CMS68" s="349"/>
      <c r="CMT68" s="349"/>
      <c r="CMU68" s="349"/>
      <c r="CMV68" s="349"/>
      <c r="CMW68" s="349"/>
      <c r="CMX68" s="349"/>
      <c r="CMY68" s="349"/>
      <c r="CMZ68" s="349"/>
      <c r="CNA68" s="349"/>
      <c r="CNB68" s="349"/>
      <c r="CNC68" s="349"/>
      <c r="CND68" s="349"/>
      <c r="CNE68" s="349"/>
      <c r="CNF68" s="349"/>
      <c r="CNG68" s="349"/>
      <c r="CNH68" s="349"/>
      <c r="CNI68" s="349"/>
      <c r="CNJ68" s="349"/>
      <c r="CNK68" s="349"/>
      <c r="CNL68" s="349"/>
      <c r="CNM68" s="349"/>
      <c r="CNN68" s="349"/>
      <c r="CNO68" s="349"/>
      <c r="CNP68" s="349"/>
      <c r="CNQ68" s="349"/>
      <c r="CNR68" s="349"/>
      <c r="CNS68" s="349"/>
      <c r="CNT68" s="349"/>
      <c r="CNU68" s="349"/>
      <c r="CNV68" s="349"/>
      <c r="CNW68" s="349"/>
      <c r="CNX68" s="349"/>
      <c r="CNY68" s="349"/>
      <c r="CNZ68" s="349"/>
      <c r="COA68" s="349"/>
      <c r="COB68" s="349"/>
      <c r="COC68" s="349"/>
      <c r="COD68" s="349"/>
      <c r="COE68" s="349"/>
      <c r="COF68" s="349"/>
      <c r="COG68" s="349"/>
      <c r="COH68" s="349"/>
      <c r="COI68" s="349"/>
      <c r="COJ68" s="349"/>
      <c r="COK68" s="349"/>
      <c r="COL68" s="349"/>
      <c r="COM68" s="349"/>
      <c r="CON68" s="349"/>
      <c r="COO68" s="349"/>
      <c r="COP68" s="349"/>
      <c r="COQ68" s="349"/>
      <c r="COR68" s="349"/>
      <c r="COS68" s="349"/>
      <c r="COT68" s="349"/>
      <c r="COU68" s="349"/>
      <c r="COV68" s="349"/>
      <c r="COW68" s="349"/>
      <c r="COX68" s="349"/>
      <c r="COY68" s="349"/>
      <c r="COZ68" s="349"/>
      <c r="CPA68" s="349"/>
      <c r="CPB68" s="349"/>
      <c r="CPC68" s="349"/>
      <c r="CPD68" s="349"/>
      <c r="CPE68" s="349"/>
      <c r="CPF68" s="349"/>
      <c r="CPG68" s="349"/>
      <c r="CPH68" s="349"/>
      <c r="CPI68" s="349"/>
      <c r="CPJ68" s="349"/>
      <c r="CPK68" s="349"/>
      <c r="CPL68" s="349"/>
      <c r="CPM68" s="349"/>
      <c r="CPN68" s="349"/>
      <c r="CPO68" s="349"/>
      <c r="CPP68" s="349"/>
      <c r="CPQ68" s="349"/>
      <c r="CPR68" s="349"/>
      <c r="CPS68" s="349"/>
      <c r="CPT68" s="349"/>
      <c r="CPU68" s="349"/>
      <c r="CPV68" s="349"/>
      <c r="CPW68" s="349"/>
      <c r="CPX68" s="349"/>
      <c r="CPY68" s="349"/>
      <c r="CPZ68" s="349"/>
      <c r="CQA68" s="349"/>
      <c r="CQB68" s="349"/>
      <c r="CQC68" s="349"/>
      <c r="CQD68" s="349"/>
      <c r="CQE68" s="349"/>
      <c r="CQF68" s="349"/>
      <c r="CQG68" s="349"/>
      <c r="CQH68" s="349"/>
      <c r="CQI68" s="349"/>
      <c r="CQJ68" s="349"/>
      <c r="CQK68" s="349"/>
      <c r="CQL68" s="349"/>
      <c r="CQM68" s="349"/>
      <c r="CQN68" s="349"/>
      <c r="CQO68" s="349"/>
      <c r="CQP68" s="349"/>
      <c r="CQQ68" s="349"/>
      <c r="CQR68" s="349"/>
      <c r="CQS68" s="349"/>
      <c r="CQT68" s="349"/>
      <c r="CQU68" s="349"/>
      <c r="CQV68" s="349"/>
      <c r="CQW68" s="349"/>
      <c r="CQX68" s="349"/>
      <c r="CQY68" s="349"/>
      <c r="CQZ68" s="349"/>
      <c r="CRA68" s="349"/>
      <c r="CRB68" s="349"/>
      <c r="CRC68" s="349"/>
      <c r="CRD68" s="349"/>
      <c r="CRE68" s="349"/>
      <c r="CRF68" s="349"/>
      <c r="CRG68" s="349"/>
      <c r="CRH68" s="349"/>
      <c r="CRI68" s="349"/>
      <c r="CRJ68" s="349"/>
      <c r="CRK68" s="349"/>
      <c r="CRL68" s="349"/>
      <c r="CRM68" s="349"/>
      <c r="CRN68" s="349"/>
      <c r="CRO68" s="349"/>
      <c r="CRP68" s="349"/>
      <c r="CRQ68" s="349"/>
      <c r="CRR68" s="349"/>
      <c r="CRS68" s="349"/>
      <c r="CRT68" s="349"/>
      <c r="CRU68" s="349"/>
      <c r="CRV68" s="349"/>
      <c r="CRW68" s="349"/>
      <c r="CRX68" s="349"/>
      <c r="CRY68" s="349"/>
      <c r="CRZ68" s="349"/>
      <c r="CSA68" s="349"/>
      <c r="CSB68" s="349"/>
      <c r="CSC68" s="349"/>
      <c r="CSD68" s="349"/>
      <c r="CSE68" s="349"/>
      <c r="CSF68" s="349"/>
      <c r="CSG68" s="349"/>
      <c r="CSH68" s="349"/>
      <c r="CSI68" s="349"/>
      <c r="CSJ68" s="349"/>
      <c r="CSK68" s="349"/>
      <c r="CSL68" s="349"/>
      <c r="CSM68" s="349"/>
      <c r="CSN68" s="349"/>
      <c r="CSO68" s="349"/>
      <c r="CSP68" s="349"/>
      <c r="CSQ68" s="349"/>
      <c r="CSR68" s="349"/>
      <c r="CSS68" s="349"/>
      <c r="CST68" s="349"/>
      <c r="CSU68" s="349"/>
      <c r="CSV68" s="349"/>
      <c r="CSW68" s="349"/>
      <c r="CSX68" s="349"/>
      <c r="CSY68" s="349"/>
      <c r="CSZ68" s="349"/>
      <c r="CTA68" s="349"/>
      <c r="CTB68" s="349"/>
      <c r="CTC68" s="349"/>
      <c r="CTD68" s="349"/>
      <c r="CTE68" s="349"/>
      <c r="CTF68" s="349"/>
      <c r="CTG68" s="349"/>
      <c r="CTH68" s="349"/>
      <c r="CTI68" s="349"/>
      <c r="CTJ68" s="349"/>
      <c r="CTK68" s="349"/>
      <c r="CTL68" s="349"/>
      <c r="CTM68" s="349"/>
      <c r="CTN68" s="349"/>
      <c r="CTO68" s="349"/>
      <c r="CTP68" s="349"/>
      <c r="CTQ68" s="349"/>
      <c r="CTR68" s="349"/>
      <c r="CTS68" s="349"/>
      <c r="CTT68" s="349"/>
      <c r="CTU68" s="349"/>
      <c r="CTV68" s="349"/>
      <c r="CTW68" s="349"/>
      <c r="CTX68" s="349"/>
      <c r="CTY68" s="349"/>
      <c r="CTZ68" s="349"/>
      <c r="CUA68" s="349"/>
      <c r="CUB68" s="349"/>
      <c r="CUC68" s="349"/>
      <c r="CUD68" s="349"/>
      <c r="CUE68" s="349"/>
      <c r="CUF68" s="349"/>
      <c r="CUG68" s="349"/>
      <c r="CUH68" s="349"/>
      <c r="CUI68" s="349"/>
      <c r="CUJ68" s="349"/>
      <c r="CUK68" s="349"/>
      <c r="CUL68" s="349"/>
      <c r="CUM68" s="349"/>
      <c r="CUN68" s="349"/>
      <c r="CUO68" s="349"/>
      <c r="CUP68" s="349"/>
      <c r="CUQ68" s="349"/>
      <c r="CUR68" s="349"/>
      <c r="CUS68" s="349"/>
      <c r="CUT68" s="349"/>
      <c r="CUU68" s="349"/>
      <c r="CUV68" s="349"/>
      <c r="CUW68" s="349"/>
      <c r="CUX68" s="349"/>
      <c r="CUY68" s="349"/>
      <c r="CUZ68" s="349"/>
      <c r="CVA68" s="349"/>
      <c r="CVB68" s="349"/>
      <c r="CVC68" s="349"/>
      <c r="CVD68" s="349"/>
      <c r="CVE68" s="349"/>
      <c r="CVF68" s="349"/>
      <c r="CVG68" s="349"/>
      <c r="CVH68" s="349"/>
      <c r="CVI68" s="349"/>
      <c r="CVJ68" s="349"/>
      <c r="CVK68" s="349"/>
      <c r="CVL68" s="349"/>
      <c r="CVM68" s="349"/>
      <c r="CVN68" s="349"/>
      <c r="CVO68" s="349"/>
      <c r="CVP68" s="349"/>
      <c r="CVQ68" s="349"/>
      <c r="CVR68" s="349"/>
      <c r="CVS68" s="349"/>
      <c r="CVT68" s="349"/>
      <c r="CVU68" s="349"/>
      <c r="CVV68" s="349"/>
      <c r="CVW68" s="349"/>
      <c r="CVX68" s="349"/>
      <c r="CVY68" s="349"/>
      <c r="CVZ68" s="349"/>
      <c r="CWA68" s="349"/>
      <c r="CWB68" s="349"/>
      <c r="CWC68" s="349"/>
      <c r="CWD68" s="349"/>
      <c r="CWE68" s="349"/>
      <c r="CWF68" s="349"/>
      <c r="CWG68" s="349"/>
      <c r="CWH68" s="349"/>
      <c r="CWI68" s="349"/>
      <c r="CWJ68" s="349"/>
      <c r="CWK68" s="349"/>
      <c r="CWL68" s="349"/>
      <c r="CWM68" s="349"/>
      <c r="CWN68" s="349"/>
      <c r="CWO68" s="349"/>
      <c r="CWP68" s="349"/>
      <c r="CWQ68" s="349"/>
      <c r="CWR68" s="349"/>
      <c r="CWS68" s="349"/>
      <c r="CWT68" s="349"/>
      <c r="CWU68" s="349"/>
      <c r="CWV68" s="349"/>
      <c r="CWW68" s="349"/>
      <c r="CWX68" s="349"/>
      <c r="CWY68" s="349"/>
      <c r="CWZ68" s="349"/>
      <c r="CXA68" s="349"/>
      <c r="CXB68" s="349"/>
      <c r="CXC68" s="349"/>
      <c r="CXD68" s="349"/>
      <c r="CXE68" s="349"/>
      <c r="CXF68" s="349"/>
      <c r="CXG68" s="349"/>
      <c r="CXH68" s="349"/>
      <c r="CXI68" s="349"/>
      <c r="CXJ68" s="349"/>
      <c r="CXK68" s="349"/>
      <c r="CXL68" s="349"/>
      <c r="CXM68" s="349"/>
      <c r="CXN68" s="349"/>
      <c r="CXO68" s="349"/>
      <c r="CXP68" s="349"/>
      <c r="CXQ68" s="349"/>
      <c r="CXR68" s="349"/>
      <c r="CXS68" s="349"/>
      <c r="CXT68" s="349"/>
      <c r="CXU68" s="349"/>
      <c r="CXV68" s="349"/>
      <c r="CXW68" s="349"/>
      <c r="CXX68" s="349"/>
      <c r="CXY68" s="349"/>
      <c r="CXZ68" s="349"/>
      <c r="CYA68" s="349"/>
      <c r="CYB68" s="349"/>
      <c r="CYC68" s="349"/>
      <c r="CYD68" s="349"/>
      <c r="CYE68" s="349"/>
      <c r="CYF68" s="349"/>
      <c r="CYG68" s="349"/>
      <c r="CYH68" s="349"/>
      <c r="CYI68" s="349"/>
      <c r="CYJ68" s="349"/>
      <c r="CYK68" s="349"/>
      <c r="CYL68" s="349"/>
      <c r="CYM68" s="349"/>
      <c r="CYN68" s="349"/>
      <c r="CYO68" s="349"/>
      <c r="CYP68" s="349"/>
      <c r="CYQ68" s="349"/>
      <c r="CYR68" s="349"/>
      <c r="CYS68" s="349"/>
      <c r="CYT68" s="349"/>
      <c r="CYU68" s="349"/>
      <c r="CYV68" s="349"/>
      <c r="CYW68" s="349"/>
      <c r="CYX68" s="349"/>
      <c r="CYY68" s="349"/>
      <c r="CYZ68" s="349"/>
      <c r="CZA68" s="349"/>
      <c r="CZB68" s="349"/>
      <c r="CZC68" s="349"/>
      <c r="CZD68" s="349"/>
      <c r="CZE68" s="349"/>
      <c r="CZF68" s="349"/>
      <c r="CZG68" s="349"/>
      <c r="CZH68" s="349"/>
      <c r="CZI68" s="349"/>
      <c r="CZJ68" s="349"/>
      <c r="CZK68" s="349"/>
      <c r="CZL68" s="349"/>
      <c r="CZM68" s="349"/>
      <c r="CZN68" s="349"/>
      <c r="CZO68" s="349"/>
      <c r="CZP68" s="349"/>
      <c r="CZQ68" s="349"/>
      <c r="CZR68" s="349"/>
      <c r="CZS68" s="349"/>
      <c r="CZT68" s="349"/>
      <c r="CZU68" s="349"/>
      <c r="CZV68" s="349"/>
      <c r="CZW68" s="349"/>
      <c r="CZX68" s="349"/>
      <c r="CZY68" s="349"/>
      <c r="CZZ68" s="349"/>
      <c r="DAA68" s="349"/>
      <c r="DAB68" s="349"/>
      <c r="DAC68" s="349"/>
      <c r="DAD68" s="349"/>
      <c r="DAE68" s="349"/>
      <c r="DAF68" s="349"/>
      <c r="DAG68" s="349"/>
      <c r="DAH68" s="349"/>
      <c r="DAI68" s="349"/>
      <c r="DAJ68" s="349"/>
      <c r="DAK68" s="349"/>
      <c r="DAL68" s="349"/>
      <c r="DAM68" s="349"/>
      <c r="DAN68" s="349"/>
      <c r="DAO68" s="349"/>
      <c r="DAP68" s="349"/>
      <c r="DAQ68" s="349"/>
      <c r="DAR68" s="349"/>
      <c r="DAS68" s="349"/>
      <c r="DAT68" s="349"/>
      <c r="DAU68" s="349"/>
      <c r="DAV68" s="349"/>
      <c r="DAW68" s="349"/>
      <c r="DAX68" s="349"/>
      <c r="DAY68" s="349"/>
      <c r="DAZ68" s="349"/>
      <c r="DBA68" s="349"/>
      <c r="DBB68" s="349"/>
      <c r="DBC68" s="349"/>
      <c r="DBD68" s="349"/>
      <c r="DBE68" s="349"/>
      <c r="DBF68" s="349"/>
      <c r="DBG68" s="349"/>
      <c r="DBH68" s="349"/>
      <c r="DBI68" s="349"/>
      <c r="DBJ68" s="349"/>
      <c r="DBK68" s="349"/>
      <c r="DBL68" s="349"/>
      <c r="DBM68" s="349"/>
      <c r="DBN68" s="349"/>
      <c r="DBO68" s="349"/>
      <c r="DBP68" s="349"/>
      <c r="DBQ68" s="349"/>
      <c r="DBR68" s="349"/>
      <c r="DBS68" s="349"/>
      <c r="DBT68" s="349"/>
      <c r="DBU68" s="349"/>
      <c r="DBV68" s="349"/>
      <c r="DBW68" s="349"/>
      <c r="DBX68" s="349"/>
      <c r="DBY68" s="349"/>
      <c r="DBZ68" s="349"/>
      <c r="DCA68" s="349"/>
      <c r="DCB68" s="349"/>
      <c r="DCC68" s="349"/>
      <c r="DCD68" s="349"/>
      <c r="DCE68" s="349"/>
      <c r="DCF68" s="349"/>
      <c r="DCG68" s="349"/>
      <c r="DCH68" s="349"/>
      <c r="DCI68" s="349"/>
      <c r="DCJ68" s="349"/>
      <c r="DCK68" s="349"/>
      <c r="DCL68" s="349"/>
      <c r="DCM68" s="349"/>
      <c r="DCN68" s="349"/>
      <c r="DCO68" s="349"/>
      <c r="DCP68" s="349"/>
      <c r="DCQ68" s="349"/>
      <c r="DCR68" s="349"/>
      <c r="DCS68" s="349"/>
      <c r="DCT68" s="349"/>
      <c r="DCU68" s="349"/>
      <c r="DCV68" s="349"/>
      <c r="DCW68" s="349"/>
      <c r="DCX68" s="349"/>
      <c r="DCY68" s="349"/>
      <c r="DCZ68" s="349"/>
      <c r="DDA68" s="349"/>
      <c r="DDB68" s="349"/>
      <c r="DDC68" s="349"/>
      <c r="DDD68" s="349"/>
      <c r="DDE68" s="349"/>
      <c r="DDF68" s="349"/>
      <c r="DDG68" s="349"/>
      <c r="DDH68" s="349"/>
      <c r="DDI68" s="349"/>
      <c r="DDJ68" s="349"/>
      <c r="DDK68" s="349"/>
      <c r="DDL68" s="349"/>
      <c r="DDM68" s="349"/>
      <c r="DDN68" s="349"/>
      <c r="DDO68" s="349"/>
      <c r="DDP68" s="349"/>
      <c r="DDQ68" s="349"/>
      <c r="DDR68" s="349"/>
      <c r="DDS68" s="349"/>
      <c r="DDT68" s="349"/>
      <c r="DDU68" s="349"/>
      <c r="DDV68" s="349"/>
      <c r="DDW68" s="349"/>
      <c r="DDX68" s="349"/>
      <c r="DDY68" s="349"/>
      <c r="DDZ68" s="349"/>
      <c r="DEA68" s="349"/>
      <c r="DEB68" s="349"/>
      <c r="DEC68" s="349"/>
      <c r="DED68" s="349"/>
      <c r="DEE68" s="349"/>
      <c r="DEF68" s="349"/>
      <c r="DEG68" s="349"/>
      <c r="DEH68" s="349"/>
      <c r="DEI68" s="349"/>
      <c r="DEJ68" s="349"/>
      <c r="DEK68" s="349"/>
      <c r="DEL68" s="349"/>
      <c r="DEM68" s="349"/>
      <c r="DEN68" s="349"/>
      <c r="DEO68" s="349"/>
      <c r="DEP68" s="349"/>
      <c r="DEQ68" s="349"/>
      <c r="DER68" s="349"/>
      <c r="DES68" s="349"/>
      <c r="DET68" s="349"/>
      <c r="DEU68" s="349"/>
      <c r="DEV68" s="349"/>
      <c r="DEW68" s="349"/>
      <c r="DEX68" s="349"/>
      <c r="DEY68" s="349"/>
      <c r="DEZ68" s="349"/>
      <c r="DFA68" s="349"/>
      <c r="DFB68" s="349"/>
      <c r="DFC68" s="349"/>
      <c r="DFD68" s="349"/>
      <c r="DFE68" s="349"/>
      <c r="DFF68" s="349"/>
      <c r="DFG68" s="349"/>
      <c r="DFH68" s="349"/>
      <c r="DFI68" s="349"/>
      <c r="DFJ68" s="349"/>
      <c r="DFK68" s="349"/>
      <c r="DFL68" s="349"/>
      <c r="DFM68" s="349"/>
      <c r="DFN68" s="349"/>
      <c r="DFO68" s="349"/>
      <c r="DFP68" s="349"/>
      <c r="DFQ68" s="349"/>
      <c r="DFR68" s="349"/>
      <c r="DFS68" s="349"/>
      <c r="DFT68" s="349"/>
      <c r="DFU68" s="349"/>
      <c r="DFV68" s="349"/>
      <c r="DFW68" s="349"/>
      <c r="DFX68" s="349"/>
      <c r="DFY68" s="349"/>
      <c r="DFZ68" s="349"/>
      <c r="DGA68" s="349"/>
      <c r="DGB68" s="349"/>
      <c r="DGC68" s="349"/>
      <c r="DGD68" s="349"/>
      <c r="DGE68" s="349"/>
      <c r="DGF68" s="349"/>
      <c r="DGG68" s="349"/>
      <c r="DGH68" s="349"/>
      <c r="DGI68" s="349"/>
      <c r="DGJ68" s="349"/>
      <c r="DGK68" s="349"/>
      <c r="DGL68" s="349"/>
      <c r="DGM68" s="349"/>
      <c r="DGN68" s="349"/>
      <c r="DGO68" s="349"/>
      <c r="DGP68" s="349"/>
      <c r="DGQ68" s="349"/>
      <c r="DGR68" s="349"/>
      <c r="DGS68" s="349"/>
      <c r="DGT68" s="349"/>
      <c r="DGU68" s="349"/>
      <c r="DGV68" s="349"/>
      <c r="DGW68" s="349"/>
      <c r="DGX68" s="349"/>
      <c r="DGY68" s="349"/>
      <c r="DGZ68" s="349"/>
      <c r="DHA68" s="349"/>
      <c r="DHB68" s="349"/>
      <c r="DHC68" s="349"/>
      <c r="DHD68" s="349"/>
      <c r="DHE68" s="349"/>
      <c r="DHF68" s="349"/>
      <c r="DHG68" s="349"/>
      <c r="DHH68" s="349"/>
      <c r="DHI68" s="349"/>
      <c r="DHJ68" s="349"/>
      <c r="DHK68" s="349"/>
      <c r="DHL68" s="349"/>
      <c r="DHM68" s="349"/>
      <c r="DHN68" s="349"/>
      <c r="DHO68" s="349"/>
      <c r="DHP68" s="349"/>
      <c r="DHQ68" s="349"/>
      <c r="DHR68" s="349"/>
      <c r="DHS68" s="349"/>
      <c r="DHT68" s="349"/>
      <c r="DHU68" s="349"/>
      <c r="DHV68" s="349"/>
      <c r="DHW68" s="349"/>
      <c r="DHX68" s="349"/>
      <c r="DHY68" s="349"/>
      <c r="DHZ68" s="349"/>
      <c r="DIA68" s="349"/>
      <c r="DIB68" s="349"/>
      <c r="DIC68" s="349"/>
      <c r="DID68" s="349"/>
      <c r="DIE68" s="349"/>
      <c r="DIF68" s="349"/>
      <c r="DIG68" s="349"/>
      <c r="DIH68" s="349"/>
      <c r="DII68" s="349"/>
      <c r="DIJ68" s="349"/>
      <c r="DIK68" s="349"/>
      <c r="DIL68" s="349"/>
      <c r="DIM68" s="349"/>
      <c r="DIN68" s="349"/>
      <c r="DIO68" s="349"/>
      <c r="DIP68" s="349"/>
      <c r="DIQ68" s="349"/>
      <c r="DIR68" s="349"/>
      <c r="DIS68" s="349"/>
      <c r="DIT68" s="349"/>
      <c r="DIU68" s="349"/>
      <c r="DIV68" s="349"/>
      <c r="DIW68" s="349"/>
      <c r="DIX68" s="349"/>
      <c r="DIY68" s="349"/>
      <c r="DIZ68" s="349"/>
      <c r="DJA68" s="349"/>
      <c r="DJB68" s="349"/>
      <c r="DJC68" s="349"/>
      <c r="DJD68" s="349"/>
      <c r="DJE68" s="349"/>
      <c r="DJF68" s="349"/>
      <c r="DJG68" s="349"/>
      <c r="DJH68" s="349"/>
      <c r="DJI68" s="349"/>
      <c r="DJJ68" s="349"/>
      <c r="DJK68" s="349"/>
      <c r="DJL68" s="349"/>
      <c r="DJM68" s="349"/>
      <c r="DJN68" s="349"/>
      <c r="DJO68" s="349"/>
      <c r="DJP68" s="349"/>
      <c r="DJQ68" s="349"/>
      <c r="DJR68" s="349"/>
      <c r="DJS68" s="349"/>
      <c r="DJT68" s="349"/>
      <c r="DJU68" s="349"/>
      <c r="DJV68" s="349"/>
      <c r="DJW68" s="349"/>
      <c r="DJX68" s="349"/>
      <c r="DJY68" s="349"/>
      <c r="DJZ68" s="349"/>
      <c r="DKA68" s="349"/>
      <c r="DKB68" s="349"/>
      <c r="DKC68" s="349"/>
      <c r="DKD68" s="349"/>
      <c r="DKE68" s="349"/>
      <c r="DKF68" s="349"/>
      <c r="DKG68" s="349"/>
      <c r="DKH68" s="349"/>
      <c r="DKI68" s="349"/>
      <c r="DKJ68" s="349"/>
      <c r="DKK68" s="349"/>
      <c r="DKL68" s="349"/>
      <c r="DKM68" s="349"/>
      <c r="DKN68" s="349"/>
      <c r="DKO68" s="349"/>
      <c r="DKP68" s="349"/>
      <c r="DKQ68" s="349"/>
      <c r="DKR68" s="349"/>
      <c r="DKS68" s="349"/>
      <c r="DKT68" s="349"/>
      <c r="DKU68" s="349"/>
      <c r="DKV68" s="349"/>
      <c r="DKW68" s="349"/>
      <c r="DKX68" s="349"/>
      <c r="DKY68" s="349"/>
      <c r="DKZ68" s="349"/>
      <c r="DLA68" s="349"/>
      <c r="DLB68" s="349"/>
      <c r="DLC68" s="349"/>
      <c r="DLD68" s="349"/>
      <c r="DLE68" s="349"/>
      <c r="DLF68" s="349"/>
      <c r="DLG68" s="349"/>
      <c r="DLH68" s="349"/>
      <c r="DLI68" s="349"/>
      <c r="DLJ68" s="349"/>
      <c r="DLK68" s="349"/>
      <c r="DLL68" s="349"/>
      <c r="DLM68" s="349"/>
      <c r="DLN68" s="349"/>
      <c r="DLO68" s="349"/>
      <c r="DLP68" s="349"/>
      <c r="DLQ68" s="349"/>
      <c r="DLR68" s="349"/>
      <c r="DLS68" s="349"/>
      <c r="DLT68" s="349"/>
      <c r="DLU68" s="349"/>
      <c r="DLV68" s="349"/>
      <c r="DLW68" s="349"/>
      <c r="DLX68" s="349"/>
      <c r="DLY68" s="349"/>
      <c r="DLZ68" s="349"/>
      <c r="DMA68" s="349"/>
      <c r="DMB68" s="349"/>
      <c r="DMC68" s="349"/>
      <c r="DMD68" s="349"/>
      <c r="DME68" s="349"/>
      <c r="DMF68" s="349"/>
      <c r="DMG68" s="349"/>
      <c r="DMH68" s="349"/>
      <c r="DMI68" s="349"/>
      <c r="DMJ68" s="349"/>
      <c r="DMK68" s="349"/>
      <c r="DML68" s="349"/>
      <c r="DMM68" s="349"/>
      <c r="DMN68" s="349"/>
      <c r="DMO68" s="349"/>
      <c r="DMP68" s="349"/>
      <c r="DMQ68" s="349"/>
      <c r="DMR68" s="349"/>
      <c r="DMS68" s="349"/>
      <c r="DMT68" s="349"/>
      <c r="DMU68" s="349"/>
      <c r="DMV68" s="349"/>
      <c r="DMW68" s="349"/>
      <c r="DMX68" s="349"/>
      <c r="DMY68" s="349"/>
      <c r="DMZ68" s="349"/>
      <c r="DNA68" s="349"/>
      <c r="DNB68" s="349"/>
      <c r="DNC68" s="349"/>
      <c r="DND68" s="349"/>
      <c r="DNE68" s="349"/>
      <c r="DNF68" s="349"/>
      <c r="DNG68" s="349"/>
      <c r="DNH68" s="349"/>
      <c r="DNI68" s="349"/>
      <c r="DNJ68" s="349"/>
      <c r="DNK68" s="349"/>
      <c r="DNL68" s="349"/>
      <c r="DNM68" s="349"/>
      <c r="DNN68" s="349"/>
      <c r="DNO68" s="349"/>
      <c r="DNP68" s="349"/>
      <c r="DNQ68" s="349"/>
      <c r="DNR68" s="349"/>
      <c r="DNS68" s="349"/>
      <c r="DNT68" s="349"/>
      <c r="DNU68" s="349"/>
      <c r="DNV68" s="349"/>
      <c r="DNW68" s="349"/>
      <c r="DNX68" s="349"/>
      <c r="DNY68" s="349"/>
      <c r="DNZ68" s="349"/>
      <c r="DOA68" s="349"/>
      <c r="DOB68" s="349"/>
      <c r="DOC68" s="349"/>
      <c r="DOD68" s="349"/>
      <c r="DOE68" s="349"/>
      <c r="DOF68" s="349"/>
      <c r="DOG68" s="349"/>
      <c r="DOH68" s="349"/>
      <c r="DOI68" s="349"/>
      <c r="DOJ68" s="349"/>
      <c r="DOK68" s="349"/>
      <c r="DOL68" s="349"/>
      <c r="DOM68" s="349"/>
      <c r="DON68" s="349"/>
      <c r="DOO68" s="349"/>
      <c r="DOP68" s="349"/>
      <c r="DOQ68" s="349"/>
      <c r="DOR68" s="349"/>
      <c r="DOS68" s="349"/>
      <c r="DOT68" s="349"/>
      <c r="DOU68" s="349"/>
      <c r="DOV68" s="349"/>
      <c r="DOW68" s="349"/>
      <c r="DOX68" s="349"/>
      <c r="DOY68" s="349"/>
      <c r="DOZ68" s="349"/>
      <c r="DPA68" s="349"/>
      <c r="DPB68" s="349"/>
      <c r="DPC68" s="349"/>
      <c r="DPD68" s="349"/>
      <c r="DPE68" s="349"/>
      <c r="DPF68" s="349"/>
      <c r="DPG68" s="349"/>
      <c r="DPH68" s="349"/>
      <c r="DPI68" s="349"/>
      <c r="DPJ68" s="349"/>
      <c r="DPK68" s="349"/>
      <c r="DPL68" s="349"/>
      <c r="DPM68" s="349"/>
      <c r="DPN68" s="349"/>
      <c r="DPO68" s="349"/>
      <c r="DPP68" s="349"/>
      <c r="DPQ68" s="349"/>
      <c r="DPR68" s="349"/>
      <c r="DPS68" s="349"/>
      <c r="DPT68" s="349"/>
      <c r="DPU68" s="349"/>
      <c r="DPV68" s="349"/>
      <c r="DPW68" s="349"/>
      <c r="DPX68" s="349"/>
      <c r="DPY68" s="349"/>
      <c r="DPZ68" s="349"/>
      <c r="DQA68" s="349"/>
      <c r="DQB68" s="349"/>
      <c r="DQC68" s="349"/>
      <c r="DQD68" s="349"/>
      <c r="DQE68" s="349"/>
      <c r="DQF68" s="349"/>
      <c r="DQG68" s="349"/>
      <c r="DQH68" s="349"/>
      <c r="DQI68" s="349"/>
      <c r="DQJ68" s="349"/>
      <c r="DQK68" s="349"/>
      <c r="DQL68" s="349"/>
      <c r="DQM68" s="349"/>
      <c r="DQN68" s="349"/>
      <c r="DQO68" s="349"/>
      <c r="DQP68" s="349"/>
      <c r="DQQ68" s="349"/>
      <c r="DQR68" s="349"/>
      <c r="DQS68" s="349"/>
      <c r="DQT68" s="349"/>
      <c r="DQU68" s="349"/>
      <c r="DQV68" s="349"/>
      <c r="DQW68" s="349"/>
      <c r="DQX68" s="349"/>
      <c r="DQY68" s="349"/>
      <c r="DQZ68" s="349"/>
      <c r="DRA68" s="349"/>
      <c r="DRB68" s="349"/>
      <c r="DRC68" s="349"/>
      <c r="DRD68" s="349"/>
      <c r="DRE68" s="349"/>
      <c r="DRF68" s="349"/>
      <c r="DRG68" s="349"/>
      <c r="DRH68" s="349"/>
      <c r="DRI68" s="349"/>
      <c r="DRJ68" s="349"/>
      <c r="DRK68" s="349"/>
      <c r="DRL68" s="349"/>
      <c r="DRM68" s="349"/>
      <c r="DRN68" s="349"/>
      <c r="DRO68" s="349"/>
      <c r="DRP68" s="349"/>
      <c r="DRQ68" s="349"/>
      <c r="DRR68" s="349"/>
      <c r="DRS68" s="349"/>
      <c r="DRT68" s="349"/>
      <c r="DRU68" s="349"/>
      <c r="DRV68" s="349"/>
      <c r="DRW68" s="349"/>
      <c r="DRX68" s="349"/>
      <c r="DRY68" s="349"/>
      <c r="DRZ68" s="349"/>
      <c r="DSA68" s="349"/>
      <c r="DSB68" s="349"/>
      <c r="DSC68" s="349"/>
      <c r="DSD68" s="349"/>
      <c r="DSE68" s="349"/>
      <c r="DSF68" s="349"/>
      <c r="DSG68" s="349"/>
      <c r="DSH68" s="349"/>
      <c r="DSI68" s="349"/>
      <c r="DSJ68" s="349"/>
      <c r="DSK68" s="349"/>
      <c r="DSL68" s="349"/>
      <c r="DSM68" s="349"/>
      <c r="DSN68" s="349"/>
      <c r="DSO68" s="349"/>
      <c r="DSP68" s="349"/>
      <c r="DSQ68" s="349"/>
      <c r="DSR68" s="349"/>
      <c r="DSS68" s="349"/>
      <c r="DST68" s="349"/>
      <c r="DSU68" s="349"/>
      <c r="DSV68" s="349"/>
      <c r="DSW68" s="349"/>
      <c r="DSX68" s="349"/>
      <c r="DSY68" s="349"/>
      <c r="DSZ68" s="349"/>
      <c r="DTA68" s="349"/>
      <c r="DTB68" s="349"/>
      <c r="DTC68" s="349"/>
      <c r="DTD68" s="349"/>
      <c r="DTE68" s="349"/>
      <c r="DTF68" s="349"/>
      <c r="DTG68" s="349"/>
      <c r="DTH68" s="349"/>
      <c r="DTI68" s="349"/>
      <c r="DTJ68" s="349"/>
      <c r="DTK68" s="349"/>
      <c r="DTL68" s="349"/>
      <c r="DTM68" s="349"/>
      <c r="DTN68" s="349"/>
      <c r="DTO68" s="349"/>
      <c r="DTP68" s="349"/>
      <c r="DTQ68" s="349"/>
      <c r="DTR68" s="349"/>
      <c r="DTS68" s="349"/>
      <c r="DTT68" s="349"/>
      <c r="DTU68" s="349"/>
      <c r="DTV68" s="349"/>
      <c r="DTW68" s="349"/>
      <c r="DTX68" s="349"/>
      <c r="DTY68" s="349"/>
      <c r="DTZ68" s="349"/>
      <c r="DUA68" s="349"/>
      <c r="DUB68" s="349"/>
      <c r="DUC68" s="349"/>
      <c r="DUD68" s="349"/>
      <c r="DUE68" s="349"/>
      <c r="DUF68" s="349"/>
      <c r="DUG68" s="349"/>
      <c r="DUH68" s="349"/>
      <c r="DUI68" s="349"/>
      <c r="DUJ68" s="349"/>
      <c r="DUK68" s="349"/>
      <c r="DUL68" s="349"/>
      <c r="DUM68" s="349"/>
      <c r="DUN68" s="349"/>
      <c r="DUO68" s="349"/>
      <c r="DUP68" s="349"/>
      <c r="DUQ68" s="349"/>
      <c r="DUR68" s="349"/>
      <c r="DUS68" s="349"/>
      <c r="DUT68" s="349"/>
      <c r="DUU68" s="349"/>
      <c r="DUV68" s="349"/>
      <c r="DUW68" s="349"/>
      <c r="DUX68" s="349"/>
      <c r="DUY68" s="349"/>
      <c r="DUZ68" s="349"/>
      <c r="DVA68" s="349"/>
      <c r="DVB68" s="349"/>
      <c r="DVC68" s="349"/>
      <c r="DVD68" s="349"/>
      <c r="DVE68" s="349"/>
      <c r="DVF68" s="349"/>
      <c r="DVG68" s="349"/>
      <c r="DVH68" s="349"/>
      <c r="DVI68" s="349"/>
      <c r="DVJ68" s="349"/>
      <c r="DVK68" s="349"/>
      <c r="DVL68" s="349"/>
      <c r="DVM68" s="349"/>
      <c r="DVN68" s="349"/>
      <c r="DVO68" s="349"/>
      <c r="DVP68" s="349"/>
      <c r="DVQ68" s="349"/>
      <c r="DVR68" s="349"/>
      <c r="DVS68" s="349"/>
      <c r="DVT68" s="349"/>
      <c r="DVU68" s="349"/>
      <c r="DVV68" s="349"/>
      <c r="DVW68" s="349"/>
      <c r="DVX68" s="349"/>
      <c r="DVY68" s="349"/>
      <c r="DVZ68" s="349"/>
      <c r="DWA68" s="349"/>
      <c r="DWB68" s="349"/>
      <c r="DWC68" s="349"/>
      <c r="DWD68" s="349"/>
      <c r="DWE68" s="349"/>
      <c r="DWF68" s="349"/>
      <c r="DWG68" s="349"/>
      <c r="DWH68" s="349"/>
      <c r="DWI68" s="349"/>
      <c r="DWJ68" s="349"/>
      <c r="DWK68" s="349"/>
      <c r="DWL68" s="349"/>
      <c r="DWM68" s="349"/>
      <c r="DWN68" s="349"/>
      <c r="DWO68" s="349"/>
      <c r="DWP68" s="349"/>
      <c r="DWQ68" s="349"/>
      <c r="DWR68" s="349"/>
      <c r="DWS68" s="349"/>
      <c r="DWT68" s="349"/>
      <c r="DWU68" s="349"/>
      <c r="DWV68" s="349"/>
      <c r="DWW68" s="349"/>
      <c r="DWX68" s="349"/>
      <c r="DWY68" s="349"/>
      <c r="DWZ68" s="349"/>
      <c r="DXA68" s="349"/>
      <c r="DXB68" s="349"/>
      <c r="DXC68" s="349"/>
      <c r="DXD68" s="349"/>
      <c r="DXE68" s="349"/>
      <c r="DXF68" s="349"/>
      <c r="DXG68" s="349"/>
      <c r="DXH68" s="349"/>
      <c r="DXI68" s="349"/>
      <c r="DXJ68" s="349"/>
      <c r="DXK68" s="349"/>
      <c r="DXL68" s="349"/>
      <c r="DXM68" s="349"/>
      <c r="DXN68" s="349"/>
      <c r="DXO68" s="349"/>
      <c r="DXP68" s="349"/>
      <c r="DXQ68" s="349"/>
      <c r="DXR68" s="349"/>
      <c r="DXS68" s="349"/>
      <c r="DXT68" s="349"/>
      <c r="DXU68" s="349"/>
      <c r="DXV68" s="349"/>
      <c r="DXW68" s="349"/>
      <c r="DXX68" s="349"/>
      <c r="DXY68" s="349"/>
      <c r="DXZ68" s="349"/>
      <c r="DYA68" s="349"/>
      <c r="DYB68" s="349"/>
      <c r="DYC68" s="349"/>
      <c r="DYD68" s="349"/>
      <c r="DYE68" s="349"/>
      <c r="DYF68" s="349"/>
      <c r="DYG68" s="349"/>
      <c r="DYH68" s="349"/>
      <c r="DYI68" s="349"/>
      <c r="DYJ68" s="349"/>
      <c r="DYK68" s="349"/>
      <c r="DYL68" s="349"/>
      <c r="DYM68" s="349"/>
      <c r="DYN68" s="349"/>
      <c r="DYO68" s="349"/>
      <c r="DYP68" s="349"/>
      <c r="DYQ68" s="349"/>
      <c r="DYR68" s="349"/>
      <c r="DYS68" s="349"/>
      <c r="DYT68" s="349"/>
      <c r="DYU68" s="349"/>
      <c r="DYV68" s="349"/>
      <c r="DYW68" s="349"/>
      <c r="DYX68" s="349"/>
      <c r="DYY68" s="349"/>
      <c r="DYZ68" s="349"/>
      <c r="DZA68" s="349"/>
      <c r="DZB68" s="349"/>
      <c r="DZC68" s="349"/>
      <c r="DZD68" s="349"/>
      <c r="DZE68" s="349"/>
      <c r="DZF68" s="349"/>
      <c r="DZG68" s="349"/>
      <c r="DZH68" s="349"/>
      <c r="DZI68" s="349"/>
      <c r="DZJ68" s="349"/>
      <c r="DZK68" s="349"/>
      <c r="DZL68" s="349"/>
      <c r="DZM68" s="349"/>
      <c r="DZN68" s="349"/>
      <c r="DZO68" s="349"/>
      <c r="DZP68" s="349"/>
      <c r="DZQ68" s="349"/>
      <c r="DZR68" s="349"/>
      <c r="DZS68" s="349"/>
      <c r="DZT68" s="349"/>
      <c r="DZU68" s="349"/>
      <c r="DZV68" s="349"/>
      <c r="DZW68" s="349"/>
      <c r="DZX68" s="349"/>
      <c r="DZY68" s="349"/>
      <c r="DZZ68" s="349"/>
      <c r="EAA68" s="349"/>
      <c r="EAB68" s="349"/>
      <c r="EAC68" s="349"/>
      <c r="EAD68" s="349"/>
      <c r="EAE68" s="349"/>
      <c r="EAF68" s="349"/>
      <c r="EAG68" s="349"/>
      <c r="EAH68" s="349"/>
      <c r="EAI68" s="349"/>
      <c r="EAJ68" s="349"/>
      <c r="EAK68" s="349"/>
      <c r="EAL68" s="349"/>
      <c r="EAM68" s="349"/>
      <c r="EAN68" s="349"/>
      <c r="EAO68" s="349"/>
      <c r="EAP68" s="349"/>
      <c r="EAQ68" s="349"/>
      <c r="EAR68" s="349"/>
      <c r="EAS68" s="349"/>
      <c r="EAT68" s="349"/>
      <c r="EAU68" s="349"/>
      <c r="EAV68" s="349"/>
      <c r="EAW68" s="349"/>
      <c r="EAX68" s="349"/>
      <c r="EAY68" s="349"/>
      <c r="EAZ68" s="349"/>
      <c r="EBA68" s="349"/>
      <c r="EBB68" s="349"/>
      <c r="EBC68" s="349"/>
      <c r="EBD68" s="349"/>
      <c r="EBE68" s="349"/>
      <c r="EBF68" s="349"/>
      <c r="EBG68" s="349"/>
      <c r="EBH68" s="349"/>
      <c r="EBI68" s="349"/>
      <c r="EBJ68" s="349"/>
      <c r="EBK68" s="349"/>
      <c r="EBL68" s="349"/>
      <c r="EBM68" s="349"/>
      <c r="EBN68" s="349"/>
      <c r="EBO68" s="349"/>
      <c r="EBP68" s="349"/>
      <c r="EBQ68" s="349"/>
      <c r="EBR68" s="349"/>
      <c r="EBS68" s="349"/>
      <c r="EBT68" s="349"/>
      <c r="EBU68" s="349"/>
      <c r="EBV68" s="349"/>
      <c r="EBW68" s="349"/>
      <c r="EBX68" s="349"/>
      <c r="EBY68" s="349"/>
      <c r="EBZ68" s="349"/>
      <c r="ECA68" s="349"/>
      <c r="ECB68" s="349"/>
      <c r="ECC68" s="349"/>
      <c r="ECD68" s="349"/>
      <c r="ECE68" s="349"/>
      <c r="ECF68" s="349"/>
      <c r="ECG68" s="349"/>
      <c r="ECH68" s="349"/>
      <c r="ECI68" s="349"/>
      <c r="ECJ68" s="349"/>
      <c r="ECK68" s="349"/>
      <c r="ECL68" s="349"/>
      <c r="ECM68" s="349"/>
      <c r="ECN68" s="349"/>
      <c r="ECO68" s="349"/>
      <c r="ECP68" s="349"/>
      <c r="ECQ68" s="349"/>
      <c r="ECR68" s="349"/>
      <c r="ECS68" s="349"/>
      <c r="ECT68" s="349"/>
      <c r="ECU68" s="349"/>
      <c r="ECV68" s="349"/>
      <c r="ECW68" s="349"/>
      <c r="ECX68" s="349"/>
      <c r="ECY68" s="349"/>
      <c r="ECZ68" s="349"/>
      <c r="EDA68" s="349"/>
      <c r="EDB68" s="349"/>
      <c r="EDC68" s="349"/>
      <c r="EDD68" s="349"/>
      <c r="EDE68" s="349"/>
      <c r="EDF68" s="349"/>
      <c r="EDG68" s="349"/>
      <c r="EDH68" s="349"/>
      <c r="EDI68" s="349"/>
      <c r="EDJ68" s="349"/>
      <c r="EDK68" s="349"/>
      <c r="EDL68" s="349"/>
      <c r="EDM68" s="349"/>
      <c r="EDN68" s="349"/>
      <c r="EDO68" s="349"/>
      <c r="EDP68" s="349"/>
      <c r="EDQ68" s="349"/>
      <c r="EDR68" s="349"/>
      <c r="EDS68" s="349"/>
      <c r="EDT68" s="349"/>
      <c r="EDU68" s="349"/>
      <c r="EDV68" s="349"/>
      <c r="EDW68" s="349"/>
      <c r="EDX68" s="349"/>
      <c r="EDY68" s="349"/>
      <c r="EDZ68" s="349"/>
      <c r="EEA68" s="349"/>
      <c r="EEB68" s="349"/>
      <c r="EEC68" s="349"/>
      <c r="EED68" s="349"/>
      <c r="EEE68" s="349"/>
      <c r="EEF68" s="349"/>
      <c r="EEG68" s="349"/>
      <c r="EEH68" s="349"/>
      <c r="EEI68" s="349"/>
      <c r="EEJ68" s="349"/>
      <c r="EEK68" s="349"/>
      <c r="EEL68" s="349"/>
      <c r="EEM68" s="349"/>
      <c r="EEN68" s="349"/>
      <c r="EEO68" s="349"/>
      <c r="EEP68" s="349"/>
      <c r="EEQ68" s="349"/>
      <c r="EER68" s="349"/>
      <c r="EES68" s="349"/>
      <c r="EET68" s="349"/>
      <c r="EEU68" s="349"/>
      <c r="EEV68" s="349"/>
      <c r="EEW68" s="349"/>
      <c r="EEX68" s="349"/>
      <c r="EEY68" s="349"/>
      <c r="EEZ68" s="349"/>
      <c r="EFA68" s="349"/>
      <c r="EFB68" s="349"/>
      <c r="EFC68" s="349"/>
      <c r="EFD68" s="349"/>
      <c r="EFE68" s="349"/>
      <c r="EFF68" s="349"/>
      <c r="EFG68" s="349"/>
      <c r="EFH68" s="349"/>
      <c r="EFI68" s="349"/>
      <c r="EFJ68" s="349"/>
      <c r="EFK68" s="349"/>
      <c r="EFL68" s="349"/>
      <c r="EFM68" s="349"/>
      <c r="EFN68" s="349"/>
      <c r="EFO68" s="349"/>
      <c r="EFP68" s="349"/>
      <c r="EFQ68" s="349"/>
      <c r="EFR68" s="349"/>
      <c r="EFS68" s="349"/>
      <c r="EFT68" s="349"/>
      <c r="EFU68" s="349"/>
      <c r="EFV68" s="349"/>
      <c r="EFW68" s="349"/>
      <c r="EFX68" s="349"/>
      <c r="EFY68" s="349"/>
      <c r="EFZ68" s="349"/>
      <c r="EGA68" s="349"/>
      <c r="EGB68" s="349"/>
      <c r="EGC68" s="349"/>
      <c r="EGD68" s="349"/>
      <c r="EGE68" s="349"/>
      <c r="EGF68" s="349"/>
      <c r="EGG68" s="349"/>
      <c r="EGH68" s="349"/>
      <c r="EGI68" s="349"/>
      <c r="EGJ68" s="349"/>
      <c r="EGK68" s="349"/>
      <c r="EGL68" s="349"/>
      <c r="EGM68" s="349"/>
      <c r="EGN68" s="349"/>
      <c r="EGO68" s="349"/>
      <c r="EGP68" s="349"/>
      <c r="EGQ68" s="349"/>
      <c r="EGR68" s="349"/>
      <c r="EGS68" s="349"/>
      <c r="EGT68" s="349"/>
      <c r="EGU68" s="349"/>
      <c r="EGV68" s="349"/>
      <c r="EGW68" s="349"/>
      <c r="EGX68" s="349"/>
      <c r="EGY68" s="349"/>
      <c r="EGZ68" s="349"/>
      <c r="EHA68" s="349"/>
      <c r="EHB68" s="349"/>
      <c r="EHC68" s="349"/>
      <c r="EHD68" s="349"/>
      <c r="EHE68" s="349"/>
      <c r="EHF68" s="349"/>
      <c r="EHG68" s="349"/>
      <c r="EHH68" s="349"/>
      <c r="EHI68" s="349"/>
      <c r="EHJ68" s="349"/>
      <c r="EHK68" s="349"/>
      <c r="EHL68" s="349"/>
      <c r="EHM68" s="349"/>
      <c r="EHN68" s="349"/>
      <c r="EHO68" s="349"/>
      <c r="EHP68" s="349"/>
      <c r="EHQ68" s="349"/>
      <c r="EHR68" s="349"/>
      <c r="EHS68" s="349"/>
      <c r="EHT68" s="349"/>
      <c r="EHU68" s="349"/>
      <c r="EHV68" s="349"/>
      <c r="EHW68" s="349"/>
      <c r="EHX68" s="349"/>
      <c r="EHY68" s="349"/>
      <c r="EHZ68" s="349"/>
      <c r="EIA68" s="349"/>
      <c r="EIB68" s="349"/>
      <c r="EIC68" s="349"/>
      <c r="EID68" s="349"/>
      <c r="EIE68" s="349"/>
      <c r="EIF68" s="349"/>
      <c r="EIG68" s="349"/>
      <c r="EIH68" s="349"/>
      <c r="EII68" s="349"/>
      <c r="EIJ68" s="349"/>
      <c r="EIK68" s="349"/>
      <c r="EIL68" s="349"/>
      <c r="EIM68" s="349"/>
      <c r="EIN68" s="349"/>
      <c r="EIO68" s="349"/>
      <c r="EIP68" s="349"/>
      <c r="EIQ68" s="349"/>
      <c r="EIR68" s="349"/>
      <c r="EIS68" s="349"/>
      <c r="EIT68" s="349"/>
      <c r="EIU68" s="349"/>
      <c r="EIV68" s="349"/>
      <c r="EIW68" s="349"/>
      <c r="EIX68" s="349"/>
      <c r="EIY68" s="349"/>
      <c r="EIZ68" s="349"/>
      <c r="EJA68" s="349"/>
      <c r="EJB68" s="349"/>
      <c r="EJC68" s="349"/>
      <c r="EJD68" s="349"/>
      <c r="EJE68" s="349"/>
      <c r="EJF68" s="349"/>
      <c r="EJG68" s="349"/>
      <c r="EJH68" s="349"/>
      <c r="EJI68" s="349"/>
      <c r="EJJ68" s="349"/>
      <c r="EJK68" s="349"/>
      <c r="EJL68" s="349"/>
      <c r="EJM68" s="349"/>
      <c r="EJN68" s="349"/>
      <c r="EJO68" s="349"/>
      <c r="EJP68" s="349"/>
      <c r="EJQ68" s="349"/>
      <c r="EJR68" s="349"/>
      <c r="EJS68" s="349"/>
      <c r="EJT68" s="349"/>
      <c r="EJU68" s="349"/>
      <c r="EJV68" s="349"/>
      <c r="EJW68" s="349"/>
      <c r="EJX68" s="349"/>
      <c r="EJY68" s="349"/>
      <c r="EJZ68" s="349"/>
      <c r="EKA68" s="349"/>
      <c r="EKB68" s="349"/>
      <c r="EKC68" s="349"/>
      <c r="EKD68" s="349"/>
      <c r="EKE68" s="349"/>
      <c r="EKF68" s="349"/>
      <c r="EKG68" s="349"/>
      <c r="EKH68" s="349"/>
      <c r="EKI68" s="349"/>
      <c r="EKJ68" s="349"/>
      <c r="EKK68" s="349"/>
      <c r="EKL68" s="349"/>
      <c r="EKM68" s="349"/>
      <c r="EKN68" s="349"/>
      <c r="EKO68" s="349"/>
      <c r="EKP68" s="349"/>
      <c r="EKQ68" s="349"/>
      <c r="EKR68" s="349"/>
      <c r="EKS68" s="349"/>
      <c r="EKT68" s="349"/>
      <c r="EKU68" s="349"/>
      <c r="EKV68" s="349"/>
      <c r="EKW68" s="349"/>
      <c r="EKX68" s="349"/>
      <c r="EKY68" s="349"/>
      <c r="EKZ68" s="349"/>
      <c r="ELA68" s="349"/>
      <c r="ELB68" s="349"/>
      <c r="ELC68" s="349"/>
      <c r="ELD68" s="349"/>
      <c r="ELE68" s="349"/>
      <c r="ELF68" s="349"/>
      <c r="ELG68" s="349"/>
      <c r="ELH68" s="349"/>
      <c r="ELI68" s="349"/>
      <c r="ELJ68" s="349"/>
      <c r="ELK68" s="349"/>
      <c r="ELL68" s="349"/>
      <c r="ELM68" s="349"/>
      <c r="ELN68" s="349"/>
      <c r="ELO68" s="349"/>
      <c r="ELP68" s="349"/>
      <c r="ELQ68" s="349"/>
      <c r="ELR68" s="349"/>
      <c r="ELS68" s="349"/>
      <c r="ELT68" s="349"/>
      <c r="ELU68" s="349"/>
      <c r="ELV68" s="349"/>
      <c r="ELW68" s="349"/>
      <c r="ELX68" s="349"/>
      <c r="ELY68" s="349"/>
      <c r="ELZ68" s="349"/>
      <c r="EMA68" s="349"/>
      <c r="EMB68" s="349"/>
      <c r="EMC68" s="349"/>
      <c r="EMD68" s="349"/>
      <c r="EME68" s="349"/>
      <c r="EMF68" s="349"/>
      <c r="EMG68" s="349"/>
      <c r="EMH68" s="349"/>
      <c r="EMI68" s="349"/>
      <c r="EMJ68" s="349"/>
      <c r="EMK68" s="349"/>
      <c r="EML68" s="349"/>
      <c r="EMM68" s="349"/>
      <c r="EMN68" s="349"/>
      <c r="EMO68" s="349"/>
      <c r="EMP68" s="349"/>
      <c r="EMQ68" s="349"/>
      <c r="EMR68" s="349"/>
      <c r="EMS68" s="349"/>
      <c r="EMT68" s="349"/>
      <c r="EMU68" s="349"/>
      <c r="EMV68" s="349"/>
      <c r="EMW68" s="349"/>
      <c r="EMX68" s="349"/>
      <c r="EMY68" s="349"/>
      <c r="EMZ68" s="349"/>
      <c r="ENA68" s="349"/>
      <c r="ENB68" s="349"/>
      <c r="ENC68" s="349"/>
      <c r="END68" s="349"/>
      <c r="ENE68" s="349"/>
      <c r="ENF68" s="349"/>
      <c r="ENG68" s="349"/>
      <c r="ENH68" s="349"/>
      <c r="ENI68" s="349"/>
      <c r="ENJ68" s="349"/>
      <c r="ENK68" s="349"/>
      <c r="ENL68" s="349"/>
      <c r="ENM68" s="349"/>
      <c r="ENN68" s="349"/>
      <c r="ENO68" s="349"/>
      <c r="ENP68" s="349"/>
      <c r="ENQ68" s="349"/>
      <c r="ENR68" s="349"/>
      <c r="ENS68" s="349"/>
      <c r="ENT68" s="349"/>
      <c r="ENU68" s="349"/>
      <c r="ENV68" s="349"/>
      <c r="ENW68" s="349"/>
      <c r="ENX68" s="349"/>
      <c r="ENY68" s="349"/>
      <c r="ENZ68" s="349"/>
      <c r="EOA68" s="349"/>
      <c r="EOB68" s="349"/>
      <c r="EOC68" s="349"/>
      <c r="EOD68" s="349"/>
      <c r="EOE68" s="349"/>
      <c r="EOF68" s="349"/>
      <c r="EOG68" s="349"/>
      <c r="EOH68" s="349"/>
      <c r="EOI68" s="349"/>
      <c r="EOJ68" s="349"/>
      <c r="EOK68" s="349"/>
      <c r="EOL68" s="349"/>
      <c r="EOM68" s="349"/>
      <c r="EON68" s="349"/>
      <c r="EOO68" s="349"/>
      <c r="EOP68" s="349"/>
      <c r="EOQ68" s="349"/>
      <c r="EOR68" s="349"/>
      <c r="EOS68" s="349"/>
      <c r="EOT68" s="349"/>
      <c r="EOU68" s="349"/>
      <c r="EOV68" s="349"/>
      <c r="EOW68" s="349"/>
      <c r="EOX68" s="349"/>
      <c r="EOY68" s="349"/>
      <c r="EOZ68" s="349"/>
      <c r="EPA68" s="349"/>
      <c r="EPB68" s="349"/>
      <c r="EPC68" s="349"/>
      <c r="EPD68" s="349"/>
      <c r="EPE68" s="349"/>
      <c r="EPF68" s="349"/>
      <c r="EPG68" s="349"/>
      <c r="EPH68" s="349"/>
      <c r="EPI68" s="349"/>
      <c r="EPJ68" s="349"/>
      <c r="EPK68" s="349"/>
      <c r="EPL68" s="349"/>
      <c r="EPM68" s="349"/>
      <c r="EPN68" s="349"/>
      <c r="EPO68" s="349"/>
      <c r="EPP68" s="349"/>
      <c r="EPQ68" s="349"/>
      <c r="EPR68" s="349"/>
      <c r="EPS68" s="349"/>
      <c r="EPT68" s="349"/>
      <c r="EPU68" s="349"/>
      <c r="EPV68" s="349"/>
      <c r="EPW68" s="349"/>
      <c r="EPX68" s="349"/>
      <c r="EPY68" s="349"/>
      <c r="EPZ68" s="349"/>
      <c r="EQA68" s="349"/>
      <c r="EQB68" s="349"/>
      <c r="EQC68" s="349"/>
      <c r="EQD68" s="349"/>
      <c r="EQE68" s="349"/>
      <c r="EQF68" s="349"/>
      <c r="EQG68" s="349"/>
      <c r="EQH68" s="349"/>
      <c r="EQI68" s="349"/>
      <c r="EQJ68" s="349"/>
      <c r="EQK68" s="349"/>
      <c r="EQL68" s="349"/>
      <c r="EQM68" s="349"/>
      <c r="EQN68" s="349"/>
      <c r="EQO68" s="349"/>
      <c r="EQP68" s="349"/>
      <c r="EQQ68" s="349"/>
      <c r="EQR68" s="349"/>
      <c r="EQS68" s="349"/>
      <c r="EQT68" s="349"/>
      <c r="EQU68" s="349"/>
      <c r="EQV68" s="349"/>
      <c r="EQW68" s="349"/>
      <c r="EQX68" s="349"/>
      <c r="EQY68" s="349"/>
      <c r="EQZ68" s="349"/>
      <c r="ERA68" s="349"/>
      <c r="ERB68" s="349"/>
      <c r="ERC68" s="349"/>
      <c r="ERD68" s="349"/>
      <c r="ERE68" s="349"/>
      <c r="ERF68" s="349"/>
      <c r="ERG68" s="349"/>
      <c r="ERH68" s="349"/>
      <c r="ERI68" s="349"/>
      <c r="ERJ68" s="349"/>
      <c r="ERK68" s="349"/>
      <c r="ERL68" s="349"/>
      <c r="ERM68" s="349"/>
      <c r="ERN68" s="349"/>
      <c r="ERO68" s="349"/>
      <c r="ERP68" s="349"/>
      <c r="ERQ68" s="349"/>
      <c r="ERR68" s="349"/>
      <c r="ERS68" s="349"/>
      <c r="ERT68" s="349"/>
      <c r="ERU68" s="349"/>
      <c r="ERV68" s="349"/>
      <c r="ERW68" s="349"/>
      <c r="ERX68" s="349"/>
      <c r="ERY68" s="349"/>
      <c r="ERZ68" s="349"/>
      <c r="ESA68" s="349"/>
      <c r="ESB68" s="349"/>
      <c r="ESC68" s="349"/>
      <c r="ESD68" s="349"/>
      <c r="ESE68" s="349"/>
      <c r="ESF68" s="349"/>
      <c r="ESG68" s="349"/>
      <c r="ESH68" s="349"/>
      <c r="ESI68" s="349"/>
      <c r="ESJ68" s="349"/>
      <c r="ESK68" s="349"/>
      <c r="ESL68" s="349"/>
      <c r="ESM68" s="349"/>
      <c r="ESN68" s="349"/>
      <c r="ESO68" s="349"/>
      <c r="ESP68" s="349"/>
      <c r="ESQ68" s="349"/>
      <c r="ESR68" s="349"/>
      <c r="ESS68" s="349"/>
      <c r="EST68" s="349"/>
      <c r="ESU68" s="349"/>
      <c r="ESV68" s="349"/>
      <c r="ESW68" s="349"/>
      <c r="ESX68" s="349"/>
      <c r="ESY68" s="349"/>
      <c r="ESZ68" s="349"/>
      <c r="ETA68" s="349"/>
      <c r="ETB68" s="349"/>
      <c r="ETC68" s="349"/>
      <c r="ETD68" s="349"/>
      <c r="ETE68" s="349"/>
      <c r="ETF68" s="349"/>
      <c r="ETG68" s="349"/>
      <c r="ETH68" s="349"/>
      <c r="ETI68" s="349"/>
      <c r="ETJ68" s="349"/>
      <c r="ETK68" s="349"/>
      <c r="ETL68" s="349"/>
      <c r="ETM68" s="349"/>
      <c r="ETN68" s="349"/>
      <c r="ETO68" s="349"/>
      <c r="ETP68" s="349"/>
      <c r="ETQ68" s="349"/>
      <c r="ETR68" s="349"/>
      <c r="ETS68" s="349"/>
      <c r="ETT68" s="349"/>
      <c r="ETU68" s="349"/>
      <c r="ETV68" s="349"/>
      <c r="ETW68" s="349"/>
      <c r="ETX68" s="349"/>
      <c r="ETY68" s="349"/>
      <c r="ETZ68" s="349"/>
      <c r="EUA68" s="349"/>
      <c r="EUB68" s="349"/>
      <c r="EUC68" s="349"/>
      <c r="EUD68" s="349"/>
      <c r="EUE68" s="349"/>
      <c r="EUF68" s="349"/>
      <c r="EUG68" s="349"/>
      <c r="EUH68" s="349"/>
      <c r="EUI68" s="349"/>
      <c r="EUJ68" s="349"/>
      <c r="EUK68" s="349"/>
      <c r="EUL68" s="349"/>
      <c r="EUM68" s="349"/>
      <c r="EUN68" s="349"/>
      <c r="EUO68" s="349"/>
      <c r="EUP68" s="349"/>
      <c r="EUQ68" s="349"/>
      <c r="EUR68" s="349"/>
      <c r="EUS68" s="349"/>
      <c r="EUT68" s="349"/>
      <c r="EUU68" s="349"/>
      <c r="EUV68" s="349"/>
      <c r="EUW68" s="349"/>
      <c r="EUX68" s="349"/>
      <c r="EUY68" s="349"/>
      <c r="EUZ68" s="349"/>
      <c r="EVA68" s="349"/>
      <c r="EVB68" s="349"/>
      <c r="EVC68" s="349"/>
      <c r="EVD68" s="349"/>
      <c r="EVE68" s="349"/>
      <c r="EVF68" s="349"/>
      <c r="EVG68" s="349"/>
      <c r="EVH68" s="349"/>
      <c r="EVI68" s="349"/>
      <c r="EVJ68" s="349"/>
      <c r="EVK68" s="349"/>
      <c r="EVL68" s="349"/>
      <c r="EVM68" s="349"/>
      <c r="EVN68" s="349"/>
      <c r="EVO68" s="349"/>
      <c r="EVP68" s="349"/>
      <c r="EVQ68" s="349"/>
      <c r="EVR68" s="349"/>
      <c r="EVS68" s="349"/>
      <c r="EVT68" s="349"/>
      <c r="EVU68" s="349"/>
      <c r="EVV68" s="349"/>
      <c r="EVW68" s="349"/>
      <c r="EVX68" s="349"/>
      <c r="EVY68" s="349"/>
      <c r="EVZ68" s="349"/>
      <c r="EWA68" s="349"/>
      <c r="EWB68" s="349"/>
      <c r="EWC68" s="349"/>
      <c r="EWD68" s="349"/>
      <c r="EWE68" s="349"/>
      <c r="EWF68" s="349"/>
      <c r="EWG68" s="349"/>
      <c r="EWH68" s="349"/>
      <c r="EWI68" s="349"/>
      <c r="EWJ68" s="349"/>
      <c r="EWK68" s="349"/>
      <c r="EWL68" s="349"/>
      <c r="EWM68" s="349"/>
      <c r="EWN68" s="349"/>
      <c r="EWO68" s="349"/>
      <c r="EWP68" s="349"/>
      <c r="EWQ68" s="349"/>
      <c r="EWR68" s="349"/>
      <c r="EWS68" s="349"/>
      <c r="EWT68" s="349"/>
      <c r="EWU68" s="349"/>
      <c r="EWV68" s="349"/>
      <c r="EWW68" s="349"/>
      <c r="EWX68" s="349"/>
      <c r="EWY68" s="349"/>
      <c r="EWZ68" s="349"/>
      <c r="EXA68" s="349"/>
      <c r="EXB68" s="349"/>
      <c r="EXC68" s="349"/>
      <c r="EXD68" s="349"/>
      <c r="EXE68" s="349"/>
      <c r="EXF68" s="349"/>
      <c r="EXG68" s="349"/>
      <c r="EXH68" s="349"/>
      <c r="EXI68" s="349"/>
      <c r="EXJ68" s="349"/>
      <c r="EXK68" s="349"/>
      <c r="EXL68" s="349"/>
      <c r="EXM68" s="349"/>
      <c r="EXN68" s="349"/>
      <c r="EXO68" s="349"/>
      <c r="EXP68" s="349"/>
      <c r="EXQ68" s="349"/>
      <c r="EXR68" s="349"/>
      <c r="EXS68" s="349"/>
      <c r="EXT68" s="349"/>
      <c r="EXU68" s="349"/>
      <c r="EXV68" s="349"/>
      <c r="EXW68" s="349"/>
      <c r="EXX68" s="349"/>
      <c r="EXY68" s="349"/>
      <c r="EXZ68" s="349"/>
      <c r="EYA68" s="349"/>
      <c r="EYB68" s="349"/>
      <c r="EYC68" s="349"/>
      <c r="EYD68" s="349"/>
      <c r="EYE68" s="349"/>
      <c r="EYF68" s="349"/>
      <c r="EYG68" s="349"/>
      <c r="EYH68" s="349"/>
      <c r="EYI68" s="349"/>
      <c r="EYJ68" s="349"/>
      <c r="EYK68" s="349"/>
      <c r="EYL68" s="349"/>
      <c r="EYM68" s="349"/>
      <c r="EYN68" s="349"/>
      <c r="EYO68" s="349"/>
      <c r="EYP68" s="349"/>
      <c r="EYQ68" s="349"/>
      <c r="EYR68" s="349"/>
      <c r="EYS68" s="349"/>
      <c r="EYT68" s="349"/>
      <c r="EYU68" s="349"/>
      <c r="EYV68" s="349"/>
      <c r="EYW68" s="349"/>
      <c r="EYX68" s="349"/>
      <c r="EYY68" s="349"/>
      <c r="EYZ68" s="349"/>
      <c r="EZA68" s="349"/>
      <c r="EZB68" s="349"/>
      <c r="EZC68" s="349"/>
      <c r="EZD68" s="349"/>
      <c r="EZE68" s="349"/>
      <c r="EZF68" s="349"/>
      <c r="EZG68" s="349"/>
      <c r="EZH68" s="349"/>
      <c r="EZI68" s="349"/>
      <c r="EZJ68" s="349"/>
      <c r="EZK68" s="349"/>
      <c r="EZL68" s="349"/>
      <c r="EZM68" s="349"/>
      <c r="EZN68" s="349"/>
      <c r="EZO68" s="349"/>
      <c r="EZP68" s="349"/>
      <c r="EZQ68" s="349"/>
      <c r="EZR68" s="349"/>
      <c r="EZS68" s="349"/>
      <c r="EZT68" s="349"/>
      <c r="EZU68" s="349"/>
      <c r="EZV68" s="349"/>
      <c r="EZW68" s="349"/>
      <c r="EZX68" s="349"/>
      <c r="EZY68" s="349"/>
      <c r="EZZ68" s="349"/>
      <c r="FAA68" s="349"/>
      <c r="FAB68" s="349"/>
      <c r="FAC68" s="349"/>
      <c r="FAD68" s="349"/>
      <c r="FAE68" s="349"/>
      <c r="FAF68" s="349"/>
      <c r="FAG68" s="349"/>
      <c r="FAH68" s="349"/>
      <c r="FAI68" s="349"/>
      <c r="FAJ68" s="349"/>
      <c r="FAK68" s="349"/>
      <c r="FAL68" s="349"/>
      <c r="FAM68" s="349"/>
      <c r="FAN68" s="349"/>
      <c r="FAO68" s="349"/>
      <c r="FAP68" s="349"/>
      <c r="FAQ68" s="349"/>
      <c r="FAR68" s="349"/>
      <c r="FAS68" s="349"/>
      <c r="FAT68" s="349"/>
      <c r="FAU68" s="349"/>
      <c r="FAV68" s="349"/>
      <c r="FAW68" s="349"/>
      <c r="FAX68" s="349"/>
      <c r="FAY68" s="349"/>
      <c r="FAZ68" s="349"/>
      <c r="FBA68" s="349"/>
      <c r="FBB68" s="349"/>
      <c r="FBC68" s="349"/>
      <c r="FBD68" s="349"/>
      <c r="FBE68" s="349"/>
      <c r="FBF68" s="349"/>
      <c r="FBG68" s="349"/>
      <c r="FBH68" s="349"/>
      <c r="FBI68" s="349"/>
      <c r="FBJ68" s="349"/>
      <c r="FBK68" s="349"/>
      <c r="FBL68" s="349"/>
      <c r="FBM68" s="349"/>
      <c r="FBN68" s="349"/>
      <c r="FBO68" s="349"/>
      <c r="FBP68" s="349"/>
      <c r="FBQ68" s="349"/>
      <c r="FBR68" s="349"/>
      <c r="FBS68" s="349"/>
      <c r="FBT68" s="349"/>
      <c r="FBU68" s="349"/>
      <c r="FBV68" s="349"/>
      <c r="FBW68" s="349"/>
      <c r="FBX68" s="349"/>
      <c r="FBY68" s="349"/>
      <c r="FBZ68" s="349"/>
      <c r="FCA68" s="349"/>
      <c r="FCB68" s="349"/>
      <c r="FCC68" s="349"/>
      <c r="FCD68" s="349"/>
      <c r="FCE68" s="349"/>
      <c r="FCF68" s="349"/>
      <c r="FCG68" s="349"/>
      <c r="FCH68" s="349"/>
      <c r="FCI68" s="349"/>
      <c r="FCJ68" s="349"/>
      <c r="FCK68" s="349"/>
      <c r="FCL68" s="349"/>
      <c r="FCM68" s="349"/>
      <c r="FCN68" s="349"/>
      <c r="FCO68" s="349"/>
      <c r="FCP68" s="349"/>
      <c r="FCQ68" s="349"/>
      <c r="FCR68" s="349"/>
      <c r="FCS68" s="349"/>
      <c r="FCT68" s="349"/>
      <c r="FCU68" s="349"/>
      <c r="FCV68" s="349"/>
      <c r="FCW68" s="349"/>
      <c r="FCX68" s="349"/>
      <c r="FCY68" s="349"/>
      <c r="FCZ68" s="349"/>
      <c r="FDA68" s="349"/>
      <c r="FDB68" s="349"/>
      <c r="FDC68" s="349"/>
      <c r="FDD68" s="349"/>
      <c r="FDE68" s="349"/>
      <c r="FDF68" s="349"/>
      <c r="FDG68" s="349"/>
      <c r="FDH68" s="349"/>
      <c r="FDI68" s="349"/>
      <c r="FDJ68" s="349"/>
      <c r="FDK68" s="349"/>
      <c r="FDL68" s="349"/>
      <c r="FDM68" s="349"/>
      <c r="FDN68" s="349"/>
      <c r="FDO68" s="349"/>
      <c r="FDP68" s="349"/>
      <c r="FDQ68" s="349"/>
      <c r="FDR68" s="349"/>
      <c r="FDS68" s="349"/>
      <c r="FDT68" s="349"/>
      <c r="FDU68" s="349"/>
      <c r="FDV68" s="349"/>
      <c r="FDW68" s="349"/>
      <c r="FDX68" s="349"/>
      <c r="FDY68" s="349"/>
      <c r="FDZ68" s="349"/>
      <c r="FEA68" s="349"/>
      <c r="FEB68" s="349"/>
      <c r="FEC68" s="349"/>
      <c r="FED68" s="349"/>
      <c r="FEE68" s="349"/>
      <c r="FEF68" s="349"/>
      <c r="FEG68" s="349"/>
      <c r="FEH68" s="349"/>
      <c r="FEI68" s="349"/>
      <c r="FEJ68" s="349"/>
      <c r="FEK68" s="349"/>
      <c r="FEL68" s="349"/>
      <c r="FEM68" s="349"/>
      <c r="FEN68" s="349"/>
      <c r="FEO68" s="349"/>
      <c r="FEP68" s="349"/>
      <c r="FEQ68" s="349"/>
      <c r="FER68" s="349"/>
      <c r="FES68" s="349"/>
      <c r="FET68" s="349"/>
      <c r="FEU68" s="349"/>
      <c r="FEV68" s="349"/>
      <c r="FEW68" s="349"/>
      <c r="FEX68" s="349"/>
      <c r="FEY68" s="349"/>
      <c r="FEZ68" s="349"/>
      <c r="FFA68" s="349"/>
      <c r="FFB68" s="349"/>
      <c r="FFC68" s="349"/>
      <c r="FFD68" s="349"/>
      <c r="FFE68" s="349"/>
      <c r="FFF68" s="349"/>
      <c r="FFG68" s="349"/>
      <c r="FFH68" s="349"/>
      <c r="FFI68" s="349"/>
      <c r="FFJ68" s="349"/>
      <c r="FFK68" s="349"/>
      <c r="FFL68" s="349"/>
      <c r="FFM68" s="349"/>
      <c r="FFN68" s="349"/>
      <c r="FFO68" s="349"/>
      <c r="FFP68" s="349"/>
      <c r="FFQ68" s="349"/>
      <c r="FFR68" s="349"/>
      <c r="FFS68" s="349"/>
      <c r="FFT68" s="349"/>
      <c r="FFU68" s="349"/>
      <c r="FFV68" s="349"/>
      <c r="FFW68" s="349"/>
      <c r="FFX68" s="349"/>
      <c r="FFY68" s="349"/>
      <c r="FFZ68" s="349"/>
      <c r="FGA68" s="349"/>
      <c r="FGB68" s="349"/>
      <c r="FGC68" s="349"/>
      <c r="FGD68" s="349"/>
      <c r="FGE68" s="349"/>
      <c r="FGF68" s="349"/>
      <c r="FGG68" s="349"/>
      <c r="FGH68" s="349"/>
      <c r="FGI68" s="349"/>
      <c r="FGJ68" s="349"/>
      <c r="FGK68" s="349"/>
      <c r="FGL68" s="349"/>
      <c r="FGM68" s="349"/>
      <c r="FGN68" s="349"/>
      <c r="FGO68" s="349"/>
      <c r="FGP68" s="349"/>
      <c r="FGQ68" s="349"/>
      <c r="FGR68" s="349"/>
      <c r="FGS68" s="349"/>
      <c r="FGT68" s="349"/>
      <c r="FGU68" s="349"/>
      <c r="FGV68" s="349"/>
      <c r="FGW68" s="349"/>
      <c r="FGX68" s="349"/>
      <c r="FGY68" s="349"/>
      <c r="FGZ68" s="349"/>
      <c r="FHA68" s="349"/>
      <c r="FHB68" s="349"/>
      <c r="FHC68" s="349"/>
      <c r="FHD68" s="349"/>
      <c r="FHE68" s="349"/>
      <c r="FHF68" s="349"/>
      <c r="FHG68" s="349"/>
      <c r="FHH68" s="349"/>
      <c r="FHI68" s="349"/>
      <c r="FHJ68" s="349"/>
      <c r="FHK68" s="349"/>
      <c r="FHL68" s="349"/>
      <c r="FHM68" s="349"/>
      <c r="FHN68" s="349"/>
      <c r="FHO68" s="349"/>
      <c r="FHP68" s="349"/>
      <c r="FHQ68" s="349"/>
      <c r="FHR68" s="349"/>
      <c r="FHS68" s="349"/>
      <c r="FHT68" s="349"/>
      <c r="FHU68" s="349"/>
      <c r="FHV68" s="349"/>
      <c r="FHW68" s="349"/>
      <c r="FHX68" s="349"/>
      <c r="FHY68" s="349"/>
      <c r="FHZ68" s="349"/>
      <c r="FIA68" s="349"/>
      <c r="FIB68" s="349"/>
      <c r="FIC68" s="349"/>
      <c r="FID68" s="349"/>
      <c r="FIE68" s="349"/>
      <c r="FIF68" s="349"/>
      <c r="FIG68" s="349"/>
      <c r="FIH68" s="349"/>
      <c r="FII68" s="349"/>
      <c r="FIJ68" s="349"/>
      <c r="FIK68" s="349"/>
      <c r="FIL68" s="349"/>
      <c r="FIM68" s="349"/>
      <c r="FIN68" s="349"/>
      <c r="FIO68" s="349"/>
      <c r="FIP68" s="349"/>
      <c r="FIQ68" s="349"/>
      <c r="FIR68" s="349"/>
      <c r="FIS68" s="349"/>
      <c r="FIT68" s="349"/>
      <c r="FIU68" s="349"/>
      <c r="FIV68" s="349"/>
      <c r="FIW68" s="349"/>
      <c r="FIX68" s="349"/>
      <c r="FIY68" s="349"/>
      <c r="FIZ68" s="349"/>
      <c r="FJA68" s="349"/>
      <c r="FJB68" s="349"/>
      <c r="FJC68" s="349"/>
      <c r="FJD68" s="349"/>
      <c r="FJE68" s="349"/>
      <c r="FJF68" s="349"/>
      <c r="FJG68" s="349"/>
      <c r="FJH68" s="349"/>
      <c r="FJI68" s="349"/>
      <c r="FJJ68" s="349"/>
      <c r="FJK68" s="349"/>
      <c r="FJL68" s="349"/>
      <c r="FJM68" s="349"/>
      <c r="FJN68" s="349"/>
      <c r="FJO68" s="349"/>
      <c r="FJP68" s="349"/>
      <c r="FJQ68" s="349"/>
      <c r="FJR68" s="349"/>
      <c r="FJS68" s="349"/>
      <c r="FJT68" s="349"/>
      <c r="FJU68" s="349"/>
      <c r="FJV68" s="349"/>
      <c r="FJW68" s="349"/>
      <c r="FJX68" s="349"/>
      <c r="FJY68" s="349"/>
      <c r="FJZ68" s="349"/>
      <c r="FKA68" s="349"/>
      <c r="FKB68" s="349"/>
      <c r="FKC68" s="349"/>
      <c r="FKD68" s="349"/>
      <c r="FKE68" s="349"/>
      <c r="FKF68" s="349"/>
      <c r="FKG68" s="349"/>
      <c r="FKH68" s="349"/>
      <c r="FKI68" s="349"/>
      <c r="FKJ68" s="349"/>
      <c r="FKK68" s="349"/>
      <c r="FKL68" s="349"/>
      <c r="FKM68" s="349"/>
      <c r="FKN68" s="349"/>
      <c r="FKO68" s="349"/>
      <c r="FKP68" s="349"/>
      <c r="FKQ68" s="349"/>
      <c r="FKR68" s="349"/>
      <c r="FKS68" s="349"/>
      <c r="FKT68" s="349"/>
      <c r="FKU68" s="349"/>
      <c r="FKV68" s="349"/>
      <c r="FKW68" s="349"/>
      <c r="FKX68" s="349"/>
      <c r="FKY68" s="349"/>
      <c r="FKZ68" s="349"/>
      <c r="FLA68" s="349"/>
      <c r="FLB68" s="349"/>
      <c r="FLC68" s="349"/>
      <c r="FLD68" s="349"/>
      <c r="FLE68" s="349"/>
      <c r="FLF68" s="349"/>
      <c r="FLG68" s="349"/>
      <c r="FLH68" s="349"/>
      <c r="FLI68" s="349"/>
      <c r="FLJ68" s="349"/>
      <c r="FLK68" s="349"/>
      <c r="FLL68" s="349"/>
      <c r="FLM68" s="349"/>
      <c r="FLN68" s="349"/>
      <c r="FLO68" s="349"/>
      <c r="FLP68" s="349"/>
      <c r="FLQ68" s="349"/>
      <c r="FLR68" s="349"/>
      <c r="FLS68" s="349"/>
      <c r="FLT68" s="349"/>
      <c r="FLU68" s="349"/>
      <c r="FLV68" s="349"/>
      <c r="FLW68" s="349"/>
      <c r="FLX68" s="349"/>
      <c r="FLY68" s="349"/>
      <c r="FLZ68" s="349"/>
      <c r="FMA68" s="349"/>
      <c r="FMB68" s="349"/>
      <c r="FMC68" s="349"/>
      <c r="FMD68" s="349"/>
      <c r="FME68" s="349"/>
      <c r="FMF68" s="349"/>
      <c r="FMG68" s="349"/>
      <c r="FMH68" s="349"/>
      <c r="FMI68" s="349"/>
      <c r="FMJ68" s="349"/>
      <c r="FMK68" s="349"/>
      <c r="FML68" s="349"/>
      <c r="FMM68" s="349"/>
      <c r="FMN68" s="349"/>
      <c r="FMO68" s="349"/>
      <c r="FMP68" s="349"/>
      <c r="FMQ68" s="349"/>
      <c r="FMR68" s="349"/>
      <c r="FMS68" s="349"/>
      <c r="FMT68" s="349"/>
      <c r="FMU68" s="349"/>
      <c r="FMV68" s="349"/>
      <c r="FMW68" s="349"/>
      <c r="FMX68" s="349"/>
      <c r="FMY68" s="349"/>
      <c r="FMZ68" s="349"/>
      <c r="FNA68" s="349"/>
      <c r="FNB68" s="349"/>
      <c r="FNC68" s="349"/>
      <c r="FND68" s="349"/>
      <c r="FNE68" s="349"/>
      <c r="FNF68" s="349"/>
      <c r="FNG68" s="349"/>
      <c r="FNH68" s="349"/>
      <c r="FNI68" s="349"/>
      <c r="FNJ68" s="349"/>
      <c r="FNK68" s="349"/>
      <c r="FNL68" s="349"/>
      <c r="FNM68" s="349"/>
      <c r="FNN68" s="349"/>
      <c r="FNO68" s="349"/>
      <c r="FNP68" s="349"/>
      <c r="FNQ68" s="349"/>
      <c r="FNR68" s="349"/>
      <c r="FNS68" s="349"/>
      <c r="FNT68" s="349"/>
      <c r="FNU68" s="349"/>
      <c r="FNV68" s="349"/>
      <c r="FNW68" s="349"/>
      <c r="FNX68" s="349"/>
      <c r="FNY68" s="349"/>
      <c r="FNZ68" s="349"/>
      <c r="FOA68" s="349"/>
      <c r="FOB68" s="349"/>
      <c r="FOC68" s="349"/>
      <c r="FOD68" s="349"/>
      <c r="FOE68" s="349"/>
      <c r="FOF68" s="349"/>
      <c r="FOG68" s="349"/>
      <c r="FOH68" s="349"/>
      <c r="FOI68" s="349"/>
      <c r="FOJ68" s="349"/>
      <c r="FOK68" s="349"/>
      <c r="FOL68" s="349"/>
      <c r="FOM68" s="349"/>
      <c r="FON68" s="349"/>
      <c r="FOO68" s="349"/>
      <c r="FOP68" s="349"/>
      <c r="FOQ68" s="349"/>
      <c r="FOR68" s="349"/>
      <c r="FOS68" s="349"/>
      <c r="FOT68" s="349"/>
      <c r="FOU68" s="349"/>
      <c r="FOV68" s="349"/>
      <c r="FOW68" s="349"/>
      <c r="FOX68" s="349"/>
      <c r="FOY68" s="349"/>
      <c r="FOZ68" s="349"/>
      <c r="FPA68" s="349"/>
      <c r="FPB68" s="349"/>
      <c r="FPC68" s="349"/>
      <c r="FPD68" s="349"/>
      <c r="FPE68" s="349"/>
      <c r="FPF68" s="349"/>
      <c r="FPG68" s="349"/>
      <c r="FPH68" s="349"/>
      <c r="FPI68" s="349"/>
      <c r="FPJ68" s="349"/>
      <c r="FPK68" s="349"/>
      <c r="FPL68" s="349"/>
      <c r="FPM68" s="349"/>
      <c r="FPN68" s="349"/>
      <c r="FPO68" s="349"/>
      <c r="FPP68" s="349"/>
      <c r="FPQ68" s="349"/>
      <c r="FPR68" s="349"/>
      <c r="FPS68" s="349"/>
      <c r="FPT68" s="349"/>
      <c r="FPU68" s="349"/>
      <c r="FPV68" s="349"/>
      <c r="FPW68" s="349"/>
      <c r="FPX68" s="349"/>
      <c r="FPY68" s="349"/>
      <c r="FPZ68" s="349"/>
      <c r="FQA68" s="349"/>
      <c r="FQB68" s="349"/>
      <c r="FQC68" s="349"/>
      <c r="FQD68" s="349"/>
      <c r="FQE68" s="349"/>
      <c r="FQF68" s="349"/>
      <c r="FQG68" s="349"/>
      <c r="FQH68" s="349"/>
      <c r="FQI68" s="349"/>
      <c r="FQJ68" s="349"/>
      <c r="FQK68" s="349"/>
      <c r="FQL68" s="349"/>
      <c r="FQM68" s="349"/>
      <c r="FQN68" s="349"/>
      <c r="FQO68" s="349"/>
      <c r="FQP68" s="349"/>
      <c r="FQQ68" s="349"/>
      <c r="FQR68" s="349"/>
      <c r="FQS68" s="349"/>
      <c r="FQT68" s="349"/>
      <c r="FQU68" s="349"/>
      <c r="FQV68" s="349"/>
      <c r="FQW68" s="349"/>
      <c r="FQX68" s="349"/>
      <c r="FQY68" s="349"/>
      <c r="FQZ68" s="349"/>
      <c r="FRA68" s="349"/>
      <c r="FRB68" s="349"/>
      <c r="FRC68" s="349"/>
      <c r="FRD68" s="349"/>
      <c r="FRE68" s="349"/>
      <c r="FRF68" s="349"/>
      <c r="FRG68" s="349"/>
      <c r="FRH68" s="349"/>
      <c r="FRI68" s="349"/>
      <c r="FRJ68" s="349"/>
      <c r="FRK68" s="349"/>
      <c r="FRL68" s="349"/>
      <c r="FRM68" s="349"/>
      <c r="FRN68" s="349"/>
      <c r="FRO68" s="349"/>
      <c r="FRP68" s="349"/>
      <c r="FRQ68" s="349"/>
      <c r="FRR68" s="349"/>
      <c r="FRS68" s="349"/>
      <c r="FRT68" s="349"/>
      <c r="FRU68" s="349"/>
      <c r="FRV68" s="349"/>
      <c r="FRW68" s="349"/>
      <c r="FRX68" s="349"/>
      <c r="FRY68" s="349"/>
      <c r="FRZ68" s="349"/>
      <c r="FSA68" s="349"/>
      <c r="FSB68" s="349"/>
      <c r="FSC68" s="349"/>
      <c r="FSD68" s="349"/>
      <c r="FSE68" s="349"/>
      <c r="FSF68" s="349"/>
      <c r="FSG68" s="349"/>
      <c r="FSH68" s="349"/>
      <c r="FSI68" s="349"/>
      <c r="FSJ68" s="349"/>
      <c r="FSK68" s="349"/>
      <c r="FSL68" s="349"/>
      <c r="FSM68" s="349"/>
      <c r="FSN68" s="349"/>
      <c r="FSO68" s="349"/>
      <c r="FSP68" s="349"/>
      <c r="FSQ68" s="349"/>
      <c r="FSR68" s="349"/>
      <c r="FSS68" s="349"/>
      <c r="FST68" s="349"/>
      <c r="FSU68" s="349"/>
      <c r="FSV68" s="349"/>
      <c r="FSW68" s="349"/>
      <c r="FSX68" s="349"/>
      <c r="FSY68" s="349"/>
      <c r="FSZ68" s="349"/>
      <c r="FTA68" s="349"/>
      <c r="FTB68" s="349"/>
      <c r="FTC68" s="349"/>
      <c r="FTD68" s="349"/>
      <c r="FTE68" s="349"/>
      <c r="FTF68" s="349"/>
      <c r="FTG68" s="349"/>
      <c r="FTH68" s="349"/>
      <c r="FTI68" s="349"/>
      <c r="FTJ68" s="349"/>
      <c r="FTK68" s="349"/>
      <c r="FTL68" s="349"/>
      <c r="FTM68" s="349"/>
      <c r="FTN68" s="349"/>
      <c r="FTO68" s="349"/>
      <c r="FTP68" s="349"/>
      <c r="FTQ68" s="349"/>
      <c r="FTR68" s="349"/>
      <c r="FTS68" s="349"/>
      <c r="FTT68" s="349"/>
      <c r="FTU68" s="349"/>
      <c r="FTV68" s="349"/>
      <c r="FTW68" s="349"/>
      <c r="FTX68" s="349"/>
      <c r="FTY68" s="349"/>
      <c r="FTZ68" s="349"/>
      <c r="FUA68" s="349"/>
      <c r="FUB68" s="349"/>
      <c r="FUC68" s="349"/>
      <c r="FUD68" s="349"/>
      <c r="FUE68" s="349"/>
      <c r="FUF68" s="349"/>
      <c r="FUG68" s="349"/>
      <c r="FUH68" s="349"/>
      <c r="FUI68" s="349"/>
      <c r="FUJ68" s="349"/>
      <c r="FUK68" s="349"/>
      <c r="FUL68" s="349"/>
      <c r="FUM68" s="349"/>
      <c r="FUN68" s="349"/>
      <c r="FUO68" s="349"/>
      <c r="FUP68" s="349"/>
      <c r="FUQ68" s="349"/>
      <c r="FUR68" s="349"/>
      <c r="FUS68" s="349"/>
      <c r="FUT68" s="349"/>
      <c r="FUU68" s="349"/>
      <c r="FUV68" s="349"/>
      <c r="FUW68" s="349"/>
      <c r="FUX68" s="349"/>
      <c r="FUY68" s="349"/>
      <c r="FUZ68" s="349"/>
      <c r="FVA68" s="349"/>
      <c r="FVB68" s="349"/>
      <c r="FVC68" s="349"/>
      <c r="FVD68" s="349"/>
      <c r="FVE68" s="349"/>
      <c r="FVF68" s="349"/>
      <c r="FVG68" s="349"/>
      <c r="FVH68" s="349"/>
      <c r="FVI68" s="349"/>
      <c r="FVJ68" s="349"/>
      <c r="FVK68" s="349"/>
      <c r="FVL68" s="349"/>
      <c r="FVM68" s="349"/>
      <c r="FVN68" s="349"/>
      <c r="FVO68" s="349"/>
      <c r="FVP68" s="349"/>
      <c r="FVQ68" s="349"/>
      <c r="FVR68" s="349"/>
      <c r="FVS68" s="349"/>
      <c r="FVT68" s="349"/>
      <c r="FVU68" s="349"/>
      <c r="FVV68" s="349"/>
      <c r="FVW68" s="349"/>
      <c r="FVX68" s="349"/>
      <c r="FVY68" s="349"/>
      <c r="FVZ68" s="349"/>
      <c r="FWA68" s="349"/>
      <c r="FWB68" s="349"/>
      <c r="FWC68" s="349"/>
      <c r="FWD68" s="349"/>
      <c r="FWE68" s="349"/>
      <c r="FWF68" s="349"/>
      <c r="FWG68" s="349"/>
      <c r="FWH68" s="349"/>
      <c r="FWI68" s="349"/>
      <c r="FWJ68" s="349"/>
      <c r="FWK68" s="349"/>
      <c r="FWL68" s="349"/>
      <c r="FWM68" s="349"/>
      <c r="FWN68" s="349"/>
      <c r="FWO68" s="349"/>
      <c r="FWP68" s="349"/>
      <c r="FWQ68" s="349"/>
      <c r="FWR68" s="349"/>
      <c r="FWS68" s="349"/>
      <c r="FWT68" s="349"/>
      <c r="FWU68" s="349"/>
      <c r="FWV68" s="349"/>
      <c r="FWW68" s="349"/>
      <c r="FWX68" s="349"/>
      <c r="FWY68" s="349"/>
      <c r="FWZ68" s="349"/>
      <c r="FXA68" s="349"/>
      <c r="FXB68" s="349"/>
      <c r="FXC68" s="349"/>
      <c r="FXD68" s="349"/>
      <c r="FXE68" s="349"/>
      <c r="FXF68" s="349"/>
      <c r="FXG68" s="349"/>
      <c r="FXH68" s="349"/>
      <c r="FXI68" s="349"/>
      <c r="FXJ68" s="349"/>
      <c r="FXK68" s="349"/>
      <c r="FXL68" s="349"/>
      <c r="FXM68" s="349"/>
      <c r="FXN68" s="349"/>
      <c r="FXO68" s="349"/>
      <c r="FXP68" s="349"/>
      <c r="FXQ68" s="349"/>
      <c r="FXR68" s="349"/>
      <c r="FXS68" s="349"/>
      <c r="FXT68" s="349"/>
      <c r="FXU68" s="349"/>
      <c r="FXV68" s="349"/>
      <c r="FXW68" s="349"/>
      <c r="FXX68" s="349"/>
      <c r="FXY68" s="349"/>
      <c r="FXZ68" s="349"/>
      <c r="FYA68" s="349"/>
      <c r="FYB68" s="349"/>
      <c r="FYC68" s="349"/>
      <c r="FYD68" s="349"/>
      <c r="FYE68" s="349"/>
      <c r="FYF68" s="349"/>
      <c r="FYG68" s="349"/>
      <c r="FYH68" s="349"/>
      <c r="FYI68" s="349"/>
      <c r="FYJ68" s="349"/>
      <c r="FYK68" s="349"/>
      <c r="FYL68" s="349"/>
      <c r="FYM68" s="349"/>
      <c r="FYN68" s="349"/>
      <c r="FYO68" s="349"/>
      <c r="FYP68" s="349"/>
      <c r="FYQ68" s="349"/>
      <c r="FYR68" s="349"/>
      <c r="FYS68" s="349"/>
      <c r="FYT68" s="349"/>
      <c r="FYU68" s="349"/>
      <c r="FYV68" s="349"/>
      <c r="FYW68" s="349"/>
      <c r="FYX68" s="349"/>
      <c r="FYY68" s="349"/>
      <c r="FYZ68" s="349"/>
      <c r="FZA68" s="349"/>
      <c r="FZB68" s="349"/>
      <c r="FZC68" s="349"/>
      <c r="FZD68" s="349"/>
      <c r="FZE68" s="349"/>
      <c r="FZF68" s="349"/>
      <c r="FZG68" s="349"/>
      <c r="FZH68" s="349"/>
      <c r="FZI68" s="349"/>
      <c r="FZJ68" s="349"/>
      <c r="FZK68" s="349"/>
      <c r="FZL68" s="349"/>
      <c r="FZM68" s="349"/>
      <c r="FZN68" s="349"/>
      <c r="FZO68" s="349"/>
      <c r="FZP68" s="349"/>
      <c r="FZQ68" s="349"/>
      <c r="FZR68" s="349"/>
      <c r="FZS68" s="349"/>
      <c r="FZT68" s="349"/>
      <c r="FZU68" s="349"/>
      <c r="FZV68" s="349"/>
      <c r="FZW68" s="349"/>
      <c r="FZX68" s="349"/>
      <c r="FZY68" s="349"/>
      <c r="FZZ68" s="349"/>
      <c r="GAA68" s="349"/>
      <c r="GAB68" s="349"/>
      <c r="GAC68" s="349"/>
      <c r="GAD68" s="349"/>
      <c r="GAE68" s="349"/>
      <c r="GAF68" s="349"/>
      <c r="GAG68" s="349"/>
      <c r="GAH68" s="349"/>
      <c r="GAI68" s="349"/>
      <c r="GAJ68" s="349"/>
      <c r="GAK68" s="349"/>
      <c r="GAL68" s="349"/>
      <c r="GAM68" s="349"/>
      <c r="GAN68" s="349"/>
      <c r="GAO68" s="349"/>
      <c r="GAP68" s="349"/>
      <c r="GAQ68" s="349"/>
      <c r="GAR68" s="349"/>
      <c r="GAS68" s="349"/>
      <c r="GAT68" s="349"/>
      <c r="GAU68" s="349"/>
      <c r="GAV68" s="349"/>
      <c r="GAW68" s="349"/>
      <c r="GAX68" s="349"/>
      <c r="GAY68" s="349"/>
      <c r="GAZ68" s="349"/>
      <c r="GBA68" s="349"/>
      <c r="GBB68" s="349"/>
      <c r="GBC68" s="349"/>
      <c r="GBD68" s="349"/>
      <c r="GBE68" s="349"/>
      <c r="GBF68" s="349"/>
      <c r="GBG68" s="349"/>
      <c r="GBH68" s="349"/>
      <c r="GBI68" s="349"/>
      <c r="GBJ68" s="349"/>
      <c r="GBK68" s="349"/>
      <c r="GBL68" s="349"/>
      <c r="GBM68" s="349"/>
      <c r="GBN68" s="349"/>
      <c r="GBO68" s="349"/>
      <c r="GBP68" s="349"/>
      <c r="GBQ68" s="349"/>
      <c r="GBR68" s="349"/>
      <c r="GBS68" s="349"/>
      <c r="GBT68" s="349"/>
      <c r="GBU68" s="349"/>
      <c r="GBV68" s="349"/>
      <c r="GBW68" s="349"/>
      <c r="GBX68" s="349"/>
      <c r="GBY68" s="349"/>
      <c r="GBZ68" s="349"/>
      <c r="GCA68" s="349"/>
      <c r="GCB68" s="349"/>
      <c r="GCC68" s="349"/>
      <c r="GCD68" s="349"/>
      <c r="GCE68" s="349"/>
      <c r="GCF68" s="349"/>
      <c r="GCG68" s="349"/>
      <c r="GCH68" s="349"/>
      <c r="GCI68" s="349"/>
      <c r="GCJ68" s="349"/>
      <c r="GCK68" s="349"/>
      <c r="GCL68" s="349"/>
      <c r="GCM68" s="349"/>
      <c r="GCN68" s="349"/>
      <c r="GCO68" s="349"/>
      <c r="GCP68" s="349"/>
      <c r="GCQ68" s="349"/>
      <c r="GCR68" s="349"/>
      <c r="GCS68" s="349"/>
      <c r="GCT68" s="349"/>
      <c r="GCU68" s="349"/>
      <c r="GCV68" s="349"/>
      <c r="GCW68" s="349"/>
      <c r="GCX68" s="349"/>
      <c r="GCY68" s="349"/>
      <c r="GCZ68" s="349"/>
      <c r="GDA68" s="349"/>
      <c r="GDB68" s="349"/>
      <c r="GDC68" s="349"/>
      <c r="GDD68" s="349"/>
      <c r="GDE68" s="349"/>
      <c r="GDF68" s="349"/>
      <c r="GDG68" s="349"/>
      <c r="GDH68" s="349"/>
      <c r="GDI68" s="349"/>
      <c r="GDJ68" s="349"/>
      <c r="GDK68" s="349"/>
      <c r="GDL68" s="349"/>
      <c r="GDM68" s="349"/>
      <c r="GDN68" s="349"/>
      <c r="GDO68" s="349"/>
      <c r="GDP68" s="349"/>
      <c r="GDQ68" s="349"/>
      <c r="GDR68" s="349"/>
      <c r="GDS68" s="349"/>
      <c r="GDT68" s="349"/>
      <c r="GDU68" s="349"/>
      <c r="GDV68" s="349"/>
      <c r="GDW68" s="349"/>
      <c r="GDX68" s="349"/>
      <c r="GDY68" s="349"/>
      <c r="GDZ68" s="349"/>
      <c r="GEA68" s="349"/>
      <c r="GEB68" s="349"/>
      <c r="GEC68" s="349"/>
      <c r="GED68" s="349"/>
      <c r="GEE68" s="349"/>
      <c r="GEF68" s="349"/>
      <c r="GEG68" s="349"/>
      <c r="GEH68" s="349"/>
      <c r="GEI68" s="349"/>
      <c r="GEJ68" s="349"/>
      <c r="GEK68" s="349"/>
      <c r="GEL68" s="349"/>
      <c r="GEM68" s="349"/>
      <c r="GEN68" s="349"/>
      <c r="GEO68" s="349"/>
      <c r="GEP68" s="349"/>
      <c r="GEQ68" s="349"/>
      <c r="GER68" s="349"/>
      <c r="GES68" s="349"/>
      <c r="GET68" s="349"/>
      <c r="GEU68" s="349"/>
      <c r="GEV68" s="349"/>
      <c r="GEW68" s="349"/>
      <c r="GEX68" s="349"/>
      <c r="GEY68" s="349"/>
      <c r="GEZ68" s="349"/>
      <c r="GFA68" s="349"/>
      <c r="GFB68" s="349"/>
      <c r="GFC68" s="349"/>
      <c r="GFD68" s="349"/>
      <c r="GFE68" s="349"/>
      <c r="GFF68" s="349"/>
      <c r="GFG68" s="349"/>
      <c r="GFH68" s="349"/>
      <c r="GFI68" s="349"/>
      <c r="GFJ68" s="349"/>
      <c r="GFK68" s="349"/>
      <c r="GFL68" s="349"/>
      <c r="GFM68" s="349"/>
      <c r="GFN68" s="349"/>
      <c r="GFO68" s="349"/>
      <c r="GFP68" s="349"/>
      <c r="GFQ68" s="349"/>
      <c r="GFR68" s="349"/>
      <c r="GFS68" s="349"/>
      <c r="GFT68" s="349"/>
      <c r="GFU68" s="349"/>
      <c r="GFV68" s="349"/>
      <c r="GFW68" s="349"/>
      <c r="GFX68" s="349"/>
      <c r="GFY68" s="349"/>
      <c r="GFZ68" s="349"/>
      <c r="GGA68" s="349"/>
      <c r="GGB68" s="349"/>
      <c r="GGC68" s="349"/>
      <c r="GGD68" s="349"/>
      <c r="GGE68" s="349"/>
      <c r="GGF68" s="349"/>
      <c r="GGG68" s="349"/>
      <c r="GGH68" s="349"/>
      <c r="GGI68" s="349"/>
      <c r="GGJ68" s="349"/>
      <c r="GGK68" s="349"/>
      <c r="GGL68" s="349"/>
      <c r="GGM68" s="349"/>
      <c r="GGN68" s="349"/>
      <c r="GGO68" s="349"/>
      <c r="GGP68" s="349"/>
      <c r="GGQ68" s="349"/>
      <c r="GGR68" s="349"/>
      <c r="GGS68" s="349"/>
      <c r="GGT68" s="349"/>
      <c r="GGU68" s="349"/>
      <c r="GGV68" s="349"/>
      <c r="GGW68" s="349"/>
      <c r="GGX68" s="349"/>
      <c r="GGY68" s="349"/>
      <c r="GGZ68" s="349"/>
      <c r="GHA68" s="349"/>
      <c r="GHB68" s="349"/>
      <c r="GHC68" s="349"/>
      <c r="GHD68" s="349"/>
      <c r="GHE68" s="349"/>
      <c r="GHF68" s="349"/>
      <c r="GHG68" s="349"/>
      <c r="GHH68" s="349"/>
      <c r="GHI68" s="349"/>
      <c r="GHJ68" s="349"/>
      <c r="GHK68" s="349"/>
      <c r="GHL68" s="349"/>
      <c r="GHM68" s="349"/>
      <c r="GHN68" s="349"/>
      <c r="GHO68" s="349"/>
      <c r="GHP68" s="349"/>
      <c r="GHQ68" s="349"/>
      <c r="GHR68" s="349"/>
      <c r="GHS68" s="349"/>
      <c r="GHT68" s="349"/>
      <c r="GHU68" s="349"/>
      <c r="GHV68" s="349"/>
      <c r="GHW68" s="349"/>
      <c r="GHX68" s="349"/>
      <c r="GHY68" s="349"/>
      <c r="GHZ68" s="349"/>
      <c r="GIA68" s="349"/>
      <c r="GIB68" s="349"/>
      <c r="GIC68" s="349"/>
      <c r="GID68" s="349"/>
      <c r="GIE68" s="349"/>
      <c r="GIF68" s="349"/>
      <c r="GIG68" s="349"/>
      <c r="GIH68" s="349"/>
      <c r="GII68" s="349"/>
      <c r="GIJ68" s="349"/>
      <c r="GIK68" s="349"/>
      <c r="GIL68" s="349"/>
      <c r="GIM68" s="349"/>
      <c r="GIN68" s="349"/>
      <c r="GIO68" s="349"/>
      <c r="GIP68" s="349"/>
      <c r="GIQ68" s="349"/>
      <c r="GIR68" s="349"/>
      <c r="GIS68" s="349"/>
      <c r="GIT68" s="349"/>
      <c r="GIU68" s="349"/>
      <c r="GIV68" s="349"/>
      <c r="GIW68" s="349"/>
      <c r="GIX68" s="349"/>
      <c r="GIY68" s="349"/>
      <c r="GIZ68" s="349"/>
      <c r="GJA68" s="349"/>
      <c r="GJB68" s="349"/>
      <c r="GJC68" s="349"/>
      <c r="GJD68" s="349"/>
      <c r="GJE68" s="349"/>
      <c r="GJF68" s="349"/>
      <c r="GJG68" s="349"/>
      <c r="GJH68" s="349"/>
      <c r="GJI68" s="349"/>
      <c r="GJJ68" s="349"/>
      <c r="GJK68" s="349"/>
      <c r="GJL68" s="349"/>
      <c r="GJM68" s="349"/>
      <c r="GJN68" s="349"/>
      <c r="GJO68" s="349"/>
      <c r="GJP68" s="349"/>
      <c r="GJQ68" s="349"/>
      <c r="GJR68" s="349"/>
      <c r="GJS68" s="349"/>
      <c r="GJT68" s="349"/>
      <c r="GJU68" s="349"/>
      <c r="GJV68" s="349"/>
      <c r="GJW68" s="349"/>
      <c r="GJX68" s="349"/>
      <c r="GJY68" s="349"/>
      <c r="GJZ68" s="349"/>
      <c r="GKA68" s="349"/>
      <c r="GKB68" s="349"/>
      <c r="GKC68" s="349"/>
      <c r="GKD68" s="349"/>
      <c r="GKE68" s="349"/>
      <c r="GKF68" s="349"/>
      <c r="GKG68" s="349"/>
      <c r="GKH68" s="349"/>
      <c r="GKI68" s="349"/>
      <c r="GKJ68" s="349"/>
      <c r="GKK68" s="349"/>
      <c r="GKL68" s="349"/>
      <c r="GKM68" s="349"/>
      <c r="GKN68" s="349"/>
      <c r="GKO68" s="349"/>
      <c r="GKP68" s="349"/>
      <c r="GKQ68" s="349"/>
      <c r="GKR68" s="349"/>
      <c r="GKS68" s="349"/>
      <c r="GKT68" s="349"/>
      <c r="GKU68" s="349"/>
      <c r="GKV68" s="349"/>
      <c r="GKW68" s="349"/>
      <c r="GKX68" s="349"/>
      <c r="GKY68" s="349"/>
      <c r="GKZ68" s="349"/>
      <c r="GLA68" s="349"/>
      <c r="GLB68" s="349"/>
      <c r="GLC68" s="349"/>
      <c r="GLD68" s="349"/>
      <c r="GLE68" s="349"/>
      <c r="GLF68" s="349"/>
      <c r="GLG68" s="349"/>
      <c r="GLH68" s="349"/>
      <c r="GLI68" s="349"/>
      <c r="GLJ68" s="349"/>
      <c r="GLK68" s="349"/>
      <c r="GLL68" s="349"/>
      <c r="GLM68" s="349"/>
      <c r="GLN68" s="349"/>
      <c r="GLO68" s="349"/>
      <c r="GLP68" s="349"/>
      <c r="GLQ68" s="349"/>
      <c r="GLR68" s="349"/>
      <c r="GLS68" s="349"/>
      <c r="GLT68" s="349"/>
      <c r="GLU68" s="349"/>
      <c r="GLV68" s="349"/>
      <c r="GLW68" s="349"/>
      <c r="GLX68" s="349"/>
      <c r="GLY68" s="349"/>
      <c r="GLZ68" s="349"/>
      <c r="GMA68" s="349"/>
      <c r="GMB68" s="349"/>
      <c r="GMC68" s="349"/>
      <c r="GMD68" s="349"/>
      <c r="GME68" s="349"/>
      <c r="GMF68" s="349"/>
      <c r="GMG68" s="349"/>
      <c r="GMH68" s="349"/>
      <c r="GMI68" s="349"/>
      <c r="GMJ68" s="349"/>
      <c r="GMK68" s="349"/>
      <c r="GML68" s="349"/>
      <c r="GMM68" s="349"/>
      <c r="GMN68" s="349"/>
      <c r="GMO68" s="349"/>
      <c r="GMP68" s="349"/>
      <c r="GMQ68" s="349"/>
      <c r="GMR68" s="349"/>
      <c r="GMS68" s="349"/>
      <c r="GMT68" s="349"/>
      <c r="GMU68" s="349"/>
      <c r="GMV68" s="349"/>
      <c r="GMW68" s="349"/>
      <c r="GMX68" s="349"/>
      <c r="GMY68" s="349"/>
      <c r="GMZ68" s="349"/>
      <c r="GNA68" s="349"/>
      <c r="GNB68" s="349"/>
      <c r="GNC68" s="349"/>
      <c r="GND68" s="349"/>
      <c r="GNE68" s="349"/>
      <c r="GNF68" s="349"/>
      <c r="GNG68" s="349"/>
      <c r="GNH68" s="349"/>
      <c r="GNI68" s="349"/>
      <c r="GNJ68" s="349"/>
      <c r="GNK68" s="349"/>
      <c r="GNL68" s="349"/>
      <c r="GNM68" s="349"/>
      <c r="GNN68" s="349"/>
      <c r="GNO68" s="349"/>
      <c r="GNP68" s="349"/>
      <c r="GNQ68" s="349"/>
      <c r="GNR68" s="349"/>
      <c r="GNS68" s="349"/>
      <c r="GNT68" s="349"/>
      <c r="GNU68" s="349"/>
      <c r="GNV68" s="349"/>
      <c r="GNW68" s="349"/>
      <c r="GNX68" s="349"/>
      <c r="GNY68" s="349"/>
      <c r="GNZ68" s="349"/>
      <c r="GOA68" s="349"/>
      <c r="GOB68" s="349"/>
      <c r="GOC68" s="349"/>
      <c r="GOD68" s="349"/>
      <c r="GOE68" s="349"/>
      <c r="GOF68" s="349"/>
      <c r="GOG68" s="349"/>
      <c r="GOH68" s="349"/>
      <c r="GOI68" s="349"/>
      <c r="GOJ68" s="349"/>
      <c r="GOK68" s="349"/>
      <c r="GOL68" s="349"/>
      <c r="GOM68" s="349"/>
      <c r="GON68" s="349"/>
      <c r="GOO68" s="349"/>
      <c r="GOP68" s="349"/>
      <c r="GOQ68" s="349"/>
      <c r="GOR68" s="349"/>
      <c r="GOS68" s="349"/>
      <c r="GOT68" s="349"/>
      <c r="GOU68" s="349"/>
      <c r="GOV68" s="349"/>
      <c r="GOW68" s="349"/>
      <c r="GOX68" s="349"/>
      <c r="GOY68" s="349"/>
      <c r="GOZ68" s="349"/>
      <c r="GPA68" s="349"/>
      <c r="GPB68" s="349"/>
      <c r="GPC68" s="349"/>
      <c r="GPD68" s="349"/>
      <c r="GPE68" s="349"/>
      <c r="GPF68" s="349"/>
      <c r="GPG68" s="349"/>
      <c r="GPH68" s="349"/>
      <c r="GPI68" s="349"/>
      <c r="GPJ68" s="349"/>
      <c r="GPK68" s="349"/>
      <c r="GPL68" s="349"/>
      <c r="GPM68" s="349"/>
      <c r="GPN68" s="349"/>
      <c r="GPO68" s="349"/>
      <c r="GPP68" s="349"/>
      <c r="GPQ68" s="349"/>
      <c r="GPR68" s="349"/>
      <c r="GPS68" s="349"/>
      <c r="GPT68" s="349"/>
      <c r="GPU68" s="349"/>
      <c r="GPV68" s="349"/>
      <c r="GPW68" s="349"/>
      <c r="GPX68" s="349"/>
      <c r="GPY68" s="349"/>
      <c r="GPZ68" s="349"/>
      <c r="GQA68" s="349"/>
      <c r="GQB68" s="349"/>
      <c r="GQC68" s="349"/>
      <c r="GQD68" s="349"/>
      <c r="GQE68" s="349"/>
      <c r="GQF68" s="349"/>
      <c r="GQG68" s="349"/>
      <c r="GQH68" s="349"/>
      <c r="GQI68" s="349"/>
      <c r="GQJ68" s="349"/>
      <c r="GQK68" s="349"/>
      <c r="GQL68" s="349"/>
      <c r="GQM68" s="349"/>
      <c r="GQN68" s="349"/>
      <c r="GQO68" s="349"/>
      <c r="GQP68" s="349"/>
      <c r="GQQ68" s="349"/>
      <c r="GQR68" s="349"/>
      <c r="GQS68" s="349"/>
      <c r="GQT68" s="349"/>
      <c r="GQU68" s="349"/>
      <c r="GQV68" s="349"/>
      <c r="GQW68" s="349"/>
      <c r="GQX68" s="349"/>
      <c r="GQY68" s="349"/>
      <c r="GQZ68" s="349"/>
      <c r="GRA68" s="349"/>
      <c r="GRB68" s="349"/>
      <c r="GRC68" s="349"/>
      <c r="GRD68" s="349"/>
      <c r="GRE68" s="349"/>
      <c r="GRF68" s="349"/>
      <c r="GRG68" s="349"/>
      <c r="GRH68" s="349"/>
      <c r="GRI68" s="349"/>
      <c r="GRJ68" s="349"/>
      <c r="GRK68" s="349"/>
      <c r="GRL68" s="349"/>
      <c r="GRM68" s="349"/>
      <c r="GRN68" s="349"/>
      <c r="GRO68" s="349"/>
      <c r="GRP68" s="349"/>
      <c r="GRQ68" s="349"/>
      <c r="GRR68" s="349"/>
      <c r="GRS68" s="349"/>
      <c r="GRT68" s="349"/>
      <c r="GRU68" s="349"/>
      <c r="GRV68" s="349"/>
      <c r="GRW68" s="349"/>
      <c r="GRX68" s="349"/>
      <c r="GRY68" s="349"/>
      <c r="GRZ68" s="349"/>
      <c r="GSA68" s="349"/>
      <c r="GSB68" s="349"/>
      <c r="GSC68" s="349"/>
      <c r="GSD68" s="349"/>
      <c r="GSE68" s="349"/>
      <c r="GSF68" s="349"/>
      <c r="GSG68" s="349"/>
      <c r="GSH68" s="349"/>
      <c r="GSI68" s="349"/>
      <c r="GSJ68" s="349"/>
      <c r="GSK68" s="349"/>
      <c r="GSL68" s="349"/>
      <c r="GSM68" s="349"/>
      <c r="GSN68" s="349"/>
      <c r="GSO68" s="349"/>
      <c r="GSP68" s="349"/>
      <c r="GSQ68" s="349"/>
      <c r="GSR68" s="349"/>
      <c r="GSS68" s="349"/>
      <c r="GST68" s="349"/>
      <c r="GSU68" s="349"/>
      <c r="GSV68" s="349"/>
      <c r="GSW68" s="349"/>
      <c r="GSX68" s="349"/>
      <c r="GSY68" s="349"/>
      <c r="GSZ68" s="349"/>
      <c r="GTA68" s="349"/>
      <c r="GTB68" s="349"/>
      <c r="GTC68" s="349"/>
      <c r="GTD68" s="349"/>
      <c r="GTE68" s="349"/>
      <c r="GTF68" s="349"/>
      <c r="GTG68" s="349"/>
      <c r="GTH68" s="349"/>
      <c r="GTI68" s="349"/>
      <c r="GTJ68" s="349"/>
      <c r="GTK68" s="349"/>
      <c r="GTL68" s="349"/>
      <c r="GTM68" s="349"/>
      <c r="GTN68" s="349"/>
      <c r="GTO68" s="349"/>
      <c r="GTP68" s="349"/>
      <c r="GTQ68" s="349"/>
      <c r="GTR68" s="349"/>
      <c r="GTS68" s="349"/>
      <c r="GTT68" s="349"/>
      <c r="GTU68" s="349"/>
      <c r="GTV68" s="349"/>
      <c r="GTW68" s="349"/>
      <c r="GTX68" s="349"/>
      <c r="GTY68" s="349"/>
      <c r="GTZ68" s="349"/>
      <c r="GUA68" s="349"/>
      <c r="GUB68" s="349"/>
      <c r="GUC68" s="349"/>
      <c r="GUD68" s="349"/>
      <c r="GUE68" s="349"/>
      <c r="GUF68" s="349"/>
      <c r="GUG68" s="349"/>
      <c r="GUH68" s="349"/>
      <c r="GUI68" s="349"/>
      <c r="GUJ68" s="349"/>
      <c r="GUK68" s="349"/>
      <c r="GUL68" s="349"/>
      <c r="GUM68" s="349"/>
      <c r="GUN68" s="349"/>
      <c r="GUO68" s="349"/>
      <c r="GUP68" s="349"/>
      <c r="GUQ68" s="349"/>
      <c r="GUR68" s="349"/>
      <c r="GUS68" s="349"/>
      <c r="GUT68" s="349"/>
      <c r="GUU68" s="349"/>
      <c r="GUV68" s="349"/>
      <c r="GUW68" s="349"/>
      <c r="GUX68" s="349"/>
      <c r="GUY68" s="349"/>
      <c r="GUZ68" s="349"/>
      <c r="GVA68" s="349"/>
      <c r="GVB68" s="349"/>
      <c r="GVC68" s="349"/>
      <c r="GVD68" s="349"/>
      <c r="GVE68" s="349"/>
      <c r="GVF68" s="349"/>
      <c r="GVG68" s="349"/>
      <c r="GVH68" s="349"/>
      <c r="GVI68" s="349"/>
      <c r="GVJ68" s="349"/>
      <c r="GVK68" s="349"/>
      <c r="GVL68" s="349"/>
      <c r="GVM68" s="349"/>
      <c r="GVN68" s="349"/>
      <c r="GVO68" s="349"/>
      <c r="GVP68" s="349"/>
      <c r="GVQ68" s="349"/>
      <c r="GVR68" s="349"/>
      <c r="GVS68" s="349"/>
      <c r="GVT68" s="349"/>
      <c r="GVU68" s="349"/>
      <c r="GVV68" s="349"/>
      <c r="GVW68" s="349"/>
      <c r="GVX68" s="349"/>
      <c r="GVY68" s="349"/>
      <c r="GVZ68" s="349"/>
      <c r="GWA68" s="349"/>
      <c r="GWB68" s="349"/>
      <c r="GWC68" s="349"/>
      <c r="GWD68" s="349"/>
      <c r="GWE68" s="349"/>
      <c r="GWF68" s="349"/>
      <c r="GWG68" s="349"/>
      <c r="GWH68" s="349"/>
      <c r="GWI68" s="349"/>
      <c r="GWJ68" s="349"/>
      <c r="GWK68" s="349"/>
      <c r="GWL68" s="349"/>
      <c r="GWM68" s="349"/>
      <c r="GWN68" s="349"/>
      <c r="GWO68" s="349"/>
      <c r="GWP68" s="349"/>
      <c r="GWQ68" s="349"/>
      <c r="GWR68" s="349"/>
      <c r="GWS68" s="349"/>
      <c r="GWT68" s="349"/>
      <c r="GWU68" s="349"/>
      <c r="GWV68" s="349"/>
      <c r="GWW68" s="349"/>
      <c r="GWX68" s="349"/>
      <c r="GWY68" s="349"/>
      <c r="GWZ68" s="349"/>
      <c r="GXA68" s="349"/>
      <c r="GXB68" s="349"/>
      <c r="GXC68" s="349"/>
      <c r="GXD68" s="349"/>
      <c r="GXE68" s="349"/>
      <c r="GXF68" s="349"/>
      <c r="GXG68" s="349"/>
      <c r="GXH68" s="349"/>
      <c r="GXI68" s="349"/>
      <c r="GXJ68" s="349"/>
      <c r="GXK68" s="349"/>
      <c r="GXL68" s="349"/>
      <c r="GXM68" s="349"/>
      <c r="GXN68" s="349"/>
      <c r="GXO68" s="349"/>
      <c r="GXP68" s="349"/>
      <c r="GXQ68" s="349"/>
      <c r="GXR68" s="349"/>
      <c r="GXS68" s="349"/>
      <c r="GXT68" s="349"/>
      <c r="GXU68" s="349"/>
      <c r="GXV68" s="349"/>
      <c r="GXW68" s="349"/>
      <c r="GXX68" s="349"/>
      <c r="GXY68" s="349"/>
      <c r="GXZ68" s="349"/>
      <c r="GYA68" s="349"/>
      <c r="GYB68" s="349"/>
      <c r="GYC68" s="349"/>
      <c r="GYD68" s="349"/>
      <c r="GYE68" s="349"/>
      <c r="GYF68" s="349"/>
      <c r="GYG68" s="349"/>
      <c r="GYH68" s="349"/>
      <c r="GYI68" s="349"/>
      <c r="GYJ68" s="349"/>
      <c r="GYK68" s="349"/>
      <c r="GYL68" s="349"/>
      <c r="GYM68" s="349"/>
      <c r="GYN68" s="349"/>
      <c r="GYO68" s="349"/>
      <c r="GYP68" s="349"/>
      <c r="GYQ68" s="349"/>
      <c r="GYR68" s="349"/>
      <c r="GYS68" s="349"/>
      <c r="GYT68" s="349"/>
      <c r="GYU68" s="349"/>
      <c r="GYV68" s="349"/>
      <c r="GYW68" s="349"/>
      <c r="GYX68" s="349"/>
      <c r="GYY68" s="349"/>
      <c r="GYZ68" s="349"/>
      <c r="GZA68" s="349"/>
      <c r="GZB68" s="349"/>
      <c r="GZC68" s="349"/>
      <c r="GZD68" s="349"/>
      <c r="GZE68" s="349"/>
      <c r="GZF68" s="349"/>
      <c r="GZG68" s="349"/>
      <c r="GZH68" s="349"/>
      <c r="GZI68" s="349"/>
      <c r="GZJ68" s="349"/>
      <c r="GZK68" s="349"/>
      <c r="GZL68" s="349"/>
      <c r="GZM68" s="349"/>
      <c r="GZN68" s="349"/>
      <c r="GZO68" s="349"/>
      <c r="GZP68" s="349"/>
      <c r="GZQ68" s="349"/>
      <c r="GZR68" s="349"/>
      <c r="GZS68" s="349"/>
      <c r="GZT68" s="349"/>
      <c r="GZU68" s="349"/>
      <c r="GZV68" s="349"/>
      <c r="GZW68" s="349"/>
      <c r="GZX68" s="349"/>
      <c r="GZY68" s="349"/>
      <c r="GZZ68" s="349"/>
      <c r="HAA68" s="349"/>
      <c r="HAB68" s="349"/>
      <c r="HAC68" s="349"/>
      <c r="HAD68" s="349"/>
      <c r="HAE68" s="349"/>
      <c r="HAF68" s="349"/>
      <c r="HAG68" s="349"/>
      <c r="HAH68" s="349"/>
      <c r="HAI68" s="349"/>
      <c r="HAJ68" s="349"/>
      <c r="HAK68" s="349"/>
      <c r="HAL68" s="349"/>
      <c r="HAM68" s="349"/>
      <c r="HAN68" s="349"/>
      <c r="HAO68" s="349"/>
      <c r="HAP68" s="349"/>
      <c r="HAQ68" s="349"/>
      <c r="HAR68" s="349"/>
      <c r="HAS68" s="349"/>
      <c r="HAT68" s="349"/>
      <c r="HAU68" s="349"/>
      <c r="HAV68" s="349"/>
      <c r="HAW68" s="349"/>
      <c r="HAX68" s="349"/>
      <c r="HAY68" s="349"/>
      <c r="HAZ68" s="349"/>
      <c r="HBA68" s="349"/>
      <c r="HBB68" s="349"/>
      <c r="HBC68" s="349"/>
      <c r="HBD68" s="349"/>
      <c r="HBE68" s="349"/>
      <c r="HBF68" s="349"/>
      <c r="HBG68" s="349"/>
      <c r="HBH68" s="349"/>
      <c r="HBI68" s="349"/>
      <c r="HBJ68" s="349"/>
      <c r="HBK68" s="349"/>
      <c r="HBL68" s="349"/>
      <c r="HBM68" s="349"/>
      <c r="HBN68" s="349"/>
      <c r="HBO68" s="349"/>
      <c r="HBP68" s="349"/>
      <c r="HBQ68" s="349"/>
      <c r="HBR68" s="349"/>
      <c r="HBS68" s="349"/>
      <c r="HBT68" s="349"/>
      <c r="HBU68" s="349"/>
      <c r="HBV68" s="349"/>
      <c r="HBW68" s="349"/>
      <c r="HBX68" s="349"/>
      <c r="HBY68" s="349"/>
      <c r="HBZ68" s="349"/>
      <c r="HCA68" s="349"/>
      <c r="HCB68" s="349"/>
      <c r="HCC68" s="349"/>
      <c r="HCD68" s="349"/>
      <c r="HCE68" s="349"/>
      <c r="HCF68" s="349"/>
      <c r="HCG68" s="349"/>
      <c r="HCH68" s="349"/>
      <c r="HCI68" s="349"/>
      <c r="HCJ68" s="349"/>
      <c r="HCK68" s="349"/>
      <c r="HCL68" s="349"/>
      <c r="HCM68" s="349"/>
      <c r="HCN68" s="349"/>
      <c r="HCO68" s="349"/>
      <c r="HCP68" s="349"/>
      <c r="HCQ68" s="349"/>
      <c r="HCR68" s="349"/>
      <c r="HCS68" s="349"/>
      <c r="HCT68" s="349"/>
      <c r="HCU68" s="349"/>
      <c r="HCV68" s="349"/>
      <c r="HCW68" s="349"/>
      <c r="HCX68" s="349"/>
      <c r="HCY68" s="349"/>
      <c r="HCZ68" s="349"/>
      <c r="HDA68" s="349"/>
      <c r="HDB68" s="349"/>
      <c r="HDC68" s="349"/>
      <c r="HDD68" s="349"/>
      <c r="HDE68" s="349"/>
      <c r="HDF68" s="349"/>
      <c r="HDG68" s="349"/>
      <c r="HDH68" s="349"/>
      <c r="HDI68" s="349"/>
      <c r="HDJ68" s="349"/>
      <c r="HDK68" s="349"/>
      <c r="HDL68" s="349"/>
      <c r="HDM68" s="349"/>
      <c r="HDN68" s="349"/>
      <c r="HDO68" s="349"/>
      <c r="HDP68" s="349"/>
      <c r="HDQ68" s="349"/>
      <c r="HDR68" s="349"/>
      <c r="HDS68" s="349"/>
      <c r="HDT68" s="349"/>
      <c r="HDU68" s="349"/>
      <c r="HDV68" s="349"/>
      <c r="HDW68" s="349"/>
      <c r="HDX68" s="349"/>
      <c r="HDY68" s="349"/>
      <c r="HDZ68" s="349"/>
      <c r="HEA68" s="349"/>
      <c r="HEB68" s="349"/>
      <c r="HEC68" s="349"/>
      <c r="HED68" s="349"/>
      <c r="HEE68" s="349"/>
      <c r="HEF68" s="349"/>
      <c r="HEG68" s="349"/>
      <c r="HEH68" s="349"/>
      <c r="HEI68" s="349"/>
      <c r="HEJ68" s="349"/>
      <c r="HEK68" s="349"/>
      <c r="HEL68" s="349"/>
      <c r="HEM68" s="349"/>
      <c r="HEN68" s="349"/>
      <c r="HEO68" s="349"/>
      <c r="HEP68" s="349"/>
      <c r="HEQ68" s="349"/>
      <c r="HER68" s="349"/>
      <c r="HES68" s="349"/>
      <c r="HET68" s="349"/>
      <c r="HEU68" s="349"/>
      <c r="HEV68" s="349"/>
      <c r="HEW68" s="349"/>
      <c r="HEX68" s="349"/>
      <c r="HEY68" s="349"/>
      <c r="HEZ68" s="349"/>
      <c r="HFA68" s="349"/>
      <c r="HFB68" s="349"/>
      <c r="HFC68" s="349"/>
      <c r="HFD68" s="349"/>
      <c r="HFE68" s="349"/>
      <c r="HFF68" s="349"/>
      <c r="HFG68" s="349"/>
      <c r="HFH68" s="349"/>
      <c r="HFI68" s="349"/>
      <c r="HFJ68" s="349"/>
      <c r="HFK68" s="349"/>
      <c r="HFL68" s="349"/>
      <c r="HFM68" s="349"/>
      <c r="HFN68" s="349"/>
      <c r="HFO68" s="349"/>
      <c r="HFP68" s="349"/>
      <c r="HFQ68" s="349"/>
      <c r="HFR68" s="349"/>
      <c r="HFS68" s="349"/>
      <c r="HFT68" s="349"/>
      <c r="HFU68" s="349"/>
      <c r="HFV68" s="349"/>
      <c r="HFW68" s="349"/>
      <c r="HFX68" s="349"/>
      <c r="HFY68" s="349"/>
      <c r="HFZ68" s="349"/>
      <c r="HGA68" s="349"/>
      <c r="HGB68" s="349"/>
      <c r="HGC68" s="349"/>
      <c r="HGD68" s="349"/>
      <c r="HGE68" s="349"/>
      <c r="HGF68" s="349"/>
      <c r="HGG68" s="349"/>
      <c r="HGH68" s="349"/>
      <c r="HGI68" s="349"/>
      <c r="HGJ68" s="349"/>
      <c r="HGK68" s="349"/>
      <c r="HGL68" s="349"/>
      <c r="HGM68" s="349"/>
      <c r="HGN68" s="349"/>
      <c r="HGO68" s="349"/>
      <c r="HGP68" s="349"/>
      <c r="HGQ68" s="349"/>
      <c r="HGR68" s="349"/>
      <c r="HGS68" s="349"/>
      <c r="HGT68" s="349"/>
      <c r="HGU68" s="349"/>
      <c r="HGV68" s="349"/>
      <c r="HGW68" s="349"/>
      <c r="HGX68" s="349"/>
      <c r="HGY68" s="349"/>
      <c r="HGZ68" s="349"/>
      <c r="HHA68" s="349"/>
      <c r="HHB68" s="349"/>
      <c r="HHC68" s="349"/>
      <c r="HHD68" s="349"/>
      <c r="HHE68" s="349"/>
      <c r="HHF68" s="349"/>
      <c r="HHG68" s="349"/>
      <c r="HHH68" s="349"/>
      <c r="HHI68" s="349"/>
      <c r="HHJ68" s="349"/>
      <c r="HHK68" s="349"/>
      <c r="HHL68" s="349"/>
      <c r="HHM68" s="349"/>
      <c r="HHN68" s="349"/>
      <c r="HHO68" s="349"/>
      <c r="HHP68" s="349"/>
      <c r="HHQ68" s="349"/>
      <c r="HHR68" s="349"/>
      <c r="HHS68" s="349"/>
      <c r="HHT68" s="349"/>
      <c r="HHU68" s="349"/>
      <c r="HHV68" s="349"/>
      <c r="HHW68" s="349"/>
      <c r="HHX68" s="349"/>
      <c r="HHY68" s="349"/>
      <c r="HHZ68" s="349"/>
      <c r="HIA68" s="349"/>
      <c r="HIB68" s="349"/>
      <c r="HIC68" s="349"/>
      <c r="HID68" s="349"/>
      <c r="HIE68" s="349"/>
      <c r="HIF68" s="349"/>
      <c r="HIG68" s="349"/>
      <c r="HIH68" s="349"/>
      <c r="HII68" s="349"/>
      <c r="HIJ68" s="349"/>
      <c r="HIK68" s="349"/>
      <c r="HIL68" s="349"/>
      <c r="HIM68" s="349"/>
      <c r="HIN68" s="349"/>
      <c r="HIO68" s="349"/>
      <c r="HIP68" s="349"/>
      <c r="HIQ68" s="349"/>
      <c r="HIR68" s="349"/>
      <c r="HIS68" s="349"/>
      <c r="HIT68" s="349"/>
      <c r="HIU68" s="349"/>
      <c r="HIV68" s="349"/>
      <c r="HIW68" s="349"/>
      <c r="HIX68" s="349"/>
      <c r="HIY68" s="349"/>
      <c r="HIZ68" s="349"/>
      <c r="HJA68" s="349"/>
      <c r="HJB68" s="349"/>
      <c r="HJC68" s="349"/>
      <c r="HJD68" s="349"/>
      <c r="HJE68" s="349"/>
      <c r="HJF68" s="349"/>
      <c r="HJG68" s="349"/>
      <c r="HJH68" s="349"/>
      <c r="HJI68" s="349"/>
      <c r="HJJ68" s="349"/>
      <c r="HJK68" s="349"/>
      <c r="HJL68" s="349"/>
      <c r="HJM68" s="349"/>
      <c r="HJN68" s="349"/>
      <c r="HJO68" s="349"/>
      <c r="HJP68" s="349"/>
      <c r="HJQ68" s="349"/>
      <c r="HJR68" s="349"/>
      <c r="HJS68" s="349"/>
      <c r="HJT68" s="349"/>
      <c r="HJU68" s="349"/>
      <c r="HJV68" s="349"/>
      <c r="HJW68" s="349"/>
      <c r="HJX68" s="349"/>
      <c r="HJY68" s="349"/>
      <c r="HJZ68" s="349"/>
      <c r="HKA68" s="349"/>
      <c r="HKB68" s="349"/>
      <c r="HKC68" s="349"/>
      <c r="HKD68" s="349"/>
      <c r="HKE68" s="349"/>
      <c r="HKF68" s="349"/>
      <c r="HKG68" s="349"/>
      <c r="HKH68" s="349"/>
      <c r="HKI68" s="349"/>
      <c r="HKJ68" s="349"/>
      <c r="HKK68" s="349"/>
      <c r="HKL68" s="349"/>
      <c r="HKM68" s="349"/>
      <c r="HKN68" s="349"/>
      <c r="HKO68" s="349"/>
      <c r="HKP68" s="349"/>
      <c r="HKQ68" s="349"/>
      <c r="HKR68" s="349"/>
      <c r="HKS68" s="349"/>
      <c r="HKT68" s="349"/>
      <c r="HKU68" s="349"/>
      <c r="HKV68" s="349"/>
      <c r="HKW68" s="349"/>
      <c r="HKX68" s="349"/>
      <c r="HKY68" s="349"/>
      <c r="HKZ68" s="349"/>
      <c r="HLA68" s="349"/>
      <c r="HLB68" s="349"/>
      <c r="HLC68" s="349"/>
      <c r="HLD68" s="349"/>
      <c r="HLE68" s="349"/>
      <c r="HLF68" s="349"/>
      <c r="HLG68" s="349"/>
      <c r="HLH68" s="349"/>
      <c r="HLI68" s="349"/>
      <c r="HLJ68" s="349"/>
      <c r="HLK68" s="349"/>
      <c r="HLL68" s="349"/>
      <c r="HLM68" s="349"/>
      <c r="HLN68" s="349"/>
      <c r="HLO68" s="349"/>
      <c r="HLP68" s="349"/>
      <c r="HLQ68" s="349"/>
      <c r="HLR68" s="349"/>
      <c r="HLS68" s="349"/>
      <c r="HLT68" s="349"/>
      <c r="HLU68" s="349"/>
      <c r="HLV68" s="349"/>
      <c r="HLW68" s="349"/>
      <c r="HLX68" s="349"/>
      <c r="HLY68" s="349"/>
      <c r="HLZ68" s="349"/>
      <c r="HMA68" s="349"/>
      <c r="HMB68" s="349"/>
      <c r="HMC68" s="349"/>
      <c r="HMD68" s="349"/>
      <c r="HME68" s="349"/>
      <c r="HMF68" s="349"/>
      <c r="HMG68" s="349"/>
      <c r="HMH68" s="349"/>
      <c r="HMI68" s="349"/>
      <c r="HMJ68" s="349"/>
      <c r="HMK68" s="349"/>
      <c r="HML68" s="349"/>
      <c r="HMM68" s="349"/>
      <c r="HMN68" s="349"/>
      <c r="HMO68" s="349"/>
      <c r="HMP68" s="349"/>
      <c r="HMQ68" s="349"/>
      <c r="HMR68" s="349"/>
      <c r="HMS68" s="349"/>
      <c r="HMT68" s="349"/>
      <c r="HMU68" s="349"/>
      <c r="HMV68" s="349"/>
      <c r="HMW68" s="349"/>
      <c r="HMX68" s="349"/>
      <c r="HMY68" s="349"/>
      <c r="HMZ68" s="349"/>
      <c r="HNA68" s="349"/>
      <c r="HNB68" s="349"/>
      <c r="HNC68" s="349"/>
      <c r="HND68" s="349"/>
      <c r="HNE68" s="349"/>
      <c r="HNF68" s="349"/>
      <c r="HNG68" s="349"/>
      <c r="HNH68" s="349"/>
      <c r="HNI68" s="349"/>
      <c r="HNJ68" s="349"/>
      <c r="HNK68" s="349"/>
      <c r="HNL68" s="349"/>
      <c r="HNM68" s="349"/>
      <c r="HNN68" s="349"/>
      <c r="HNO68" s="349"/>
      <c r="HNP68" s="349"/>
      <c r="HNQ68" s="349"/>
      <c r="HNR68" s="349"/>
      <c r="HNS68" s="349"/>
      <c r="HNT68" s="349"/>
      <c r="HNU68" s="349"/>
      <c r="HNV68" s="349"/>
      <c r="HNW68" s="349"/>
      <c r="HNX68" s="349"/>
      <c r="HNY68" s="349"/>
      <c r="HNZ68" s="349"/>
      <c r="HOA68" s="349"/>
      <c r="HOB68" s="349"/>
      <c r="HOC68" s="349"/>
      <c r="HOD68" s="349"/>
      <c r="HOE68" s="349"/>
      <c r="HOF68" s="349"/>
      <c r="HOG68" s="349"/>
      <c r="HOH68" s="349"/>
      <c r="HOI68" s="349"/>
      <c r="HOJ68" s="349"/>
      <c r="HOK68" s="349"/>
      <c r="HOL68" s="349"/>
      <c r="HOM68" s="349"/>
      <c r="HON68" s="349"/>
      <c r="HOO68" s="349"/>
      <c r="HOP68" s="349"/>
      <c r="HOQ68" s="349"/>
      <c r="HOR68" s="349"/>
      <c r="HOS68" s="349"/>
      <c r="HOT68" s="349"/>
      <c r="HOU68" s="349"/>
      <c r="HOV68" s="349"/>
      <c r="HOW68" s="349"/>
      <c r="HOX68" s="349"/>
      <c r="HOY68" s="349"/>
      <c r="HOZ68" s="349"/>
      <c r="HPA68" s="349"/>
      <c r="HPB68" s="349"/>
      <c r="HPC68" s="349"/>
      <c r="HPD68" s="349"/>
      <c r="HPE68" s="349"/>
      <c r="HPF68" s="349"/>
      <c r="HPG68" s="349"/>
      <c r="HPH68" s="349"/>
      <c r="HPI68" s="349"/>
      <c r="HPJ68" s="349"/>
      <c r="HPK68" s="349"/>
      <c r="HPL68" s="349"/>
      <c r="HPM68" s="349"/>
      <c r="HPN68" s="349"/>
      <c r="HPO68" s="349"/>
      <c r="HPP68" s="349"/>
      <c r="HPQ68" s="349"/>
      <c r="HPR68" s="349"/>
      <c r="HPS68" s="349"/>
      <c r="HPT68" s="349"/>
      <c r="HPU68" s="349"/>
      <c r="HPV68" s="349"/>
      <c r="HPW68" s="349"/>
      <c r="HPX68" s="349"/>
      <c r="HPY68" s="349"/>
      <c r="HPZ68" s="349"/>
      <c r="HQA68" s="349"/>
      <c r="HQB68" s="349"/>
      <c r="HQC68" s="349"/>
      <c r="HQD68" s="349"/>
      <c r="HQE68" s="349"/>
      <c r="HQF68" s="349"/>
      <c r="HQG68" s="349"/>
      <c r="HQH68" s="349"/>
      <c r="HQI68" s="349"/>
      <c r="HQJ68" s="349"/>
      <c r="HQK68" s="349"/>
      <c r="HQL68" s="349"/>
      <c r="HQM68" s="349"/>
      <c r="HQN68" s="349"/>
      <c r="HQO68" s="349"/>
      <c r="HQP68" s="349"/>
      <c r="HQQ68" s="349"/>
      <c r="HQR68" s="349"/>
      <c r="HQS68" s="349"/>
      <c r="HQT68" s="349"/>
      <c r="HQU68" s="349"/>
      <c r="HQV68" s="349"/>
      <c r="HQW68" s="349"/>
      <c r="HQX68" s="349"/>
      <c r="HQY68" s="349"/>
      <c r="HQZ68" s="349"/>
      <c r="HRA68" s="349"/>
      <c r="HRB68" s="349"/>
      <c r="HRC68" s="349"/>
      <c r="HRD68" s="349"/>
      <c r="HRE68" s="349"/>
      <c r="HRF68" s="349"/>
      <c r="HRG68" s="349"/>
      <c r="HRH68" s="349"/>
      <c r="HRI68" s="349"/>
      <c r="HRJ68" s="349"/>
      <c r="HRK68" s="349"/>
      <c r="HRL68" s="349"/>
      <c r="HRM68" s="349"/>
      <c r="HRN68" s="349"/>
      <c r="HRO68" s="349"/>
      <c r="HRP68" s="349"/>
      <c r="HRQ68" s="349"/>
      <c r="HRR68" s="349"/>
      <c r="HRS68" s="349"/>
      <c r="HRT68" s="349"/>
      <c r="HRU68" s="349"/>
      <c r="HRV68" s="349"/>
      <c r="HRW68" s="349"/>
      <c r="HRX68" s="349"/>
      <c r="HRY68" s="349"/>
      <c r="HRZ68" s="349"/>
      <c r="HSA68" s="349"/>
      <c r="HSB68" s="349"/>
      <c r="HSC68" s="349"/>
      <c r="HSD68" s="349"/>
      <c r="HSE68" s="349"/>
      <c r="HSF68" s="349"/>
      <c r="HSG68" s="349"/>
      <c r="HSH68" s="349"/>
      <c r="HSI68" s="349"/>
      <c r="HSJ68" s="349"/>
      <c r="HSK68" s="349"/>
      <c r="HSL68" s="349"/>
      <c r="HSM68" s="349"/>
      <c r="HSN68" s="349"/>
      <c r="HSO68" s="349"/>
      <c r="HSP68" s="349"/>
      <c r="HSQ68" s="349"/>
      <c r="HSR68" s="349"/>
      <c r="HSS68" s="349"/>
      <c r="HST68" s="349"/>
      <c r="HSU68" s="349"/>
      <c r="HSV68" s="349"/>
      <c r="HSW68" s="349"/>
      <c r="HSX68" s="349"/>
      <c r="HSY68" s="349"/>
      <c r="HSZ68" s="349"/>
      <c r="HTA68" s="349"/>
      <c r="HTB68" s="349"/>
      <c r="HTC68" s="349"/>
      <c r="HTD68" s="349"/>
      <c r="HTE68" s="349"/>
      <c r="HTF68" s="349"/>
      <c r="HTG68" s="349"/>
      <c r="HTH68" s="349"/>
      <c r="HTI68" s="349"/>
      <c r="HTJ68" s="349"/>
      <c r="HTK68" s="349"/>
      <c r="HTL68" s="349"/>
      <c r="HTM68" s="349"/>
      <c r="HTN68" s="349"/>
      <c r="HTO68" s="349"/>
      <c r="HTP68" s="349"/>
      <c r="HTQ68" s="349"/>
      <c r="HTR68" s="349"/>
      <c r="HTS68" s="349"/>
      <c r="HTT68" s="349"/>
      <c r="HTU68" s="349"/>
      <c r="HTV68" s="349"/>
      <c r="HTW68" s="349"/>
      <c r="HTX68" s="349"/>
      <c r="HTY68" s="349"/>
      <c r="HTZ68" s="349"/>
      <c r="HUA68" s="349"/>
      <c r="HUB68" s="349"/>
      <c r="HUC68" s="349"/>
      <c r="HUD68" s="349"/>
      <c r="HUE68" s="349"/>
      <c r="HUF68" s="349"/>
      <c r="HUG68" s="349"/>
      <c r="HUH68" s="349"/>
      <c r="HUI68" s="349"/>
      <c r="HUJ68" s="349"/>
      <c r="HUK68" s="349"/>
      <c r="HUL68" s="349"/>
      <c r="HUM68" s="349"/>
      <c r="HUN68" s="349"/>
      <c r="HUO68" s="349"/>
      <c r="HUP68" s="349"/>
      <c r="HUQ68" s="349"/>
      <c r="HUR68" s="349"/>
      <c r="HUS68" s="349"/>
      <c r="HUT68" s="349"/>
      <c r="HUU68" s="349"/>
      <c r="HUV68" s="349"/>
      <c r="HUW68" s="349"/>
      <c r="HUX68" s="349"/>
      <c r="HUY68" s="349"/>
      <c r="HUZ68" s="349"/>
      <c r="HVA68" s="349"/>
      <c r="HVB68" s="349"/>
      <c r="HVC68" s="349"/>
      <c r="HVD68" s="349"/>
      <c r="HVE68" s="349"/>
      <c r="HVF68" s="349"/>
      <c r="HVG68" s="349"/>
      <c r="HVH68" s="349"/>
      <c r="HVI68" s="349"/>
      <c r="HVJ68" s="349"/>
      <c r="HVK68" s="349"/>
      <c r="HVL68" s="349"/>
      <c r="HVM68" s="349"/>
      <c r="HVN68" s="349"/>
      <c r="HVO68" s="349"/>
      <c r="HVP68" s="349"/>
      <c r="HVQ68" s="349"/>
      <c r="HVR68" s="349"/>
      <c r="HVS68" s="349"/>
      <c r="HVT68" s="349"/>
      <c r="HVU68" s="349"/>
      <c r="HVV68" s="349"/>
      <c r="HVW68" s="349"/>
      <c r="HVX68" s="349"/>
      <c r="HVY68" s="349"/>
      <c r="HVZ68" s="349"/>
      <c r="HWA68" s="349"/>
      <c r="HWB68" s="349"/>
      <c r="HWC68" s="349"/>
      <c r="HWD68" s="349"/>
      <c r="HWE68" s="349"/>
      <c r="HWF68" s="349"/>
      <c r="HWG68" s="349"/>
      <c r="HWH68" s="349"/>
      <c r="HWI68" s="349"/>
      <c r="HWJ68" s="349"/>
      <c r="HWK68" s="349"/>
      <c r="HWL68" s="349"/>
      <c r="HWM68" s="349"/>
      <c r="HWN68" s="349"/>
      <c r="HWO68" s="349"/>
      <c r="HWP68" s="349"/>
      <c r="HWQ68" s="349"/>
      <c r="HWR68" s="349"/>
      <c r="HWS68" s="349"/>
      <c r="HWT68" s="349"/>
      <c r="HWU68" s="349"/>
      <c r="HWV68" s="349"/>
      <c r="HWW68" s="349"/>
      <c r="HWX68" s="349"/>
      <c r="HWY68" s="349"/>
      <c r="HWZ68" s="349"/>
      <c r="HXA68" s="349"/>
      <c r="HXB68" s="349"/>
      <c r="HXC68" s="349"/>
      <c r="HXD68" s="349"/>
      <c r="HXE68" s="349"/>
      <c r="HXF68" s="349"/>
      <c r="HXG68" s="349"/>
      <c r="HXH68" s="349"/>
      <c r="HXI68" s="349"/>
      <c r="HXJ68" s="349"/>
      <c r="HXK68" s="349"/>
      <c r="HXL68" s="349"/>
      <c r="HXM68" s="349"/>
      <c r="HXN68" s="349"/>
      <c r="HXO68" s="349"/>
      <c r="HXP68" s="349"/>
      <c r="HXQ68" s="349"/>
      <c r="HXR68" s="349"/>
      <c r="HXS68" s="349"/>
      <c r="HXT68" s="349"/>
      <c r="HXU68" s="349"/>
      <c r="HXV68" s="349"/>
      <c r="HXW68" s="349"/>
      <c r="HXX68" s="349"/>
      <c r="HXY68" s="349"/>
      <c r="HXZ68" s="349"/>
      <c r="HYA68" s="349"/>
      <c r="HYB68" s="349"/>
      <c r="HYC68" s="349"/>
      <c r="HYD68" s="349"/>
      <c r="HYE68" s="349"/>
      <c r="HYF68" s="349"/>
      <c r="HYG68" s="349"/>
      <c r="HYH68" s="349"/>
      <c r="HYI68" s="349"/>
      <c r="HYJ68" s="349"/>
      <c r="HYK68" s="349"/>
      <c r="HYL68" s="349"/>
      <c r="HYM68" s="349"/>
      <c r="HYN68" s="349"/>
      <c r="HYO68" s="349"/>
      <c r="HYP68" s="349"/>
      <c r="HYQ68" s="349"/>
      <c r="HYR68" s="349"/>
      <c r="HYS68" s="349"/>
      <c r="HYT68" s="349"/>
      <c r="HYU68" s="349"/>
      <c r="HYV68" s="349"/>
      <c r="HYW68" s="349"/>
      <c r="HYX68" s="349"/>
      <c r="HYY68" s="349"/>
      <c r="HYZ68" s="349"/>
      <c r="HZA68" s="349"/>
      <c r="HZB68" s="349"/>
      <c r="HZC68" s="349"/>
      <c r="HZD68" s="349"/>
      <c r="HZE68" s="349"/>
      <c r="HZF68" s="349"/>
      <c r="HZG68" s="349"/>
      <c r="HZH68" s="349"/>
      <c r="HZI68" s="349"/>
      <c r="HZJ68" s="349"/>
      <c r="HZK68" s="349"/>
      <c r="HZL68" s="349"/>
      <c r="HZM68" s="349"/>
      <c r="HZN68" s="349"/>
      <c r="HZO68" s="349"/>
      <c r="HZP68" s="349"/>
      <c r="HZQ68" s="349"/>
      <c r="HZR68" s="349"/>
      <c r="HZS68" s="349"/>
      <c r="HZT68" s="349"/>
      <c r="HZU68" s="349"/>
      <c r="HZV68" s="349"/>
      <c r="HZW68" s="349"/>
      <c r="HZX68" s="349"/>
      <c r="HZY68" s="349"/>
      <c r="HZZ68" s="349"/>
      <c r="IAA68" s="349"/>
      <c r="IAB68" s="349"/>
      <c r="IAC68" s="349"/>
      <c r="IAD68" s="349"/>
      <c r="IAE68" s="349"/>
      <c r="IAF68" s="349"/>
      <c r="IAG68" s="349"/>
      <c r="IAH68" s="349"/>
      <c r="IAI68" s="349"/>
      <c r="IAJ68" s="349"/>
      <c r="IAK68" s="349"/>
      <c r="IAL68" s="349"/>
      <c r="IAM68" s="349"/>
      <c r="IAN68" s="349"/>
      <c r="IAO68" s="349"/>
      <c r="IAP68" s="349"/>
      <c r="IAQ68" s="349"/>
      <c r="IAR68" s="349"/>
      <c r="IAS68" s="349"/>
      <c r="IAT68" s="349"/>
      <c r="IAU68" s="349"/>
      <c r="IAV68" s="349"/>
      <c r="IAW68" s="349"/>
      <c r="IAX68" s="349"/>
      <c r="IAY68" s="349"/>
      <c r="IAZ68" s="349"/>
      <c r="IBA68" s="349"/>
      <c r="IBB68" s="349"/>
      <c r="IBC68" s="349"/>
      <c r="IBD68" s="349"/>
      <c r="IBE68" s="349"/>
      <c r="IBF68" s="349"/>
      <c r="IBG68" s="349"/>
      <c r="IBH68" s="349"/>
      <c r="IBI68" s="349"/>
      <c r="IBJ68" s="349"/>
      <c r="IBK68" s="349"/>
      <c r="IBL68" s="349"/>
      <c r="IBM68" s="349"/>
      <c r="IBN68" s="349"/>
      <c r="IBO68" s="349"/>
      <c r="IBP68" s="349"/>
      <c r="IBQ68" s="349"/>
      <c r="IBR68" s="349"/>
      <c r="IBS68" s="349"/>
      <c r="IBT68" s="349"/>
      <c r="IBU68" s="349"/>
      <c r="IBV68" s="349"/>
      <c r="IBW68" s="349"/>
      <c r="IBX68" s="349"/>
      <c r="IBY68" s="349"/>
      <c r="IBZ68" s="349"/>
      <c r="ICA68" s="349"/>
      <c r="ICB68" s="349"/>
      <c r="ICC68" s="349"/>
      <c r="ICD68" s="349"/>
      <c r="ICE68" s="349"/>
      <c r="ICF68" s="349"/>
      <c r="ICG68" s="349"/>
      <c r="ICH68" s="349"/>
      <c r="ICI68" s="349"/>
      <c r="ICJ68" s="349"/>
      <c r="ICK68" s="349"/>
      <c r="ICL68" s="349"/>
      <c r="ICM68" s="349"/>
      <c r="ICN68" s="349"/>
      <c r="ICO68" s="349"/>
      <c r="ICP68" s="349"/>
      <c r="ICQ68" s="349"/>
      <c r="ICR68" s="349"/>
      <c r="ICS68" s="349"/>
      <c r="ICT68" s="349"/>
      <c r="ICU68" s="349"/>
      <c r="ICV68" s="349"/>
      <c r="ICW68" s="349"/>
      <c r="ICX68" s="349"/>
      <c r="ICY68" s="349"/>
      <c r="ICZ68" s="349"/>
      <c r="IDA68" s="349"/>
      <c r="IDB68" s="349"/>
      <c r="IDC68" s="349"/>
      <c r="IDD68" s="349"/>
      <c r="IDE68" s="349"/>
      <c r="IDF68" s="349"/>
      <c r="IDG68" s="349"/>
      <c r="IDH68" s="349"/>
      <c r="IDI68" s="349"/>
      <c r="IDJ68" s="349"/>
      <c r="IDK68" s="349"/>
      <c r="IDL68" s="349"/>
      <c r="IDM68" s="349"/>
      <c r="IDN68" s="349"/>
      <c r="IDO68" s="349"/>
      <c r="IDP68" s="349"/>
      <c r="IDQ68" s="349"/>
      <c r="IDR68" s="349"/>
      <c r="IDS68" s="349"/>
      <c r="IDT68" s="349"/>
      <c r="IDU68" s="349"/>
      <c r="IDV68" s="349"/>
      <c r="IDW68" s="349"/>
      <c r="IDX68" s="349"/>
      <c r="IDY68" s="349"/>
      <c r="IDZ68" s="349"/>
      <c r="IEA68" s="349"/>
      <c r="IEB68" s="349"/>
      <c r="IEC68" s="349"/>
      <c r="IED68" s="349"/>
      <c r="IEE68" s="349"/>
      <c r="IEF68" s="349"/>
      <c r="IEG68" s="349"/>
      <c r="IEH68" s="349"/>
      <c r="IEI68" s="349"/>
      <c r="IEJ68" s="349"/>
      <c r="IEK68" s="349"/>
      <c r="IEL68" s="349"/>
      <c r="IEM68" s="349"/>
      <c r="IEN68" s="349"/>
      <c r="IEO68" s="349"/>
      <c r="IEP68" s="349"/>
      <c r="IEQ68" s="349"/>
      <c r="IER68" s="349"/>
      <c r="IES68" s="349"/>
      <c r="IET68" s="349"/>
      <c r="IEU68" s="349"/>
      <c r="IEV68" s="349"/>
      <c r="IEW68" s="349"/>
      <c r="IEX68" s="349"/>
      <c r="IEY68" s="349"/>
      <c r="IEZ68" s="349"/>
      <c r="IFA68" s="349"/>
      <c r="IFB68" s="349"/>
      <c r="IFC68" s="349"/>
      <c r="IFD68" s="349"/>
      <c r="IFE68" s="349"/>
      <c r="IFF68" s="349"/>
      <c r="IFG68" s="349"/>
      <c r="IFH68" s="349"/>
      <c r="IFI68" s="349"/>
      <c r="IFJ68" s="349"/>
      <c r="IFK68" s="349"/>
      <c r="IFL68" s="349"/>
      <c r="IFM68" s="349"/>
      <c r="IFN68" s="349"/>
      <c r="IFO68" s="349"/>
      <c r="IFP68" s="349"/>
      <c r="IFQ68" s="349"/>
      <c r="IFR68" s="349"/>
      <c r="IFS68" s="349"/>
      <c r="IFT68" s="349"/>
      <c r="IFU68" s="349"/>
      <c r="IFV68" s="349"/>
      <c r="IFW68" s="349"/>
      <c r="IFX68" s="349"/>
      <c r="IFY68" s="349"/>
      <c r="IFZ68" s="349"/>
      <c r="IGA68" s="349"/>
      <c r="IGB68" s="349"/>
      <c r="IGC68" s="349"/>
      <c r="IGD68" s="349"/>
      <c r="IGE68" s="349"/>
      <c r="IGF68" s="349"/>
      <c r="IGG68" s="349"/>
      <c r="IGH68" s="349"/>
      <c r="IGI68" s="349"/>
      <c r="IGJ68" s="349"/>
      <c r="IGK68" s="349"/>
      <c r="IGL68" s="349"/>
      <c r="IGM68" s="349"/>
      <c r="IGN68" s="349"/>
      <c r="IGO68" s="349"/>
      <c r="IGP68" s="349"/>
      <c r="IGQ68" s="349"/>
      <c r="IGR68" s="349"/>
      <c r="IGS68" s="349"/>
      <c r="IGT68" s="349"/>
      <c r="IGU68" s="349"/>
      <c r="IGV68" s="349"/>
      <c r="IGW68" s="349"/>
      <c r="IGX68" s="349"/>
      <c r="IGY68" s="349"/>
      <c r="IGZ68" s="349"/>
      <c r="IHA68" s="349"/>
      <c r="IHB68" s="349"/>
      <c r="IHC68" s="349"/>
      <c r="IHD68" s="349"/>
      <c r="IHE68" s="349"/>
      <c r="IHF68" s="349"/>
      <c r="IHG68" s="349"/>
      <c r="IHH68" s="349"/>
      <c r="IHI68" s="349"/>
      <c r="IHJ68" s="349"/>
      <c r="IHK68" s="349"/>
      <c r="IHL68" s="349"/>
      <c r="IHM68" s="349"/>
      <c r="IHN68" s="349"/>
      <c r="IHO68" s="349"/>
      <c r="IHP68" s="349"/>
      <c r="IHQ68" s="349"/>
      <c r="IHR68" s="349"/>
      <c r="IHS68" s="349"/>
      <c r="IHT68" s="349"/>
      <c r="IHU68" s="349"/>
      <c r="IHV68" s="349"/>
      <c r="IHW68" s="349"/>
      <c r="IHX68" s="349"/>
      <c r="IHY68" s="349"/>
      <c r="IHZ68" s="349"/>
      <c r="IIA68" s="349"/>
      <c r="IIB68" s="349"/>
      <c r="IIC68" s="349"/>
      <c r="IID68" s="349"/>
      <c r="IIE68" s="349"/>
      <c r="IIF68" s="349"/>
      <c r="IIG68" s="349"/>
      <c r="IIH68" s="349"/>
      <c r="III68" s="349"/>
      <c r="IIJ68" s="349"/>
      <c r="IIK68" s="349"/>
      <c r="IIL68" s="349"/>
      <c r="IIM68" s="349"/>
      <c r="IIN68" s="349"/>
      <c r="IIO68" s="349"/>
      <c r="IIP68" s="349"/>
      <c r="IIQ68" s="349"/>
      <c r="IIR68" s="349"/>
      <c r="IIS68" s="349"/>
      <c r="IIT68" s="349"/>
      <c r="IIU68" s="349"/>
      <c r="IIV68" s="349"/>
      <c r="IIW68" s="349"/>
      <c r="IIX68" s="349"/>
      <c r="IIY68" s="349"/>
      <c r="IIZ68" s="349"/>
      <c r="IJA68" s="349"/>
      <c r="IJB68" s="349"/>
      <c r="IJC68" s="349"/>
      <c r="IJD68" s="349"/>
      <c r="IJE68" s="349"/>
      <c r="IJF68" s="349"/>
      <c r="IJG68" s="349"/>
      <c r="IJH68" s="349"/>
      <c r="IJI68" s="349"/>
      <c r="IJJ68" s="349"/>
      <c r="IJK68" s="349"/>
      <c r="IJL68" s="349"/>
      <c r="IJM68" s="349"/>
      <c r="IJN68" s="349"/>
      <c r="IJO68" s="349"/>
      <c r="IJP68" s="349"/>
      <c r="IJQ68" s="349"/>
      <c r="IJR68" s="349"/>
      <c r="IJS68" s="349"/>
      <c r="IJT68" s="349"/>
      <c r="IJU68" s="349"/>
      <c r="IJV68" s="349"/>
      <c r="IJW68" s="349"/>
      <c r="IJX68" s="349"/>
      <c r="IJY68" s="349"/>
      <c r="IJZ68" s="349"/>
      <c r="IKA68" s="349"/>
      <c r="IKB68" s="349"/>
      <c r="IKC68" s="349"/>
      <c r="IKD68" s="349"/>
      <c r="IKE68" s="349"/>
      <c r="IKF68" s="349"/>
      <c r="IKG68" s="349"/>
      <c r="IKH68" s="349"/>
      <c r="IKI68" s="349"/>
      <c r="IKJ68" s="349"/>
      <c r="IKK68" s="349"/>
      <c r="IKL68" s="349"/>
      <c r="IKM68" s="349"/>
      <c r="IKN68" s="349"/>
      <c r="IKO68" s="349"/>
      <c r="IKP68" s="349"/>
      <c r="IKQ68" s="349"/>
      <c r="IKR68" s="349"/>
      <c r="IKS68" s="349"/>
      <c r="IKT68" s="349"/>
      <c r="IKU68" s="349"/>
      <c r="IKV68" s="349"/>
      <c r="IKW68" s="349"/>
      <c r="IKX68" s="349"/>
      <c r="IKY68" s="349"/>
      <c r="IKZ68" s="349"/>
      <c r="ILA68" s="349"/>
      <c r="ILB68" s="349"/>
      <c r="ILC68" s="349"/>
      <c r="ILD68" s="349"/>
      <c r="ILE68" s="349"/>
      <c r="ILF68" s="349"/>
      <c r="ILG68" s="349"/>
      <c r="ILH68" s="349"/>
      <c r="ILI68" s="349"/>
      <c r="ILJ68" s="349"/>
      <c r="ILK68" s="349"/>
      <c r="ILL68" s="349"/>
      <c r="ILM68" s="349"/>
      <c r="ILN68" s="349"/>
      <c r="ILO68" s="349"/>
      <c r="ILP68" s="349"/>
      <c r="ILQ68" s="349"/>
      <c r="ILR68" s="349"/>
      <c r="ILS68" s="349"/>
      <c r="ILT68" s="349"/>
      <c r="ILU68" s="349"/>
      <c r="ILV68" s="349"/>
      <c r="ILW68" s="349"/>
      <c r="ILX68" s="349"/>
      <c r="ILY68" s="349"/>
      <c r="ILZ68" s="349"/>
      <c r="IMA68" s="349"/>
      <c r="IMB68" s="349"/>
      <c r="IMC68" s="349"/>
      <c r="IMD68" s="349"/>
      <c r="IME68" s="349"/>
      <c r="IMF68" s="349"/>
      <c r="IMG68" s="349"/>
      <c r="IMH68" s="349"/>
      <c r="IMI68" s="349"/>
      <c r="IMJ68" s="349"/>
      <c r="IMK68" s="349"/>
      <c r="IML68" s="349"/>
      <c r="IMM68" s="349"/>
      <c r="IMN68" s="349"/>
      <c r="IMO68" s="349"/>
      <c r="IMP68" s="349"/>
      <c r="IMQ68" s="349"/>
      <c r="IMR68" s="349"/>
      <c r="IMS68" s="349"/>
      <c r="IMT68" s="349"/>
      <c r="IMU68" s="349"/>
      <c r="IMV68" s="349"/>
      <c r="IMW68" s="349"/>
      <c r="IMX68" s="349"/>
      <c r="IMY68" s="349"/>
      <c r="IMZ68" s="349"/>
      <c r="INA68" s="349"/>
      <c r="INB68" s="349"/>
      <c r="INC68" s="349"/>
      <c r="IND68" s="349"/>
      <c r="INE68" s="349"/>
      <c r="INF68" s="349"/>
      <c r="ING68" s="349"/>
      <c r="INH68" s="349"/>
      <c r="INI68" s="349"/>
      <c r="INJ68" s="349"/>
      <c r="INK68" s="349"/>
      <c r="INL68" s="349"/>
      <c r="INM68" s="349"/>
      <c r="INN68" s="349"/>
      <c r="INO68" s="349"/>
      <c r="INP68" s="349"/>
      <c r="INQ68" s="349"/>
      <c r="INR68" s="349"/>
      <c r="INS68" s="349"/>
      <c r="INT68" s="349"/>
      <c r="INU68" s="349"/>
      <c r="INV68" s="349"/>
      <c r="INW68" s="349"/>
      <c r="INX68" s="349"/>
      <c r="INY68" s="349"/>
      <c r="INZ68" s="349"/>
      <c r="IOA68" s="349"/>
      <c r="IOB68" s="349"/>
      <c r="IOC68" s="349"/>
      <c r="IOD68" s="349"/>
      <c r="IOE68" s="349"/>
      <c r="IOF68" s="349"/>
      <c r="IOG68" s="349"/>
      <c r="IOH68" s="349"/>
      <c r="IOI68" s="349"/>
      <c r="IOJ68" s="349"/>
      <c r="IOK68" s="349"/>
      <c r="IOL68" s="349"/>
      <c r="IOM68" s="349"/>
      <c r="ION68" s="349"/>
      <c r="IOO68" s="349"/>
      <c r="IOP68" s="349"/>
      <c r="IOQ68" s="349"/>
      <c r="IOR68" s="349"/>
      <c r="IOS68" s="349"/>
      <c r="IOT68" s="349"/>
      <c r="IOU68" s="349"/>
      <c r="IOV68" s="349"/>
      <c r="IOW68" s="349"/>
      <c r="IOX68" s="349"/>
      <c r="IOY68" s="349"/>
      <c r="IOZ68" s="349"/>
      <c r="IPA68" s="349"/>
      <c r="IPB68" s="349"/>
      <c r="IPC68" s="349"/>
      <c r="IPD68" s="349"/>
      <c r="IPE68" s="349"/>
      <c r="IPF68" s="349"/>
      <c r="IPG68" s="349"/>
      <c r="IPH68" s="349"/>
      <c r="IPI68" s="349"/>
      <c r="IPJ68" s="349"/>
      <c r="IPK68" s="349"/>
      <c r="IPL68" s="349"/>
      <c r="IPM68" s="349"/>
      <c r="IPN68" s="349"/>
      <c r="IPO68" s="349"/>
      <c r="IPP68" s="349"/>
      <c r="IPQ68" s="349"/>
      <c r="IPR68" s="349"/>
      <c r="IPS68" s="349"/>
      <c r="IPT68" s="349"/>
      <c r="IPU68" s="349"/>
      <c r="IPV68" s="349"/>
      <c r="IPW68" s="349"/>
      <c r="IPX68" s="349"/>
      <c r="IPY68" s="349"/>
      <c r="IPZ68" s="349"/>
      <c r="IQA68" s="349"/>
      <c r="IQB68" s="349"/>
      <c r="IQC68" s="349"/>
      <c r="IQD68" s="349"/>
      <c r="IQE68" s="349"/>
      <c r="IQF68" s="349"/>
      <c r="IQG68" s="349"/>
      <c r="IQH68" s="349"/>
      <c r="IQI68" s="349"/>
      <c r="IQJ68" s="349"/>
      <c r="IQK68" s="349"/>
      <c r="IQL68" s="349"/>
      <c r="IQM68" s="349"/>
      <c r="IQN68" s="349"/>
      <c r="IQO68" s="349"/>
      <c r="IQP68" s="349"/>
      <c r="IQQ68" s="349"/>
      <c r="IQR68" s="349"/>
      <c r="IQS68" s="349"/>
      <c r="IQT68" s="349"/>
      <c r="IQU68" s="349"/>
      <c r="IQV68" s="349"/>
      <c r="IQW68" s="349"/>
      <c r="IQX68" s="349"/>
      <c r="IQY68" s="349"/>
      <c r="IQZ68" s="349"/>
      <c r="IRA68" s="349"/>
      <c r="IRB68" s="349"/>
      <c r="IRC68" s="349"/>
      <c r="IRD68" s="349"/>
      <c r="IRE68" s="349"/>
      <c r="IRF68" s="349"/>
      <c r="IRG68" s="349"/>
      <c r="IRH68" s="349"/>
      <c r="IRI68" s="349"/>
      <c r="IRJ68" s="349"/>
      <c r="IRK68" s="349"/>
      <c r="IRL68" s="349"/>
      <c r="IRM68" s="349"/>
      <c r="IRN68" s="349"/>
      <c r="IRO68" s="349"/>
      <c r="IRP68" s="349"/>
      <c r="IRQ68" s="349"/>
      <c r="IRR68" s="349"/>
      <c r="IRS68" s="349"/>
      <c r="IRT68" s="349"/>
      <c r="IRU68" s="349"/>
      <c r="IRV68" s="349"/>
      <c r="IRW68" s="349"/>
      <c r="IRX68" s="349"/>
      <c r="IRY68" s="349"/>
      <c r="IRZ68" s="349"/>
      <c r="ISA68" s="349"/>
      <c r="ISB68" s="349"/>
      <c r="ISC68" s="349"/>
      <c r="ISD68" s="349"/>
      <c r="ISE68" s="349"/>
      <c r="ISF68" s="349"/>
      <c r="ISG68" s="349"/>
      <c r="ISH68" s="349"/>
      <c r="ISI68" s="349"/>
      <c r="ISJ68" s="349"/>
      <c r="ISK68" s="349"/>
      <c r="ISL68" s="349"/>
      <c r="ISM68" s="349"/>
      <c r="ISN68" s="349"/>
      <c r="ISO68" s="349"/>
      <c r="ISP68" s="349"/>
      <c r="ISQ68" s="349"/>
      <c r="ISR68" s="349"/>
      <c r="ISS68" s="349"/>
      <c r="IST68" s="349"/>
      <c r="ISU68" s="349"/>
      <c r="ISV68" s="349"/>
      <c r="ISW68" s="349"/>
      <c r="ISX68" s="349"/>
      <c r="ISY68" s="349"/>
      <c r="ISZ68" s="349"/>
      <c r="ITA68" s="349"/>
      <c r="ITB68" s="349"/>
      <c r="ITC68" s="349"/>
      <c r="ITD68" s="349"/>
      <c r="ITE68" s="349"/>
      <c r="ITF68" s="349"/>
      <c r="ITG68" s="349"/>
      <c r="ITH68" s="349"/>
      <c r="ITI68" s="349"/>
      <c r="ITJ68" s="349"/>
      <c r="ITK68" s="349"/>
      <c r="ITL68" s="349"/>
      <c r="ITM68" s="349"/>
      <c r="ITN68" s="349"/>
      <c r="ITO68" s="349"/>
      <c r="ITP68" s="349"/>
      <c r="ITQ68" s="349"/>
      <c r="ITR68" s="349"/>
      <c r="ITS68" s="349"/>
      <c r="ITT68" s="349"/>
      <c r="ITU68" s="349"/>
      <c r="ITV68" s="349"/>
      <c r="ITW68" s="349"/>
      <c r="ITX68" s="349"/>
      <c r="ITY68" s="349"/>
      <c r="ITZ68" s="349"/>
      <c r="IUA68" s="349"/>
      <c r="IUB68" s="349"/>
      <c r="IUC68" s="349"/>
      <c r="IUD68" s="349"/>
      <c r="IUE68" s="349"/>
      <c r="IUF68" s="349"/>
      <c r="IUG68" s="349"/>
      <c r="IUH68" s="349"/>
      <c r="IUI68" s="349"/>
      <c r="IUJ68" s="349"/>
      <c r="IUK68" s="349"/>
      <c r="IUL68" s="349"/>
      <c r="IUM68" s="349"/>
      <c r="IUN68" s="349"/>
      <c r="IUO68" s="349"/>
      <c r="IUP68" s="349"/>
      <c r="IUQ68" s="349"/>
      <c r="IUR68" s="349"/>
      <c r="IUS68" s="349"/>
      <c r="IUT68" s="349"/>
      <c r="IUU68" s="349"/>
      <c r="IUV68" s="349"/>
      <c r="IUW68" s="349"/>
      <c r="IUX68" s="349"/>
      <c r="IUY68" s="349"/>
      <c r="IUZ68" s="349"/>
      <c r="IVA68" s="349"/>
      <c r="IVB68" s="349"/>
      <c r="IVC68" s="349"/>
      <c r="IVD68" s="349"/>
      <c r="IVE68" s="349"/>
      <c r="IVF68" s="349"/>
      <c r="IVG68" s="349"/>
      <c r="IVH68" s="349"/>
      <c r="IVI68" s="349"/>
      <c r="IVJ68" s="349"/>
      <c r="IVK68" s="349"/>
      <c r="IVL68" s="349"/>
      <c r="IVM68" s="349"/>
      <c r="IVN68" s="349"/>
      <c r="IVO68" s="349"/>
      <c r="IVP68" s="349"/>
      <c r="IVQ68" s="349"/>
      <c r="IVR68" s="349"/>
      <c r="IVS68" s="349"/>
      <c r="IVT68" s="349"/>
      <c r="IVU68" s="349"/>
      <c r="IVV68" s="349"/>
      <c r="IVW68" s="349"/>
      <c r="IVX68" s="349"/>
      <c r="IVY68" s="349"/>
      <c r="IVZ68" s="349"/>
      <c r="IWA68" s="349"/>
      <c r="IWB68" s="349"/>
      <c r="IWC68" s="349"/>
      <c r="IWD68" s="349"/>
      <c r="IWE68" s="349"/>
      <c r="IWF68" s="349"/>
      <c r="IWG68" s="349"/>
      <c r="IWH68" s="349"/>
      <c r="IWI68" s="349"/>
      <c r="IWJ68" s="349"/>
      <c r="IWK68" s="349"/>
      <c r="IWL68" s="349"/>
      <c r="IWM68" s="349"/>
      <c r="IWN68" s="349"/>
      <c r="IWO68" s="349"/>
      <c r="IWP68" s="349"/>
      <c r="IWQ68" s="349"/>
      <c r="IWR68" s="349"/>
      <c r="IWS68" s="349"/>
      <c r="IWT68" s="349"/>
      <c r="IWU68" s="349"/>
      <c r="IWV68" s="349"/>
      <c r="IWW68" s="349"/>
      <c r="IWX68" s="349"/>
      <c r="IWY68" s="349"/>
      <c r="IWZ68" s="349"/>
      <c r="IXA68" s="349"/>
      <c r="IXB68" s="349"/>
      <c r="IXC68" s="349"/>
      <c r="IXD68" s="349"/>
      <c r="IXE68" s="349"/>
      <c r="IXF68" s="349"/>
      <c r="IXG68" s="349"/>
      <c r="IXH68" s="349"/>
      <c r="IXI68" s="349"/>
      <c r="IXJ68" s="349"/>
      <c r="IXK68" s="349"/>
      <c r="IXL68" s="349"/>
      <c r="IXM68" s="349"/>
      <c r="IXN68" s="349"/>
      <c r="IXO68" s="349"/>
      <c r="IXP68" s="349"/>
      <c r="IXQ68" s="349"/>
      <c r="IXR68" s="349"/>
      <c r="IXS68" s="349"/>
      <c r="IXT68" s="349"/>
      <c r="IXU68" s="349"/>
      <c r="IXV68" s="349"/>
      <c r="IXW68" s="349"/>
      <c r="IXX68" s="349"/>
      <c r="IXY68" s="349"/>
      <c r="IXZ68" s="349"/>
      <c r="IYA68" s="349"/>
      <c r="IYB68" s="349"/>
      <c r="IYC68" s="349"/>
      <c r="IYD68" s="349"/>
      <c r="IYE68" s="349"/>
      <c r="IYF68" s="349"/>
      <c r="IYG68" s="349"/>
      <c r="IYH68" s="349"/>
      <c r="IYI68" s="349"/>
      <c r="IYJ68" s="349"/>
      <c r="IYK68" s="349"/>
      <c r="IYL68" s="349"/>
      <c r="IYM68" s="349"/>
      <c r="IYN68" s="349"/>
      <c r="IYO68" s="349"/>
      <c r="IYP68" s="349"/>
      <c r="IYQ68" s="349"/>
      <c r="IYR68" s="349"/>
      <c r="IYS68" s="349"/>
      <c r="IYT68" s="349"/>
      <c r="IYU68" s="349"/>
      <c r="IYV68" s="349"/>
      <c r="IYW68" s="349"/>
      <c r="IYX68" s="349"/>
      <c r="IYY68" s="349"/>
      <c r="IYZ68" s="349"/>
      <c r="IZA68" s="349"/>
      <c r="IZB68" s="349"/>
      <c r="IZC68" s="349"/>
      <c r="IZD68" s="349"/>
      <c r="IZE68" s="349"/>
      <c r="IZF68" s="349"/>
      <c r="IZG68" s="349"/>
      <c r="IZH68" s="349"/>
      <c r="IZI68" s="349"/>
      <c r="IZJ68" s="349"/>
      <c r="IZK68" s="349"/>
      <c r="IZL68" s="349"/>
      <c r="IZM68" s="349"/>
      <c r="IZN68" s="349"/>
      <c r="IZO68" s="349"/>
      <c r="IZP68" s="349"/>
      <c r="IZQ68" s="349"/>
      <c r="IZR68" s="349"/>
      <c r="IZS68" s="349"/>
      <c r="IZT68" s="349"/>
      <c r="IZU68" s="349"/>
      <c r="IZV68" s="349"/>
      <c r="IZW68" s="349"/>
      <c r="IZX68" s="349"/>
      <c r="IZY68" s="349"/>
      <c r="IZZ68" s="349"/>
      <c r="JAA68" s="349"/>
      <c r="JAB68" s="349"/>
      <c r="JAC68" s="349"/>
      <c r="JAD68" s="349"/>
      <c r="JAE68" s="349"/>
      <c r="JAF68" s="349"/>
      <c r="JAG68" s="349"/>
      <c r="JAH68" s="349"/>
      <c r="JAI68" s="349"/>
      <c r="JAJ68" s="349"/>
      <c r="JAK68" s="349"/>
      <c r="JAL68" s="349"/>
      <c r="JAM68" s="349"/>
      <c r="JAN68" s="349"/>
      <c r="JAO68" s="349"/>
      <c r="JAP68" s="349"/>
      <c r="JAQ68" s="349"/>
      <c r="JAR68" s="349"/>
      <c r="JAS68" s="349"/>
      <c r="JAT68" s="349"/>
      <c r="JAU68" s="349"/>
      <c r="JAV68" s="349"/>
      <c r="JAW68" s="349"/>
      <c r="JAX68" s="349"/>
      <c r="JAY68" s="349"/>
      <c r="JAZ68" s="349"/>
      <c r="JBA68" s="349"/>
      <c r="JBB68" s="349"/>
      <c r="JBC68" s="349"/>
      <c r="JBD68" s="349"/>
      <c r="JBE68" s="349"/>
      <c r="JBF68" s="349"/>
      <c r="JBG68" s="349"/>
      <c r="JBH68" s="349"/>
      <c r="JBI68" s="349"/>
      <c r="JBJ68" s="349"/>
      <c r="JBK68" s="349"/>
      <c r="JBL68" s="349"/>
      <c r="JBM68" s="349"/>
      <c r="JBN68" s="349"/>
      <c r="JBO68" s="349"/>
      <c r="JBP68" s="349"/>
      <c r="JBQ68" s="349"/>
      <c r="JBR68" s="349"/>
      <c r="JBS68" s="349"/>
      <c r="JBT68" s="349"/>
      <c r="JBU68" s="349"/>
      <c r="JBV68" s="349"/>
      <c r="JBW68" s="349"/>
      <c r="JBX68" s="349"/>
      <c r="JBY68" s="349"/>
      <c r="JBZ68" s="349"/>
      <c r="JCA68" s="349"/>
      <c r="JCB68" s="349"/>
      <c r="JCC68" s="349"/>
      <c r="JCD68" s="349"/>
      <c r="JCE68" s="349"/>
      <c r="JCF68" s="349"/>
      <c r="JCG68" s="349"/>
      <c r="JCH68" s="349"/>
      <c r="JCI68" s="349"/>
      <c r="JCJ68" s="349"/>
      <c r="JCK68" s="349"/>
      <c r="JCL68" s="349"/>
      <c r="JCM68" s="349"/>
      <c r="JCN68" s="349"/>
      <c r="JCO68" s="349"/>
      <c r="JCP68" s="349"/>
      <c r="JCQ68" s="349"/>
      <c r="JCR68" s="349"/>
      <c r="JCS68" s="349"/>
      <c r="JCT68" s="349"/>
      <c r="JCU68" s="349"/>
      <c r="JCV68" s="349"/>
      <c r="JCW68" s="349"/>
      <c r="JCX68" s="349"/>
      <c r="JCY68" s="349"/>
      <c r="JCZ68" s="349"/>
      <c r="JDA68" s="349"/>
      <c r="JDB68" s="349"/>
      <c r="JDC68" s="349"/>
      <c r="JDD68" s="349"/>
      <c r="JDE68" s="349"/>
      <c r="JDF68" s="349"/>
      <c r="JDG68" s="349"/>
      <c r="JDH68" s="349"/>
      <c r="JDI68" s="349"/>
      <c r="JDJ68" s="349"/>
      <c r="JDK68" s="349"/>
      <c r="JDL68" s="349"/>
      <c r="JDM68" s="349"/>
      <c r="JDN68" s="349"/>
      <c r="JDO68" s="349"/>
      <c r="JDP68" s="349"/>
      <c r="JDQ68" s="349"/>
      <c r="JDR68" s="349"/>
      <c r="JDS68" s="349"/>
      <c r="JDT68" s="349"/>
      <c r="JDU68" s="349"/>
      <c r="JDV68" s="349"/>
      <c r="JDW68" s="349"/>
      <c r="JDX68" s="349"/>
      <c r="JDY68" s="349"/>
      <c r="JDZ68" s="349"/>
      <c r="JEA68" s="349"/>
      <c r="JEB68" s="349"/>
      <c r="JEC68" s="349"/>
      <c r="JED68" s="349"/>
      <c r="JEE68" s="349"/>
      <c r="JEF68" s="349"/>
      <c r="JEG68" s="349"/>
      <c r="JEH68" s="349"/>
      <c r="JEI68" s="349"/>
      <c r="JEJ68" s="349"/>
      <c r="JEK68" s="349"/>
      <c r="JEL68" s="349"/>
      <c r="JEM68" s="349"/>
      <c r="JEN68" s="349"/>
      <c r="JEO68" s="349"/>
      <c r="JEP68" s="349"/>
      <c r="JEQ68" s="349"/>
      <c r="JER68" s="349"/>
      <c r="JES68" s="349"/>
      <c r="JET68" s="349"/>
      <c r="JEU68" s="349"/>
      <c r="JEV68" s="349"/>
      <c r="JEW68" s="349"/>
      <c r="JEX68" s="349"/>
      <c r="JEY68" s="349"/>
      <c r="JEZ68" s="349"/>
      <c r="JFA68" s="349"/>
      <c r="JFB68" s="349"/>
      <c r="JFC68" s="349"/>
      <c r="JFD68" s="349"/>
      <c r="JFE68" s="349"/>
      <c r="JFF68" s="349"/>
      <c r="JFG68" s="349"/>
      <c r="JFH68" s="349"/>
      <c r="JFI68" s="349"/>
      <c r="JFJ68" s="349"/>
      <c r="JFK68" s="349"/>
      <c r="JFL68" s="349"/>
      <c r="JFM68" s="349"/>
      <c r="JFN68" s="349"/>
      <c r="JFO68" s="349"/>
      <c r="JFP68" s="349"/>
      <c r="JFQ68" s="349"/>
      <c r="JFR68" s="349"/>
      <c r="JFS68" s="349"/>
      <c r="JFT68" s="349"/>
      <c r="JFU68" s="349"/>
      <c r="JFV68" s="349"/>
      <c r="JFW68" s="349"/>
      <c r="JFX68" s="349"/>
      <c r="JFY68" s="349"/>
      <c r="JFZ68" s="349"/>
      <c r="JGA68" s="349"/>
      <c r="JGB68" s="349"/>
      <c r="JGC68" s="349"/>
      <c r="JGD68" s="349"/>
      <c r="JGE68" s="349"/>
      <c r="JGF68" s="349"/>
      <c r="JGG68" s="349"/>
      <c r="JGH68" s="349"/>
      <c r="JGI68" s="349"/>
      <c r="JGJ68" s="349"/>
      <c r="JGK68" s="349"/>
      <c r="JGL68" s="349"/>
      <c r="JGM68" s="349"/>
      <c r="JGN68" s="349"/>
      <c r="JGO68" s="349"/>
      <c r="JGP68" s="349"/>
      <c r="JGQ68" s="349"/>
      <c r="JGR68" s="349"/>
      <c r="JGS68" s="349"/>
      <c r="JGT68" s="349"/>
      <c r="JGU68" s="349"/>
      <c r="JGV68" s="349"/>
      <c r="JGW68" s="349"/>
      <c r="JGX68" s="349"/>
      <c r="JGY68" s="349"/>
      <c r="JGZ68" s="349"/>
      <c r="JHA68" s="349"/>
      <c r="JHB68" s="349"/>
      <c r="JHC68" s="349"/>
      <c r="JHD68" s="349"/>
      <c r="JHE68" s="349"/>
      <c r="JHF68" s="349"/>
      <c r="JHG68" s="349"/>
      <c r="JHH68" s="349"/>
      <c r="JHI68" s="349"/>
      <c r="JHJ68" s="349"/>
      <c r="JHK68" s="349"/>
      <c r="JHL68" s="349"/>
      <c r="JHM68" s="349"/>
      <c r="JHN68" s="349"/>
      <c r="JHO68" s="349"/>
      <c r="JHP68" s="349"/>
      <c r="JHQ68" s="349"/>
      <c r="JHR68" s="349"/>
      <c r="JHS68" s="349"/>
      <c r="JHT68" s="349"/>
      <c r="JHU68" s="349"/>
      <c r="JHV68" s="349"/>
      <c r="JHW68" s="349"/>
      <c r="JHX68" s="349"/>
      <c r="JHY68" s="349"/>
      <c r="JHZ68" s="349"/>
      <c r="JIA68" s="349"/>
      <c r="JIB68" s="349"/>
      <c r="JIC68" s="349"/>
      <c r="JID68" s="349"/>
      <c r="JIE68" s="349"/>
      <c r="JIF68" s="349"/>
      <c r="JIG68" s="349"/>
      <c r="JIH68" s="349"/>
      <c r="JII68" s="349"/>
      <c r="JIJ68" s="349"/>
      <c r="JIK68" s="349"/>
      <c r="JIL68" s="349"/>
      <c r="JIM68" s="349"/>
      <c r="JIN68" s="349"/>
      <c r="JIO68" s="349"/>
      <c r="JIP68" s="349"/>
      <c r="JIQ68" s="349"/>
      <c r="JIR68" s="349"/>
      <c r="JIS68" s="349"/>
      <c r="JIT68" s="349"/>
      <c r="JIU68" s="349"/>
      <c r="JIV68" s="349"/>
      <c r="JIW68" s="349"/>
      <c r="JIX68" s="349"/>
      <c r="JIY68" s="349"/>
      <c r="JIZ68" s="349"/>
      <c r="JJA68" s="349"/>
      <c r="JJB68" s="349"/>
      <c r="JJC68" s="349"/>
      <c r="JJD68" s="349"/>
      <c r="JJE68" s="349"/>
      <c r="JJF68" s="349"/>
      <c r="JJG68" s="349"/>
      <c r="JJH68" s="349"/>
      <c r="JJI68" s="349"/>
      <c r="JJJ68" s="349"/>
      <c r="JJK68" s="349"/>
      <c r="JJL68" s="349"/>
      <c r="JJM68" s="349"/>
      <c r="JJN68" s="349"/>
      <c r="JJO68" s="349"/>
      <c r="JJP68" s="349"/>
      <c r="JJQ68" s="349"/>
      <c r="JJR68" s="349"/>
      <c r="JJS68" s="349"/>
      <c r="JJT68" s="349"/>
      <c r="JJU68" s="349"/>
      <c r="JJV68" s="349"/>
      <c r="JJW68" s="349"/>
      <c r="JJX68" s="349"/>
      <c r="JJY68" s="349"/>
      <c r="JJZ68" s="349"/>
      <c r="JKA68" s="349"/>
      <c r="JKB68" s="349"/>
      <c r="JKC68" s="349"/>
      <c r="JKD68" s="349"/>
      <c r="JKE68" s="349"/>
      <c r="JKF68" s="349"/>
      <c r="JKG68" s="349"/>
      <c r="JKH68" s="349"/>
      <c r="JKI68" s="349"/>
      <c r="JKJ68" s="349"/>
      <c r="JKK68" s="349"/>
      <c r="JKL68" s="349"/>
      <c r="JKM68" s="349"/>
      <c r="JKN68" s="349"/>
      <c r="JKO68" s="349"/>
      <c r="JKP68" s="349"/>
      <c r="JKQ68" s="349"/>
      <c r="JKR68" s="349"/>
      <c r="JKS68" s="349"/>
      <c r="JKT68" s="349"/>
      <c r="JKU68" s="349"/>
      <c r="JKV68" s="349"/>
      <c r="JKW68" s="349"/>
      <c r="JKX68" s="349"/>
      <c r="JKY68" s="349"/>
      <c r="JKZ68" s="349"/>
      <c r="JLA68" s="349"/>
      <c r="JLB68" s="349"/>
      <c r="JLC68" s="349"/>
      <c r="JLD68" s="349"/>
      <c r="JLE68" s="349"/>
      <c r="JLF68" s="349"/>
      <c r="JLG68" s="349"/>
      <c r="JLH68" s="349"/>
      <c r="JLI68" s="349"/>
      <c r="JLJ68" s="349"/>
      <c r="JLK68" s="349"/>
      <c r="JLL68" s="349"/>
      <c r="JLM68" s="349"/>
      <c r="JLN68" s="349"/>
      <c r="JLO68" s="349"/>
      <c r="JLP68" s="349"/>
      <c r="JLQ68" s="349"/>
      <c r="JLR68" s="349"/>
      <c r="JLS68" s="349"/>
      <c r="JLT68" s="349"/>
      <c r="JLU68" s="349"/>
      <c r="JLV68" s="349"/>
      <c r="JLW68" s="349"/>
      <c r="JLX68" s="349"/>
      <c r="JLY68" s="349"/>
      <c r="JLZ68" s="349"/>
      <c r="JMA68" s="349"/>
      <c r="JMB68" s="349"/>
      <c r="JMC68" s="349"/>
      <c r="JMD68" s="349"/>
      <c r="JME68" s="349"/>
      <c r="JMF68" s="349"/>
      <c r="JMG68" s="349"/>
      <c r="JMH68" s="349"/>
      <c r="JMI68" s="349"/>
      <c r="JMJ68" s="349"/>
      <c r="JMK68" s="349"/>
      <c r="JML68" s="349"/>
      <c r="JMM68" s="349"/>
      <c r="JMN68" s="349"/>
      <c r="JMO68" s="349"/>
      <c r="JMP68" s="349"/>
      <c r="JMQ68" s="349"/>
      <c r="JMR68" s="349"/>
      <c r="JMS68" s="349"/>
      <c r="JMT68" s="349"/>
      <c r="JMU68" s="349"/>
      <c r="JMV68" s="349"/>
      <c r="JMW68" s="349"/>
      <c r="JMX68" s="349"/>
      <c r="JMY68" s="349"/>
      <c r="JMZ68" s="349"/>
      <c r="JNA68" s="349"/>
      <c r="JNB68" s="349"/>
      <c r="JNC68" s="349"/>
      <c r="JND68" s="349"/>
      <c r="JNE68" s="349"/>
      <c r="JNF68" s="349"/>
      <c r="JNG68" s="349"/>
      <c r="JNH68" s="349"/>
      <c r="JNI68" s="349"/>
      <c r="JNJ68" s="349"/>
      <c r="JNK68" s="349"/>
      <c r="JNL68" s="349"/>
      <c r="JNM68" s="349"/>
      <c r="JNN68" s="349"/>
      <c r="JNO68" s="349"/>
      <c r="JNP68" s="349"/>
      <c r="JNQ68" s="349"/>
      <c r="JNR68" s="349"/>
      <c r="JNS68" s="349"/>
      <c r="JNT68" s="349"/>
      <c r="JNU68" s="349"/>
      <c r="JNV68" s="349"/>
      <c r="JNW68" s="349"/>
      <c r="JNX68" s="349"/>
      <c r="JNY68" s="349"/>
      <c r="JNZ68" s="349"/>
      <c r="JOA68" s="349"/>
      <c r="JOB68" s="349"/>
      <c r="JOC68" s="349"/>
      <c r="JOD68" s="349"/>
      <c r="JOE68" s="349"/>
      <c r="JOF68" s="349"/>
      <c r="JOG68" s="349"/>
      <c r="JOH68" s="349"/>
      <c r="JOI68" s="349"/>
      <c r="JOJ68" s="349"/>
      <c r="JOK68" s="349"/>
      <c r="JOL68" s="349"/>
      <c r="JOM68" s="349"/>
      <c r="JON68" s="349"/>
      <c r="JOO68" s="349"/>
      <c r="JOP68" s="349"/>
      <c r="JOQ68" s="349"/>
      <c r="JOR68" s="349"/>
      <c r="JOS68" s="349"/>
      <c r="JOT68" s="349"/>
      <c r="JOU68" s="349"/>
      <c r="JOV68" s="349"/>
      <c r="JOW68" s="349"/>
      <c r="JOX68" s="349"/>
      <c r="JOY68" s="349"/>
      <c r="JOZ68" s="349"/>
      <c r="JPA68" s="349"/>
      <c r="JPB68" s="349"/>
      <c r="JPC68" s="349"/>
      <c r="JPD68" s="349"/>
      <c r="JPE68" s="349"/>
      <c r="JPF68" s="349"/>
      <c r="JPG68" s="349"/>
      <c r="JPH68" s="349"/>
      <c r="JPI68" s="349"/>
      <c r="JPJ68" s="349"/>
      <c r="JPK68" s="349"/>
      <c r="JPL68" s="349"/>
      <c r="JPM68" s="349"/>
      <c r="JPN68" s="349"/>
      <c r="JPO68" s="349"/>
      <c r="JPP68" s="349"/>
      <c r="JPQ68" s="349"/>
      <c r="JPR68" s="349"/>
      <c r="JPS68" s="349"/>
      <c r="JPT68" s="349"/>
      <c r="JPU68" s="349"/>
      <c r="JPV68" s="349"/>
      <c r="JPW68" s="349"/>
      <c r="JPX68" s="349"/>
      <c r="JPY68" s="349"/>
      <c r="JPZ68" s="349"/>
      <c r="JQA68" s="349"/>
      <c r="JQB68" s="349"/>
      <c r="JQC68" s="349"/>
      <c r="JQD68" s="349"/>
      <c r="JQE68" s="349"/>
      <c r="JQF68" s="349"/>
      <c r="JQG68" s="349"/>
      <c r="JQH68" s="349"/>
      <c r="JQI68" s="349"/>
      <c r="JQJ68" s="349"/>
      <c r="JQK68" s="349"/>
      <c r="JQL68" s="349"/>
      <c r="JQM68" s="349"/>
      <c r="JQN68" s="349"/>
      <c r="JQO68" s="349"/>
      <c r="JQP68" s="349"/>
      <c r="JQQ68" s="349"/>
      <c r="JQR68" s="349"/>
      <c r="JQS68" s="349"/>
      <c r="JQT68" s="349"/>
      <c r="JQU68" s="349"/>
      <c r="JQV68" s="349"/>
      <c r="JQW68" s="349"/>
      <c r="JQX68" s="349"/>
      <c r="JQY68" s="349"/>
      <c r="JQZ68" s="349"/>
      <c r="JRA68" s="349"/>
      <c r="JRB68" s="349"/>
      <c r="JRC68" s="349"/>
      <c r="JRD68" s="349"/>
      <c r="JRE68" s="349"/>
      <c r="JRF68" s="349"/>
      <c r="JRG68" s="349"/>
      <c r="JRH68" s="349"/>
      <c r="JRI68" s="349"/>
      <c r="JRJ68" s="349"/>
      <c r="JRK68" s="349"/>
      <c r="JRL68" s="349"/>
      <c r="JRM68" s="349"/>
      <c r="JRN68" s="349"/>
      <c r="JRO68" s="349"/>
      <c r="JRP68" s="349"/>
      <c r="JRQ68" s="349"/>
      <c r="JRR68" s="349"/>
      <c r="JRS68" s="349"/>
      <c r="JRT68" s="349"/>
      <c r="JRU68" s="349"/>
      <c r="JRV68" s="349"/>
      <c r="JRW68" s="349"/>
      <c r="JRX68" s="349"/>
      <c r="JRY68" s="349"/>
      <c r="JRZ68" s="349"/>
      <c r="JSA68" s="349"/>
      <c r="JSB68" s="349"/>
      <c r="JSC68" s="349"/>
      <c r="JSD68" s="349"/>
      <c r="JSE68" s="349"/>
      <c r="JSF68" s="349"/>
      <c r="JSG68" s="349"/>
      <c r="JSH68" s="349"/>
      <c r="JSI68" s="349"/>
      <c r="JSJ68" s="349"/>
      <c r="JSK68" s="349"/>
      <c r="JSL68" s="349"/>
      <c r="JSM68" s="349"/>
      <c r="JSN68" s="349"/>
      <c r="JSO68" s="349"/>
      <c r="JSP68" s="349"/>
      <c r="JSQ68" s="349"/>
      <c r="JSR68" s="349"/>
      <c r="JSS68" s="349"/>
      <c r="JST68" s="349"/>
      <c r="JSU68" s="349"/>
      <c r="JSV68" s="349"/>
      <c r="JSW68" s="349"/>
      <c r="JSX68" s="349"/>
      <c r="JSY68" s="349"/>
      <c r="JSZ68" s="349"/>
      <c r="JTA68" s="349"/>
      <c r="JTB68" s="349"/>
      <c r="JTC68" s="349"/>
      <c r="JTD68" s="349"/>
      <c r="JTE68" s="349"/>
      <c r="JTF68" s="349"/>
      <c r="JTG68" s="349"/>
      <c r="JTH68" s="349"/>
      <c r="JTI68" s="349"/>
      <c r="JTJ68" s="349"/>
      <c r="JTK68" s="349"/>
      <c r="JTL68" s="349"/>
      <c r="JTM68" s="349"/>
      <c r="JTN68" s="349"/>
      <c r="JTO68" s="349"/>
      <c r="JTP68" s="349"/>
      <c r="JTQ68" s="349"/>
      <c r="JTR68" s="349"/>
      <c r="JTS68" s="349"/>
      <c r="JTT68" s="349"/>
      <c r="JTU68" s="349"/>
      <c r="JTV68" s="349"/>
      <c r="JTW68" s="349"/>
      <c r="JTX68" s="349"/>
      <c r="JTY68" s="349"/>
      <c r="JTZ68" s="349"/>
      <c r="JUA68" s="349"/>
      <c r="JUB68" s="349"/>
      <c r="JUC68" s="349"/>
      <c r="JUD68" s="349"/>
      <c r="JUE68" s="349"/>
      <c r="JUF68" s="349"/>
      <c r="JUG68" s="349"/>
      <c r="JUH68" s="349"/>
      <c r="JUI68" s="349"/>
      <c r="JUJ68" s="349"/>
      <c r="JUK68" s="349"/>
      <c r="JUL68" s="349"/>
      <c r="JUM68" s="349"/>
      <c r="JUN68" s="349"/>
      <c r="JUO68" s="349"/>
      <c r="JUP68" s="349"/>
      <c r="JUQ68" s="349"/>
      <c r="JUR68" s="349"/>
      <c r="JUS68" s="349"/>
      <c r="JUT68" s="349"/>
      <c r="JUU68" s="349"/>
      <c r="JUV68" s="349"/>
      <c r="JUW68" s="349"/>
      <c r="JUX68" s="349"/>
      <c r="JUY68" s="349"/>
      <c r="JUZ68" s="349"/>
      <c r="JVA68" s="349"/>
      <c r="JVB68" s="349"/>
      <c r="JVC68" s="349"/>
      <c r="JVD68" s="349"/>
      <c r="JVE68" s="349"/>
      <c r="JVF68" s="349"/>
      <c r="JVG68" s="349"/>
      <c r="JVH68" s="349"/>
      <c r="JVI68" s="349"/>
      <c r="JVJ68" s="349"/>
      <c r="JVK68" s="349"/>
      <c r="JVL68" s="349"/>
      <c r="JVM68" s="349"/>
      <c r="JVN68" s="349"/>
      <c r="JVO68" s="349"/>
      <c r="JVP68" s="349"/>
      <c r="JVQ68" s="349"/>
      <c r="JVR68" s="349"/>
      <c r="JVS68" s="349"/>
      <c r="JVT68" s="349"/>
      <c r="JVU68" s="349"/>
      <c r="JVV68" s="349"/>
      <c r="JVW68" s="349"/>
      <c r="JVX68" s="349"/>
      <c r="JVY68" s="349"/>
      <c r="JVZ68" s="349"/>
      <c r="JWA68" s="349"/>
      <c r="JWB68" s="349"/>
      <c r="JWC68" s="349"/>
      <c r="JWD68" s="349"/>
      <c r="JWE68" s="349"/>
      <c r="JWF68" s="349"/>
      <c r="JWG68" s="349"/>
      <c r="JWH68" s="349"/>
      <c r="JWI68" s="349"/>
      <c r="JWJ68" s="349"/>
      <c r="JWK68" s="349"/>
      <c r="JWL68" s="349"/>
      <c r="JWM68" s="349"/>
      <c r="JWN68" s="349"/>
      <c r="JWO68" s="349"/>
      <c r="JWP68" s="349"/>
      <c r="JWQ68" s="349"/>
      <c r="JWR68" s="349"/>
      <c r="JWS68" s="349"/>
      <c r="JWT68" s="349"/>
      <c r="JWU68" s="349"/>
      <c r="JWV68" s="349"/>
      <c r="JWW68" s="349"/>
      <c r="JWX68" s="349"/>
      <c r="JWY68" s="349"/>
      <c r="JWZ68" s="349"/>
      <c r="JXA68" s="349"/>
      <c r="JXB68" s="349"/>
      <c r="JXC68" s="349"/>
      <c r="JXD68" s="349"/>
      <c r="JXE68" s="349"/>
      <c r="JXF68" s="349"/>
      <c r="JXG68" s="349"/>
      <c r="JXH68" s="349"/>
      <c r="JXI68" s="349"/>
      <c r="JXJ68" s="349"/>
      <c r="JXK68" s="349"/>
      <c r="JXL68" s="349"/>
      <c r="JXM68" s="349"/>
      <c r="JXN68" s="349"/>
      <c r="JXO68" s="349"/>
      <c r="JXP68" s="349"/>
      <c r="JXQ68" s="349"/>
      <c r="JXR68" s="349"/>
      <c r="JXS68" s="349"/>
      <c r="JXT68" s="349"/>
      <c r="JXU68" s="349"/>
      <c r="JXV68" s="349"/>
      <c r="JXW68" s="349"/>
      <c r="JXX68" s="349"/>
      <c r="JXY68" s="349"/>
      <c r="JXZ68" s="349"/>
      <c r="JYA68" s="349"/>
      <c r="JYB68" s="349"/>
      <c r="JYC68" s="349"/>
      <c r="JYD68" s="349"/>
      <c r="JYE68" s="349"/>
      <c r="JYF68" s="349"/>
      <c r="JYG68" s="349"/>
      <c r="JYH68" s="349"/>
      <c r="JYI68" s="349"/>
      <c r="JYJ68" s="349"/>
      <c r="JYK68" s="349"/>
      <c r="JYL68" s="349"/>
      <c r="JYM68" s="349"/>
      <c r="JYN68" s="349"/>
      <c r="JYO68" s="349"/>
      <c r="JYP68" s="349"/>
      <c r="JYQ68" s="349"/>
      <c r="JYR68" s="349"/>
      <c r="JYS68" s="349"/>
      <c r="JYT68" s="349"/>
      <c r="JYU68" s="349"/>
      <c r="JYV68" s="349"/>
      <c r="JYW68" s="349"/>
      <c r="JYX68" s="349"/>
      <c r="JYY68" s="349"/>
      <c r="JYZ68" s="349"/>
      <c r="JZA68" s="349"/>
      <c r="JZB68" s="349"/>
      <c r="JZC68" s="349"/>
      <c r="JZD68" s="349"/>
      <c r="JZE68" s="349"/>
      <c r="JZF68" s="349"/>
      <c r="JZG68" s="349"/>
      <c r="JZH68" s="349"/>
      <c r="JZI68" s="349"/>
      <c r="JZJ68" s="349"/>
      <c r="JZK68" s="349"/>
      <c r="JZL68" s="349"/>
      <c r="JZM68" s="349"/>
      <c r="JZN68" s="349"/>
      <c r="JZO68" s="349"/>
      <c r="JZP68" s="349"/>
      <c r="JZQ68" s="349"/>
      <c r="JZR68" s="349"/>
      <c r="JZS68" s="349"/>
      <c r="JZT68" s="349"/>
      <c r="JZU68" s="349"/>
      <c r="JZV68" s="349"/>
      <c r="JZW68" s="349"/>
      <c r="JZX68" s="349"/>
      <c r="JZY68" s="349"/>
      <c r="JZZ68" s="349"/>
      <c r="KAA68" s="349"/>
      <c r="KAB68" s="349"/>
      <c r="KAC68" s="349"/>
      <c r="KAD68" s="349"/>
      <c r="KAE68" s="349"/>
      <c r="KAF68" s="349"/>
      <c r="KAG68" s="349"/>
      <c r="KAH68" s="349"/>
      <c r="KAI68" s="349"/>
      <c r="KAJ68" s="349"/>
      <c r="KAK68" s="349"/>
      <c r="KAL68" s="349"/>
      <c r="KAM68" s="349"/>
      <c r="KAN68" s="349"/>
      <c r="KAO68" s="349"/>
      <c r="KAP68" s="349"/>
      <c r="KAQ68" s="349"/>
      <c r="KAR68" s="349"/>
      <c r="KAS68" s="349"/>
      <c r="KAT68" s="349"/>
      <c r="KAU68" s="349"/>
      <c r="KAV68" s="349"/>
      <c r="KAW68" s="349"/>
      <c r="KAX68" s="349"/>
      <c r="KAY68" s="349"/>
      <c r="KAZ68" s="349"/>
      <c r="KBA68" s="349"/>
      <c r="KBB68" s="349"/>
      <c r="KBC68" s="349"/>
      <c r="KBD68" s="349"/>
      <c r="KBE68" s="349"/>
      <c r="KBF68" s="349"/>
      <c r="KBG68" s="349"/>
      <c r="KBH68" s="349"/>
      <c r="KBI68" s="349"/>
      <c r="KBJ68" s="349"/>
      <c r="KBK68" s="349"/>
      <c r="KBL68" s="349"/>
      <c r="KBM68" s="349"/>
      <c r="KBN68" s="349"/>
      <c r="KBO68" s="349"/>
      <c r="KBP68" s="349"/>
      <c r="KBQ68" s="349"/>
      <c r="KBR68" s="349"/>
      <c r="KBS68" s="349"/>
      <c r="KBT68" s="349"/>
      <c r="KBU68" s="349"/>
      <c r="KBV68" s="349"/>
      <c r="KBW68" s="349"/>
      <c r="KBX68" s="349"/>
      <c r="KBY68" s="349"/>
      <c r="KBZ68" s="349"/>
      <c r="KCA68" s="349"/>
      <c r="KCB68" s="349"/>
      <c r="KCC68" s="349"/>
      <c r="KCD68" s="349"/>
      <c r="KCE68" s="349"/>
      <c r="KCF68" s="349"/>
      <c r="KCG68" s="349"/>
      <c r="KCH68" s="349"/>
      <c r="KCI68" s="349"/>
      <c r="KCJ68" s="349"/>
      <c r="KCK68" s="349"/>
      <c r="KCL68" s="349"/>
      <c r="KCM68" s="349"/>
      <c r="KCN68" s="349"/>
      <c r="KCO68" s="349"/>
      <c r="KCP68" s="349"/>
      <c r="KCQ68" s="349"/>
      <c r="KCR68" s="349"/>
      <c r="KCS68" s="349"/>
      <c r="KCT68" s="349"/>
      <c r="KCU68" s="349"/>
      <c r="KCV68" s="349"/>
      <c r="KCW68" s="349"/>
      <c r="KCX68" s="349"/>
      <c r="KCY68" s="349"/>
      <c r="KCZ68" s="349"/>
      <c r="KDA68" s="349"/>
      <c r="KDB68" s="349"/>
      <c r="KDC68" s="349"/>
      <c r="KDD68" s="349"/>
      <c r="KDE68" s="349"/>
      <c r="KDF68" s="349"/>
      <c r="KDG68" s="349"/>
      <c r="KDH68" s="349"/>
      <c r="KDI68" s="349"/>
      <c r="KDJ68" s="349"/>
      <c r="KDK68" s="349"/>
      <c r="KDL68" s="349"/>
      <c r="KDM68" s="349"/>
      <c r="KDN68" s="349"/>
      <c r="KDO68" s="349"/>
      <c r="KDP68" s="349"/>
      <c r="KDQ68" s="349"/>
      <c r="KDR68" s="349"/>
      <c r="KDS68" s="349"/>
      <c r="KDT68" s="349"/>
      <c r="KDU68" s="349"/>
      <c r="KDV68" s="349"/>
      <c r="KDW68" s="349"/>
      <c r="KDX68" s="349"/>
      <c r="KDY68" s="349"/>
      <c r="KDZ68" s="349"/>
      <c r="KEA68" s="349"/>
      <c r="KEB68" s="349"/>
      <c r="KEC68" s="349"/>
      <c r="KED68" s="349"/>
      <c r="KEE68" s="349"/>
      <c r="KEF68" s="349"/>
      <c r="KEG68" s="349"/>
      <c r="KEH68" s="349"/>
      <c r="KEI68" s="349"/>
      <c r="KEJ68" s="349"/>
      <c r="KEK68" s="349"/>
      <c r="KEL68" s="349"/>
      <c r="KEM68" s="349"/>
      <c r="KEN68" s="349"/>
      <c r="KEO68" s="349"/>
      <c r="KEP68" s="349"/>
      <c r="KEQ68" s="349"/>
      <c r="KER68" s="349"/>
      <c r="KES68" s="349"/>
      <c r="KET68" s="349"/>
      <c r="KEU68" s="349"/>
      <c r="KEV68" s="349"/>
      <c r="KEW68" s="349"/>
      <c r="KEX68" s="349"/>
      <c r="KEY68" s="349"/>
      <c r="KEZ68" s="349"/>
      <c r="KFA68" s="349"/>
      <c r="KFB68" s="349"/>
      <c r="KFC68" s="349"/>
      <c r="KFD68" s="349"/>
      <c r="KFE68" s="349"/>
      <c r="KFF68" s="349"/>
      <c r="KFG68" s="349"/>
      <c r="KFH68" s="349"/>
      <c r="KFI68" s="349"/>
      <c r="KFJ68" s="349"/>
      <c r="KFK68" s="349"/>
      <c r="KFL68" s="349"/>
      <c r="KFM68" s="349"/>
      <c r="KFN68" s="349"/>
      <c r="KFO68" s="349"/>
      <c r="KFP68" s="349"/>
      <c r="KFQ68" s="349"/>
      <c r="KFR68" s="349"/>
      <c r="KFS68" s="349"/>
      <c r="KFT68" s="349"/>
      <c r="KFU68" s="349"/>
      <c r="KFV68" s="349"/>
      <c r="KFW68" s="349"/>
      <c r="KFX68" s="349"/>
      <c r="KFY68" s="349"/>
      <c r="KFZ68" s="349"/>
      <c r="KGA68" s="349"/>
      <c r="KGB68" s="349"/>
      <c r="KGC68" s="349"/>
      <c r="KGD68" s="349"/>
      <c r="KGE68" s="349"/>
      <c r="KGF68" s="349"/>
      <c r="KGG68" s="349"/>
      <c r="KGH68" s="349"/>
      <c r="KGI68" s="349"/>
      <c r="KGJ68" s="349"/>
      <c r="KGK68" s="349"/>
      <c r="KGL68" s="349"/>
      <c r="KGM68" s="349"/>
      <c r="KGN68" s="349"/>
      <c r="KGO68" s="349"/>
      <c r="KGP68" s="349"/>
      <c r="KGQ68" s="349"/>
      <c r="KGR68" s="349"/>
      <c r="KGS68" s="349"/>
      <c r="KGT68" s="349"/>
      <c r="KGU68" s="349"/>
      <c r="KGV68" s="349"/>
      <c r="KGW68" s="349"/>
      <c r="KGX68" s="349"/>
      <c r="KGY68" s="349"/>
      <c r="KGZ68" s="349"/>
      <c r="KHA68" s="349"/>
      <c r="KHB68" s="349"/>
      <c r="KHC68" s="349"/>
      <c r="KHD68" s="349"/>
      <c r="KHE68" s="349"/>
      <c r="KHF68" s="349"/>
      <c r="KHG68" s="349"/>
      <c r="KHH68" s="349"/>
      <c r="KHI68" s="349"/>
      <c r="KHJ68" s="349"/>
      <c r="KHK68" s="349"/>
      <c r="KHL68" s="349"/>
      <c r="KHM68" s="349"/>
      <c r="KHN68" s="349"/>
      <c r="KHO68" s="349"/>
      <c r="KHP68" s="349"/>
      <c r="KHQ68" s="349"/>
      <c r="KHR68" s="349"/>
      <c r="KHS68" s="349"/>
      <c r="KHT68" s="349"/>
      <c r="KHU68" s="349"/>
      <c r="KHV68" s="349"/>
      <c r="KHW68" s="349"/>
      <c r="KHX68" s="349"/>
      <c r="KHY68" s="349"/>
      <c r="KHZ68" s="349"/>
      <c r="KIA68" s="349"/>
      <c r="KIB68" s="349"/>
      <c r="KIC68" s="349"/>
      <c r="KID68" s="349"/>
      <c r="KIE68" s="349"/>
      <c r="KIF68" s="349"/>
      <c r="KIG68" s="349"/>
      <c r="KIH68" s="349"/>
      <c r="KII68" s="349"/>
      <c r="KIJ68" s="349"/>
      <c r="KIK68" s="349"/>
      <c r="KIL68" s="349"/>
      <c r="KIM68" s="349"/>
      <c r="KIN68" s="349"/>
      <c r="KIO68" s="349"/>
      <c r="KIP68" s="349"/>
      <c r="KIQ68" s="349"/>
      <c r="KIR68" s="349"/>
      <c r="KIS68" s="349"/>
      <c r="KIT68" s="349"/>
      <c r="KIU68" s="349"/>
      <c r="KIV68" s="349"/>
      <c r="KIW68" s="349"/>
      <c r="KIX68" s="349"/>
      <c r="KIY68" s="349"/>
      <c r="KIZ68" s="349"/>
      <c r="KJA68" s="349"/>
      <c r="KJB68" s="349"/>
      <c r="KJC68" s="349"/>
      <c r="KJD68" s="349"/>
      <c r="KJE68" s="349"/>
      <c r="KJF68" s="349"/>
      <c r="KJG68" s="349"/>
      <c r="KJH68" s="349"/>
      <c r="KJI68" s="349"/>
      <c r="KJJ68" s="349"/>
      <c r="KJK68" s="349"/>
      <c r="KJL68" s="349"/>
      <c r="KJM68" s="349"/>
      <c r="KJN68" s="349"/>
      <c r="KJO68" s="349"/>
      <c r="KJP68" s="349"/>
      <c r="KJQ68" s="349"/>
      <c r="KJR68" s="349"/>
      <c r="KJS68" s="349"/>
      <c r="KJT68" s="349"/>
      <c r="KJU68" s="349"/>
      <c r="KJV68" s="349"/>
      <c r="KJW68" s="349"/>
      <c r="KJX68" s="349"/>
      <c r="KJY68" s="349"/>
      <c r="KJZ68" s="349"/>
      <c r="KKA68" s="349"/>
      <c r="KKB68" s="349"/>
      <c r="KKC68" s="349"/>
      <c r="KKD68" s="349"/>
      <c r="KKE68" s="349"/>
      <c r="KKF68" s="349"/>
      <c r="KKG68" s="349"/>
      <c r="KKH68" s="349"/>
      <c r="KKI68" s="349"/>
      <c r="KKJ68" s="349"/>
      <c r="KKK68" s="349"/>
      <c r="KKL68" s="349"/>
      <c r="KKM68" s="349"/>
      <c r="KKN68" s="349"/>
      <c r="KKO68" s="349"/>
      <c r="KKP68" s="349"/>
      <c r="KKQ68" s="349"/>
      <c r="KKR68" s="349"/>
      <c r="KKS68" s="349"/>
      <c r="KKT68" s="349"/>
      <c r="KKU68" s="349"/>
      <c r="KKV68" s="349"/>
      <c r="KKW68" s="349"/>
      <c r="KKX68" s="349"/>
      <c r="KKY68" s="349"/>
      <c r="KKZ68" s="349"/>
      <c r="KLA68" s="349"/>
      <c r="KLB68" s="349"/>
      <c r="KLC68" s="349"/>
      <c r="KLD68" s="349"/>
      <c r="KLE68" s="349"/>
      <c r="KLF68" s="349"/>
      <c r="KLG68" s="349"/>
      <c r="KLH68" s="349"/>
      <c r="KLI68" s="349"/>
      <c r="KLJ68" s="349"/>
      <c r="KLK68" s="349"/>
      <c r="KLL68" s="349"/>
      <c r="KLM68" s="349"/>
      <c r="KLN68" s="349"/>
      <c r="KLO68" s="349"/>
      <c r="KLP68" s="349"/>
      <c r="KLQ68" s="349"/>
      <c r="KLR68" s="349"/>
      <c r="KLS68" s="349"/>
      <c r="KLT68" s="349"/>
      <c r="KLU68" s="349"/>
      <c r="KLV68" s="349"/>
      <c r="KLW68" s="349"/>
      <c r="KLX68" s="349"/>
      <c r="KLY68" s="349"/>
      <c r="KLZ68" s="349"/>
      <c r="KMA68" s="349"/>
      <c r="KMB68" s="349"/>
      <c r="KMC68" s="349"/>
      <c r="KMD68" s="349"/>
      <c r="KME68" s="349"/>
      <c r="KMF68" s="349"/>
      <c r="KMG68" s="349"/>
      <c r="KMH68" s="349"/>
      <c r="KMI68" s="349"/>
      <c r="KMJ68" s="349"/>
      <c r="KMK68" s="349"/>
      <c r="KML68" s="349"/>
      <c r="KMM68" s="349"/>
      <c r="KMN68" s="349"/>
      <c r="KMO68" s="349"/>
      <c r="KMP68" s="349"/>
      <c r="KMQ68" s="349"/>
      <c r="KMR68" s="349"/>
      <c r="KMS68" s="349"/>
      <c r="KMT68" s="349"/>
      <c r="KMU68" s="349"/>
      <c r="KMV68" s="349"/>
      <c r="KMW68" s="349"/>
      <c r="KMX68" s="349"/>
      <c r="KMY68" s="349"/>
      <c r="KMZ68" s="349"/>
      <c r="KNA68" s="349"/>
      <c r="KNB68" s="349"/>
      <c r="KNC68" s="349"/>
      <c r="KND68" s="349"/>
      <c r="KNE68" s="349"/>
      <c r="KNF68" s="349"/>
      <c r="KNG68" s="349"/>
      <c r="KNH68" s="349"/>
      <c r="KNI68" s="349"/>
      <c r="KNJ68" s="349"/>
      <c r="KNK68" s="349"/>
      <c r="KNL68" s="349"/>
      <c r="KNM68" s="349"/>
      <c r="KNN68" s="349"/>
      <c r="KNO68" s="349"/>
      <c r="KNP68" s="349"/>
      <c r="KNQ68" s="349"/>
      <c r="KNR68" s="349"/>
      <c r="KNS68" s="349"/>
      <c r="KNT68" s="349"/>
      <c r="KNU68" s="349"/>
      <c r="KNV68" s="349"/>
      <c r="KNW68" s="349"/>
      <c r="KNX68" s="349"/>
      <c r="KNY68" s="349"/>
      <c r="KNZ68" s="349"/>
      <c r="KOA68" s="349"/>
      <c r="KOB68" s="349"/>
      <c r="KOC68" s="349"/>
      <c r="KOD68" s="349"/>
      <c r="KOE68" s="349"/>
      <c r="KOF68" s="349"/>
      <c r="KOG68" s="349"/>
      <c r="KOH68" s="349"/>
      <c r="KOI68" s="349"/>
      <c r="KOJ68" s="349"/>
      <c r="KOK68" s="349"/>
      <c r="KOL68" s="349"/>
      <c r="KOM68" s="349"/>
      <c r="KON68" s="349"/>
      <c r="KOO68" s="349"/>
      <c r="KOP68" s="349"/>
      <c r="KOQ68" s="349"/>
      <c r="KOR68" s="349"/>
      <c r="KOS68" s="349"/>
      <c r="KOT68" s="349"/>
      <c r="KOU68" s="349"/>
      <c r="KOV68" s="349"/>
      <c r="KOW68" s="349"/>
      <c r="KOX68" s="349"/>
      <c r="KOY68" s="349"/>
      <c r="KOZ68" s="349"/>
      <c r="KPA68" s="349"/>
      <c r="KPB68" s="349"/>
      <c r="KPC68" s="349"/>
      <c r="KPD68" s="349"/>
      <c r="KPE68" s="349"/>
      <c r="KPF68" s="349"/>
      <c r="KPG68" s="349"/>
      <c r="KPH68" s="349"/>
      <c r="KPI68" s="349"/>
      <c r="KPJ68" s="349"/>
      <c r="KPK68" s="349"/>
      <c r="KPL68" s="349"/>
      <c r="KPM68" s="349"/>
      <c r="KPN68" s="349"/>
      <c r="KPO68" s="349"/>
      <c r="KPP68" s="349"/>
      <c r="KPQ68" s="349"/>
      <c r="KPR68" s="349"/>
      <c r="KPS68" s="349"/>
      <c r="KPT68" s="349"/>
      <c r="KPU68" s="349"/>
      <c r="KPV68" s="349"/>
      <c r="KPW68" s="349"/>
      <c r="KPX68" s="349"/>
      <c r="KPY68" s="349"/>
      <c r="KPZ68" s="349"/>
      <c r="KQA68" s="349"/>
      <c r="KQB68" s="349"/>
      <c r="KQC68" s="349"/>
      <c r="KQD68" s="349"/>
      <c r="KQE68" s="349"/>
      <c r="KQF68" s="349"/>
      <c r="KQG68" s="349"/>
      <c r="KQH68" s="349"/>
      <c r="KQI68" s="349"/>
      <c r="KQJ68" s="349"/>
      <c r="KQK68" s="349"/>
      <c r="KQL68" s="349"/>
      <c r="KQM68" s="349"/>
      <c r="KQN68" s="349"/>
      <c r="KQO68" s="349"/>
      <c r="KQP68" s="349"/>
      <c r="KQQ68" s="349"/>
      <c r="KQR68" s="349"/>
      <c r="KQS68" s="349"/>
      <c r="KQT68" s="349"/>
      <c r="KQU68" s="349"/>
      <c r="KQV68" s="349"/>
      <c r="KQW68" s="349"/>
      <c r="KQX68" s="349"/>
      <c r="KQY68" s="349"/>
      <c r="KQZ68" s="349"/>
      <c r="KRA68" s="349"/>
      <c r="KRB68" s="349"/>
      <c r="KRC68" s="349"/>
      <c r="KRD68" s="349"/>
      <c r="KRE68" s="349"/>
      <c r="KRF68" s="349"/>
      <c r="KRG68" s="349"/>
      <c r="KRH68" s="349"/>
      <c r="KRI68" s="349"/>
      <c r="KRJ68" s="349"/>
      <c r="KRK68" s="349"/>
      <c r="KRL68" s="349"/>
      <c r="KRM68" s="349"/>
      <c r="KRN68" s="349"/>
      <c r="KRO68" s="349"/>
      <c r="KRP68" s="349"/>
      <c r="KRQ68" s="349"/>
      <c r="KRR68" s="349"/>
      <c r="KRS68" s="349"/>
      <c r="KRT68" s="349"/>
      <c r="KRU68" s="349"/>
      <c r="KRV68" s="349"/>
      <c r="KRW68" s="349"/>
      <c r="KRX68" s="349"/>
      <c r="KRY68" s="349"/>
      <c r="KRZ68" s="349"/>
      <c r="KSA68" s="349"/>
      <c r="KSB68" s="349"/>
      <c r="KSC68" s="349"/>
      <c r="KSD68" s="349"/>
      <c r="KSE68" s="349"/>
      <c r="KSF68" s="349"/>
      <c r="KSG68" s="349"/>
      <c r="KSH68" s="349"/>
      <c r="KSI68" s="349"/>
      <c r="KSJ68" s="349"/>
      <c r="KSK68" s="349"/>
      <c r="KSL68" s="349"/>
      <c r="KSM68" s="349"/>
      <c r="KSN68" s="349"/>
      <c r="KSO68" s="349"/>
      <c r="KSP68" s="349"/>
      <c r="KSQ68" s="349"/>
      <c r="KSR68" s="349"/>
      <c r="KSS68" s="349"/>
      <c r="KST68" s="349"/>
      <c r="KSU68" s="349"/>
      <c r="KSV68" s="349"/>
      <c r="KSW68" s="349"/>
      <c r="KSX68" s="349"/>
      <c r="KSY68" s="349"/>
      <c r="KSZ68" s="349"/>
      <c r="KTA68" s="349"/>
      <c r="KTB68" s="349"/>
      <c r="KTC68" s="349"/>
      <c r="KTD68" s="349"/>
      <c r="KTE68" s="349"/>
      <c r="KTF68" s="349"/>
      <c r="KTG68" s="349"/>
      <c r="KTH68" s="349"/>
      <c r="KTI68" s="349"/>
      <c r="KTJ68" s="349"/>
      <c r="KTK68" s="349"/>
      <c r="KTL68" s="349"/>
      <c r="KTM68" s="349"/>
      <c r="KTN68" s="349"/>
      <c r="KTO68" s="349"/>
      <c r="KTP68" s="349"/>
      <c r="KTQ68" s="349"/>
      <c r="KTR68" s="349"/>
      <c r="KTS68" s="349"/>
      <c r="KTT68" s="349"/>
      <c r="KTU68" s="349"/>
      <c r="KTV68" s="349"/>
      <c r="KTW68" s="349"/>
      <c r="KTX68" s="349"/>
      <c r="KTY68" s="349"/>
      <c r="KTZ68" s="349"/>
      <c r="KUA68" s="349"/>
      <c r="KUB68" s="349"/>
      <c r="KUC68" s="349"/>
      <c r="KUD68" s="349"/>
      <c r="KUE68" s="349"/>
      <c r="KUF68" s="349"/>
      <c r="KUG68" s="349"/>
      <c r="KUH68" s="349"/>
      <c r="KUI68" s="349"/>
      <c r="KUJ68" s="349"/>
      <c r="KUK68" s="349"/>
      <c r="KUL68" s="349"/>
      <c r="KUM68" s="349"/>
      <c r="KUN68" s="349"/>
      <c r="KUO68" s="349"/>
      <c r="KUP68" s="349"/>
      <c r="KUQ68" s="349"/>
      <c r="KUR68" s="349"/>
      <c r="KUS68" s="349"/>
      <c r="KUT68" s="349"/>
      <c r="KUU68" s="349"/>
      <c r="KUV68" s="349"/>
      <c r="KUW68" s="349"/>
      <c r="KUX68" s="349"/>
      <c r="KUY68" s="349"/>
      <c r="KUZ68" s="349"/>
      <c r="KVA68" s="349"/>
      <c r="KVB68" s="349"/>
      <c r="KVC68" s="349"/>
      <c r="KVD68" s="349"/>
      <c r="KVE68" s="349"/>
      <c r="KVF68" s="349"/>
      <c r="KVG68" s="349"/>
      <c r="KVH68" s="349"/>
      <c r="KVI68" s="349"/>
      <c r="KVJ68" s="349"/>
      <c r="KVK68" s="349"/>
      <c r="KVL68" s="349"/>
      <c r="KVM68" s="349"/>
      <c r="KVN68" s="349"/>
      <c r="KVO68" s="349"/>
      <c r="KVP68" s="349"/>
      <c r="KVQ68" s="349"/>
      <c r="KVR68" s="349"/>
      <c r="KVS68" s="349"/>
      <c r="KVT68" s="349"/>
      <c r="KVU68" s="349"/>
      <c r="KVV68" s="349"/>
      <c r="KVW68" s="349"/>
      <c r="KVX68" s="349"/>
      <c r="KVY68" s="349"/>
      <c r="KVZ68" s="349"/>
      <c r="KWA68" s="349"/>
      <c r="KWB68" s="349"/>
      <c r="KWC68" s="349"/>
      <c r="KWD68" s="349"/>
      <c r="KWE68" s="349"/>
      <c r="KWF68" s="349"/>
      <c r="KWG68" s="349"/>
      <c r="KWH68" s="349"/>
      <c r="KWI68" s="349"/>
      <c r="KWJ68" s="349"/>
      <c r="KWK68" s="349"/>
      <c r="KWL68" s="349"/>
      <c r="KWM68" s="349"/>
      <c r="KWN68" s="349"/>
      <c r="KWO68" s="349"/>
      <c r="KWP68" s="349"/>
      <c r="KWQ68" s="349"/>
      <c r="KWR68" s="349"/>
      <c r="KWS68" s="349"/>
      <c r="KWT68" s="349"/>
      <c r="KWU68" s="349"/>
      <c r="KWV68" s="349"/>
      <c r="KWW68" s="349"/>
      <c r="KWX68" s="349"/>
      <c r="KWY68" s="349"/>
      <c r="KWZ68" s="349"/>
      <c r="KXA68" s="349"/>
      <c r="KXB68" s="349"/>
      <c r="KXC68" s="349"/>
      <c r="KXD68" s="349"/>
      <c r="KXE68" s="349"/>
      <c r="KXF68" s="349"/>
      <c r="KXG68" s="349"/>
      <c r="KXH68" s="349"/>
      <c r="KXI68" s="349"/>
      <c r="KXJ68" s="349"/>
      <c r="KXK68" s="349"/>
      <c r="KXL68" s="349"/>
      <c r="KXM68" s="349"/>
      <c r="KXN68" s="349"/>
      <c r="KXO68" s="349"/>
      <c r="KXP68" s="349"/>
      <c r="KXQ68" s="349"/>
      <c r="KXR68" s="349"/>
      <c r="KXS68" s="349"/>
      <c r="KXT68" s="349"/>
      <c r="KXU68" s="349"/>
      <c r="KXV68" s="349"/>
      <c r="KXW68" s="349"/>
      <c r="KXX68" s="349"/>
      <c r="KXY68" s="349"/>
      <c r="KXZ68" s="349"/>
      <c r="KYA68" s="349"/>
      <c r="KYB68" s="349"/>
      <c r="KYC68" s="349"/>
      <c r="KYD68" s="349"/>
      <c r="KYE68" s="349"/>
      <c r="KYF68" s="349"/>
      <c r="KYG68" s="349"/>
      <c r="KYH68" s="349"/>
      <c r="KYI68" s="349"/>
      <c r="KYJ68" s="349"/>
      <c r="KYK68" s="349"/>
      <c r="KYL68" s="349"/>
      <c r="KYM68" s="349"/>
      <c r="KYN68" s="349"/>
      <c r="KYO68" s="349"/>
      <c r="KYP68" s="349"/>
      <c r="KYQ68" s="349"/>
      <c r="KYR68" s="349"/>
      <c r="KYS68" s="349"/>
      <c r="KYT68" s="349"/>
      <c r="KYU68" s="349"/>
      <c r="KYV68" s="349"/>
      <c r="KYW68" s="349"/>
      <c r="KYX68" s="349"/>
      <c r="KYY68" s="349"/>
      <c r="KYZ68" s="349"/>
      <c r="KZA68" s="349"/>
      <c r="KZB68" s="349"/>
      <c r="KZC68" s="349"/>
      <c r="KZD68" s="349"/>
      <c r="KZE68" s="349"/>
      <c r="KZF68" s="349"/>
      <c r="KZG68" s="349"/>
      <c r="KZH68" s="349"/>
      <c r="KZI68" s="349"/>
      <c r="KZJ68" s="349"/>
      <c r="KZK68" s="349"/>
      <c r="KZL68" s="349"/>
      <c r="KZM68" s="349"/>
      <c r="KZN68" s="349"/>
      <c r="KZO68" s="349"/>
      <c r="KZP68" s="349"/>
      <c r="KZQ68" s="349"/>
      <c r="KZR68" s="349"/>
      <c r="KZS68" s="349"/>
      <c r="KZT68" s="349"/>
      <c r="KZU68" s="349"/>
      <c r="KZV68" s="349"/>
      <c r="KZW68" s="349"/>
      <c r="KZX68" s="349"/>
      <c r="KZY68" s="349"/>
      <c r="KZZ68" s="349"/>
      <c r="LAA68" s="349"/>
      <c r="LAB68" s="349"/>
      <c r="LAC68" s="349"/>
      <c r="LAD68" s="349"/>
      <c r="LAE68" s="349"/>
      <c r="LAF68" s="349"/>
      <c r="LAG68" s="349"/>
      <c r="LAH68" s="349"/>
      <c r="LAI68" s="349"/>
      <c r="LAJ68" s="349"/>
      <c r="LAK68" s="349"/>
      <c r="LAL68" s="349"/>
      <c r="LAM68" s="349"/>
      <c r="LAN68" s="349"/>
      <c r="LAO68" s="349"/>
      <c r="LAP68" s="349"/>
      <c r="LAQ68" s="349"/>
      <c r="LAR68" s="349"/>
      <c r="LAS68" s="349"/>
      <c r="LAT68" s="349"/>
      <c r="LAU68" s="349"/>
      <c r="LAV68" s="349"/>
      <c r="LAW68" s="349"/>
      <c r="LAX68" s="349"/>
      <c r="LAY68" s="349"/>
      <c r="LAZ68" s="349"/>
      <c r="LBA68" s="349"/>
      <c r="LBB68" s="349"/>
      <c r="LBC68" s="349"/>
      <c r="LBD68" s="349"/>
      <c r="LBE68" s="349"/>
      <c r="LBF68" s="349"/>
      <c r="LBG68" s="349"/>
      <c r="LBH68" s="349"/>
      <c r="LBI68" s="349"/>
      <c r="LBJ68" s="349"/>
      <c r="LBK68" s="349"/>
      <c r="LBL68" s="349"/>
      <c r="LBM68" s="349"/>
      <c r="LBN68" s="349"/>
      <c r="LBO68" s="349"/>
      <c r="LBP68" s="349"/>
      <c r="LBQ68" s="349"/>
      <c r="LBR68" s="349"/>
      <c r="LBS68" s="349"/>
      <c r="LBT68" s="349"/>
      <c r="LBU68" s="349"/>
      <c r="LBV68" s="349"/>
      <c r="LBW68" s="349"/>
      <c r="LBX68" s="349"/>
      <c r="LBY68" s="349"/>
      <c r="LBZ68" s="349"/>
      <c r="LCA68" s="349"/>
      <c r="LCB68" s="349"/>
      <c r="LCC68" s="349"/>
      <c r="LCD68" s="349"/>
      <c r="LCE68" s="349"/>
      <c r="LCF68" s="349"/>
      <c r="LCG68" s="349"/>
      <c r="LCH68" s="349"/>
      <c r="LCI68" s="349"/>
      <c r="LCJ68" s="349"/>
      <c r="LCK68" s="349"/>
      <c r="LCL68" s="349"/>
      <c r="LCM68" s="349"/>
      <c r="LCN68" s="349"/>
      <c r="LCO68" s="349"/>
      <c r="LCP68" s="349"/>
      <c r="LCQ68" s="349"/>
      <c r="LCR68" s="349"/>
      <c r="LCS68" s="349"/>
      <c r="LCT68" s="349"/>
      <c r="LCU68" s="349"/>
      <c r="LCV68" s="349"/>
      <c r="LCW68" s="349"/>
      <c r="LCX68" s="349"/>
      <c r="LCY68" s="349"/>
      <c r="LCZ68" s="349"/>
      <c r="LDA68" s="349"/>
      <c r="LDB68" s="349"/>
      <c r="LDC68" s="349"/>
      <c r="LDD68" s="349"/>
      <c r="LDE68" s="349"/>
      <c r="LDF68" s="349"/>
      <c r="LDG68" s="349"/>
      <c r="LDH68" s="349"/>
      <c r="LDI68" s="349"/>
      <c r="LDJ68" s="349"/>
      <c r="LDK68" s="349"/>
      <c r="LDL68" s="349"/>
      <c r="LDM68" s="349"/>
      <c r="LDN68" s="349"/>
      <c r="LDO68" s="349"/>
      <c r="LDP68" s="349"/>
      <c r="LDQ68" s="349"/>
      <c r="LDR68" s="349"/>
      <c r="LDS68" s="349"/>
      <c r="LDT68" s="349"/>
      <c r="LDU68" s="349"/>
      <c r="LDV68" s="349"/>
      <c r="LDW68" s="349"/>
      <c r="LDX68" s="349"/>
      <c r="LDY68" s="349"/>
      <c r="LDZ68" s="349"/>
      <c r="LEA68" s="349"/>
      <c r="LEB68" s="349"/>
      <c r="LEC68" s="349"/>
      <c r="LED68" s="349"/>
      <c r="LEE68" s="349"/>
      <c r="LEF68" s="349"/>
      <c r="LEG68" s="349"/>
      <c r="LEH68" s="349"/>
      <c r="LEI68" s="349"/>
      <c r="LEJ68" s="349"/>
      <c r="LEK68" s="349"/>
      <c r="LEL68" s="349"/>
      <c r="LEM68" s="349"/>
      <c r="LEN68" s="349"/>
      <c r="LEO68" s="349"/>
      <c r="LEP68" s="349"/>
      <c r="LEQ68" s="349"/>
      <c r="LER68" s="349"/>
      <c r="LES68" s="349"/>
      <c r="LET68" s="349"/>
      <c r="LEU68" s="349"/>
      <c r="LEV68" s="349"/>
      <c r="LEW68" s="349"/>
      <c r="LEX68" s="349"/>
      <c r="LEY68" s="349"/>
      <c r="LEZ68" s="349"/>
      <c r="LFA68" s="349"/>
      <c r="LFB68" s="349"/>
      <c r="LFC68" s="349"/>
      <c r="LFD68" s="349"/>
      <c r="LFE68" s="349"/>
      <c r="LFF68" s="349"/>
      <c r="LFG68" s="349"/>
      <c r="LFH68" s="349"/>
      <c r="LFI68" s="349"/>
      <c r="LFJ68" s="349"/>
      <c r="LFK68" s="349"/>
      <c r="LFL68" s="349"/>
      <c r="LFM68" s="349"/>
      <c r="LFN68" s="349"/>
      <c r="LFO68" s="349"/>
      <c r="LFP68" s="349"/>
      <c r="LFQ68" s="349"/>
      <c r="LFR68" s="349"/>
      <c r="LFS68" s="349"/>
      <c r="LFT68" s="349"/>
      <c r="LFU68" s="349"/>
      <c r="LFV68" s="349"/>
      <c r="LFW68" s="349"/>
      <c r="LFX68" s="349"/>
      <c r="LFY68" s="349"/>
      <c r="LFZ68" s="349"/>
      <c r="LGA68" s="349"/>
      <c r="LGB68" s="349"/>
      <c r="LGC68" s="349"/>
      <c r="LGD68" s="349"/>
      <c r="LGE68" s="349"/>
      <c r="LGF68" s="349"/>
      <c r="LGG68" s="349"/>
      <c r="LGH68" s="349"/>
      <c r="LGI68" s="349"/>
      <c r="LGJ68" s="349"/>
      <c r="LGK68" s="349"/>
      <c r="LGL68" s="349"/>
      <c r="LGM68" s="349"/>
      <c r="LGN68" s="349"/>
      <c r="LGO68" s="349"/>
      <c r="LGP68" s="349"/>
      <c r="LGQ68" s="349"/>
      <c r="LGR68" s="349"/>
      <c r="LGS68" s="349"/>
      <c r="LGT68" s="349"/>
      <c r="LGU68" s="349"/>
      <c r="LGV68" s="349"/>
      <c r="LGW68" s="349"/>
      <c r="LGX68" s="349"/>
      <c r="LGY68" s="349"/>
      <c r="LGZ68" s="349"/>
      <c r="LHA68" s="349"/>
      <c r="LHB68" s="349"/>
      <c r="LHC68" s="349"/>
      <c r="LHD68" s="349"/>
      <c r="LHE68" s="349"/>
      <c r="LHF68" s="349"/>
      <c r="LHG68" s="349"/>
      <c r="LHH68" s="349"/>
      <c r="LHI68" s="349"/>
      <c r="LHJ68" s="349"/>
      <c r="LHK68" s="349"/>
      <c r="LHL68" s="349"/>
      <c r="LHM68" s="349"/>
      <c r="LHN68" s="349"/>
      <c r="LHO68" s="349"/>
      <c r="LHP68" s="349"/>
      <c r="LHQ68" s="349"/>
      <c r="LHR68" s="349"/>
      <c r="LHS68" s="349"/>
      <c r="LHT68" s="349"/>
      <c r="LHU68" s="349"/>
      <c r="LHV68" s="349"/>
      <c r="LHW68" s="349"/>
      <c r="LHX68" s="349"/>
      <c r="LHY68" s="349"/>
      <c r="LHZ68" s="349"/>
      <c r="LIA68" s="349"/>
      <c r="LIB68" s="349"/>
      <c r="LIC68" s="349"/>
      <c r="LID68" s="349"/>
      <c r="LIE68" s="349"/>
      <c r="LIF68" s="349"/>
      <c r="LIG68" s="349"/>
      <c r="LIH68" s="349"/>
      <c r="LII68" s="349"/>
      <c r="LIJ68" s="349"/>
      <c r="LIK68" s="349"/>
      <c r="LIL68" s="349"/>
      <c r="LIM68" s="349"/>
      <c r="LIN68" s="349"/>
      <c r="LIO68" s="349"/>
      <c r="LIP68" s="349"/>
      <c r="LIQ68" s="349"/>
      <c r="LIR68" s="349"/>
      <c r="LIS68" s="349"/>
      <c r="LIT68" s="349"/>
      <c r="LIU68" s="349"/>
      <c r="LIV68" s="349"/>
      <c r="LIW68" s="349"/>
      <c r="LIX68" s="349"/>
      <c r="LIY68" s="349"/>
      <c r="LIZ68" s="349"/>
      <c r="LJA68" s="349"/>
      <c r="LJB68" s="349"/>
      <c r="LJC68" s="349"/>
      <c r="LJD68" s="349"/>
      <c r="LJE68" s="349"/>
      <c r="LJF68" s="349"/>
      <c r="LJG68" s="349"/>
      <c r="LJH68" s="349"/>
      <c r="LJI68" s="349"/>
      <c r="LJJ68" s="349"/>
      <c r="LJK68" s="349"/>
      <c r="LJL68" s="349"/>
      <c r="LJM68" s="349"/>
      <c r="LJN68" s="349"/>
      <c r="LJO68" s="349"/>
      <c r="LJP68" s="349"/>
      <c r="LJQ68" s="349"/>
      <c r="LJR68" s="349"/>
      <c r="LJS68" s="349"/>
      <c r="LJT68" s="349"/>
      <c r="LJU68" s="349"/>
      <c r="LJV68" s="349"/>
      <c r="LJW68" s="349"/>
      <c r="LJX68" s="349"/>
      <c r="LJY68" s="349"/>
      <c r="LJZ68" s="349"/>
      <c r="LKA68" s="349"/>
      <c r="LKB68" s="349"/>
      <c r="LKC68" s="349"/>
      <c r="LKD68" s="349"/>
      <c r="LKE68" s="349"/>
      <c r="LKF68" s="349"/>
      <c r="LKG68" s="349"/>
      <c r="LKH68" s="349"/>
      <c r="LKI68" s="349"/>
      <c r="LKJ68" s="349"/>
      <c r="LKK68" s="349"/>
      <c r="LKL68" s="349"/>
      <c r="LKM68" s="349"/>
      <c r="LKN68" s="349"/>
      <c r="LKO68" s="349"/>
      <c r="LKP68" s="349"/>
      <c r="LKQ68" s="349"/>
      <c r="LKR68" s="349"/>
      <c r="LKS68" s="349"/>
      <c r="LKT68" s="349"/>
      <c r="LKU68" s="349"/>
      <c r="LKV68" s="349"/>
      <c r="LKW68" s="349"/>
      <c r="LKX68" s="349"/>
      <c r="LKY68" s="349"/>
      <c r="LKZ68" s="349"/>
      <c r="LLA68" s="349"/>
      <c r="LLB68" s="349"/>
      <c r="LLC68" s="349"/>
      <c r="LLD68" s="349"/>
      <c r="LLE68" s="349"/>
      <c r="LLF68" s="349"/>
      <c r="LLG68" s="349"/>
      <c r="LLH68" s="349"/>
      <c r="LLI68" s="349"/>
      <c r="LLJ68" s="349"/>
      <c r="LLK68" s="349"/>
      <c r="LLL68" s="349"/>
      <c r="LLM68" s="349"/>
      <c r="LLN68" s="349"/>
      <c r="LLO68" s="349"/>
      <c r="LLP68" s="349"/>
      <c r="LLQ68" s="349"/>
      <c r="LLR68" s="349"/>
      <c r="LLS68" s="349"/>
      <c r="LLT68" s="349"/>
      <c r="LLU68" s="349"/>
      <c r="LLV68" s="349"/>
      <c r="LLW68" s="349"/>
      <c r="LLX68" s="349"/>
      <c r="LLY68" s="349"/>
      <c r="LLZ68" s="349"/>
      <c r="LMA68" s="349"/>
      <c r="LMB68" s="349"/>
      <c r="LMC68" s="349"/>
      <c r="LMD68" s="349"/>
      <c r="LME68" s="349"/>
      <c r="LMF68" s="349"/>
      <c r="LMG68" s="349"/>
      <c r="LMH68" s="349"/>
      <c r="LMI68" s="349"/>
      <c r="LMJ68" s="349"/>
      <c r="LMK68" s="349"/>
      <c r="LML68" s="349"/>
      <c r="LMM68" s="349"/>
      <c r="LMN68" s="349"/>
      <c r="LMO68" s="349"/>
      <c r="LMP68" s="349"/>
      <c r="LMQ68" s="349"/>
      <c r="LMR68" s="349"/>
      <c r="LMS68" s="349"/>
      <c r="LMT68" s="349"/>
      <c r="LMU68" s="349"/>
      <c r="LMV68" s="349"/>
      <c r="LMW68" s="349"/>
      <c r="LMX68" s="349"/>
      <c r="LMY68" s="349"/>
      <c r="LMZ68" s="349"/>
      <c r="LNA68" s="349"/>
      <c r="LNB68" s="349"/>
      <c r="LNC68" s="349"/>
      <c r="LND68" s="349"/>
      <c r="LNE68" s="349"/>
      <c r="LNF68" s="349"/>
      <c r="LNG68" s="349"/>
      <c r="LNH68" s="349"/>
      <c r="LNI68" s="349"/>
      <c r="LNJ68" s="349"/>
      <c r="LNK68" s="349"/>
      <c r="LNL68" s="349"/>
      <c r="LNM68" s="349"/>
      <c r="LNN68" s="349"/>
      <c r="LNO68" s="349"/>
      <c r="LNP68" s="349"/>
      <c r="LNQ68" s="349"/>
      <c r="LNR68" s="349"/>
      <c r="LNS68" s="349"/>
      <c r="LNT68" s="349"/>
      <c r="LNU68" s="349"/>
      <c r="LNV68" s="349"/>
      <c r="LNW68" s="349"/>
      <c r="LNX68" s="349"/>
      <c r="LNY68" s="349"/>
      <c r="LNZ68" s="349"/>
      <c r="LOA68" s="349"/>
      <c r="LOB68" s="349"/>
      <c r="LOC68" s="349"/>
      <c r="LOD68" s="349"/>
      <c r="LOE68" s="349"/>
      <c r="LOF68" s="349"/>
      <c r="LOG68" s="349"/>
      <c r="LOH68" s="349"/>
      <c r="LOI68" s="349"/>
      <c r="LOJ68" s="349"/>
      <c r="LOK68" s="349"/>
      <c r="LOL68" s="349"/>
      <c r="LOM68" s="349"/>
      <c r="LON68" s="349"/>
      <c r="LOO68" s="349"/>
      <c r="LOP68" s="349"/>
      <c r="LOQ68" s="349"/>
      <c r="LOR68" s="349"/>
      <c r="LOS68" s="349"/>
      <c r="LOT68" s="349"/>
      <c r="LOU68" s="349"/>
      <c r="LOV68" s="349"/>
      <c r="LOW68" s="349"/>
      <c r="LOX68" s="349"/>
      <c r="LOY68" s="349"/>
      <c r="LOZ68" s="349"/>
      <c r="LPA68" s="349"/>
      <c r="LPB68" s="349"/>
      <c r="LPC68" s="349"/>
      <c r="LPD68" s="349"/>
      <c r="LPE68" s="349"/>
      <c r="LPF68" s="349"/>
      <c r="LPG68" s="349"/>
      <c r="LPH68" s="349"/>
      <c r="LPI68" s="349"/>
      <c r="LPJ68" s="349"/>
      <c r="LPK68" s="349"/>
      <c r="LPL68" s="349"/>
      <c r="LPM68" s="349"/>
      <c r="LPN68" s="349"/>
      <c r="LPO68" s="349"/>
      <c r="LPP68" s="349"/>
      <c r="LPQ68" s="349"/>
      <c r="LPR68" s="349"/>
      <c r="LPS68" s="349"/>
      <c r="LPT68" s="349"/>
      <c r="LPU68" s="349"/>
      <c r="LPV68" s="349"/>
      <c r="LPW68" s="349"/>
      <c r="LPX68" s="349"/>
      <c r="LPY68" s="349"/>
      <c r="LPZ68" s="349"/>
      <c r="LQA68" s="349"/>
      <c r="LQB68" s="349"/>
      <c r="LQC68" s="349"/>
      <c r="LQD68" s="349"/>
      <c r="LQE68" s="349"/>
      <c r="LQF68" s="349"/>
      <c r="LQG68" s="349"/>
      <c r="LQH68" s="349"/>
      <c r="LQI68" s="349"/>
      <c r="LQJ68" s="349"/>
      <c r="LQK68" s="349"/>
      <c r="LQL68" s="349"/>
      <c r="LQM68" s="349"/>
      <c r="LQN68" s="349"/>
      <c r="LQO68" s="349"/>
      <c r="LQP68" s="349"/>
      <c r="LQQ68" s="349"/>
      <c r="LQR68" s="349"/>
      <c r="LQS68" s="349"/>
      <c r="LQT68" s="349"/>
      <c r="LQU68" s="349"/>
      <c r="LQV68" s="349"/>
      <c r="LQW68" s="349"/>
      <c r="LQX68" s="349"/>
      <c r="LQY68" s="349"/>
      <c r="LQZ68" s="349"/>
      <c r="LRA68" s="349"/>
      <c r="LRB68" s="349"/>
      <c r="LRC68" s="349"/>
      <c r="LRD68" s="349"/>
      <c r="LRE68" s="349"/>
      <c r="LRF68" s="349"/>
      <c r="LRG68" s="349"/>
      <c r="LRH68" s="349"/>
      <c r="LRI68" s="349"/>
      <c r="LRJ68" s="349"/>
      <c r="LRK68" s="349"/>
      <c r="LRL68" s="349"/>
      <c r="LRM68" s="349"/>
      <c r="LRN68" s="349"/>
      <c r="LRO68" s="349"/>
      <c r="LRP68" s="349"/>
      <c r="LRQ68" s="349"/>
      <c r="LRR68" s="349"/>
      <c r="LRS68" s="349"/>
      <c r="LRT68" s="349"/>
      <c r="LRU68" s="349"/>
      <c r="LRV68" s="349"/>
      <c r="LRW68" s="349"/>
      <c r="LRX68" s="349"/>
      <c r="LRY68" s="349"/>
      <c r="LRZ68" s="349"/>
      <c r="LSA68" s="349"/>
      <c r="LSB68" s="349"/>
      <c r="LSC68" s="349"/>
      <c r="LSD68" s="349"/>
      <c r="LSE68" s="349"/>
      <c r="LSF68" s="349"/>
      <c r="LSG68" s="349"/>
      <c r="LSH68" s="349"/>
      <c r="LSI68" s="349"/>
      <c r="LSJ68" s="349"/>
      <c r="LSK68" s="349"/>
      <c r="LSL68" s="349"/>
      <c r="LSM68" s="349"/>
      <c r="LSN68" s="349"/>
      <c r="LSO68" s="349"/>
      <c r="LSP68" s="349"/>
      <c r="LSQ68" s="349"/>
      <c r="LSR68" s="349"/>
      <c r="LSS68" s="349"/>
      <c r="LST68" s="349"/>
      <c r="LSU68" s="349"/>
      <c r="LSV68" s="349"/>
      <c r="LSW68" s="349"/>
      <c r="LSX68" s="349"/>
      <c r="LSY68" s="349"/>
      <c r="LSZ68" s="349"/>
      <c r="LTA68" s="349"/>
      <c r="LTB68" s="349"/>
      <c r="LTC68" s="349"/>
      <c r="LTD68" s="349"/>
      <c r="LTE68" s="349"/>
      <c r="LTF68" s="349"/>
      <c r="LTG68" s="349"/>
      <c r="LTH68" s="349"/>
      <c r="LTI68" s="349"/>
      <c r="LTJ68" s="349"/>
      <c r="LTK68" s="349"/>
      <c r="LTL68" s="349"/>
      <c r="LTM68" s="349"/>
      <c r="LTN68" s="349"/>
      <c r="LTO68" s="349"/>
      <c r="LTP68" s="349"/>
      <c r="LTQ68" s="349"/>
      <c r="LTR68" s="349"/>
      <c r="LTS68" s="349"/>
      <c r="LTT68" s="349"/>
      <c r="LTU68" s="349"/>
      <c r="LTV68" s="349"/>
      <c r="LTW68" s="349"/>
      <c r="LTX68" s="349"/>
      <c r="LTY68" s="349"/>
      <c r="LTZ68" s="349"/>
      <c r="LUA68" s="349"/>
      <c r="LUB68" s="349"/>
      <c r="LUC68" s="349"/>
      <c r="LUD68" s="349"/>
      <c r="LUE68" s="349"/>
      <c r="LUF68" s="349"/>
      <c r="LUG68" s="349"/>
      <c r="LUH68" s="349"/>
      <c r="LUI68" s="349"/>
      <c r="LUJ68" s="349"/>
      <c r="LUK68" s="349"/>
      <c r="LUL68" s="349"/>
      <c r="LUM68" s="349"/>
      <c r="LUN68" s="349"/>
      <c r="LUO68" s="349"/>
      <c r="LUP68" s="349"/>
      <c r="LUQ68" s="349"/>
      <c r="LUR68" s="349"/>
      <c r="LUS68" s="349"/>
      <c r="LUT68" s="349"/>
      <c r="LUU68" s="349"/>
      <c r="LUV68" s="349"/>
      <c r="LUW68" s="349"/>
      <c r="LUX68" s="349"/>
      <c r="LUY68" s="349"/>
      <c r="LUZ68" s="349"/>
      <c r="LVA68" s="349"/>
      <c r="LVB68" s="349"/>
      <c r="LVC68" s="349"/>
      <c r="LVD68" s="349"/>
      <c r="LVE68" s="349"/>
      <c r="LVF68" s="349"/>
      <c r="LVG68" s="349"/>
      <c r="LVH68" s="349"/>
      <c r="LVI68" s="349"/>
      <c r="LVJ68" s="349"/>
      <c r="LVK68" s="349"/>
      <c r="LVL68" s="349"/>
      <c r="LVM68" s="349"/>
      <c r="LVN68" s="349"/>
      <c r="LVO68" s="349"/>
      <c r="LVP68" s="349"/>
      <c r="LVQ68" s="349"/>
      <c r="LVR68" s="349"/>
      <c r="LVS68" s="349"/>
      <c r="LVT68" s="349"/>
      <c r="LVU68" s="349"/>
      <c r="LVV68" s="349"/>
      <c r="LVW68" s="349"/>
      <c r="LVX68" s="349"/>
      <c r="LVY68" s="349"/>
      <c r="LVZ68" s="349"/>
      <c r="LWA68" s="349"/>
      <c r="LWB68" s="349"/>
      <c r="LWC68" s="349"/>
      <c r="LWD68" s="349"/>
      <c r="LWE68" s="349"/>
      <c r="LWF68" s="349"/>
      <c r="LWG68" s="349"/>
      <c r="LWH68" s="349"/>
      <c r="LWI68" s="349"/>
      <c r="LWJ68" s="349"/>
      <c r="LWK68" s="349"/>
      <c r="LWL68" s="349"/>
      <c r="LWM68" s="349"/>
      <c r="LWN68" s="349"/>
      <c r="LWO68" s="349"/>
      <c r="LWP68" s="349"/>
      <c r="LWQ68" s="349"/>
      <c r="LWR68" s="349"/>
      <c r="LWS68" s="349"/>
      <c r="LWT68" s="349"/>
      <c r="LWU68" s="349"/>
      <c r="LWV68" s="349"/>
      <c r="LWW68" s="349"/>
      <c r="LWX68" s="349"/>
      <c r="LWY68" s="349"/>
      <c r="LWZ68" s="349"/>
      <c r="LXA68" s="349"/>
      <c r="LXB68" s="349"/>
      <c r="LXC68" s="349"/>
      <c r="LXD68" s="349"/>
      <c r="LXE68" s="349"/>
      <c r="LXF68" s="349"/>
      <c r="LXG68" s="349"/>
      <c r="LXH68" s="349"/>
      <c r="LXI68" s="349"/>
      <c r="LXJ68" s="349"/>
      <c r="LXK68" s="349"/>
      <c r="LXL68" s="349"/>
      <c r="LXM68" s="349"/>
      <c r="LXN68" s="349"/>
      <c r="LXO68" s="349"/>
      <c r="LXP68" s="349"/>
      <c r="LXQ68" s="349"/>
      <c r="LXR68" s="349"/>
      <c r="LXS68" s="349"/>
      <c r="LXT68" s="349"/>
      <c r="LXU68" s="349"/>
      <c r="LXV68" s="349"/>
      <c r="LXW68" s="349"/>
      <c r="LXX68" s="349"/>
      <c r="LXY68" s="349"/>
      <c r="LXZ68" s="349"/>
      <c r="LYA68" s="349"/>
      <c r="LYB68" s="349"/>
      <c r="LYC68" s="349"/>
      <c r="LYD68" s="349"/>
      <c r="LYE68" s="349"/>
      <c r="LYF68" s="349"/>
      <c r="LYG68" s="349"/>
      <c r="LYH68" s="349"/>
      <c r="LYI68" s="349"/>
      <c r="LYJ68" s="349"/>
      <c r="LYK68" s="349"/>
      <c r="LYL68" s="349"/>
      <c r="LYM68" s="349"/>
      <c r="LYN68" s="349"/>
      <c r="LYO68" s="349"/>
      <c r="LYP68" s="349"/>
      <c r="LYQ68" s="349"/>
      <c r="LYR68" s="349"/>
      <c r="LYS68" s="349"/>
      <c r="LYT68" s="349"/>
      <c r="LYU68" s="349"/>
      <c r="LYV68" s="349"/>
      <c r="LYW68" s="349"/>
      <c r="LYX68" s="349"/>
      <c r="LYY68" s="349"/>
      <c r="LYZ68" s="349"/>
      <c r="LZA68" s="349"/>
      <c r="LZB68" s="349"/>
      <c r="LZC68" s="349"/>
      <c r="LZD68" s="349"/>
      <c r="LZE68" s="349"/>
      <c r="LZF68" s="349"/>
      <c r="LZG68" s="349"/>
      <c r="LZH68" s="349"/>
      <c r="LZI68" s="349"/>
      <c r="LZJ68" s="349"/>
      <c r="LZK68" s="349"/>
      <c r="LZL68" s="349"/>
      <c r="LZM68" s="349"/>
      <c r="LZN68" s="349"/>
      <c r="LZO68" s="349"/>
      <c r="LZP68" s="349"/>
      <c r="LZQ68" s="349"/>
      <c r="LZR68" s="349"/>
      <c r="LZS68" s="349"/>
      <c r="LZT68" s="349"/>
      <c r="LZU68" s="349"/>
      <c r="LZV68" s="349"/>
      <c r="LZW68" s="349"/>
      <c r="LZX68" s="349"/>
      <c r="LZY68" s="349"/>
      <c r="LZZ68" s="349"/>
      <c r="MAA68" s="349"/>
      <c r="MAB68" s="349"/>
      <c r="MAC68" s="349"/>
      <c r="MAD68" s="349"/>
      <c r="MAE68" s="349"/>
      <c r="MAF68" s="349"/>
      <c r="MAG68" s="349"/>
      <c r="MAH68" s="349"/>
      <c r="MAI68" s="349"/>
      <c r="MAJ68" s="349"/>
      <c r="MAK68" s="349"/>
      <c r="MAL68" s="349"/>
      <c r="MAM68" s="349"/>
      <c r="MAN68" s="349"/>
      <c r="MAO68" s="349"/>
      <c r="MAP68" s="349"/>
      <c r="MAQ68" s="349"/>
      <c r="MAR68" s="349"/>
      <c r="MAS68" s="349"/>
      <c r="MAT68" s="349"/>
      <c r="MAU68" s="349"/>
      <c r="MAV68" s="349"/>
      <c r="MAW68" s="349"/>
      <c r="MAX68" s="349"/>
      <c r="MAY68" s="349"/>
      <c r="MAZ68" s="349"/>
      <c r="MBA68" s="349"/>
      <c r="MBB68" s="349"/>
      <c r="MBC68" s="349"/>
      <c r="MBD68" s="349"/>
      <c r="MBE68" s="349"/>
      <c r="MBF68" s="349"/>
      <c r="MBG68" s="349"/>
      <c r="MBH68" s="349"/>
      <c r="MBI68" s="349"/>
      <c r="MBJ68" s="349"/>
      <c r="MBK68" s="349"/>
      <c r="MBL68" s="349"/>
      <c r="MBM68" s="349"/>
      <c r="MBN68" s="349"/>
      <c r="MBO68" s="349"/>
      <c r="MBP68" s="349"/>
      <c r="MBQ68" s="349"/>
      <c r="MBR68" s="349"/>
      <c r="MBS68" s="349"/>
      <c r="MBT68" s="349"/>
      <c r="MBU68" s="349"/>
      <c r="MBV68" s="349"/>
      <c r="MBW68" s="349"/>
      <c r="MBX68" s="349"/>
      <c r="MBY68" s="349"/>
      <c r="MBZ68" s="349"/>
      <c r="MCA68" s="349"/>
      <c r="MCB68" s="349"/>
      <c r="MCC68" s="349"/>
      <c r="MCD68" s="349"/>
      <c r="MCE68" s="349"/>
      <c r="MCF68" s="349"/>
      <c r="MCG68" s="349"/>
      <c r="MCH68" s="349"/>
      <c r="MCI68" s="349"/>
      <c r="MCJ68" s="349"/>
      <c r="MCK68" s="349"/>
      <c r="MCL68" s="349"/>
      <c r="MCM68" s="349"/>
      <c r="MCN68" s="349"/>
      <c r="MCO68" s="349"/>
      <c r="MCP68" s="349"/>
      <c r="MCQ68" s="349"/>
      <c r="MCR68" s="349"/>
      <c r="MCS68" s="349"/>
      <c r="MCT68" s="349"/>
      <c r="MCU68" s="349"/>
      <c r="MCV68" s="349"/>
      <c r="MCW68" s="349"/>
      <c r="MCX68" s="349"/>
      <c r="MCY68" s="349"/>
      <c r="MCZ68" s="349"/>
      <c r="MDA68" s="349"/>
      <c r="MDB68" s="349"/>
      <c r="MDC68" s="349"/>
      <c r="MDD68" s="349"/>
      <c r="MDE68" s="349"/>
      <c r="MDF68" s="349"/>
      <c r="MDG68" s="349"/>
      <c r="MDH68" s="349"/>
      <c r="MDI68" s="349"/>
      <c r="MDJ68" s="349"/>
      <c r="MDK68" s="349"/>
      <c r="MDL68" s="349"/>
      <c r="MDM68" s="349"/>
      <c r="MDN68" s="349"/>
      <c r="MDO68" s="349"/>
      <c r="MDP68" s="349"/>
      <c r="MDQ68" s="349"/>
      <c r="MDR68" s="349"/>
      <c r="MDS68" s="349"/>
      <c r="MDT68" s="349"/>
      <c r="MDU68" s="349"/>
      <c r="MDV68" s="349"/>
      <c r="MDW68" s="349"/>
      <c r="MDX68" s="349"/>
      <c r="MDY68" s="349"/>
      <c r="MDZ68" s="349"/>
      <c r="MEA68" s="349"/>
      <c r="MEB68" s="349"/>
      <c r="MEC68" s="349"/>
      <c r="MED68" s="349"/>
      <c r="MEE68" s="349"/>
      <c r="MEF68" s="349"/>
      <c r="MEG68" s="349"/>
      <c r="MEH68" s="349"/>
      <c r="MEI68" s="349"/>
      <c r="MEJ68" s="349"/>
      <c r="MEK68" s="349"/>
      <c r="MEL68" s="349"/>
      <c r="MEM68" s="349"/>
      <c r="MEN68" s="349"/>
      <c r="MEO68" s="349"/>
      <c r="MEP68" s="349"/>
      <c r="MEQ68" s="349"/>
      <c r="MER68" s="349"/>
      <c r="MES68" s="349"/>
      <c r="MET68" s="349"/>
      <c r="MEU68" s="349"/>
      <c r="MEV68" s="349"/>
      <c r="MEW68" s="349"/>
      <c r="MEX68" s="349"/>
      <c r="MEY68" s="349"/>
      <c r="MEZ68" s="349"/>
      <c r="MFA68" s="349"/>
      <c r="MFB68" s="349"/>
      <c r="MFC68" s="349"/>
      <c r="MFD68" s="349"/>
      <c r="MFE68" s="349"/>
      <c r="MFF68" s="349"/>
      <c r="MFG68" s="349"/>
      <c r="MFH68" s="349"/>
      <c r="MFI68" s="349"/>
      <c r="MFJ68" s="349"/>
      <c r="MFK68" s="349"/>
      <c r="MFL68" s="349"/>
      <c r="MFM68" s="349"/>
      <c r="MFN68" s="349"/>
      <c r="MFO68" s="349"/>
      <c r="MFP68" s="349"/>
      <c r="MFQ68" s="349"/>
      <c r="MFR68" s="349"/>
      <c r="MFS68" s="349"/>
      <c r="MFT68" s="349"/>
      <c r="MFU68" s="349"/>
      <c r="MFV68" s="349"/>
      <c r="MFW68" s="349"/>
      <c r="MFX68" s="349"/>
      <c r="MFY68" s="349"/>
      <c r="MFZ68" s="349"/>
      <c r="MGA68" s="349"/>
      <c r="MGB68" s="349"/>
      <c r="MGC68" s="349"/>
      <c r="MGD68" s="349"/>
      <c r="MGE68" s="349"/>
      <c r="MGF68" s="349"/>
      <c r="MGG68" s="349"/>
      <c r="MGH68" s="349"/>
      <c r="MGI68" s="349"/>
      <c r="MGJ68" s="349"/>
      <c r="MGK68" s="349"/>
      <c r="MGL68" s="349"/>
      <c r="MGM68" s="349"/>
      <c r="MGN68" s="349"/>
      <c r="MGO68" s="349"/>
      <c r="MGP68" s="349"/>
      <c r="MGQ68" s="349"/>
      <c r="MGR68" s="349"/>
      <c r="MGS68" s="349"/>
      <c r="MGT68" s="349"/>
      <c r="MGU68" s="349"/>
      <c r="MGV68" s="349"/>
      <c r="MGW68" s="349"/>
      <c r="MGX68" s="349"/>
      <c r="MGY68" s="349"/>
      <c r="MGZ68" s="349"/>
      <c r="MHA68" s="349"/>
      <c r="MHB68" s="349"/>
      <c r="MHC68" s="349"/>
      <c r="MHD68" s="349"/>
      <c r="MHE68" s="349"/>
      <c r="MHF68" s="349"/>
      <c r="MHG68" s="349"/>
      <c r="MHH68" s="349"/>
      <c r="MHI68" s="349"/>
      <c r="MHJ68" s="349"/>
      <c r="MHK68" s="349"/>
      <c r="MHL68" s="349"/>
      <c r="MHM68" s="349"/>
      <c r="MHN68" s="349"/>
      <c r="MHO68" s="349"/>
      <c r="MHP68" s="349"/>
      <c r="MHQ68" s="349"/>
      <c r="MHR68" s="349"/>
      <c r="MHS68" s="349"/>
      <c r="MHT68" s="349"/>
      <c r="MHU68" s="349"/>
      <c r="MHV68" s="349"/>
      <c r="MHW68" s="349"/>
      <c r="MHX68" s="349"/>
      <c r="MHY68" s="349"/>
      <c r="MHZ68" s="349"/>
      <c r="MIA68" s="349"/>
      <c r="MIB68" s="349"/>
      <c r="MIC68" s="349"/>
      <c r="MID68" s="349"/>
      <c r="MIE68" s="349"/>
      <c r="MIF68" s="349"/>
      <c r="MIG68" s="349"/>
      <c r="MIH68" s="349"/>
      <c r="MII68" s="349"/>
      <c r="MIJ68" s="349"/>
      <c r="MIK68" s="349"/>
      <c r="MIL68" s="349"/>
      <c r="MIM68" s="349"/>
      <c r="MIN68" s="349"/>
      <c r="MIO68" s="349"/>
      <c r="MIP68" s="349"/>
      <c r="MIQ68" s="349"/>
      <c r="MIR68" s="349"/>
      <c r="MIS68" s="349"/>
      <c r="MIT68" s="349"/>
      <c r="MIU68" s="349"/>
      <c r="MIV68" s="349"/>
      <c r="MIW68" s="349"/>
      <c r="MIX68" s="349"/>
      <c r="MIY68" s="349"/>
      <c r="MIZ68" s="349"/>
      <c r="MJA68" s="349"/>
      <c r="MJB68" s="349"/>
      <c r="MJC68" s="349"/>
      <c r="MJD68" s="349"/>
      <c r="MJE68" s="349"/>
      <c r="MJF68" s="349"/>
      <c r="MJG68" s="349"/>
      <c r="MJH68" s="349"/>
      <c r="MJI68" s="349"/>
      <c r="MJJ68" s="349"/>
      <c r="MJK68" s="349"/>
      <c r="MJL68" s="349"/>
      <c r="MJM68" s="349"/>
      <c r="MJN68" s="349"/>
      <c r="MJO68" s="349"/>
      <c r="MJP68" s="349"/>
      <c r="MJQ68" s="349"/>
      <c r="MJR68" s="349"/>
      <c r="MJS68" s="349"/>
      <c r="MJT68" s="349"/>
      <c r="MJU68" s="349"/>
      <c r="MJV68" s="349"/>
      <c r="MJW68" s="349"/>
      <c r="MJX68" s="349"/>
      <c r="MJY68" s="349"/>
      <c r="MJZ68" s="349"/>
      <c r="MKA68" s="349"/>
      <c r="MKB68" s="349"/>
      <c r="MKC68" s="349"/>
      <c r="MKD68" s="349"/>
      <c r="MKE68" s="349"/>
      <c r="MKF68" s="349"/>
      <c r="MKG68" s="349"/>
      <c r="MKH68" s="349"/>
      <c r="MKI68" s="349"/>
      <c r="MKJ68" s="349"/>
      <c r="MKK68" s="349"/>
      <c r="MKL68" s="349"/>
      <c r="MKM68" s="349"/>
      <c r="MKN68" s="349"/>
      <c r="MKO68" s="349"/>
      <c r="MKP68" s="349"/>
      <c r="MKQ68" s="349"/>
      <c r="MKR68" s="349"/>
      <c r="MKS68" s="349"/>
      <c r="MKT68" s="349"/>
      <c r="MKU68" s="349"/>
      <c r="MKV68" s="349"/>
      <c r="MKW68" s="349"/>
      <c r="MKX68" s="349"/>
      <c r="MKY68" s="349"/>
      <c r="MKZ68" s="349"/>
      <c r="MLA68" s="349"/>
      <c r="MLB68" s="349"/>
      <c r="MLC68" s="349"/>
      <c r="MLD68" s="349"/>
      <c r="MLE68" s="349"/>
      <c r="MLF68" s="349"/>
      <c r="MLG68" s="349"/>
      <c r="MLH68" s="349"/>
      <c r="MLI68" s="349"/>
      <c r="MLJ68" s="349"/>
      <c r="MLK68" s="349"/>
      <c r="MLL68" s="349"/>
      <c r="MLM68" s="349"/>
      <c r="MLN68" s="349"/>
      <c r="MLO68" s="349"/>
      <c r="MLP68" s="349"/>
      <c r="MLQ68" s="349"/>
      <c r="MLR68" s="349"/>
      <c r="MLS68" s="349"/>
      <c r="MLT68" s="349"/>
      <c r="MLU68" s="349"/>
      <c r="MLV68" s="349"/>
      <c r="MLW68" s="349"/>
      <c r="MLX68" s="349"/>
      <c r="MLY68" s="349"/>
      <c r="MLZ68" s="349"/>
      <c r="MMA68" s="349"/>
      <c r="MMB68" s="349"/>
      <c r="MMC68" s="349"/>
      <c r="MMD68" s="349"/>
      <c r="MME68" s="349"/>
      <c r="MMF68" s="349"/>
      <c r="MMG68" s="349"/>
      <c r="MMH68" s="349"/>
      <c r="MMI68" s="349"/>
      <c r="MMJ68" s="349"/>
      <c r="MMK68" s="349"/>
      <c r="MML68" s="349"/>
      <c r="MMM68" s="349"/>
      <c r="MMN68" s="349"/>
      <c r="MMO68" s="349"/>
      <c r="MMP68" s="349"/>
      <c r="MMQ68" s="349"/>
      <c r="MMR68" s="349"/>
      <c r="MMS68" s="349"/>
      <c r="MMT68" s="349"/>
      <c r="MMU68" s="349"/>
      <c r="MMV68" s="349"/>
      <c r="MMW68" s="349"/>
      <c r="MMX68" s="349"/>
      <c r="MMY68" s="349"/>
      <c r="MMZ68" s="349"/>
      <c r="MNA68" s="349"/>
      <c r="MNB68" s="349"/>
      <c r="MNC68" s="349"/>
      <c r="MND68" s="349"/>
      <c r="MNE68" s="349"/>
      <c r="MNF68" s="349"/>
      <c r="MNG68" s="349"/>
      <c r="MNH68" s="349"/>
      <c r="MNI68" s="349"/>
      <c r="MNJ68" s="349"/>
      <c r="MNK68" s="349"/>
      <c r="MNL68" s="349"/>
      <c r="MNM68" s="349"/>
      <c r="MNN68" s="349"/>
      <c r="MNO68" s="349"/>
      <c r="MNP68" s="349"/>
      <c r="MNQ68" s="349"/>
      <c r="MNR68" s="349"/>
      <c r="MNS68" s="349"/>
      <c r="MNT68" s="349"/>
      <c r="MNU68" s="349"/>
      <c r="MNV68" s="349"/>
      <c r="MNW68" s="349"/>
      <c r="MNX68" s="349"/>
      <c r="MNY68" s="349"/>
      <c r="MNZ68" s="349"/>
      <c r="MOA68" s="349"/>
      <c r="MOB68" s="349"/>
      <c r="MOC68" s="349"/>
      <c r="MOD68" s="349"/>
      <c r="MOE68" s="349"/>
      <c r="MOF68" s="349"/>
      <c r="MOG68" s="349"/>
      <c r="MOH68" s="349"/>
      <c r="MOI68" s="349"/>
      <c r="MOJ68" s="349"/>
      <c r="MOK68" s="349"/>
      <c r="MOL68" s="349"/>
      <c r="MOM68" s="349"/>
      <c r="MON68" s="349"/>
      <c r="MOO68" s="349"/>
      <c r="MOP68" s="349"/>
      <c r="MOQ68" s="349"/>
      <c r="MOR68" s="349"/>
      <c r="MOS68" s="349"/>
      <c r="MOT68" s="349"/>
      <c r="MOU68" s="349"/>
      <c r="MOV68" s="349"/>
      <c r="MOW68" s="349"/>
      <c r="MOX68" s="349"/>
      <c r="MOY68" s="349"/>
      <c r="MOZ68" s="349"/>
      <c r="MPA68" s="349"/>
      <c r="MPB68" s="349"/>
      <c r="MPC68" s="349"/>
      <c r="MPD68" s="349"/>
      <c r="MPE68" s="349"/>
      <c r="MPF68" s="349"/>
      <c r="MPG68" s="349"/>
      <c r="MPH68" s="349"/>
      <c r="MPI68" s="349"/>
      <c r="MPJ68" s="349"/>
      <c r="MPK68" s="349"/>
      <c r="MPL68" s="349"/>
      <c r="MPM68" s="349"/>
      <c r="MPN68" s="349"/>
      <c r="MPO68" s="349"/>
      <c r="MPP68" s="349"/>
      <c r="MPQ68" s="349"/>
      <c r="MPR68" s="349"/>
      <c r="MPS68" s="349"/>
      <c r="MPT68" s="349"/>
      <c r="MPU68" s="349"/>
      <c r="MPV68" s="349"/>
      <c r="MPW68" s="349"/>
      <c r="MPX68" s="349"/>
      <c r="MPY68" s="349"/>
      <c r="MPZ68" s="349"/>
      <c r="MQA68" s="349"/>
      <c r="MQB68" s="349"/>
      <c r="MQC68" s="349"/>
      <c r="MQD68" s="349"/>
      <c r="MQE68" s="349"/>
      <c r="MQF68" s="349"/>
      <c r="MQG68" s="349"/>
      <c r="MQH68" s="349"/>
      <c r="MQI68" s="349"/>
      <c r="MQJ68" s="349"/>
      <c r="MQK68" s="349"/>
      <c r="MQL68" s="349"/>
      <c r="MQM68" s="349"/>
      <c r="MQN68" s="349"/>
      <c r="MQO68" s="349"/>
      <c r="MQP68" s="349"/>
      <c r="MQQ68" s="349"/>
      <c r="MQR68" s="349"/>
      <c r="MQS68" s="349"/>
      <c r="MQT68" s="349"/>
      <c r="MQU68" s="349"/>
      <c r="MQV68" s="349"/>
      <c r="MQW68" s="349"/>
      <c r="MQX68" s="349"/>
      <c r="MQY68" s="349"/>
      <c r="MQZ68" s="349"/>
      <c r="MRA68" s="349"/>
      <c r="MRB68" s="349"/>
      <c r="MRC68" s="349"/>
      <c r="MRD68" s="349"/>
      <c r="MRE68" s="349"/>
      <c r="MRF68" s="349"/>
      <c r="MRG68" s="349"/>
      <c r="MRH68" s="349"/>
      <c r="MRI68" s="349"/>
      <c r="MRJ68" s="349"/>
      <c r="MRK68" s="349"/>
      <c r="MRL68" s="349"/>
      <c r="MRM68" s="349"/>
      <c r="MRN68" s="349"/>
      <c r="MRO68" s="349"/>
      <c r="MRP68" s="349"/>
      <c r="MRQ68" s="349"/>
      <c r="MRR68" s="349"/>
      <c r="MRS68" s="349"/>
      <c r="MRT68" s="349"/>
      <c r="MRU68" s="349"/>
      <c r="MRV68" s="349"/>
      <c r="MRW68" s="349"/>
      <c r="MRX68" s="349"/>
      <c r="MRY68" s="349"/>
      <c r="MRZ68" s="349"/>
      <c r="MSA68" s="349"/>
      <c r="MSB68" s="349"/>
      <c r="MSC68" s="349"/>
      <c r="MSD68" s="349"/>
      <c r="MSE68" s="349"/>
      <c r="MSF68" s="349"/>
      <c r="MSG68" s="349"/>
      <c r="MSH68" s="349"/>
      <c r="MSI68" s="349"/>
      <c r="MSJ68" s="349"/>
      <c r="MSK68" s="349"/>
      <c r="MSL68" s="349"/>
      <c r="MSM68" s="349"/>
      <c r="MSN68" s="349"/>
      <c r="MSO68" s="349"/>
      <c r="MSP68" s="349"/>
      <c r="MSQ68" s="349"/>
      <c r="MSR68" s="349"/>
      <c r="MSS68" s="349"/>
      <c r="MST68" s="349"/>
      <c r="MSU68" s="349"/>
      <c r="MSV68" s="349"/>
      <c r="MSW68" s="349"/>
      <c r="MSX68" s="349"/>
      <c r="MSY68" s="349"/>
      <c r="MSZ68" s="349"/>
      <c r="MTA68" s="349"/>
      <c r="MTB68" s="349"/>
      <c r="MTC68" s="349"/>
      <c r="MTD68" s="349"/>
      <c r="MTE68" s="349"/>
      <c r="MTF68" s="349"/>
      <c r="MTG68" s="349"/>
      <c r="MTH68" s="349"/>
      <c r="MTI68" s="349"/>
      <c r="MTJ68" s="349"/>
      <c r="MTK68" s="349"/>
      <c r="MTL68" s="349"/>
      <c r="MTM68" s="349"/>
      <c r="MTN68" s="349"/>
      <c r="MTO68" s="349"/>
      <c r="MTP68" s="349"/>
      <c r="MTQ68" s="349"/>
      <c r="MTR68" s="349"/>
      <c r="MTS68" s="349"/>
      <c r="MTT68" s="349"/>
      <c r="MTU68" s="349"/>
      <c r="MTV68" s="349"/>
      <c r="MTW68" s="349"/>
      <c r="MTX68" s="349"/>
      <c r="MTY68" s="349"/>
      <c r="MTZ68" s="349"/>
      <c r="MUA68" s="349"/>
      <c r="MUB68" s="349"/>
      <c r="MUC68" s="349"/>
      <c r="MUD68" s="349"/>
      <c r="MUE68" s="349"/>
      <c r="MUF68" s="349"/>
      <c r="MUG68" s="349"/>
      <c r="MUH68" s="349"/>
      <c r="MUI68" s="349"/>
      <c r="MUJ68" s="349"/>
      <c r="MUK68" s="349"/>
      <c r="MUL68" s="349"/>
      <c r="MUM68" s="349"/>
      <c r="MUN68" s="349"/>
      <c r="MUO68" s="349"/>
      <c r="MUP68" s="349"/>
      <c r="MUQ68" s="349"/>
      <c r="MUR68" s="349"/>
      <c r="MUS68" s="349"/>
      <c r="MUT68" s="349"/>
      <c r="MUU68" s="349"/>
      <c r="MUV68" s="349"/>
      <c r="MUW68" s="349"/>
      <c r="MUX68" s="349"/>
      <c r="MUY68" s="349"/>
      <c r="MUZ68" s="349"/>
      <c r="MVA68" s="349"/>
      <c r="MVB68" s="349"/>
      <c r="MVC68" s="349"/>
      <c r="MVD68" s="349"/>
      <c r="MVE68" s="349"/>
      <c r="MVF68" s="349"/>
      <c r="MVG68" s="349"/>
      <c r="MVH68" s="349"/>
      <c r="MVI68" s="349"/>
      <c r="MVJ68" s="349"/>
      <c r="MVK68" s="349"/>
      <c r="MVL68" s="349"/>
      <c r="MVM68" s="349"/>
      <c r="MVN68" s="349"/>
      <c r="MVO68" s="349"/>
      <c r="MVP68" s="349"/>
      <c r="MVQ68" s="349"/>
      <c r="MVR68" s="349"/>
      <c r="MVS68" s="349"/>
      <c r="MVT68" s="349"/>
      <c r="MVU68" s="349"/>
      <c r="MVV68" s="349"/>
      <c r="MVW68" s="349"/>
      <c r="MVX68" s="349"/>
      <c r="MVY68" s="349"/>
      <c r="MVZ68" s="349"/>
      <c r="MWA68" s="349"/>
      <c r="MWB68" s="349"/>
      <c r="MWC68" s="349"/>
      <c r="MWD68" s="349"/>
      <c r="MWE68" s="349"/>
      <c r="MWF68" s="349"/>
      <c r="MWG68" s="349"/>
      <c r="MWH68" s="349"/>
      <c r="MWI68" s="349"/>
      <c r="MWJ68" s="349"/>
      <c r="MWK68" s="349"/>
      <c r="MWL68" s="349"/>
      <c r="MWM68" s="349"/>
      <c r="MWN68" s="349"/>
      <c r="MWO68" s="349"/>
      <c r="MWP68" s="349"/>
      <c r="MWQ68" s="349"/>
      <c r="MWR68" s="349"/>
      <c r="MWS68" s="349"/>
      <c r="MWT68" s="349"/>
      <c r="MWU68" s="349"/>
      <c r="MWV68" s="349"/>
      <c r="MWW68" s="349"/>
      <c r="MWX68" s="349"/>
      <c r="MWY68" s="349"/>
      <c r="MWZ68" s="349"/>
      <c r="MXA68" s="349"/>
      <c r="MXB68" s="349"/>
      <c r="MXC68" s="349"/>
      <c r="MXD68" s="349"/>
      <c r="MXE68" s="349"/>
      <c r="MXF68" s="349"/>
      <c r="MXG68" s="349"/>
      <c r="MXH68" s="349"/>
      <c r="MXI68" s="349"/>
      <c r="MXJ68" s="349"/>
      <c r="MXK68" s="349"/>
      <c r="MXL68" s="349"/>
      <c r="MXM68" s="349"/>
      <c r="MXN68" s="349"/>
      <c r="MXO68" s="349"/>
      <c r="MXP68" s="349"/>
      <c r="MXQ68" s="349"/>
      <c r="MXR68" s="349"/>
      <c r="MXS68" s="349"/>
      <c r="MXT68" s="349"/>
      <c r="MXU68" s="349"/>
      <c r="MXV68" s="349"/>
      <c r="MXW68" s="349"/>
      <c r="MXX68" s="349"/>
      <c r="MXY68" s="349"/>
      <c r="MXZ68" s="349"/>
      <c r="MYA68" s="349"/>
      <c r="MYB68" s="349"/>
      <c r="MYC68" s="349"/>
      <c r="MYD68" s="349"/>
      <c r="MYE68" s="349"/>
      <c r="MYF68" s="349"/>
      <c r="MYG68" s="349"/>
      <c r="MYH68" s="349"/>
      <c r="MYI68" s="349"/>
      <c r="MYJ68" s="349"/>
      <c r="MYK68" s="349"/>
      <c r="MYL68" s="349"/>
      <c r="MYM68" s="349"/>
      <c r="MYN68" s="349"/>
      <c r="MYO68" s="349"/>
      <c r="MYP68" s="349"/>
      <c r="MYQ68" s="349"/>
      <c r="MYR68" s="349"/>
      <c r="MYS68" s="349"/>
      <c r="MYT68" s="349"/>
      <c r="MYU68" s="349"/>
      <c r="MYV68" s="349"/>
      <c r="MYW68" s="349"/>
      <c r="MYX68" s="349"/>
      <c r="MYY68" s="349"/>
      <c r="MYZ68" s="349"/>
      <c r="MZA68" s="349"/>
      <c r="MZB68" s="349"/>
      <c r="MZC68" s="349"/>
      <c r="MZD68" s="349"/>
      <c r="MZE68" s="349"/>
      <c r="MZF68" s="349"/>
      <c r="MZG68" s="349"/>
      <c r="MZH68" s="349"/>
      <c r="MZI68" s="349"/>
      <c r="MZJ68" s="349"/>
      <c r="MZK68" s="349"/>
      <c r="MZL68" s="349"/>
      <c r="MZM68" s="349"/>
      <c r="MZN68" s="349"/>
      <c r="MZO68" s="349"/>
      <c r="MZP68" s="349"/>
      <c r="MZQ68" s="349"/>
      <c r="MZR68" s="349"/>
      <c r="MZS68" s="349"/>
      <c r="MZT68" s="349"/>
      <c r="MZU68" s="349"/>
      <c r="MZV68" s="349"/>
      <c r="MZW68" s="349"/>
      <c r="MZX68" s="349"/>
      <c r="MZY68" s="349"/>
      <c r="MZZ68" s="349"/>
      <c r="NAA68" s="349"/>
      <c r="NAB68" s="349"/>
      <c r="NAC68" s="349"/>
      <c r="NAD68" s="349"/>
      <c r="NAE68" s="349"/>
      <c r="NAF68" s="349"/>
      <c r="NAG68" s="349"/>
      <c r="NAH68" s="349"/>
      <c r="NAI68" s="349"/>
      <c r="NAJ68" s="349"/>
      <c r="NAK68" s="349"/>
      <c r="NAL68" s="349"/>
      <c r="NAM68" s="349"/>
      <c r="NAN68" s="349"/>
      <c r="NAO68" s="349"/>
      <c r="NAP68" s="349"/>
      <c r="NAQ68" s="349"/>
      <c r="NAR68" s="349"/>
      <c r="NAS68" s="349"/>
      <c r="NAT68" s="349"/>
      <c r="NAU68" s="349"/>
      <c r="NAV68" s="349"/>
      <c r="NAW68" s="349"/>
      <c r="NAX68" s="349"/>
      <c r="NAY68" s="349"/>
      <c r="NAZ68" s="349"/>
      <c r="NBA68" s="349"/>
      <c r="NBB68" s="349"/>
      <c r="NBC68" s="349"/>
      <c r="NBD68" s="349"/>
      <c r="NBE68" s="349"/>
      <c r="NBF68" s="349"/>
      <c r="NBG68" s="349"/>
      <c r="NBH68" s="349"/>
      <c r="NBI68" s="349"/>
      <c r="NBJ68" s="349"/>
      <c r="NBK68" s="349"/>
      <c r="NBL68" s="349"/>
      <c r="NBM68" s="349"/>
      <c r="NBN68" s="349"/>
      <c r="NBO68" s="349"/>
      <c r="NBP68" s="349"/>
      <c r="NBQ68" s="349"/>
      <c r="NBR68" s="349"/>
      <c r="NBS68" s="349"/>
      <c r="NBT68" s="349"/>
      <c r="NBU68" s="349"/>
      <c r="NBV68" s="349"/>
      <c r="NBW68" s="349"/>
      <c r="NBX68" s="349"/>
      <c r="NBY68" s="349"/>
      <c r="NBZ68" s="349"/>
      <c r="NCA68" s="349"/>
      <c r="NCB68" s="349"/>
      <c r="NCC68" s="349"/>
      <c r="NCD68" s="349"/>
      <c r="NCE68" s="349"/>
      <c r="NCF68" s="349"/>
      <c r="NCG68" s="349"/>
      <c r="NCH68" s="349"/>
      <c r="NCI68" s="349"/>
      <c r="NCJ68" s="349"/>
      <c r="NCK68" s="349"/>
      <c r="NCL68" s="349"/>
      <c r="NCM68" s="349"/>
      <c r="NCN68" s="349"/>
      <c r="NCO68" s="349"/>
      <c r="NCP68" s="349"/>
      <c r="NCQ68" s="349"/>
      <c r="NCR68" s="349"/>
      <c r="NCS68" s="349"/>
      <c r="NCT68" s="349"/>
      <c r="NCU68" s="349"/>
      <c r="NCV68" s="349"/>
      <c r="NCW68" s="349"/>
      <c r="NCX68" s="349"/>
      <c r="NCY68" s="349"/>
      <c r="NCZ68" s="349"/>
      <c r="NDA68" s="349"/>
      <c r="NDB68" s="349"/>
      <c r="NDC68" s="349"/>
      <c r="NDD68" s="349"/>
      <c r="NDE68" s="349"/>
      <c r="NDF68" s="349"/>
      <c r="NDG68" s="349"/>
      <c r="NDH68" s="349"/>
      <c r="NDI68" s="349"/>
      <c r="NDJ68" s="349"/>
      <c r="NDK68" s="349"/>
      <c r="NDL68" s="349"/>
      <c r="NDM68" s="349"/>
      <c r="NDN68" s="349"/>
      <c r="NDO68" s="349"/>
      <c r="NDP68" s="349"/>
      <c r="NDQ68" s="349"/>
      <c r="NDR68" s="349"/>
      <c r="NDS68" s="349"/>
      <c r="NDT68" s="349"/>
      <c r="NDU68" s="349"/>
      <c r="NDV68" s="349"/>
      <c r="NDW68" s="349"/>
      <c r="NDX68" s="349"/>
      <c r="NDY68" s="349"/>
      <c r="NDZ68" s="349"/>
      <c r="NEA68" s="349"/>
      <c r="NEB68" s="349"/>
      <c r="NEC68" s="349"/>
      <c r="NED68" s="349"/>
      <c r="NEE68" s="349"/>
      <c r="NEF68" s="349"/>
      <c r="NEG68" s="349"/>
      <c r="NEH68" s="349"/>
      <c r="NEI68" s="349"/>
      <c r="NEJ68" s="349"/>
      <c r="NEK68" s="349"/>
      <c r="NEL68" s="349"/>
      <c r="NEM68" s="349"/>
      <c r="NEN68" s="349"/>
      <c r="NEO68" s="349"/>
      <c r="NEP68" s="349"/>
      <c r="NEQ68" s="349"/>
      <c r="NER68" s="349"/>
      <c r="NES68" s="349"/>
      <c r="NET68" s="349"/>
      <c r="NEU68" s="349"/>
      <c r="NEV68" s="349"/>
      <c r="NEW68" s="349"/>
      <c r="NEX68" s="349"/>
      <c r="NEY68" s="349"/>
      <c r="NEZ68" s="349"/>
      <c r="NFA68" s="349"/>
      <c r="NFB68" s="349"/>
      <c r="NFC68" s="349"/>
      <c r="NFD68" s="349"/>
      <c r="NFE68" s="349"/>
      <c r="NFF68" s="349"/>
      <c r="NFG68" s="349"/>
      <c r="NFH68" s="349"/>
      <c r="NFI68" s="349"/>
      <c r="NFJ68" s="349"/>
      <c r="NFK68" s="349"/>
      <c r="NFL68" s="349"/>
      <c r="NFM68" s="349"/>
      <c r="NFN68" s="349"/>
      <c r="NFO68" s="349"/>
      <c r="NFP68" s="349"/>
      <c r="NFQ68" s="349"/>
      <c r="NFR68" s="349"/>
      <c r="NFS68" s="349"/>
      <c r="NFT68" s="349"/>
      <c r="NFU68" s="349"/>
      <c r="NFV68" s="349"/>
      <c r="NFW68" s="349"/>
      <c r="NFX68" s="349"/>
      <c r="NFY68" s="349"/>
      <c r="NFZ68" s="349"/>
      <c r="NGA68" s="349"/>
      <c r="NGB68" s="349"/>
      <c r="NGC68" s="349"/>
      <c r="NGD68" s="349"/>
      <c r="NGE68" s="349"/>
      <c r="NGF68" s="349"/>
      <c r="NGG68" s="349"/>
      <c r="NGH68" s="349"/>
      <c r="NGI68" s="349"/>
      <c r="NGJ68" s="349"/>
      <c r="NGK68" s="349"/>
      <c r="NGL68" s="349"/>
      <c r="NGM68" s="349"/>
      <c r="NGN68" s="349"/>
      <c r="NGO68" s="349"/>
      <c r="NGP68" s="349"/>
      <c r="NGQ68" s="349"/>
      <c r="NGR68" s="349"/>
      <c r="NGS68" s="349"/>
      <c r="NGT68" s="349"/>
      <c r="NGU68" s="349"/>
      <c r="NGV68" s="349"/>
      <c r="NGW68" s="349"/>
      <c r="NGX68" s="349"/>
      <c r="NGY68" s="349"/>
      <c r="NGZ68" s="349"/>
      <c r="NHA68" s="349"/>
      <c r="NHB68" s="349"/>
      <c r="NHC68" s="349"/>
      <c r="NHD68" s="349"/>
      <c r="NHE68" s="349"/>
      <c r="NHF68" s="349"/>
      <c r="NHG68" s="349"/>
      <c r="NHH68" s="349"/>
      <c r="NHI68" s="349"/>
      <c r="NHJ68" s="349"/>
      <c r="NHK68" s="349"/>
      <c r="NHL68" s="349"/>
      <c r="NHM68" s="349"/>
      <c r="NHN68" s="349"/>
      <c r="NHO68" s="349"/>
      <c r="NHP68" s="349"/>
      <c r="NHQ68" s="349"/>
      <c r="NHR68" s="349"/>
      <c r="NHS68" s="349"/>
      <c r="NHT68" s="349"/>
      <c r="NHU68" s="349"/>
      <c r="NHV68" s="349"/>
      <c r="NHW68" s="349"/>
      <c r="NHX68" s="349"/>
      <c r="NHY68" s="349"/>
      <c r="NHZ68" s="349"/>
      <c r="NIA68" s="349"/>
      <c r="NIB68" s="349"/>
      <c r="NIC68" s="349"/>
      <c r="NID68" s="349"/>
      <c r="NIE68" s="349"/>
      <c r="NIF68" s="349"/>
      <c r="NIG68" s="349"/>
      <c r="NIH68" s="349"/>
      <c r="NII68" s="349"/>
      <c r="NIJ68" s="349"/>
      <c r="NIK68" s="349"/>
      <c r="NIL68" s="349"/>
      <c r="NIM68" s="349"/>
      <c r="NIN68" s="349"/>
      <c r="NIO68" s="349"/>
      <c r="NIP68" s="349"/>
      <c r="NIQ68" s="349"/>
      <c r="NIR68" s="349"/>
      <c r="NIS68" s="349"/>
      <c r="NIT68" s="349"/>
      <c r="NIU68" s="349"/>
      <c r="NIV68" s="349"/>
      <c r="NIW68" s="349"/>
      <c r="NIX68" s="349"/>
      <c r="NIY68" s="349"/>
      <c r="NIZ68" s="349"/>
      <c r="NJA68" s="349"/>
      <c r="NJB68" s="349"/>
      <c r="NJC68" s="349"/>
      <c r="NJD68" s="349"/>
      <c r="NJE68" s="349"/>
      <c r="NJF68" s="349"/>
      <c r="NJG68" s="349"/>
      <c r="NJH68" s="349"/>
      <c r="NJI68" s="349"/>
      <c r="NJJ68" s="349"/>
      <c r="NJK68" s="349"/>
      <c r="NJL68" s="349"/>
      <c r="NJM68" s="349"/>
      <c r="NJN68" s="349"/>
      <c r="NJO68" s="349"/>
      <c r="NJP68" s="349"/>
      <c r="NJQ68" s="349"/>
      <c r="NJR68" s="349"/>
      <c r="NJS68" s="349"/>
      <c r="NJT68" s="349"/>
      <c r="NJU68" s="349"/>
      <c r="NJV68" s="349"/>
      <c r="NJW68" s="349"/>
      <c r="NJX68" s="349"/>
      <c r="NJY68" s="349"/>
      <c r="NJZ68" s="349"/>
      <c r="NKA68" s="349"/>
      <c r="NKB68" s="349"/>
      <c r="NKC68" s="349"/>
      <c r="NKD68" s="349"/>
      <c r="NKE68" s="349"/>
      <c r="NKF68" s="349"/>
      <c r="NKG68" s="349"/>
      <c r="NKH68" s="349"/>
      <c r="NKI68" s="349"/>
      <c r="NKJ68" s="349"/>
      <c r="NKK68" s="349"/>
      <c r="NKL68" s="349"/>
      <c r="NKM68" s="349"/>
      <c r="NKN68" s="349"/>
      <c r="NKO68" s="349"/>
      <c r="NKP68" s="349"/>
      <c r="NKQ68" s="349"/>
      <c r="NKR68" s="349"/>
      <c r="NKS68" s="349"/>
      <c r="NKT68" s="349"/>
      <c r="NKU68" s="349"/>
      <c r="NKV68" s="349"/>
      <c r="NKW68" s="349"/>
      <c r="NKX68" s="349"/>
      <c r="NKY68" s="349"/>
      <c r="NKZ68" s="349"/>
      <c r="NLA68" s="349"/>
      <c r="NLB68" s="349"/>
      <c r="NLC68" s="349"/>
      <c r="NLD68" s="349"/>
      <c r="NLE68" s="349"/>
      <c r="NLF68" s="349"/>
      <c r="NLG68" s="349"/>
      <c r="NLH68" s="349"/>
      <c r="NLI68" s="349"/>
      <c r="NLJ68" s="349"/>
      <c r="NLK68" s="349"/>
      <c r="NLL68" s="349"/>
      <c r="NLM68" s="349"/>
      <c r="NLN68" s="349"/>
      <c r="NLO68" s="349"/>
      <c r="NLP68" s="349"/>
      <c r="NLQ68" s="349"/>
      <c r="NLR68" s="349"/>
      <c r="NLS68" s="349"/>
      <c r="NLT68" s="349"/>
      <c r="NLU68" s="349"/>
      <c r="NLV68" s="349"/>
      <c r="NLW68" s="349"/>
      <c r="NLX68" s="349"/>
      <c r="NLY68" s="349"/>
      <c r="NLZ68" s="349"/>
      <c r="NMA68" s="349"/>
      <c r="NMB68" s="349"/>
      <c r="NMC68" s="349"/>
      <c r="NMD68" s="349"/>
      <c r="NME68" s="349"/>
      <c r="NMF68" s="349"/>
      <c r="NMG68" s="349"/>
      <c r="NMH68" s="349"/>
      <c r="NMI68" s="349"/>
      <c r="NMJ68" s="349"/>
      <c r="NMK68" s="349"/>
      <c r="NML68" s="349"/>
      <c r="NMM68" s="349"/>
      <c r="NMN68" s="349"/>
      <c r="NMO68" s="349"/>
      <c r="NMP68" s="349"/>
      <c r="NMQ68" s="349"/>
      <c r="NMR68" s="349"/>
      <c r="NMS68" s="349"/>
      <c r="NMT68" s="349"/>
      <c r="NMU68" s="349"/>
      <c r="NMV68" s="349"/>
      <c r="NMW68" s="349"/>
      <c r="NMX68" s="349"/>
      <c r="NMY68" s="349"/>
      <c r="NMZ68" s="349"/>
      <c r="NNA68" s="349"/>
      <c r="NNB68" s="349"/>
      <c r="NNC68" s="349"/>
      <c r="NND68" s="349"/>
      <c r="NNE68" s="349"/>
      <c r="NNF68" s="349"/>
      <c r="NNG68" s="349"/>
      <c r="NNH68" s="349"/>
      <c r="NNI68" s="349"/>
      <c r="NNJ68" s="349"/>
      <c r="NNK68" s="349"/>
      <c r="NNL68" s="349"/>
      <c r="NNM68" s="349"/>
      <c r="NNN68" s="349"/>
      <c r="NNO68" s="349"/>
      <c r="NNP68" s="349"/>
      <c r="NNQ68" s="349"/>
      <c r="NNR68" s="349"/>
      <c r="NNS68" s="349"/>
      <c r="NNT68" s="349"/>
      <c r="NNU68" s="349"/>
      <c r="NNV68" s="349"/>
      <c r="NNW68" s="349"/>
      <c r="NNX68" s="349"/>
      <c r="NNY68" s="349"/>
      <c r="NNZ68" s="349"/>
      <c r="NOA68" s="349"/>
      <c r="NOB68" s="349"/>
      <c r="NOC68" s="349"/>
      <c r="NOD68" s="349"/>
      <c r="NOE68" s="349"/>
      <c r="NOF68" s="349"/>
      <c r="NOG68" s="349"/>
      <c r="NOH68" s="349"/>
      <c r="NOI68" s="349"/>
      <c r="NOJ68" s="349"/>
      <c r="NOK68" s="349"/>
      <c r="NOL68" s="349"/>
      <c r="NOM68" s="349"/>
      <c r="NON68" s="349"/>
      <c r="NOO68" s="349"/>
      <c r="NOP68" s="349"/>
      <c r="NOQ68" s="349"/>
      <c r="NOR68" s="349"/>
      <c r="NOS68" s="349"/>
      <c r="NOT68" s="349"/>
      <c r="NOU68" s="349"/>
      <c r="NOV68" s="349"/>
      <c r="NOW68" s="349"/>
      <c r="NOX68" s="349"/>
      <c r="NOY68" s="349"/>
      <c r="NOZ68" s="349"/>
      <c r="NPA68" s="349"/>
      <c r="NPB68" s="349"/>
      <c r="NPC68" s="349"/>
      <c r="NPD68" s="349"/>
      <c r="NPE68" s="349"/>
      <c r="NPF68" s="349"/>
      <c r="NPG68" s="349"/>
      <c r="NPH68" s="349"/>
      <c r="NPI68" s="349"/>
      <c r="NPJ68" s="349"/>
      <c r="NPK68" s="349"/>
      <c r="NPL68" s="349"/>
      <c r="NPM68" s="349"/>
      <c r="NPN68" s="349"/>
      <c r="NPO68" s="349"/>
      <c r="NPP68" s="349"/>
      <c r="NPQ68" s="349"/>
      <c r="NPR68" s="349"/>
      <c r="NPS68" s="349"/>
      <c r="NPT68" s="349"/>
      <c r="NPU68" s="349"/>
      <c r="NPV68" s="349"/>
      <c r="NPW68" s="349"/>
      <c r="NPX68" s="349"/>
      <c r="NPY68" s="349"/>
      <c r="NPZ68" s="349"/>
      <c r="NQA68" s="349"/>
      <c r="NQB68" s="349"/>
      <c r="NQC68" s="349"/>
      <c r="NQD68" s="349"/>
      <c r="NQE68" s="349"/>
      <c r="NQF68" s="349"/>
      <c r="NQG68" s="349"/>
      <c r="NQH68" s="349"/>
      <c r="NQI68" s="349"/>
      <c r="NQJ68" s="349"/>
      <c r="NQK68" s="349"/>
      <c r="NQL68" s="349"/>
      <c r="NQM68" s="349"/>
      <c r="NQN68" s="349"/>
      <c r="NQO68" s="349"/>
      <c r="NQP68" s="349"/>
      <c r="NQQ68" s="349"/>
      <c r="NQR68" s="349"/>
      <c r="NQS68" s="349"/>
      <c r="NQT68" s="349"/>
      <c r="NQU68" s="349"/>
      <c r="NQV68" s="349"/>
      <c r="NQW68" s="349"/>
      <c r="NQX68" s="349"/>
      <c r="NQY68" s="349"/>
      <c r="NQZ68" s="349"/>
      <c r="NRA68" s="349"/>
      <c r="NRB68" s="349"/>
      <c r="NRC68" s="349"/>
      <c r="NRD68" s="349"/>
      <c r="NRE68" s="349"/>
      <c r="NRF68" s="349"/>
      <c r="NRG68" s="349"/>
      <c r="NRH68" s="349"/>
      <c r="NRI68" s="349"/>
      <c r="NRJ68" s="349"/>
      <c r="NRK68" s="349"/>
      <c r="NRL68" s="349"/>
      <c r="NRM68" s="349"/>
      <c r="NRN68" s="349"/>
      <c r="NRO68" s="349"/>
      <c r="NRP68" s="349"/>
      <c r="NRQ68" s="349"/>
      <c r="NRR68" s="349"/>
      <c r="NRS68" s="349"/>
      <c r="NRT68" s="349"/>
      <c r="NRU68" s="349"/>
      <c r="NRV68" s="349"/>
      <c r="NRW68" s="349"/>
      <c r="NRX68" s="349"/>
      <c r="NRY68" s="349"/>
      <c r="NRZ68" s="349"/>
      <c r="NSA68" s="349"/>
      <c r="NSB68" s="349"/>
      <c r="NSC68" s="349"/>
      <c r="NSD68" s="349"/>
      <c r="NSE68" s="349"/>
      <c r="NSF68" s="349"/>
      <c r="NSG68" s="349"/>
      <c r="NSH68" s="349"/>
      <c r="NSI68" s="349"/>
      <c r="NSJ68" s="349"/>
      <c r="NSK68" s="349"/>
      <c r="NSL68" s="349"/>
      <c r="NSM68" s="349"/>
      <c r="NSN68" s="349"/>
      <c r="NSO68" s="349"/>
      <c r="NSP68" s="349"/>
      <c r="NSQ68" s="349"/>
      <c r="NSR68" s="349"/>
      <c r="NSS68" s="349"/>
      <c r="NST68" s="349"/>
      <c r="NSU68" s="349"/>
      <c r="NSV68" s="349"/>
      <c r="NSW68" s="349"/>
      <c r="NSX68" s="349"/>
      <c r="NSY68" s="349"/>
      <c r="NSZ68" s="349"/>
      <c r="NTA68" s="349"/>
      <c r="NTB68" s="349"/>
      <c r="NTC68" s="349"/>
      <c r="NTD68" s="349"/>
      <c r="NTE68" s="349"/>
      <c r="NTF68" s="349"/>
      <c r="NTG68" s="349"/>
      <c r="NTH68" s="349"/>
      <c r="NTI68" s="349"/>
      <c r="NTJ68" s="349"/>
      <c r="NTK68" s="349"/>
      <c r="NTL68" s="349"/>
      <c r="NTM68" s="349"/>
      <c r="NTN68" s="349"/>
      <c r="NTO68" s="349"/>
      <c r="NTP68" s="349"/>
      <c r="NTQ68" s="349"/>
      <c r="NTR68" s="349"/>
      <c r="NTS68" s="349"/>
      <c r="NTT68" s="349"/>
      <c r="NTU68" s="349"/>
      <c r="NTV68" s="349"/>
      <c r="NTW68" s="349"/>
      <c r="NTX68" s="349"/>
      <c r="NTY68" s="349"/>
      <c r="NTZ68" s="349"/>
      <c r="NUA68" s="349"/>
      <c r="NUB68" s="349"/>
      <c r="NUC68" s="349"/>
      <c r="NUD68" s="349"/>
      <c r="NUE68" s="349"/>
      <c r="NUF68" s="349"/>
      <c r="NUG68" s="349"/>
      <c r="NUH68" s="349"/>
      <c r="NUI68" s="349"/>
      <c r="NUJ68" s="349"/>
      <c r="NUK68" s="349"/>
      <c r="NUL68" s="349"/>
      <c r="NUM68" s="349"/>
      <c r="NUN68" s="349"/>
      <c r="NUO68" s="349"/>
      <c r="NUP68" s="349"/>
      <c r="NUQ68" s="349"/>
      <c r="NUR68" s="349"/>
      <c r="NUS68" s="349"/>
      <c r="NUT68" s="349"/>
      <c r="NUU68" s="349"/>
      <c r="NUV68" s="349"/>
      <c r="NUW68" s="349"/>
      <c r="NUX68" s="349"/>
      <c r="NUY68" s="349"/>
      <c r="NUZ68" s="349"/>
      <c r="NVA68" s="349"/>
      <c r="NVB68" s="349"/>
      <c r="NVC68" s="349"/>
      <c r="NVD68" s="349"/>
      <c r="NVE68" s="349"/>
      <c r="NVF68" s="349"/>
      <c r="NVG68" s="349"/>
      <c r="NVH68" s="349"/>
      <c r="NVI68" s="349"/>
      <c r="NVJ68" s="349"/>
      <c r="NVK68" s="349"/>
      <c r="NVL68" s="349"/>
      <c r="NVM68" s="349"/>
      <c r="NVN68" s="349"/>
      <c r="NVO68" s="349"/>
      <c r="NVP68" s="349"/>
      <c r="NVQ68" s="349"/>
      <c r="NVR68" s="349"/>
      <c r="NVS68" s="349"/>
      <c r="NVT68" s="349"/>
      <c r="NVU68" s="349"/>
      <c r="NVV68" s="349"/>
      <c r="NVW68" s="349"/>
      <c r="NVX68" s="349"/>
      <c r="NVY68" s="349"/>
      <c r="NVZ68" s="349"/>
      <c r="NWA68" s="349"/>
      <c r="NWB68" s="349"/>
      <c r="NWC68" s="349"/>
      <c r="NWD68" s="349"/>
      <c r="NWE68" s="349"/>
      <c r="NWF68" s="349"/>
      <c r="NWG68" s="349"/>
      <c r="NWH68" s="349"/>
      <c r="NWI68" s="349"/>
      <c r="NWJ68" s="349"/>
      <c r="NWK68" s="349"/>
      <c r="NWL68" s="349"/>
      <c r="NWM68" s="349"/>
      <c r="NWN68" s="349"/>
      <c r="NWO68" s="349"/>
      <c r="NWP68" s="349"/>
      <c r="NWQ68" s="349"/>
      <c r="NWR68" s="349"/>
      <c r="NWS68" s="349"/>
      <c r="NWT68" s="349"/>
      <c r="NWU68" s="349"/>
      <c r="NWV68" s="349"/>
      <c r="NWW68" s="349"/>
      <c r="NWX68" s="349"/>
      <c r="NWY68" s="349"/>
      <c r="NWZ68" s="349"/>
      <c r="NXA68" s="349"/>
      <c r="NXB68" s="349"/>
      <c r="NXC68" s="349"/>
      <c r="NXD68" s="349"/>
      <c r="NXE68" s="349"/>
      <c r="NXF68" s="349"/>
      <c r="NXG68" s="349"/>
      <c r="NXH68" s="349"/>
      <c r="NXI68" s="349"/>
      <c r="NXJ68" s="349"/>
      <c r="NXK68" s="349"/>
      <c r="NXL68" s="349"/>
      <c r="NXM68" s="349"/>
      <c r="NXN68" s="349"/>
      <c r="NXO68" s="349"/>
      <c r="NXP68" s="349"/>
      <c r="NXQ68" s="349"/>
      <c r="NXR68" s="349"/>
      <c r="NXS68" s="349"/>
      <c r="NXT68" s="349"/>
      <c r="NXU68" s="349"/>
      <c r="NXV68" s="349"/>
      <c r="NXW68" s="349"/>
      <c r="NXX68" s="349"/>
      <c r="NXY68" s="349"/>
      <c r="NXZ68" s="349"/>
      <c r="NYA68" s="349"/>
      <c r="NYB68" s="349"/>
      <c r="NYC68" s="349"/>
      <c r="NYD68" s="349"/>
      <c r="NYE68" s="349"/>
      <c r="NYF68" s="349"/>
      <c r="NYG68" s="349"/>
      <c r="NYH68" s="349"/>
      <c r="NYI68" s="349"/>
      <c r="NYJ68" s="349"/>
      <c r="NYK68" s="349"/>
      <c r="NYL68" s="349"/>
      <c r="NYM68" s="349"/>
      <c r="NYN68" s="349"/>
      <c r="NYO68" s="349"/>
      <c r="NYP68" s="349"/>
      <c r="NYQ68" s="349"/>
      <c r="NYR68" s="349"/>
      <c r="NYS68" s="349"/>
      <c r="NYT68" s="349"/>
      <c r="NYU68" s="349"/>
      <c r="NYV68" s="349"/>
      <c r="NYW68" s="349"/>
      <c r="NYX68" s="349"/>
      <c r="NYY68" s="349"/>
      <c r="NYZ68" s="349"/>
      <c r="NZA68" s="349"/>
      <c r="NZB68" s="349"/>
      <c r="NZC68" s="349"/>
      <c r="NZD68" s="349"/>
      <c r="NZE68" s="349"/>
      <c r="NZF68" s="349"/>
      <c r="NZG68" s="349"/>
      <c r="NZH68" s="349"/>
      <c r="NZI68" s="349"/>
      <c r="NZJ68" s="349"/>
      <c r="NZK68" s="349"/>
      <c r="NZL68" s="349"/>
      <c r="NZM68" s="349"/>
      <c r="NZN68" s="349"/>
      <c r="NZO68" s="349"/>
      <c r="NZP68" s="349"/>
      <c r="NZQ68" s="349"/>
      <c r="NZR68" s="349"/>
      <c r="NZS68" s="349"/>
      <c r="NZT68" s="349"/>
      <c r="NZU68" s="349"/>
      <c r="NZV68" s="349"/>
      <c r="NZW68" s="349"/>
      <c r="NZX68" s="349"/>
      <c r="NZY68" s="349"/>
      <c r="NZZ68" s="349"/>
      <c r="OAA68" s="349"/>
      <c r="OAB68" s="349"/>
      <c r="OAC68" s="349"/>
      <c r="OAD68" s="349"/>
      <c r="OAE68" s="349"/>
      <c r="OAF68" s="349"/>
      <c r="OAG68" s="349"/>
      <c r="OAH68" s="349"/>
      <c r="OAI68" s="349"/>
      <c r="OAJ68" s="349"/>
      <c r="OAK68" s="349"/>
      <c r="OAL68" s="349"/>
      <c r="OAM68" s="349"/>
      <c r="OAN68" s="349"/>
      <c r="OAO68" s="349"/>
      <c r="OAP68" s="349"/>
      <c r="OAQ68" s="349"/>
      <c r="OAR68" s="349"/>
      <c r="OAS68" s="349"/>
      <c r="OAT68" s="349"/>
      <c r="OAU68" s="349"/>
      <c r="OAV68" s="349"/>
      <c r="OAW68" s="349"/>
      <c r="OAX68" s="349"/>
      <c r="OAY68" s="349"/>
      <c r="OAZ68" s="349"/>
      <c r="OBA68" s="349"/>
      <c r="OBB68" s="349"/>
      <c r="OBC68" s="349"/>
      <c r="OBD68" s="349"/>
      <c r="OBE68" s="349"/>
      <c r="OBF68" s="349"/>
      <c r="OBG68" s="349"/>
      <c r="OBH68" s="349"/>
      <c r="OBI68" s="349"/>
      <c r="OBJ68" s="349"/>
      <c r="OBK68" s="349"/>
      <c r="OBL68" s="349"/>
      <c r="OBM68" s="349"/>
      <c r="OBN68" s="349"/>
      <c r="OBO68" s="349"/>
      <c r="OBP68" s="349"/>
      <c r="OBQ68" s="349"/>
      <c r="OBR68" s="349"/>
      <c r="OBS68" s="349"/>
      <c r="OBT68" s="349"/>
      <c r="OBU68" s="349"/>
      <c r="OBV68" s="349"/>
      <c r="OBW68" s="349"/>
      <c r="OBX68" s="349"/>
      <c r="OBY68" s="349"/>
      <c r="OBZ68" s="349"/>
      <c r="OCA68" s="349"/>
      <c r="OCB68" s="349"/>
      <c r="OCC68" s="349"/>
      <c r="OCD68" s="349"/>
      <c r="OCE68" s="349"/>
      <c r="OCF68" s="349"/>
      <c r="OCG68" s="349"/>
      <c r="OCH68" s="349"/>
      <c r="OCI68" s="349"/>
      <c r="OCJ68" s="349"/>
      <c r="OCK68" s="349"/>
      <c r="OCL68" s="349"/>
      <c r="OCM68" s="349"/>
      <c r="OCN68" s="349"/>
      <c r="OCO68" s="349"/>
      <c r="OCP68" s="349"/>
      <c r="OCQ68" s="349"/>
      <c r="OCR68" s="349"/>
      <c r="OCS68" s="349"/>
      <c r="OCT68" s="349"/>
      <c r="OCU68" s="349"/>
      <c r="OCV68" s="349"/>
      <c r="OCW68" s="349"/>
      <c r="OCX68" s="349"/>
      <c r="OCY68" s="349"/>
      <c r="OCZ68" s="349"/>
      <c r="ODA68" s="349"/>
      <c r="ODB68" s="349"/>
      <c r="ODC68" s="349"/>
      <c r="ODD68" s="349"/>
      <c r="ODE68" s="349"/>
      <c r="ODF68" s="349"/>
      <c r="ODG68" s="349"/>
      <c r="ODH68" s="349"/>
      <c r="ODI68" s="349"/>
      <c r="ODJ68" s="349"/>
      <c r="ODK68" s="349"/>
      <c r="ODL68" s="349"/>
      <c r="ODM68" s="349"/>
      <c r="ODN68" s="349"/>
      <c r="ODO68" s="349"/>
      <c r="ODP68" s="349"/>
      <c r="ODQ68" s="349"/>
      <c r="ODR68" s="349"/>
      <c r="ODS68" s="349"/>
      <c r="ODT68" s="349"/>
      <c r="ODU68" s="349"/>
      <c r="ODV68" s="349"/>
      <c r="ODW68" s="349"/>
      <c r="ODX68" s="349"/>
      <c r="ODY68" s="349"/>
      <c r="ODZ68" s="349"/>
      <c r="OEA68" s="349"/>
      <c r="OEB68" s="349"/>
      <c r="OEC68" s="349"/>
      <c r="OED68" s="349"/>
      <c r="OEE68" s="349"/>
      <c r="OEF68" s="349"/>
      <c r="OEG68" s="349"/>
      <c r="OEH68" s="349"/>
      <c r="OEI68" s="349"/>
      <c r="OEJ68" s="349"/>
      <c r="OEK68" s="349"/>
      <c r="OEL68" s="349"/>
      <c r="OEM68" s="349"/>
      <c r="OEN68" s="349"/>
      <c r="OEO68" s="349"/>
      <c r="OEP68" s="349"/>
      <c r="OEQ68" s="349"/>
      <c r="OER68" s="349"/>
      <c r="OES68" s="349"/>
      <c r="OET68" s="349"/>
      <c r="OEU68" s="349"/>
      <c r="OEV68" s="349"/>
      <c r="OEW68" s="349"/>
      <c r="OEX68" s="349"/>
      <c r="OEY68" s="349"/>
      <c r="OEZ68" s="349"/>
      <c r="OFA68" s="349"/>
      <c r="OFB68" s="349"/>
      <c r="OFC68" s="349"/>
      <c r="OFD68" s="349"/>
      <c r="OFE68" s="349"/>
      <c r="OFF68" s="349"/>
      <c r="OFG68" s="349"/>
      <c r="OFH68" s="349"/>
      <c r="OFI68" s="349"/>
      <c r="OFJ68" s="349"/>
      <c r="OFK68" s="349"/>
      <c r="OFL68" s="349"/>
      <c r="OFM68" s="349"/>
      <c r="OFN68" s="349"/>
      <c r="OFO68" s="349"/>
      <c r="OFP68" s="349"/>
      <c r="OFQ68" s="349"/>
      <c r="OFR68" s="349"/>
      <c r="OFS68" s="349"/>
      <c r="OFT68" s="349"/>
      <c r="OFU68" s="349"/>
      <c r="OFV68" s="349"/>
      <c r="OFW68" s="349"/>
      <c r="OFX68" s="349"/>
      <c r="OFY68" s="349"/>
      <c r="OFZ68" s="349"/>
      <c r="OGA68" s="349"/>
      <c r="OGB68" s="349"/>
      <c r="OGC68" s="349"/>
      <c r="OGD68" s="349"/>
      <c r="OGE68" s="349"/>
      <c r="OGF68" s="349"/>
      <c r="OGG68" s="349"/>
      <c r="OGH68" s="349"/>
      <c r="OGI68" s="349"/>
      <c r="OGJ68" s="349"/>
      <c r="OGK68" s="349"/>
      <c r="OGL68" s="349"/>
      <c r="OGM68" s="349"/>
      <c r="OGN68" s="349"/>
      <c r="OGO68" s="349"/>
      <c r="OGP68" s="349"/>
      <c r="OGQ68" s="349"/>
      <c r="OGR68" s="349"/>
      <c r="OGS68" s="349"/>
      <c r="OGT68" s="349"/>
      <c r="OGU68" s="349"/>
      <c r="OGV68" s="349"/>
      <c r="OGW68" s="349"/>
      <c r="OGX68" s="349"/>
      <c r="OGY68" s="349"/>
      <c r="OGZ68" s="349"/>
      <c r="OHA68" s="349"/>
      <c r="OHB68" s="349"/>
      <c r="OHC68" s="349"/>
      <c r="OHD68" s="349"/>
      <c r="OHE68" s="349"/>
      <c r="OHF68" s="349"/>
      <c r="OHG68" s="349"/>
      <c r="OHH68" s="349"/>
      <c r="OHI68" s="349"/>
      <c r="OHJ68" s="349"/>
      <c r="OHK68" s="349"/>
      <c r="OHL68" s="349"/>
      <c r="OHM68" s="349"/>
      <c r="OHN68" s="349"/>
      <c r="OHO68" s="349"/>
      <c r="OHP68" s="349"/>
      <c r="OHQ68" s="349"/>
      <c r="OHR68" s="349"/>
      <c r="OHS68" s="349"/>
      <c r="OHT68" s="349"/>
      <c r="OHU68" s="349"/>
      <c r="OHV68" s="349"/>
      <c r="OHW68" s="349"/>
      <c r="OHX68" s="349"/>
      <c r="OHY68" s="349"/>
      <c r="OHZ68" s="349"/>
      <c r="OIA68" s="349"/>
      <c r="OIB68" s="349"/>
      <c r="OIC68" s="349"/>
      <c r="OID68" s="349"/>
      <c r="OIE68" s="349"/>
      <c r="OIF68" s="349"/>
      <c r="OIG68" s="349"/>
      <c r="OIH68" s="349"/>
      <c r="OII68" s="349"/>
      <c r="OIJ68" s="349"/>
      <c r="OIK68" s="349"/>
      <c r="OIL68" s="349"/>
      <c r="OIM68" s="349"/>
      <c r="OIN68" s="349"/>
      <c r="OIO68" s="349"/>
      <c r="OIP68" s="349"/>
      <c r="OIQ68" s="349"/>
      <c r="OIR68" s="349"/>
      <c r="OIS68" s="349"/>
      <c r="OIT68" s="349"/>
      <c r="OIU68" s="349"/>
      <c r="OIV68" s="349"/>
      <c r="OIW68" s="349"/>
      <c r="OIX68" s="349"/>
      <c r="OIY68" s="349"/>
      <c r="OIZ68" s="349"/>
      <c r="OJA68" s="349"/>
      <c r="OJB68" s="349"/>
      <c r="OJC68" s="349"/>
      <c r="OJD68" s="349"/>
      <c r="OJE68" s="349"/>
      <c r="OJF68" s="349"/>
      <c r="OJG68" s="349"/>
      <c r="OJH68" s="349"/>
      <c r="OJI68" s="349"/>
      <c r="OJJ68" s="349"/>
      <c r="OJK68" s="349"/>
      <c r="OJL68" s="349"/>
      <c r="OJM68" s="349"/>
      <c r="OJN68" s="349"/>
      <c r="OJO68" s="349"/>
      <c r="OJP68" s="349"/>
      <c r="OJQ68" s="349"/>
      <c r="OJR68" s="349"/>
      <c r="OJS68" s="349"/>
      <c r="OJT68" s="349"/>
      <c r="OJU68" s="349"/>
      <c r="OJV68" s="349"/>
      <c r="OJW68" s="349"/>
      <c r="OJX68" s="349"/>
      <c r="OJY68" s="349"/>
      <c r="OJZ68" s="349"/>
      <c r="OKA68" s="349"/>
      <c r="OKB68" s="349"/>
      <c r="OKC68" s="349"/>
      <c r="OKD68" s="349"/>
      <c r="OKE68" s="349"/>
      <c r="OKF68" s="349"/>
      <c r="OKG68" s="349"/>
      <c r="OKH68" s="349"/>
      <c r="OKI68" s="349"/>
      <c r="OKJ68" s="349"/>
      <c r="OKK68" s="349"/>
      <c r="OKL68" s="349"/>
      <c r="OKM68" s="349"/>
      <c r="OKN68" s="349"/>
      <c r="OKO68" s="349"/>
      <c r="OKP68" s="349"/>
      <c r="OKQ68" s="349"/>
      <c r="OKR68" s="349"/>
      <c r="OKS68" s="349"/>
      <c r="OKT68" s="349"/>
      <c r="OKU68" s="349"/>
      <c r="OKV68" s="349"/>
      <c r="OKW68" s="349"/>
      <c r="OKX68" s="349"/>
      <c r="OKY68" s="349"/>
      <c r="OKZ68" s="349"/>
      <c r="OLA68" s="349"/>
      <c r="OLB68" s="349"/>
      <c r="OLC68" s="349"/>
      <c r="OLD68" s="349"/>
      <c r="OLE68" s="349"/>
      <c r="OLF68" s="349"/>
      <c r="OLG68" s="349"/>
      <c r="OLH68" s="349"/>
      <c r="OLI68" s="349"/>
      <c r="OLJ68" s="349"/>
      <c r="OLK68" s="349"/>
      <c r="OLL68" s="349"/>
      <c r="OLM68" s="349"/>
      <c r="OLN68" s="349"/>
      <c r="OLO68" s="349"/>
      <c r="OLP68" s="349"/>
      <c r="OLQ68" s="349"/>
      <c r="OLR68" s="349"/>
      <c r="OLS68" s="349"/>
      <c r="OLT68" s="349"/>
      <c r="OLU68" s="349"/>
      <c r="OLV68" s="349"/>
      <c r="OLW68" s="349"/>
      <c r="OLX68" s="349"/>
      <c r="OLY68" s="349"/>
      <c r="OLZ68" s="349"/>
      <c r="OMA68" s="349"/>
      <c r="OMB68" s="349"/>
      <c r="OMC68" s="349"/>
      <c r="OMD68" s="349"/>
      <c r="OME68" s="349"/>
      <c r="OMF68" s="349"/>
      <c r="OMG68" s="349"/>
      <c r="OMH68" s="349"/>
      <c r="OMI68" s="349"/>
      <c r="OMJ68" s="349"/>
      <c r="OMK68" s="349"/>
      <c r="OML68" s="349"/>
      <c r="OMM68" s="349"/>
      <c r="OMN68" s="349"/>
      <c r="OMO68" s="349"/>
      <c r="OMP68" s="349"/>
      <c r="OMQ68" s="349"/>
      <c r="OMR68" s="349"/>
      <c r="OMS68" s="349"/>
      <c r="OMT68" s="349"/>
      <c r="OMU68" s="349"/>
      <c r="OMV68" s="349"/>
      <c r="OMW68" s="349"/>
      <c r="OMX68" s="349"/>
      <c r="OMY68" s="349"/>
      <c r="OMZ68" s="349"/>
      <c r="ONA68" s="349"/>
      <c r="ONB68" s="349"/>
      <c r="ONC68" s="349"/>
      <c r="OND68" s="349"/>
      <c r="ONE68" s="349"/>
      <c r="ONF68" s="349"/>
      <c r="ONG68" s="349"/>
      <c r="ONH68" s="349"/>
      <c r="ONI68" s="349"/>
      <c r="ONJ68" s="349"/>
      <c r="ONK68" s="349"/>
      <c r="ONL68" s="349"/>
      <c r="ONM68" s="349"/>
      <c r="ONN68" s="349"/>
      <c r="ONO68" s="349"/>
      <c r="ONP68" s="349"/>
      <c r="ONQ68" s="349"/>
      <c r="ONR68" s="349"/>
      <c r="ONS68" s="349"/>
      <c r="ONT68" s="349"/>
      <c r="ONU68" s="349"/>
      <c r="ONV68" s="349"/>
      <c r="ONW68" s="349"/>
      <c r="ONX68" s="349"/>
      <c r="ONY68" s="349"/>
      <c r="ONZ68" s="349"/>
      <c r="OOA68" s="349"/>
      <c r="OOB68" s="349"/>
      <c r="OOC68" s="349"/>
      <c r="OOD68" s="349"/>
      <c r="OOE68" s="349"/>
      <c r="OOF68" s="349"/>
      <c r="OOG68" s="349"/>
      <c r="OOH68" s="349"/>
      <c r="OOI68" s="349"/>
      <c r="OOJ68" s="349"/>
      <c r="OOK68" s="349"/>
      <c r="OOL68" s="349"/>
      <c r="OOM68" s="349"/>
      <c r="OON68" s="349"/>
      <c r="OOO68" s="349"/>
      <c r="OOP68" s="349"/>
      <c r="OOQ68" s="349"/>
      <c r="OOR68" s="349"/>
      <c r="OOS68" s="349"/>
      <c r="OOT68" s="349"/>
      <c r="OOU68" s="349"/>
      <c r="OOV68" s="349"/>
      <c r="OOW68" s="349"/>
      <c r="OOX68" s="349"/>
      <c r="OOY68" s="349"/>
      <c r="OOZ68" s="349"/>
      <c r="OPA68" s="349"/>
      <c r="OPB68" s="349"/>
      <c r="OPC68" s="349"/>
      <c r="OPD68" s="349"/>
      <c r="OPE68" s="349"/>
      <c r="OPF68" s="349"/>
      <c r="OPG68" s="349"/>
      <c r="OPH68" s="349"/>
      <c r="OPI68" s="349"/>
      <c r="OPJ68" s="349"/>
      <c r="OPK68" s="349"/>
      <c r="OPL68" s="349"/>
      <c r="OPM68" s="349"/>
      <c r="OPN68" s="349"/>
      <c r="OPO68" s="349"/>
      <c r="OPP68" s="349"/>
      <c r="OPQ68" s="349"/>
      <c r="OPR68" s="349"/>
      <c r="OPS68" s="349"/>
      <c r="OPT68" s="349"/>
      <c r="OPU68" s="349"/>
      <c r="OPV68" s="349"/>
      <c r="OPW68" s="349"/>
      <c r="OPX68" s="349"/>
      <c r="OPY68" s="349"/>
      <c r="OPZ68" s="349"/>
      <c r="OQA68" s="349"/>
      <c r="OQB68" s="349"/>
      <c r="OQC68" s="349"/>
      <c r="OQD68" s="349"/>
      <c r="OQE68" s="349"/>
      <c r="OQF68" s="349"/>
      <c r="OQG68" s="349"/>
      <c r="OQH68" s="349"/>
      <c r="OQI68" s="349"/>
      <c r="OQJ68" s="349"/>
      <c r="OQK68" s="349"/>
      <c r="OQL68" s="349"/>
      <c r="OQM68" s="349"/>
      <c r="OQN68" s="349"/>
      <c r="OQO68" s="349"/>
      <c r="OQP68" s="349"/>
      <c r="OQQ68" s="349"/>
      <c r="OQR68" s="349"/>
      <c r="OQS68" s="349"/>
      <c r="OQT68" s="349"/>
      <c r="OQU68" s="349"/>
      <c r="OQV68" s="349"/>
      <c r="OQW68" s="349"/>
      <c r="OQX68" s="349"/>
      <c r="OQY68" s="349"/>
      <c r="OQZ68" s="349"/>
      <c r="ORA68" s="349"/>
      <c r="ORB68" s="349"/>
      <c r="ORC68" s="349"/>
      <c r="ORD68" s="349"/>
      <c r="ORE68" s="349"/>
      <c r="ORF68" s="349"/>
      <c r="ORG68" s="349"/>
      <c r="ORH68" s="349"/>
      <c r="ORI68" s="349"/>
      <c r="ORJ68" s="349"/>
      <c r="ORK68" s="349"/>
      <c r="ORL68" s="349"/>
      <c r="ORM68" s="349"/>
      <c r="ORN68" s="349"/>
      <c r="ORO68" s="349"/>
      <c r="ORP68" s="349"/>
      <c r="ORQ68" s="349"/>
      <c r="ORR68" s="349"/>
      <c r="ORS68" s="349"/>
      <c r="ORT68" s="349"/>
      <c r="ORU68" s="349"/>
      <c r="ORV68" s="349"/>
      <c r="ORW68" s="349"/>
      <c r="ORX68" s="349"/>
      <c r="ORY68" s="349"/>
      <c r="ORZ68" s="349"/>
      <c r="OSA68" s="349"/>
      <c r="OSB68" s="349"/>
      <c r="OSC68" s="349"/>
      <c r="OSD68" s="349"/>
      <c r="OSE68" s="349"/>
      <c r="OSF68" s="349"/>
      <c r="OSG68" s="349"/>
      <c r="OSH68" s="349"/>
      <c r="OSI68" s="349"/>
      <c r="OSJ68" s="349"/>
      <c r="OSK68" s="349"/>
      <c r="OSL68" s="349"/>
      <c r="OSM68" s="349"/>
      <c r="OSN68" s="349"/>
      <c r="OSO68" s="349"/>
      <c r="OSP68" s="349"/>
      <c r="OSQ68" s="349"/>
      <c r="OSR68" s="349"/>
      <c r="OSS68" s="349"/>
      <c r="OST68" s="349"/>
      <c r="OSU68" s="349"/>
      <c r="OSV68" s="349"/>
      <c r="OSW68" s="349"/>
      <c r="OSX68" s="349"/>
      <c r="OSY68" s="349"/>
      <c r="OSZ68" s="349"/>
      <c r="OTA68" s="349"/>
      <c r="OTB68" s="349"/>
      <c r="OTC68" s="349"/>
      <c r="OTD68" s="349"/>
      <c r="OTE68" s="349"/>
      <c r="OTF68" s="349"/>
      <c r="OTG68" s="349"/>
      <c r="OTH68" s="349"/>
      <c r="OTI68" s="349"/>
      <c r="OTJ68" s="349"/>
      <c r="OTK68" s="349"/>
      <c r="OTL68" s="349"/>
      <c r="OTM68" s="349"/>
      <c r="OTN68" s="349"/>
      <c r="OTO68" s="349"/>
      <c r="OTP68" s="349"/>
      <c r="OTQ68" s="349"/>
      <c r="OTR68" s="349"/>
      <c r="OTS68" s="349"/>
      <c r="OTT68" s="349"/>
      <c r="OTU68" s="349"/>
      <c r="OTV68" s="349"/>
      <c r="OTW68" s="349"/>
      <c r="OTX68" s="349"/>
      <c r="OTY68" s="349"/>
      <c r="OTZ68" s="349"/>
      <c r="OUA68" s="349"/>
      <c r="OUB68" s="349"/>
      <c r="OUC68" s="349"/>
      <c r="OUD68" s="349"/>
      <c r="OUE68" s="349"/>
      <c r="OUF68" s="349"/>
      <c r="OUG68" s="349"/>
      <c r="OUH68" s="349"/>
      <c r="OUI68" s="349"/>
      <c r="OUJ68" s="349"/>
      <c r="OUK68" s="349"/>
      <c r="OUL68" s="349"/>
      <c r="OUM68" s="349"/>
      <c r="OUN68" s="349"/>
      <c r="OUO68" s="349"/>
      <c r="OUP68" s="349"/>
      <c r="OUQ68" s="349"/>
      <c r="OUR68" s="349"/>
      <c r="OUS68" s="349"/>
      <c r="OUT68" s="349"/>
      <c r="OUU68" s="349"/>
      <c r="OUV68" s="349"/>
      <c r="OUW68" s="349"/>
      <c r="OUX68" s="349"/>
      <c r="OUY68" s="349"/>
      <c r="OUZ68" s="349"/>
      <c r="OVA68" s="349"/>
      <c r="OVB68" s="349"/>
      <c r="OVC68" s="349"/>
      <c r="OVD68" s="349"/>
      <c r="OVE68" s="349"/>
      <c r="OVF68" s="349"/>
      <c r="OVG68" s="349"/>
      <c r="OVH68" s="349"/>
      <c r="OVI68" s="349"/>
      <c r="OVJ68" s="349"/>
      <c r="OVK68" s="349"/>
      <c r="OVL68" s="349"/>
      <c r="OVM68" s="349"/>
      <c r="OVN68" s="349"/>
      <c r="OVO68" s="349"/>
      <c r="OVP68" s="349"/>
      <c r="OVQ68" s="349"/>
      <c r="OVR68" s="349"/>
      <c r="OVS68" s="349"/>
      <c r="OVT68" s="349"/>
      <c r="OVU68" s="349"/>
      <c r="OVV68" s="349"/>
      <c r="OVW68" s="349"/>
      <c r="OVX68" s="349"/>
      <c r="OVY68" s="349"/>
      <c r="OVZ68" s="349"/>
      <c r="OWA68" s="349"/>
      <c r="OWB68" s="349"/>
      <c r="OWC68" s="349"/>
      <c r="OWD68" s="349"/>
      <c r="OWE68" s="349"/>
      <c r="OWF68" s="349"/>
      <c r="OWG68" s="349"/>
      <c r="OWH68" s="349"/>
      <c r="OWI68" s="349"/>
      <c r="OWJ68" s="349"/>
      <c r="OWK68" s="349"/>
      <c r="OWL68" s="349"/>
      <c r="OWM68" s="349"/>
      <c r="OWN68" s="349"/>
      <c r="OWO68" s="349"/>
      <c r="OWP68" s="349"/>
      <c r="OWQ68" s="349"/>
      <c r="OWR68" s="349"/>
      <c r="OWS68" s="349"/>
      <c r="OWT68" s="349"/>
      <c r="OWU68" s="349"/>
      <c r="OWV68" s="349"/>
      <c r="OWW68" s="349"/>
      <c r="OWX68" s="349"/>
      <c r="OWY68" s="349"/>
      <c r="OWZ68" s="349"/>
      <c r="OXA68" s="349"/>
      <c r="OXB68" s="349"/>
      <c r="OXC68" s="349"/>
      <c r="OXD68" s="349"/>
      <c r="OXE68" s="349"/>
      <c r="OXF68" s="349"/>
      <c r="OXG68" s="349"/>
      <c r="OXH68" s="349"/>
      <c r="OXI68" s="349"/>
      <c r="OXJ68" s="349"/>
      <c r="OXK68" s="349"/>
      <c r="OXL68" s="349"/>
      <c r="OXM68" s="349"/>
      <c r="OXN68" s="349"/>
      <c r="OXO68" s="349"/>
      <c r="OXP68" s="349"/>
      <c r="OXQ68" s="349"/>
      <c r="OXR68" s="349"/>
      <c r="OXS68" s="349"/>
      <c r="OXT68" s="349"/>
      <c r="OXU68" s="349"/>
      <c r="OXV68" s="349"/>
      <c r="OXW68" s="349"/>
      <c r="OXX68" s="349"/>
      <c r="OXY68" s="349"/>
      <c r="OXZ68" s="349"/>
      <c r="OYA68" s="349"/>
      <c r="OYB68" s="349"/>
      <c r="OYC68" s="349"/>
      <c r="OYD68" s="349"/>
      <c r="OYE68" s="349"/>
      <c r="OYF68" s="349"/>
      <c r="OYG68" s="349"/>
      <c r="OYH68" s="349"/>
      <c r="OYI68" s="349"/>
      <c r="OYJ68" s="349"/>
      <c r="OYK68" s="349"/>
      <c r="OYL68" s="349"/>
      <c r="OYM68" s="349"/>
      <c r="OYN68" s="349"/>
      <c r="OYO68" s="349"/>
      <c r="OYP68" s="349"/>
      <c r="OYQ68" s="349"/>
      <c r="OYR68" s="349"/>
      <c r="OYS68" s="349"/>
      <c r="OYT68" s="349"/>
      <c r="OYU68" s="349"/>
      <c r="OYV68" s="349"/>
      <c r="OYW68" s="349"/>
      <c r="OYX68" s="349"/>
      <c r="OYY68" s="349"/>
      <c r="OYZ68" s="349"/>
      <c r="OZA68" s="349"/>
      <c r="OZB68" s="349"/>
      <c r="OZC68" s="349"/>
      <c r="OZD68" s="349"/>
      <c r="OZE68" s="349"/>
      <c r="OZF68" s="349"/>
      <c r="OZG68" s="349"/>
      <c r="OZH68" s="349"/>
      <c r="OZI68" s="349"/>
      <c r="OZJ68" s="349"/>
      <c r="OZK68" s="349"/>
      <c r="OZL68" s="349"/>
      <c r="OZM68" s="349"/>
      <c r="OZN68" s="349"/>
      <c r="OZO68" s="349"/>
      <c r="OZP68" s="349"/>
      <c r="OZQ68" s="349"/>
      <c r="OZR68" s="349"/>
      <c r="OZS68" s="349"/>
      <c r="OZT68" s="349"/>
      <c r="OZU68" s="349"/>
      <c r="OZV68" s="349"/>
      <c r="OZW68" s="349"/>
      <c r="OZX68" s="349"/>
      <c r="OZY68" s="349"/>
      <c r="OZZ68" s="349"/>
      <c r="PAA68" s="349"/>
      <c r="PAB68" s="349"/>
      <c r="PAC68" s="349"/>
      <c r="PAD68" s="349"/>
      <c r="PAE68" s="349"/>
      <c r="PAF68" s="349"/>
      <c r="PAG68" s="349"/>
      <c r="PAH68" s="349"/>
      <c r="PAI68" s="349"/>
      <c r="PAJ68" s="349"/>
      <c r="PAK68" s="349"/>
      <c r="PAL68" s="349"/>
      <c r="PAM68" s="349"/>
      <c r="PAN68" s="349"/>
      <c r="PAO68" s="349"/>
      <c r="PAP68" s="349"/>
      <c r="PAQ68" s="349"/>
      <c r="PAR68" s="349"/>
      <c r="PAS68" s="349"/>
      <c r="PAT68" s="349"/>
      <c r="PAU68" s="349"/>
      <c r="PAV68" s="349"/>
      <c r="PAW68" s="349"/>
      <c r="PAX68" s="349"/>
      <c r="PAY68" s="349"/>
      <c r="PAZ68" s="349"/>
      <c r="PBA68" s="349"/>
      <c r="PBB68" s="349"/>
      <c r="PBC68" s="349"/>
      <c r="PBD68" s="349"/>
      <c r="PBE68" s="349"/>
      <c r="PBF68" s="349"/>
      <c r="PBG68" s="349"/>
      <c r="PBH68" s="349"/>
      <c r="PBI68" s="349"/>
      <c r="PBJ68" s="349"/>
      <c r="PBK68" s="349"/>
      <c r="PBL68" s="349"/>
      <c r="PBM68" s="349"/>
      <c r="PBN68" s="349"/>
      <c r="PBO68" s="349"/>
      <c r="PBP68" s="349"/>
      <c r="PBQ68" s="349"/>
      <c r="PBR68" s="349"/>
      <c r="PBS68" s="349"/>
      <c r="PBT68" s="349"/>
      <c r="PBU68" s="349"/>
      <c r="PBV68" s="349"/>
      <c r="PBW68" s="349"/>
      <c r="PBX68" s="349"/>
      <c r="PBY68" s="349"/>
      <c r="PBZ68" s="349"/>
      <c r="PCA68" s="349"/>
      <c r="PCB68" s="349"/>
      <c r="PCC68" s="349"/>
      <c r="PCD68" s="349"/>
      <c r="PCE68" s="349"/>
      <c r="PCF68" s="349"/>
      <c r="PCG68" s="349"/>
      <c r="PCH68" s="349"/>
      <c r="PCI68" s="349"/>
      <c r="PCJ68" s="349"/>
      <c r="PCK68" s="349"/>
      <c r="PCL68" s="349"/>
      <c r="PCM68" s="349"/>
      <c r="PCN68" s="349"/>
      <c r="PCO68" s="349"/>
      <c r="PCP68" s="349"/>
      <c r="PCQ68" s="349"/>
      <c r="PCR68" s="349"/>
      <c r="PCS68" s="349"/>
      <c r="PCT68" s="349"/>
      <c r="PCU68" s="349"/>
      <c r="PCV68" s="349"/>
      <c r="PCW68" s="349"/>
      <c r="PCX68" s="349"/>
      <c r="PCY68" s="349"/>
      <c r="PCZ68" s="349"/>
      <c r="PDA68" s="349"/>
      <c r="PDB68" s="349"/>
      <c r="PDC68" s="349"/>
      <c r="PDD68" s="349"/>
      <c r="PDE68" s="349"/>
      <c r="PDF68" s="349"/>
      <c r="PDG68" s="349"/>
      <c r="PDH68" s="349"/>
      <c r="PDI68" s="349"/>
      <c r="PDJ68" s="349"/>
      <c r="PDK68" s="349"/>
      <c r="PDL68" s="349"/>
      <c r="PDM68" s="349"/>
      <c r="PDN68" s="349"/>
      <c r="PDO68" s="349"/>
      <c r="PDP68" s="349"/>
      <c r="PDQ68" s="349"/>
      <c r="PDR68" s="349"/>
      <c r="PDS68" s="349"/>
      <c r="PDT68" s="349"/>
      <c r="PDU68" s="349"/>
      <c r="PDV68" s="349"/>
      <c r="PDW68" s="349"/>
      <c r="PDX68" s="349"/>
      <c r="PDY68" s="349"/>
      <c r="PDZ68" s="349"/>
      <c r="PEA68" s="349"/>
      <c r="PEB68" s="349"/>
      <c r="PEC68" s="349"/>
      <c r="PED68" s="349"/>
      <c r="PEE68" s="349"/>
      <c r="PEF68" s="349"/>
      <c r="PEG68" s="349"/>
      <c r="PEH68" s="349"/>
      <c r="PEI68" s="349"/>
      <c r="PEJ68" s="349"/>
      <c r="PEK68" s="349"/>
      <c r="PEL68" s="349"/>
      <c r="PEM68" s="349"/>
      <c r="PEN68" s="349"/>
      <c r="PEO68" s="349"/>
      <c r="PEP68" s="349"/>
      <c r="PEQ68" s="349"/>
      <c r="PER68" s="349"/>
      <c r="PES68" s="349"/>
      <c r="PET68" s="349"/>
      <c r="PEU68" s="349"/>
      <c r="PEV68" s="349"/>
      <c r="PEW68" s="349"/>
      <c r="PEX68" s="349"/>
      <c r="PEY68" s="349"/>
      <c r="PEZ68" s="349"/>
      <c r="PFA68" s="349"/>
      <c r="PFB68" s="349"/>
      <c r="PFC68" s="349"/>
      <c r="PFD68" s="349"/>
      <c r="PFE68" s="349"/>
      <c r="PFF68" s="349"/>
      <c r="PFG68" s="349"/>
      <c r="PFH68" s="349"/>
      <c r="PFI68" s="349"/>
      <c r="PFJ68" s="349"/>
      <c r="PFK68" s="349"/>
      <c r="PFL68" s="349"/>
      <c r="PFM68" s="349"/>
      <c r="PFN68" s="349"/>
      <c r="PFO68" s="349"/>
      <c r="PFP68" s="349"/>
      <c r="PFQ68" s="349"/>
      <c r="PFR68" s="349"/>
      <c r="PFS68" s="349"/>
      <c r="PFT68" s="349"/>
      <c r="PFU68" s="349"/>
      <c r="PFV68" s="349"/>
      <c r="PFW68" s="349"/>
      <c r="PFX68" s="349"/>
      <c r="PFY68" s="349"/>
      <c r="PFZ68" s="349"/>
      <c r="PGA68" s="349"/>
      <c r="PGB68" s="349"/>
      <c r="PGC68" s="349"/>
      <c r="PGD68" s="349"/>
      <c r="PGE68" s="349"/>
      <c r="PGF68" s="349"/>
      <c r="PGG68" s="349"/>
      <c r="PGH68" s="349"/>
      <c r="PGI68" s="349"/>
      <c r="PGJ68" s="349"/>
      <c r="PGK68" s="349"/>
      <c r="PGL68" s="349"/>
      <c r="PGM68" s="349"/>
      <c r="PGN68" s="349"/>
      <c r="PGO68" s="349"/>
      <c r="PGP68" s="349"/>
      <c r="PGQ68" s="349"/>
      <c r="PGR68" s="349"/>
      <c r="PGS68" s="349"/>
      <c r="PGT68" s="349"/>
      <c r="PGU68" s="349"/>
      <c r="PGV68" s="349"/>
      <c r="PGW68" s="349"/>
      <c r="PGX68" s="349"/>
      <c r="PGY68" s="349"/>
      <c r="PGZ68" s="349"/>
      <c r="PHA68" s="349"/>
      <c r="PHB68" s="349"/>
      <c r="PHC68" s="349"/>
      <c r="PHD68" s="349"/>
      <c r="PHE68" s="349"/>
      <c r="PHF68" s="349"/>
      <c r="PHG68" s="349"/>
      <c r="PHH68" s="349"/>
      <c r="PHI68" s="349"/>
      <c r="PHJ68" s="349"/>
      <c r="PHK68" s="349"/>
      <c r="PHL68" s="349"/>
      <c r="PHM68" s="349"/>
      <c r="PHN68" s="349"/>
      <c r="PHO68" s="349"/>
      <c r="PHP68" s="349"/>
      <c r="PHQ68" s="349"/>
      <c r="PHR68" s="349"/>
      <c r="PHS68" s="349"/>
      <c r="PHT68" s="349"/>
      <c r="PHU68" s="349"/>
      <c r="PHV68" s="349"/>
      <c r="PHW68" s="349"/>
      <c r="PHX68" s="349"/>
      <c r="PHY68" s="349"/>
      <c r="PHZ68" s="349"/>
      <c r="PIA68" s="349"/>
      <c r="PIB68" s="349"/>
      <c r="PIC68" s="349"/>
      <c r="PID68" s="349"/>
      <c r="PIE68" s="349"/>
      <c r="PIF68" s="349"/>
      <c r="PIG68" s="349"/>
      <c r="PIH68" s="349"/>
      <c r="PII68" s="349"/>
      <c r="PIJ68" s="349"/>
      <c r="PIK68" s="349"/>
      <c r="PIL68" s="349"/>
      <c r="PIM68" s="349"/>
      <c r="PIN68" s="349"/>
      <c r="PIO68" s="349"/>
      <c r="PIP68" s="349"/>
      <c r="PIQ68" s="349"/>
      <c r="PIR68" s="349"/>
      <c r="PIS68" s="349"/>
      <c r="PIT68" s="349"/>
      <c r="PIU68" s="349"/>
      <c r="PIV68" s="349"/>
      <c r="PIW68" s="349"/>
      <c r="PIX68" s="349"/>
      <c r="PIY68" s="349"/>
      <c r="PIZ68" s="349"/>
      <c r="PJA68" s="349"/>
      <c r="PJB68" s="349"/>
      <c r="PJC68" s="349"/>
      <c r="PJD68" s="349"/>
      <c r="PJE68" s="349"/>
      <c r="PJF68" s="349"/>
      <c r="PJG68" s="349"/>
      <c r="PJH68" s="349"/>
      <c r="PJI68" s="349"/>
      <c r="PJJ68" s="349"/>
      <c r="PJK68" s="349"/>
      <c r="PJL68" s="349"/>
      <c r="PJM68" s="349"/>
      <c r="PJN68" s="349"/>
      <c r="PJO68" s="349"/>
      <c r="PJP68" s="349"/>
      <c r="PJQ68" s="349"/>
      <c r="PJR68" s="349"/>
      <c r="PJS68" s="349"/>
      <c r="PJT68" s="349"/>
      <c r="PJU68" s="349"/>
      <c r="PJV68" s="349"/>
      <c r="PJW68" s="349"/>
      <c r="PJX68" s="349"/>
      <c r="PJY68" s="349"/>
      <c r="PJZ68" s="349"/>
      <c r="PKA68" s="349"/>
      <c r="PKB68" s="349"/>
      <c r="PKC68" s="349"/>
      <c r="PKD68" s="349"/>
      <c r="PKE68" s="349"/>
      <c r="PKF68" s="349"/>
      <c r="PKG68" s="349"/>
      <c r="PKH68" s="349"/>
      <c r="PKI68" s="349"/>
      <c r="PKJ68" s="349"/>
      <c r="PKK68" s="349"/>
      <c r="PKL68" s="349"/>
      <c r="PKM68" s="349"/>
      <c r="PKN68" s="349"/>
      <c r="PKO68" s="349"/>
      <c r="PKP68" s="349"/>
      <c r="PKQ68" s="349"/>
      <c r="PKR68" s="349"/>
      <c r="PKS68" s="349"/>
      <c r="PKT68" s="349"/>
      <c r="PKU68" s="349"/>
      <c r="PKV68" s="349"/>
      <c r="PKW68" s="349"/>
      <c r="PKX68" s="349"/>
      <c r="PKY68" s="349"/>
      <c r="PKZ68" s="349"/>
      <c r="PLA68" s="349"/>
      <c r="PLB68" s="349"/>
      <c r="PLC68" s="349"/>
      <c r="PLD68" s="349"/>
      <c r="PLE68" s="349"/>
      <c r="PLF68" s="349"/>
      <c r="PLG68" s="349"/>
      <c r="PLH68" s="349"/>
      <c r="PLI68" s="349"/>
      <c r="PLJ68" s="349"/>
      <c r="PLK68" s="349"/>
      <c r="PLL68" s="349"/>
      <c r="PLM68" s="349"/>
      <c r="PLN68" s="349"/>
      <c r="PLO68" s="349"/>
      <c r="PLP68" s="349"/>
      <c r="PLQ68" s="349"/>
      <c r="PLR68" s="349"/>
      <c r="PLS68" s="349"/>
      <c r="PLT68" s="349"/>
      <c r="PLU68" s="349"/>
      <c r="PLV68" s="349"/>
      <c r="PLW68" s="349"/>
      <c r="PLX68" s="349"/>
      <c r="PLY68" s="349"/>
      <c r="PLZ68" s="349"/>
      <c r="PMA68" s="349"/>
      <c r="PMB68" s="349"/>
      <c r="PMC68" s="349"/>
      <c r="PMD68" s="349"/>
      <c r="PME68" s="349"/>
      <c r="PMF68" s="349"/>
      <c r="PMG68" s="349"/>
      <c r="PMH68" s="349"/>
      <c r="PMI68" s="349"/>
      <c r="PMJ68" s="349"/>
      <c r="PMK68" s="349"/>
      <c r="PML68" s="349"/>
      <c r="PMM68" s="349"/>
      <c r="PMN68" s="349"/>
      <c r="PMO68" s="349"/>
      <c r="PMP68" s="349"/>
      <c r="PMQ68" s="349"/>
      <c r="PMR68" s="349"/>
      <c r="PMS68" s="349"/>
      <c r="PMT68" s="349"/>
      <c r="PMU68" s="349"/>
      <c r="PMV68" s="349"/>
      <c r="PMW68" s="349"/>
      <c r="PMX68" s="349"/>
      <c r="PMY68" s="349"/>
      <c r="PMZ68" s="349"/>
      <c r="PNA68" s="349"/>
      <c r="PNB68" s="349"/>
      <c r="PNC68" s="349"/>
      <c r="PND68" s="349"/>
      <c r="PNE68" s="349"/>
      <c r="PNF68" s="349"/>
      <c r="PNG68" s="349"/>
      <c r="PNH68" s="349"/>
      <c r="PNI68" s="349"/>
      <c r="PNJ68" s="349"/>
      <c r="PNK68" s="349"/>
      <c r="PNL68" s="349"/>
      <c r="PNM68" s="349"/>
      <c r="PNN68" s="349"/>
      <c r="PNO68" s="349"/>
      <c r="PNP68" s="349"/>
      <c r="PNQ68" s="349"/>
      <c r="PNR68" s="349"/>
      <c r="PNS68" s="349"/>
      <c r="PNT68" s="349"/>
      <c r="PNU68" s="349"/>
      <c r="PNV68" s="349"/>
      <c r="PNW68" s="349"/>
      <c r="PNX68" s="349"/>
      <c r="PNY68" s="349"/>
      <c r="PNZ68" s="349"/>
      <c r="POA68" s="349"/>
      <c r="POB68" s="349"/>
      <c r="POC68" s="349"/>
      <c r="POD68" s="349"/>
      <c r="POE68" s="349"/>
      <c r="POF68" s="349"/>
      <c r="POG68" s="349"/>
      <c r="POH68" s="349"/>
      <c r="POI68" s="349"/>
      <c r="POJ68" s="349"/>
      <c r="POK68" s="349"/>
      <c r="POL68" s="349"/>
      <c r="POM68" s="349"/>
      <c r="PON68" s="349"/>
      <c r="POO68" s="349"/>
      <c r="POP68" s="349"/>
      <c r="POQ68" s="349"/>
      <c r="POR68" s="349"/>
      <c r="POS68" s="349"/>
      <c r="POT68" s="349"/>
      <c r="POU68" s="349"/>
      <c r="POV68" s="349"/>
      <c r="POW68" s="349"/>
      <c r="POX68" s="349"/>
      <c r="POY68" s="349"/>
      <c r="POZ68" s="349"/>
      <c r="PPA68" s="349"/>
      <c r="PPB68" s="349"/>
      <c r="PPC68" s="349"/>
      <c r="PPD68" s="349"/>
      <c r="PPE68" s="349"/>
      <c r="PPF68" s="349"/>
      <c r="PPG68" s="349"/>
      <c r="PPH68" s="349"/>
      <c r="PPI68" s="349"/>
      <c r="PPJ68" s="349"/>
      <c r="PPK68" s="349"/>
      <c r="PPL68" s="349"/>
      <c r="PPM68" s="349"/>
      <c r="PPN68" s="349"/>
      <c r="PPO68" s="349"/>
      <c r="PPP68" s="349"/>
      <c r="PPQ68" s="349"/>
      <c r="PPR68" s="349"/>
      <c r="PPS68" s="349"/>
      <c r="PPT68" s="349"/>
      <c r="PPU68" s="349"/>
      <c r="PPV68" s="349"/>
      <c r="PPW68" s="349"/>
      <c r="PPX68" s="349"/>
      <c r="PPY68" s="349"/>
      <c r="PPZ68" s="349"/>
      <c r="PQA68" s="349"/>
      <c r="PQB68" s="349"/>
      <c r="PQC68" s="349"/>
      <c r="PQD68" s="349"/>
      <c r="PQE68" s="349"/>
      <c r="PQF68" s="349"/>
      <c r="PQG68" s="349"/>
      <c r="PQH68" s="349"/>
      <c r="PQI68" s="349"/>
      <c r="PQJ68" s="349"/>
      <c r="PQK68" s="349"/>
      <c r="PQL68" s="349"/>
      <c r="PQM68" s="349"/>
      <c r="PQN68" s="349"/>
      <c r="PQO68" s="349"/>
      <c r="PQP68" s="349"/>
      <c r="PQQ68" s="349"/>
      <c r="PQR68" s="349"/>
      <c r="PQS68" s="349"/>
      <c r="PQT68" s="349"/>
      <c r="PQU68" s="349"/>
      <c r="PQV68" s="349"/>
      <c r="PQW68" s="349"/>
      <c r="PQX68" s="349"/>
      <c r="PQY68" s="349"/>
      <c r="PQZ68" s="349"/>
      <c r="PRA68" s="349"/>
      <c r="PRB68" s="349"/>
      <c r="PRC68" s="349"/>
      <c r="PRD68" s="349"/>
      <c r="PRE68" s="349"/>
      <c r="PRF68" s="349"/>
      <c r="PRG68" s="349"/>
      <c r="PRH68" s="349"/>
      <c r="PRI68" s="349"/>
      <c r="PRJ68" s="349"/>
      <c r="PRK68" s="349"/>
      <c r="PRL68" s="349"/>
      <c r="PRM68" s="349"/>
      <c r="PRN68" s="349"/>
      <c r="PRO68" s="349"/>
      <c r="PRP68" s="349"/>
      <c r="PRQ68" s="349"/>
      <c r="PRR68" s="349"/>
      <c r="PRS68" s="349"/>
      <c r="PRT68" s="349"/>
      <c r="PRU68" s="349"/>
      <c r="PRV68" s="349"/>
      <c r="PRW68" s="349"/>
      <c r="PRX68" s="349"/>
      <c r="PRY68" s="349"/>
      <c r="PRZ68" s="349"/>
      <c r="PSA68" s="349"/>
      <c r="PSB68" s="349"/>
      <c r="PSC68" s="349"/>
      <c r="PSD68" s="349"/>
      <c r="PSE68" s="349"/>
      <c r="PSF68" s="349"/>
      <c r="PSG68" s="349"/>
      <c r="PSH68" s="349"/>
      <c r="PSI68" s="349"/>
      <c r="PSJ68" s="349"/>
      <c r="PSK68" s="349"/>
      <c r="PSL68" s="349"/>
      <c r="PSM68" s="349"/>
      <c r="PSN68" s="349"/>
      <c r="PSO68" s="349"/>
      <c r="PSP68" s="349"/>
      <c r="PSQ68" s="349"/>
      <c r="PSR68" s="349"/>
      <c r="PSS68" s="349"/>
      <c r="PST68" s="349"/>
      <c r="PSU68" s="349"/>
      <c r="PSV68" s="349"/>
      <c r="PSW68" s="349"/>
      <c r="PSX68" s="349"/>
      <c r="PSY68" s="349"/>
      <c r="PSZ68" s="349"/>
      <c r="PTA68" s="349"/>
      <c r="PTB68" s="349"/>
      <c r="PTC68" s="349"/>
      <c r="PTD68" s="349"/>
      <c r="PTE68" s="349"/>
      <c r="PTF68" s="349"/>
      <c r="PTG68" s="349"/>
      <c r="PTH68" s="349"/>
      <c r="PTI68" s="349"/>
      <c r="PTJ68" s="349"/>
      <c r="PTK68" s="349"/>
      <c r="PTL68" s="349"/>
      <c r="PTM68" s="349"/>
      <c r="PTN68" s="349"/>
      <c r="PTO68" s="349"/>
      <c r="PTP68" s="349"/>
      <c r="PTQ68" s="349"/>
      <c r="PTR68" s="349"/>
      <c r="PTS68" s="349"/>
      <c r="PTT68" s="349"/>
      <c r="PTU68" s="349"/>
      <c r="PTV68" s="349"/>
      <c r="PTW68" s="349"/>
      <c r="PTX68" s="349"/>
      <c r="PTY68" s="349"/>
      <c r="PTZ68" s="349"/>
      <c r="PUA68" s="349"/>
      <c r="PUB68" s="349"/>
      <c r="PUC68" s="349"/>
      <c r="PUD68" s="349"/>
      <c r="PUE68" s="349"/>
      <c r="PUF68" s="349"/>
      <c r="PUG68" s="349"/>
      <c r="PUH68" s="349"/>
      <c r="PUI68" s="349"/>
      <c r="PUJ68" s="349"/>
      <c r="PUK68" s="349"/>
      <c r="PUL68" s="349"/>
      <c r="PUM68" s="349"/>
      <c r="PUN68" s="349"/>
      <c r="PUO68" s="349"/>
      <c r="PUP68" s="349"/>
      <c r="PUQ68" s="349"/>
      <c r="PUR68" s="349"/>
      <c r="PUS68" s="349"/>
      <c r="PUT68" s="349"/>
      <c r="PUU68" s="349"/>
      <c r="PUV68" s="349"/>
      <c r="PUW68" s="349"/>
      <c r="PUX68" s="349"/>
      <c r="PUY68" s="349"/>
      <c r="PUZ68" s="349"/>
      <c r="PVA68" s="349"/>
      <c r="PVB68" s="349"/>
      <c r="PVC68" s="349"/>
      <c r="PVD68" s="349"/>
      <c r="PVE68" s="349"/>
      <c r="PVF68" s="349"/>
      <c r="PVG68" s="349"/>
      <c r="PVH68" s="349"/>
      <c r="PVI68" s="349"/>
      <c r="PVJ68" s="349"/>
      <c r="PVK68" s="349"/>
      <c r="PVL68" s="349"/>
      <c r="PVM68" s="349"/>
      <c r="PVN68" s="349"/>
      <c r="PVO68" s="349"/>
      <c r="PVP68" s="349"/>
      <c r="PVQ68" s="349"/>
      <c r="PVR68" s="349"/>
      <c r="PVS68" s="349"/>
      <c r="PVT68" s="349"/>
      <c r="PVU68" s="349"/>
      <c r="PVV68" s="349"/>
      <c r="PVW68" s="349"/>
      <c r="PVX68" s="349"/>
      <c r="PVY68" s="349"/>
      <c r="PVZ68" s="349"/>
      <c r="PWA68" s="349"/>
      <c r="PWB68" s="349"/>
      <c r="PWC68" s="349"/>
      <c r="PWD68" s="349"/>
      <c r="PWE68" s="349"/>
      <c r="PWF68" s="349"/>
      <c r="PWG68" s="349"/>
      <c r="PWH68" s="349"/>
      <c r="PWI68" s="349"/>
      <c r="PWJ68" s="349"/>
      <c r="PWK68" s="349"/>
      <c r="PWL68" s="349"/>
      <c r="PWM68" s="349"/>
      <c r="PWN68" s="349"/>
      <c r="PWO68" s="349"/>
      <c r="PWP68" s="349"/>
      <c r="PWQ68" s="349"/>
      <c r="PWR68" s="349"/>
      <c r="PWS68" s="349"/>
      <c r="PWT68" s="349"/>
      <c r="PWU68" s="349"/>
      <c r="PWV68" s="349"/>
      <c r="PWW68" s="349"/>
      <c r="PWX68" s="349"/>
      <c r="PWY68" s="349"/>
      <c r="PWZ68" s="349"/>
      <c r="PXA68" s="349"/>
      <c r="PXB68" s="349"/>
      <c r="PXC68" s="349"/>
      <c r="PXD68" s="349"/>
      <c r="PXE68" s="349"/>
      <c r="PXF68" s="349"/>
      <c r="PXG68" s="349"/>
      <c r="PXH68" s="349"/>
      <c r="PXI68" s="349"/>
      <c r="PXJ68" s="349"/>
      <c r="PXK68" s="349"/>
      <c r="PXL68" s="349"/>
      <c r="PXM68" s="349"/>
      <c r="PXN68" s="349"/>
      <c r="PXO68" s="349"/>
      <c r="PXP68" s="349"/>
      <c r="PXQ68" s="349"/>
      <c r="PXR68" s="349"/>
      <c r="PXS68" s="349"/>
      <c r="PXT68" s="349"/>
      <c r="PXU68" s="349"/>
      <c r="PXV68" s="349"/>
      <c r="PXW68" s="349"/>
      <c r="PXX68" s="349"/>
      <c r="PXY68" s="349"/>
      <c r="PXZ68" s="349"/>
      <c r="PYA68" s="349"/>
      <c r="PYB68" s="349"/>
      <c r="PYC68" s="349"/>
      <c r="PYD68" s="349"/>
      <c r="PYE68" s="349"/>
      <c r="PYF68" s="349"/>
      <c r="PYG68" s="349"/>
      <c r="PYH68" s="349"/>
      <c r="PYI68" s="349"/>
      <c r="PYJ68" s="349"/>
      <c r="PYK68" s="349"/>
      <c r="PYL68" s="349"/>
      <c r="PYM68" s="349"/>
      <c r="PYN68" s="349"/>
      <c r="PYO68" s="349"/>
      <c r="PYP68" s="349"/>
      <c r="PYQ68" s="349"/>
      <c r="PYR68" s="349"/>
      <c r="PYS68" s="349"/>
      <c r="PYT68" s="349"/>
      <c r="PYU68" s="349"/>
      <c r="PYV68" s="349"/>
      <c r="PYW68" s="349"/>
      <c r="PYX68" s="349"/>
      <c r="PYY68" s="349"/>
      <c r="PYZ68" s="349"/>
      <c r="PZA68" s="349"/>
      <c r="PZB68" s="349"/>
      <c r="PZC68" s="349"/>
      <c r="PZD68" s="349"/>
      <c r="PZE68" s="349"/>
      <c r="PZF68" s="349"/>
      <c r="PZG68" s="349"/>
      <c r="PZH68" s="349"/>
      <c r="PZI68" s="349"/>
      <c r="PZJ68" s="349"/>
      <c r="PZK68" s="349"/>
      <c r="PZL68" s="349"/>
      <c r="PZM68" s="349"/>
      <c r="PZN68" s="349"/>
      <c r="PZO68" s="349"/>
      <c r="PZP68" s="349"/>
      <c r="PZQ68" s="349"/>
      <c r="PZR68" s="349"/>
      <c r="PZS68" s="349"/>
      <c r="PZT68" s="349"/>
      <c r="PZU68" s="349"/>
      <c r="PZV68" s="349"/>
      <c r="PZW68" s="349"/>
      <c r="PZX68" s="349"/>
      <c r="PZY68" s="349"/>
      <c r="PZZ68" s="349"/>
      <c r="QAA68" s="349"/>
      <c r="QAB68" s="349"/>
      <c r="QAC68" s="349"/>
      <c r="QAD68" s="349"/>
      <c r="QAE68" s="349"/>
      <c r="QAF68" s="349"/>
      <c r="QAG68" s="349"/>
      <c r="QAH68" s="349"/>
      <c r="QAI68" s="349"/>
      <c r="QAJ68" s="349"/>
      <c r="QAK68" s="349"/>
      <c r="QAL68" s="349"/>
      <c r="QAM68" s="349"/>
      <c r="QAN68" s="349"/>
      <c r="QAO68" s="349"/>
      <c r="QAP68" s="349"/>
      <c r="QAQ68" s="349"/>
      <c r="QAR68" s="349"/>
      <c r="QAS68" s="349"/>
      <c r="QAT68" s="349"/>
      <c r="QAU68" s="349"/>
      <c r="QAV68" s="349"/>
      <c r="QAW68" s="349"/>
      <c r="QAX68" s="349"/>
      <c r="QAY68" s="349"/>
      <c r="QAZ68" s="349"/>
      <c r="QBA68" s="349"/>
      <c r="QBB68" s="349"/>
      <c r="QBC68" s="349"/>
      <c r="QBD68" s="349"/>
      <c r="QBE68" s="349"/>
      <c r="QBF68" s="349"/>
      <c r="QBG68" s="349"/>
      <c r="QBH68" s="349"/>
      <c r="QBI68" s="349"/>
      <c r="QBJ68" s="349"/>
      <c r="QBK68" s="349"/>
      <c r="QBL68" s="349"/>
      <c r="QBM68" s="349"/>
      <c r="QBN68" s="349"/>
      <c r="QBO68" s="349"/>
      <c r="QBP68" s="349"/>
      <c r="QBQ68" s="349"/>
      <c r="QBR68" s="349"/>
      <c r="QBS68" s="349"/>
      <c r="QBT68" s="349"/>
      <c r="QBU68" s="349"/>
      <c r="QBV68" s="349"/>
      <c r="QBW68" s="349"/>
      <c r="QBX68" s="349"/>
      <c r="QBY68" s="349"/>
      <c r="QBZ68" s="349"/>
      <c r="QCA68" s="349"/>
      <c r="QCB68" s="349"/>
      <c r="QCC68" s="349"/>
      <c r="QCD68" s="349"/>
      <c r="QCE68" s="349"/>
      <c r="QCF68" s="349"/>
      <c r="QCG68" s="349"/>
      <c r="QCH68" s="349"/>
      <c r="QCI68" s="349"/>
      <c r="QCJ68" s="349"/>
      <c r="QCK68" s="349"/>
      <c r="QCL68" s="349"/>
      <c r="QCM68" s="349"/>
      <c r="QCN68" s="349"/>
      <c r="QCO68" s="349"/>
      <c r="QCP68" s="349"/>
      <c r="QCQ68" s="349"/>
      <c r="QCR68" s="349"/>
      <c r="QCS68" s="349"/>
      <c r="QCT68" s="349"/>
      <c r="QCU68" s="349"/>
      <c r="QCV68" s="349"/>
      <c r="QCW68" s="349"/>
      <c r="QCX68" s="349"/>
      <c r="QCY68" s="349"/>
      <c r="QCZ68" s="349"/>
      <c r="QDA68" s="349"/>
      <c r="QDB68" s="349"/>
      <c r="QDC68" s="349"/>
      <c r="QDD68" s="349"/>
      <c r="QDE68" s="349"/>
      <c r="QDF68" s="349"/>
      <c r="QDG68" s="349"/>
      <c r="QDH68" s="349"/>
      <c r="QDI68" s="349"/>
      <c r="QDJ68" s="349"/>
      <c r="QDK68" s="349"/>
      <c r="QDL68" s="349"/>
      <c r="QDM68" s="349"/>
      <c r="QDN68" s="349"/>
      <c r="QDO68" s="349"/>
      <c r="QDP68" s="349"/>
      <c r="QDQ68" s="349"/>
      <c r="QDR68" s="349"/>
      <c r="QDS68" s="349"/>
      <c r="QDT68" s="349"/>
      <c r="QDU68" s="349"/>
      <c r="QDV68" s="349"/>
      <c r="QDW68" s="349"/>
      <c r="QDX68" s="349"/>
      <c r="QDY68" s="349"/>
      <c r="QDZ68" s="349"/>
      <c r="QEA68" s="349"/>
      <c r="QEB68" s="349"/>
      <c r="QEC68" s="349"/>
      <c r="QED68" s="349"/>
      <c r="QEE68" s="349"/>
      <c r="QEF68" s="349"/>
      <c r="QEG68" s="349"/>
      <c r="QEH68" s="349"/>
      <c r="QEI68" s="349"/>
      <c r="QEJ68" s="349"/>
      <c r="QEK68" s="349"/>
      <c r="QEL68" s="349"/>
      <c r="QEM68" s="349"/>
      <c r="QEN68" s="349"/>
      <c r="QEO68" s="349"/>
      <c r="QEP68" s="349"/>
      <c r="QEQ68" s="349"/>
      <c r="QER68" s="349"/>
      <c r="QES68" s="349"/>
      <c r="QET68" s="349"/>
      <c r="QEU68" s="349"/>
      <c r="QEV68" s="349"/>
      <c r="QEW68" s="349"/>
      <c r="QEX68" s="349"/>
      <c r="QEY68" s="349"/>
      <c r="QEZ68" s="349"/>
      <c r="QFA68" s="349"/>
      <c r="QFB68" s="349"/>
      <c r="QFC68" s="349"/>
      <c r="QFD68" s="349"/>
      <c r="QFE68" s="349"/>
      <c r="QFF68" s="349"/>
      <c r="QFG68" s="349"/>
      <c r="QFH68" s="349"/>
      <c r="QFI68" s="349"/>
      <c r="QFJ68" s="349"/>
      <c r="QFK68" s="349"/>
      <c r="QFL68" s="349"/>
      <c r="QFM68" s="349"/>
      <c r="QFN68" s="349"/>
      <c r="QFO68" s="349"/>
      <c r="QFP68" s="349"/>
      <c r="QFQ68" s="349"/>
      <c r="QFR68" s="349"/>
      <c r="QFS68" s="349"/>
      <c r="QFT68" s="349"/>
      <c r="QFU68" s="349"/>
      <c r="QFV68" s="349"/>
      <c r="QFW68" s="349"/>
      <c r="QFX68" s="349"/>
      <c r="QFY68" s="349"/>
      <c r="QFZ68" s="349"/>
      <c r="QGA68" s="349"/>
      <c r="QGB68" s="349"/>
      <c r="QGC68" s="349"/>
      <c r="QGD68" s="349"/>
      <c r="QGE68" s="349"/>
      <c r="QGF68" s="349"/>
      <c r="QGG68" s="349"/>
      <c r="QGH68" s="349"/>
      <c r="QGI68" s="349"/>
      <c r="QGJ68" s="349"/>
      <c r="QGK68" s="349"/>
      <c r="QGL68" s="349"/>
      <c r="QGM68" s="349"/>
      <c r="QGN68" s="349"/>
      <c r="QGO68" s="349"/>
      <c r="QGP68" s="349"/>
      <c r="QGQ68" s="349"/>
      <c r="QGR68" s="349"/>
      <c r="QGS68" s="349"/>
      <c r="QGT68" s="349"/>
      <c r="QGU68" s="349"/>
      <c r="QGV68" s="349"/>
      <c r="QGW68" s="349"/>
      <c r="QGX68" s="349"/>
      <c r="QGY68" s="349"/>
      <c r="QGZ68" s="349"/>
      <c r="QHA68" s="349"/>
      <c r="QHB68" s="349"/>
      <c r="QHC68" s="349"/>
      <c r="QHD68" s="349"/>
      <c r="QHE68" s="349"/>
      <c r="QHF68" s="349"/>
      <c r="QHG68" s="349"/>
      <c r="QHH68" s="349"/>
      <c r="QHI68" s="349"/>
      <c r="QHJ68" s="349"/>
      <c r="QHK68" s="349"/>
      <c r="QHL68" s="349"/>
      <c r="QHM68" s="349"/>
      <c r="QHN68" s="349"/>
      <c r="QHO68" s="349"/>
      <c r="QHP68" s="349"/>
      <c r="QHQ68" s="349"/>
      <c r="QHR68" s="349"/>
      <c r="QHS68" s="349"/>
      <c r="QHT68" s="349"/>
      <c r="QHU68" s="349"/>
      <c r="QHV68" s="349"/>
      <c r="QHW68" s="349"/>
      <c r="QHX68" s="349"/>
      <c r="QHY68" s="349"/>
      <c r="QHZ68" s="349"/>
      <c r="QIA68" s="349"/>
      <c r="QIB68" s="349"/>
      <c r="QIC68" s="349"/>
      <c r="QID68" s="349"/>
      <c r="QIE68" s="349"/>
      <c r="QIF68" s="349"/>
      <c r="QIG68" s="349"/>
      <c r="QIH68" s="349"/>
      <c r="QII68" s="349"/>
      <c r="QIJ68" s="349"/>
      <c r="QIK68" s="349"/>
      <c r="QIL68" s="349"/>
      <c r="QIM68" s="349"/>
      <c r="QIN68" s="349"/>
      <c r="QIO68" s="349"/>
      <c r="QIP68" s="349"/>
      <c r="QIQ68" s="349"/>
      <c r="QIR68" s="349"/>
      <c r="QIS68" s="349"/>
      <c r="QIT68" s="349"/>
      <c r="QIU68" s="349"/>
      <c r="QIV68" s="349"/>
      <c r="QIW68" s="349"/>
      <c r="QIX68" s="349"/>
      <c r="QIY68" s="349"/>
      <c r="QIZ68" s="349"/>
      <c r="QJA68" s="349"/>
      <c r="QJB68" s="349"/>
      <c r="QJC68" s="349"/>
      <c r="QJD68" s="349"/>
      <c r="QJE68" s="349"/>
      <c r="QJF68" s="349"/>
      <c r="QJG68" s="349"/>
      <c r="QJH68" s="349"/>
      <c r="QJI68" s="349"/>
      <c r="QJJ68" s="349"/>
      <c r="QJK68" s="349"/>
      <c r="QJL68" s="349"/>
      <c r="QJM68" s="349"/>
      <c r="QJN68" s="349"/>
      <c r="QJO68" s="349"/>
      <c r="QJP68" s="349"/>
      <c r="QJQ68" s="349"/>
      <c r="QJR68" s="349"/>
      <c r="QJS68" s="349"/>
      <c r="QJT68" s="349"/>
      <c r="QJU68" s="349"/>
      <c r="QJV68" s="349"/>
      <c r="QJW68" s="349"/>
      <c r="QJX68" s="349"/>
      <c r="QJY68" s="349"/>
      <c r="QJZ68" s="349"/>
      <c r="QKA68" s="349"/>
      <c r="QKB68" s="349"/>
      <c r="QKC68" s="349"/>
      <c r="QKD68" s="349"/>
      <c r="QKE68" s="349"/>
      <c r="QKF68" s="349"/>
      <c r="QKG68" s="349"/>
      <c r="QKH68" s="349"/>
      <c r="QKI68" s="349"/>
      <c r="QKJ68" s="349"/>
      <c r="QKK68" s="349"/>
      <c r="QKL68" s="349"/>
      <c r="QKM68" s="349"/>
      <c r="QKN68" s="349"/>
      <c r="QKO68" s="349"/>
      <c r="QKP68" s="349"/>
      <c r="QKQ68" s="349"/>
      <c r="QKR68" s="349"/>
      <c r="QKS68" s="349"/>
      <c r="QKT68" s="349"/>
      <c r="QKU68" s="349"/>
      <c r="QKV68" s="349"/>
      <c r="QKW68" s="349"/>
      <c r="QKX68" s="349"/>
      <c r="QKY68" s="349"/>
      <c r="QKZ68" s="349"/>
      <c r="QLA68" s="349"/>
      <c r="QLB68" s="349"/>
      <c r="QLC68" s="349"/>
      <c r="QLD68" s="349"/>
      <c r="QLE68" s="349"/>
      <c r="QLF68" s="349"/>
      <c r="QLG68" s="349"/>
      <c r="QLH68" s="349"/>
      <c r="QLI68" s="349"/>
      <c r="QLJ68" s="349"/>
      <c r="QLK68" s="349"/>
      <c r="QLL68" s="349"/>
      <c r="QLM68" s="349"/>
      <c r="QLN68" s="349"/>
      <c r="QLO68" s="349"/>
      <c r="QLP68" s="349"/>
      <c r="QLQ68" s="349"/>
      <c r="QLR68" s="349"/>
      <c r="QLS68" s="349"/>
      <c r="QLT68" s="349"/>
      <c r="QLU68" s="349"/>
      <c r="QLV68" s="349"/>
      <c r="QLW68" s="349"/>
      <c r="QLX68" s="349"/>
      <c r="QLY68" s="349"/>
      <c r="QLZ68" s="349"/>
      <c r="QMA68" s="349"/>
      <c r="QMB68" s="349"/>
      <c r="QMC68" s="349"/>
      <c r="QMD68" s="349"/>
      <c r="QME68" s="349"/>
      <c r="QMF68" s="349"/>
      <c r="QMG68" s="349"/>
      <c r="QMH68" s="349"/>
      <c r="QMI68" s="349"/>
      <c r="QMJ68" s="349"/>
      <c r="QMK68" s="349"/>
      <c r="QML68" s="349"/>
      <c r="QMM68" s="349"/>
      <c r="QMN68" s="349"/>
      <c r="QMO68" s="349"/>
      <c r="QMP68" s="349"/>
      <c r="QMQ68" s="349"/>
      <c r="QMR68" s="349"/>
      <c r="QMS68" s="349"/>
      <c r="QMT68" s="349"/>
      <c r="QMU68" s="349"/>
      <c r="QMV68" s="349"/>
      <c r="QMW68" s="349"/>
      <c r="QMX68" s="349"/>
      <c r="QMY68" s="349"/>
      <c r="QMZ68" s="349"/>
      <c r="QNA68" s="349"/>
      <c r="QNB68" s="349"/>
      <c r="QNC68" s="349"/>
      <c r="QND68" s="349"/>
      <c r="QNE68" s="349"/>
      <c r="QNF68" s="349"/>
      <c r="QNG68" s="349"/>
      <c r="QNH68" s="349"/>
      <c r="QNI68" s="349"/>
      <c r="QNJ68" s="349"/>
      <c r="QNK68" s="349"/>
      <c r="QNL68" s="349"/>
      <c r="QNM68" s="349"/>
      <c r="QNN68" s="349"/>
      <c r="QNO68" s="349"/>
      <c r="QNP68" s="349"/>
      <c r="QNQ68" s="349"/>
      <c r="QNR68" s="349"/>
      <c r="QNS68" s="349"/>
      <c r="QNT68" s="349"/>
      <c r="QNU68" s="349"/>
      <c r="QNV68" s="349"/>
      <c r="QNW68" s="349"/>
      <c r="QNX68" s="349"/>
      <c r="QNY68" s="349"/>
      <c r="QNZ68" s="349"/>
      <c r="QOA68" s="349"/>
      <c r="QOB68" s="349"/>
      <c r="QOC68" s="349"/>
      <c r="QOD68" s="349"/>
      <c r="QOE68" s="349"/>
      <c r="QOF68" s="349"/>
      <c r="QOG68" s="349"/>
      <c r="QOH68" s="349"/>
      <c r="QOI68" s="349"/>
      <c r="QOJ68" s="349"/>
      <c r="QOK68" s="349"/>
      <c r="QOL68" s="349"/>
      <c r="QOM68" s="349"/>
      <c r="QON68" s="349"/>
      <c r="QOO68" s="349"/>
      <c r="QOP68" s="349"/>
      <c r="QOQ68" s="349"/>
      <c r="QOR68" s="349"/>
      <c r="QOS68" s="349"/>
      <c r="QOT68" s="349"/>
      <c r="QOU68" s="349"/>
      <c r="QOV68" s="349"/>
      <c r="QOW68" s="349"/>
      <c r="QOX68" s="349"/>
      <c r="QOY68" s="349"/>
      <c r="QOZ68" s="349"/>
      <c r="QPA68" s="349"/>
      <c r="QPB68" s="349"/>
      <c r="QPC68" s="349"/>
      <c r="QPD68" s="349"/>
      <c r="QPE68" s="349"/>
      <c r="QPF68" s="349"/>
      <c r="QPG68" s="349"/>
      <c r="QPH68" s="349"/>
      <c r="QPI68" s="349"/>
      <c r="QPJ68" s="349"/>
      <c r="QPK68" s="349"/>
      <c r="QPL68" s="349"/>
      <c r="QPM68" s="349"/>
      <c r="QPN68" s="349"/>
      <c r="QPO68" s="349"/>
      <c r="QPP68" s="349"/>
      <c r="QPQ68" s="349"/>
      <c r="QPR68" s="349"/>
      <c r="QPS68" s="349"/>
      <c r="QPT68" s="349"/>
      <c r="QPU68" s="349"/>
      <c r="QPV68" s="349"/>
      <c r="QPW68" s="349"/>
      <c r="QPX68" s="349"/>
      <c r="QPY68" s="349"/>
      <c r="QPZ68" s="349"/>
      <c r="QQA68" s="349"/>
      <c r="QQB68" s="349"/>
      <c r="QQC68" s="349"/>
      <c r="QQD68" s="349"/>
      <c r="QQE68" s="349"/>
      <c r="QQF68" s="349"/>
      <c r="QQG68" s="349"/>
      <c r="QQH68" s="349"/>
      <c r="QQI68" s="349"/>
      <c r="QQJ68" s="349"/>
      <c r="QQK68" s="349"/>
      <c r="QQL68" s="349"/>
      <c r="QQM68" s="349"/>
      <c r="QQN68" s="349"/>
      <c r="QQO68" s="349"/>
      <c r="QQP68" s="349"/>
      <c r="QQQ68" s="349"/>
      <c r="QQR68" s="349"/>
      <c r="QQS68" s="349"/>
      <c r="QQT68" s="349"/>
      <c r="QQU68" s="349"/>
      <c r="QQV68" s="349"/>
      <c r="QQW68" s="349"/>
      <c r="QQX68" s="349"/>
      <c r="QQY68" s="349"/>
      <c r="QQZ68" s="349"/>
      <c r="QRA68" s="349"/>
      <c r="QRB68" s="349"/>
      <c r="QRC68" s="349"/>
      <c r="QRD68" s="349"/>
      <c r="QRE68" s="349"/>
      <c r="QRF68" s="349"/>
      <c r="QRG68" s="349"/>
      <c r="QRH68" s="349"/>
      <c r="QRI68" s="349"/>
      <c r="QRJ68" s="349"/>
      <c r="QRK68" s="349"/>
      <c r="QRL68" s="349"/>
      <c r="QRM68" s="349"/>
      <c r="QRN68" s="349"/>
      <c r="QRO68" s="349"/>
      <c r="QRP68" s="349"/>
      <c r="QRQ68" s="349"/>
      <c r="QRR68" s="349"/>
      <c r="QRS68" s="349"/>
      <c r="QRT68" s="349"/>
      <c r="QRU68" s="349"/>
      <c r="QRV68" s="349"/>
      <c r="QRW68" s="349"/>
      <c r="QRX68" s="349"/>
      <c r="QRY68" s="349"/>
      <c r="QRZ68" s="349"/>
      <c r="QSA68" s="349"/>
      <c r="QSB68" s="349"/>
      <c r="QSC68" s="349"/>
      <c r="QSD68" s="349"/>
      <c r="QSE68" s="349"/>
      <c r="QSF68" s="349"/>
      <c r="QSG68" s="349"/>
      <c r="QSH68" s="349"/>
      <c r="QSI68" s="349"/>
      <c r="QSJ68" s="349"/>
      <c r="QSK68" s="349"/>
      <c r="QSL68" s="349"/>
      <c r="QSM68" s="349"/>
      <c r="QSN68" s="349"/>
      <c r="QSO68" s="349"/>
      <c r="QSP68" s="349"/>
      <c r="QSQ68" s="349"/>
      <c r="QSR68" s="349"/>
      <c r="QSS68" s="349"/>
      <c r="QST68" s="349"/>
      <c r="QSU68" s="349"/>
      <c r="QSV68" s="349"/>
      <c r="QSW68" s="349"/>
      <c r="QSX68" s="349"/>
      <c r="QSY68" s="349"/>
      <c r="QSZ68" s="349"/>
      <c r="QTA68" s="349"/>
      <c r="QTB68" s="349"/>
      <c r="QTC68" s="349"/>
      <c r="QTD68" s="349"/>
      <c r="QTE68" s="349"/>
      <c r="QTF68" s="349"/>
      <c r="QTG68" s="349"/>
      <c r="QTH68" s="349"/>
      <c r="QTI68" s="349"/>
      <c r="QTJ68" s="349"/>
      <c r="QTK68" s="349"/>
      <c r="QTL68" s="349"/>
      <c r="QTM68" s="349"/>
      <c r="QTN68" s="349"/>
      <c r="QTO68" s="349"/>
      <c r="QTP68" s="349"/>
      <c r="QTQ68" s="349"/>
      <c r="QTR68" s="349"/>
      <c r="QTS68" s="349"/>
      <c r="QTT68" s="349"/>
      <c r="QTU68" s="349"/>
      <c r="QTV68" s="349"/>
      <c r="QTW68" s="349"/>
      <c r="QTX68" s="349"/>
      <c r="QTY68" s="349"/>
      <c r="QTZ68" s="349"/>
      <c r="QUA68" s="349"/>
      <c r="QUB68" s="349"/>
      <c r="QUC68" s="349"/>
      <c r="QUD68" s="349"/>
      <c r="QUE68" s="349"/>
      <c r="QUF68" s="349"/>
      <c r="QUG68" s="349"/>
      <c r="QUH68" s="349"/>
      <c r="QUI68" s="349"/>
      <c r="QUJ68" s="349"/>
      <c r="QUK68" s="349"/>
      <c r="QUL68" s="349"/>
      <c r="QUM68" s="349"/>
      <c r="QUN68" s="349"/>
      <c r="QUO68" s="349"/>
      <c r="QUP68" s="349"/>
      <c r="QUQ68" s="349"/>
      <c r="QUR68" s="349"/>
      <c r="QUS68" s="349"/>
      <c r="QUT68" s="349"/>
      <c r="QUU68" s="349"/>
      <c r="QUV68" s="349"/>
      <c r="QUW68" s="349"/>
      <c r="QUX68" s="349"/>
      <c r="QUY68" s="349"/>
      <c r="QUZ68" s="349"/>
      <c r="QVA68" s="349"/>
      <c r="QVB68" s="349"/>
      <c r="QVC68" s="349"/>
      <c r="QVD68" s="349"/>
      <c r="QVE68" s="349"/>
      <c r="QVF68" s="349"/>
      <c r="QVG68" s="349"/>
      <c r="QVH68" s="349"/>
      <c r="QVI68" s="349"/>
      <c r="QVJ68" s="349"/>
      <c r="QVK68" s="349"/>
      <c r="QVL68" s="349"/>
      <c r="QVM68" s="349"/>
      <c r="QVN68" s="349"/>
      <c r="QVO68" s="349"/>
      <c r="QVP68" s="349"/>
      <c r="QVQ68" s="349"/>
      <c r="QVR68" s="349"/>
      <c r="QVS68" s="349"/>
      <c r="QVT68" s="349"/>
      <c r="QVU68" s="349"/>
      <c r="QVV68" s="349"/>
      <c r="QVW68" s="349"/>
      <c r="QVX68" s="349"/>
      <c r="QVY68" s="349"/>
      <c r="QVZ68" s="349"/>
      <c r="QWA68" s="349"/>
      <c r="QWB68" s="349"/>
      <c r="QWC68" s="349"/>
      <c r="QWD68" s="349"/>
      <c r="QWE68" s="349"/>
      <c r="QWF68" s="349"/>
      <c r="QWG68" s="349"/>
      <c r="QWH68" s="349"/>
      <c r="QWI68" s="349"/>
      <c r="QWJ68" s="349"/>
      <c r="QWK68" s="349"/>
      <c r="QWL68" s="349"/>
      <c r="QWM68" s="349"/>
      <c r="QWN68" s="349"/>
      <c r="QWO68" s="349"/>
      <c r="QWP68" s="349"/>
      <c r="QWQ68" s="349"/>
      <c r="QWR68" s="349"/>
      <c r="QWS68" s="349"/>
      <c r="QWT68" s="349"/>
      <c r="QWU68" s="349"/>
      <c r="QWV68" s="349"/>
      <c r="QWW68" s="349"/>
      <c r="QWX68" s="349"/>
      <c r="QWY68" s="349"/>
      <c r="QWZ68" s="349"/>
      <c r="QXA68" s="349"/>
      <c r="QXB68" s="349"/>
      <c r="QXC68" s="349"/>
      <c r="QXD68" s="349"/>
      <c r="QXE68" s="349"/>
      <c r="QXF68" s="349"/>
      <c r="QXG68" s="349"/>
      <c r="QXH68" s="349"/>
      <c r="QXI68" s="349"/>
      <c r="QXJ68" s="349"/>
      <c r="QXK68" s="349"/>
      <c r="QXL68" s="349"/>
      <c r="QXM68" s="349"/>
      <c r="QXN68" s="349"/>
      <c r="QXO68" s="349"/>
      <c r="QXP68" s="349"/>
      <c r="QXQ68" s="349"/>
      <c r="QXR68" s="349"/>
      <c r="QXS68" s="349"/>
      <c r="QXT68" s="349"/>
      <c r="QXU68" s="349"/>
      <c r="QXV68" s="349"/>
      <c r="QXW68" s="349"/>
      <c r="QXX68" s="349"/>
      <c r="QXY68" s="349"/>
      <c r="QXZ68" s="349"/>
      <c r="QYA68" s="349"/>
      <c r="QYB68" s="349"/>
      <c r="QYC68" s="349"/>
      <c r="QYD68" s="349"/>
      <c r="QYE68" s="349"/>
      <c r="QYF68" s="349"/>
      <c r="QYG68" s="349"/>
      <c r="QYH68" s="349"/>
      <c r="QYI68" s="349"/>
      <c r="QYJ68" s="349"/>
      <c r="QYK68" s="349"/>
      <c r="QYL68" s="349"/>
      <c r="QYM68" s="349"/>
      <c r="QYN68" s="349"/>
      <c r="QYO68" s="349"/>
      <c r="QYP68" s="349"/>
      <c r="QYQ68" s="349"/>
      <c r="QYR68" s="349"/>
      <c r="QYS68" s="349"/>
      <c r="QYT68" s="349"/>
      <c r="QYU68" s="349"/>
      <c r="QYV68" s="349"/>
      <c r="QYW68" s="349"/>
      <c r="QYX68" s="349"/>
      <c r="QYY68" s="349"/>
      <c r="QYZ68" s="349"/>
      <c r="QZA68" s="349"/>
      <c r="QZB68" s="349"/>
      <c r="QZC68" s="349"/>
      <c r="QZD68" s="349"/>
      <c r="QZE68" s="349"/>
      <c r="QZF68" s="349"/>
      <c r="QZG68" s="349"/>
      <c r="QZH68" s="349"/>
      <c r="QZI68" s="349"/>
      <c r="QZJ68" s="349"/>
      <c r="QZK68" s="349"/>
      <c r="QZL68" s="349"/>
      <c r="QZM68" s="349"/>
      <c r="QZN68" s="349"/>
      <c r="QZO68" s="349"/>
      <c r="QZP68" s="349"/>
      <c r="QZQ68" s="349"/>
      <c r="QZR68" s="349"/>
      <c r="QZS68" s="349"/>
      <c r="QZT68" s="349"/>
      <c r="QZU68" s="349"/>
      <c r="QZV68" s="349"/>
      <c r="QZW68" s="349"/>
      <c r="QZX68" s="349"/>
      <c r="QZY68" s="349"/>
      <c r="QZZ68" s="349"/>
      <c r="RAA68" s="349"/>
      <c r="RAB68" s="349"/>
      <c r="RAC68" s="349"/>
      <c r="RAD68" s="349"/>
      <c r="RAE68" s="349"/>
      <c r="RAF68" s="349"/>
      <c r="RAG68" s="349"/>
      <c r="RAH68" s="349"/>
      <c r="RAI68" s="349"/>
      <c r="RAJ68" s="349"/>
      <c r="RAK68" s="349"/>
      <c r="RAL68" s="349"/>
      <c r="RAM68" s="349"/>
      <c r="RAN68" s="349"/>
      <c r="RAO68" s="349"/>
      <c r="RAP68" s="349"/>
      <c r="RAQ68" s="349"/>
      <c r="RAR68" s="349"/>
      <c r="RAS68" s="349"/>
      <c r="RAT68" s="349"/>
      <c r="RAU68" s="349"/>
      <c r="RAV68" s="349"/>
      <c r="RAW68" s="349"/>
      <c r="RAX68" s="349"/>
      <c r="RAY68" s="349"/>
      <c r="RAZ68" s="349"/>
      <c r="RBA68" s="349"/>
      <c r="RBB68" s="349"/>
      <c r="RBC68" s="349"/>
      <c r="RBD68" s="349"/>
      <c r="RBE68" s="349"/>
      <c r="RBF68" s="349"/>
      <c r="RBG68" s="349"/>
      <c r="RBH68" s="349"/>
      <c r="RBI68" s="349"/>
      <c r="RBJ68" s="349"/>
      <c r="RBK68" s="349"/>
      <c r="RBL68" s="349"/>
      <c r="RBM68" s="349"/>
      <c r="RBN68" s="349"/>
      <c r="RBO68" s="349"/>
      <c r="RBP68" s="349"/>
      <c r="RBQ68" s="349"/>
      <c r="RBR68" s="349"/>
      <c r="RBS68" s="349"/>
      <c r="RBT68" s="349"/>
      <c r="RBU68" s="349"/>
      <c r="RBV68" s="349"/>
      <c r="RBW68" s="349"/>
      <c r="RBX68" s="349"/>
      <c r="RBY68" s="349"/>
      <c r="RBZ68" s="349"/>
      <c r="RCA68" s="349"/>
      <c r="RCB68" s="349"/>
      <c r="RCC68" s="349"/>
      <c r="RCD68" s="349"/>
      <c r="RCE68" s="349"/>
      <c r="RCF68" s="349"/>
      <c r="RCG68" s="349"/>
      <c r="RCH68" s="349"/>
      <c r="RCI68" s="349"/>
      <c r="RCJ68" s="349"/>
      <c r="RCK68" s="349"/>
      <c r="RCL68" s="349"/>
      <c r="RCM68" s="349"/>
      <c r="RCN68" s="349"/>
      <c r="RCO68" s="349"/>
      <c r="RCP68" s="349"/>
      <c r="RCQ68" s="349"/>
      <c r="RCR68" s="349"/>
      <c r="RCS68" s="349"/>
      <c r="RCT68" s="349"/>
      <c r="RCU68" s="349"/>
      <c r="RCV68" s="349"/>
      <c r="RCW68" s="349"/>
      <c r="RCX68" s="349"/>
      <c r="RCY68" s="349"/>
      <c r="RCZ68" s="349"/>
      <c r="RDA68" s="349"/>
      <c r="RDB68" s="349"/>
      <c r="RDC68" s="349"/>
      <c r="RDD68" s="349"/>
      <c r="RDE68" s="349"/>
      <c r="RDF68" s="349"/>
      <c r="RDG68" s="349"/>
      <c r="RDH68" s="349"/>
      <c r="RDI68" s="349"/>
      <c r="RDJ68" s="349"/>
      <c r="RDK68" s="349"/>
      <c r="RDL68" s="349"/>
      <c r="RDM68" s="349"/>
      <c r="RDN68" s="349"/>
      <c r="RDO68" s="349"/>
      <c r="RDP68" s="349"/>
      <c r="RDQ68" s="349"/>
      <c r="RDR68" s="349"/>
      <c r="RDS68" s="349"/>
      <c r="RDT68" s="349"/>
      <c r="RDU68" s="349"/>
      <c r="RDV68" s="349"/>
      <c r="RDW68" s="349"/>
      <c r="RDX68" s="349"/>
      <c r="RDY68" s="349"/>
      <c r="RDZ68" s="349"/>
      <c r="REA68" s="349"/>
      <c r="REB68" s="349"/>
      <c r="REC68" s="349"/>
      <c r="RED68" s="349"/>
      <c r="REE68" s="349"/>
      <c r="REF68" s="349"/>
      <c r="REG68" s="349"/>
      <c r="REH68" s="349"/>
      <c r="REI68" s="349"/>
      <c r="REJ68" s="349"/>
      <c r="REK68" s="349"/>
      <c r="REL68" s="349"/>
      <c r="REM68" s="349"/>
      <c r="REN68" s="349"/>
      <c r="REO68" s="349"/>
      <c r="REP68" s="349"/>
      <c r="REQ68" s="349"/>
      <c r="RER68" s="349"/>
      <c r="RES68" s="349"/>
      <c r="RET68" s="349"/>
      <c r="REU68" s="349"/>
      <c r="REV68" s="349"/>
      <c r="REW68" s="349"/>
      <c r="REX68" s="349"/>
      <c r="REY68" s="349"/>
      <c r="REZ68" s="349"/>
      <c r="RFA68" s="349"/>
      <c r="RFB68" s="349"/>
      <c r="RFC68" s="349"/>
      <c r="RFD68" s="349"/>
      <c r="RFE68" s="349"/>
      <c r="RFF68" s="349"/>
      <c r="RFG68" s="349"/>
      <c r="RFH68" s="349"/>
      <c r="RFI68" s="349"/>
      <c r="RFJ68" s="349"/>
      <c r="RFK68" s="349"/>
      <c r="RFL68" s="349"/>
      <c r="RFM68" s="349"/>
      <c r="RFN68" s="349"/>
      <c r="RFO68" s="349"/>
      <c r="RFP68" s="349"/>
      <c r="RFQ68" s="349"/>
      <c r="RFR68" s="349"/>
      <c r="RFS68" s="349"/>
      <c r="RFT68" s="349"/>
      <c r="RFU68" s="349"/>
      <c r="RFV68" s="349"/>
      <c r="RFW68" s="349"/>
      <c r="RFX68" s="349"/>
      <c r="RFY68" s="349"/>
      <c r="RFZ68" s="349"/>
      <c r="RGA68" s="349"/>
      <c r="RGB68" s="349"/>
      <c r="RGC68" s="349"/>
      <c r="RGD68" s="349"/>
      <c r="RGE68" s="349"/>
      <c r="RGF68" s="349"/>
      <c r="RGG68" s="349"/>
      <c r="RGH68" s="349"/>
      <c r="RGI68" s="349"/>
      <c r="RGJ68" s="349"/>
      <c r="RGK68" s="349"/>
      <c r="RGL68" s="349"/>
      <c r="RGM68" s="349"/>
      <c r="RGN68" s="349"/>
      <c r="RGO68" s="349"/>
      <c r="RGP68" s="349"/>
      <c r="RGQ68" s="349"/>
      <c r="RGR68" s="349"/>
      <c r="RGS68" s="349"/>
      <c r="RGT68" s="349"/>
      <c r="RGU68" s="349"/>
      <c r="RGV68" s="349"/>
      <c r="RGW68" s="349"/>
      <c r="RGX68" s="349"/>
      <c r="RGY68" s="349"/>
      <c r="RGZ68" s="349"/>
      <c r="RHA68" s="349"/>
      <c r="RHB68" s="349"/>
      <c r="RHC68" s="349"/>
      <c r="RHD68" s="349"/>
      <c r="RHE68" s="349"/>
      <c r="RHF68" s="349"/>
      <c r="RHG68" s="349"/>
      <c r="RHH68" s="349"/>
      <c r="RHI68" s="349"/>
      <c r="RHJ68" s="349"/>
      <c r="RHK68" s="349"/>
      <c r="RHL68" s="349"/>
      <c r="RHM68" s="349"/>
      <c r="RHN68" s="349"/>
      <c r="RHO68" s="349"/>
      <c r="RHP68" s="349"/>
      <c r="RHQ68" s="349"/>
      <c r="RHR68" s="349"/>
      <c r="RHS68" s="349"/>
      <c r="RHT68" s="349"/>
      <c r="RHU68" s="349"/>
      <c r="RHV68" s="349"/>
      <c r="RHW68" s="349"/>
      <c r="RHX68" s="349"/>
      <c r="RHY68" s="349"/>
      <c r="RHZ68" s="349"/>
      <c r="RIA68" s="349"/>
      <c r="RIB68" s="349"/>
      <c r="RIC68" s="349"/>
      <c r="RID68" s="349"/>
      <c r="RIE68" s="349"/>
      <c r="RIF68" s="349"/>
      <c r="RIG68" s="349"/>
      <c r="RIH68" s="349"/>
      <c r="RII68" s="349"/>
      <c r="RIJ68" s="349"/>
      <c r="RIK68" s="349"/>
      <c r="RIL68" s="349"/>
      <c r="RIM68" s="349"/>
      <c r="RIN68" s="349"/>
      <c r="RIO68" s="349"/>
      <c r="RIP68" s="349"/>
      <c r="RIQ68" s="349"/>
      <c r="RIR68" s="349"/>
      <c r="RIS68" s="349"/>
      <c r="RIT68" s="349"/>
      <c r="RIU68" s="349"/>
      <c r="RIV68" s="349"/>
      <c r="RIW68" s="349"/>
      <c r="RIX68" s="349"/>
      <c r="RIY68" s="349"/>
      <c r="RIZ68" s="349"/>
      <c r="RJA68" s="349"/>
      <c r="RJB68" s="349"/>
      <c r="RJC68" s="349"/>
      <c r="RJD68" s="349"/>
      <c r="RJE68" s="349"/>
      <c r="RJF68" s="349"/>
      <c r="RJG68" s="349"/>
      <c r="RJH68" s="349"/>
      <c r="RJI68" s="349"/>
      <c r="RJJ68" s="349"/>
      <c r="RJK68" s="349"/>
      <c r="RJL68" s="349"/>
      <c r="RJM68" s="349"/>
      <c r="RJN68" s="349"/>
      <c r="RJO68" s="349"/>
      <c r="RJP68" s="349"/>
      <c r="RJQ68" s="349"/>
      <c r="RJR68" s="349"/>
      <c r="RJS68" s="349"/>
      <c r="RJT68" s="349"/>
      <c r="RJU68" s="349"/>
      <c r="RJV68" s="349"/>
      <c r="RJW68" s="349"/>
      <c r="RJX68" s="349"/>
      <c r="RJY68" s="349"/>
      <c r="RJZ68" s="349"/>
      <c r="RKA68" s="349"/>
      <c r="RKB68" s="349"/>
      <c r="RKC68" s="349"/>
      <c r="RKD68" s="349"/>
      <c r="RKE68" s="349"/>
      <c r="RKF68" s="349"/>
      <c r="RKG68" s="349"/>
      <c r="RKH68" s="349"/>
      <c r="RKI68" s="349"/>
      <c r="RKJ68" s="349"/>
      <c r="RKK68" s="349"/>
      <c r="RKL68" s="349"/>
      <c r="RKM68" s="349"/>
      <c r="RKN68" s="349"/>
      <c r="RKO68" s="349"/>
      <c r="RKP68" s="349"/>
      <c r="RKQ68" s="349"/>
      <c r="RKR68" s="349"/>
      <c r="RKS68" s="349"/>
      <c r="RKT68" s="349"/>
      <c r="RKU68" s="349"/>
      <c r="RKV68" s="349"/>
      <c r="RKW68" s="349"/>
      <c r="RKX68" s="349"/>
      <c r="RKY68" s="349"/>
      <c r="RKZ68" s="349"/>
      <c r="RLA68" s="349"/>
      <c r="RLB68" s="349"/>
      <c r="RLC68" s="349"/>
      <c r="RLD68" s="349"/>
      <c r="RLE68" s="349"/>
      <c r="RLF68" s="349"/>
      <c r="RLG68" s="349"/>
      <c r="RLH68" s="349"/>
      <c r="RLI68" s="349"/>
      <c r="RLJ68" s="349"/>
      <c r="RLK68" s="349"/>
      <c r="RLL68" s="349"/>
      <c r="RLM68" s="349"/>
      <c r="RLN68" s="349"/>
      <c r="RLO68" s="349"/>
      <c r="RLP68" s="349"/>
      <c r="RLQ68" s="349"/>
      <c r="RLR68" s="349"/>
      <c r="RLS68" s="349"/>
      <c r="RLT68" s="349"/>
      <c r="RLU68" s="349"/>
      <c r="RLV68" s="349"/>
      <c r="RLW68" s="349"/>
      <c r="RLX68" s="349"/>
      <c r="RLY68" s="349"/>
      <c r="RLZ68" s="349"/>
      <c r="RMA68" s="349"/>
      <c r="RMB68" s="349"/>
      <c r="RMC68" s="349"/>
      <c r="RMD68" s="349"/>
      <c r="RME68" s="349"/>
      <c r="RMF68" s="349"/>
      <c r="RMG68" s="349"/>
      <c r="RMH68" s="349"/>
      <c r="RMI68" s="349"/>
      <c r="RMJ68" s="349"/>
      <c r="RMK68" s="349"/>
      <c r="RML68" s="349"/>
      <c r="RMM68" s="349"/>
      <c r="RMN68" s="349"/>
      <c r="RMO68" s="349"/>
      <c r="RMP68" s="349"/>
      <c r="RMQ68" s="349"/>
      <c r="RMR68" s="349"/>
      <c r="RMS68" s="349"/>
      <c r="RMT68" s="349"/>
      <c r="RMU68" s="349"/>
      <c r="RMV68" s="349"/>
      <c r="RMW68" s="349"/>
      <c r="RMX68" s="349"/>
      <c r="RMY68" s="349"/>
      <c r="RMZ68" s="349"/>
      <c r="RNA68" s="349"/>
      <c r="RNB68" s="349"/>
      <c r="RNC68" s="349"/>
      <c r="RND68" s="349"/>
      <c r="RNE68" s="349"/>
      <c r="RNF68" s="349"/>
      <c r="RNG68" s="349"/>
      <c r="RNH68" s="349"/>
      <c r="RNI68" s="349"/>
      <c r="RNJ68" s="349"/>
      <c r="RNK68" s="349"/>
      <c r="RNL68" s="349"/>
      <c r="RNM68" s="349"/>
      <c r="RNN68" s="349"/>
      <c r="RNO68" s="349"/>
      <c r="RNP68" s="349"/>
      <c r="RNQ68" s="349"/>
      <c r="RNR68" s="349"/>
      <c r="RNS68" s="349"/>
      <c r="RNT68" s="349"/>
      <c r="RNU68" s="349"/>
      <c r="RNV68" s="349"/>
      <c r="RNW68" s="349"/>
      <c r="RNX68" s="349"/>
      <c r="RNY68" s="349"/>
      <c r="RNZ68" s="349"/>
      <c r="ROA68" s="349"/>
      <c r="ROB68" s="349"/>
      <c r="ROC68" s="349"/>
      <c r="ROD68" s="349"/>
      <c r="ROE68" s="349"/>
      <c r="ROF68" s="349"/>
      <c r="ROG68" s="349"/>
      <c r="ROH68" s="349"/>
      <c r="ROI68" s="349"/>
      <c r="ROJ68" s="349"/>
      <c r="ROK68" s="349"/>
      <c r="ROL68" s="349"/>
      <c r="ROM68" s="349"/>
      <c r="RON68" s="349"/>
      <c r="ROO68" s="349"/>
      <c r="ROP68" s="349"/>
      <c r="ROQ68" s="349"/>
      <c r="ROR68" s="349"/>
      <c r="ROS68" s="349"/>
      <c r="ROT68" s="349"/>
      <c r="ROU68" s="349"/>
      <c r="ROV68" s="349"/>
      <c r="ROW68" s="349"/>
      <c r="ROX68" s="349"/>
      <c r="ROY68" s="349"/>
      <c r="ROZ68" s="349"/>
      <c r="RPA68" s="349"/>
      <c r="RPB68" s="349"/>
      <c r="RPC68" s="349"/>
      <c r="RPD68" s="349"/>
      <c r="RPE68" s="349"/>
      <c r="RPF68" s="349"/>
      <c r="RPG68" s="349"/>
      <c r="RPH68" s="349"/>
      <c r="RPI68" s="349"/>
      <c r="RPJ68" s="349"/>
      <c r="RPK68" s="349"/>
      <c r="RPL68" s="349"/>
      <c r="RPM68" s="349"/>
      <c r="RPN68" s="349"/>
      <c r="RPO68" s="349"/>
      <c r="RPP68" s="349"/>
      <c r="RPQ68" s="349"/>
      <c r="RPR68" s="349"/>
      <c r="RPS68" s="349"/>
      <c r="RPT68" s="349"/>
      <c r="RPU68" s="349"/>
      <c r="RPV68" s="349"/>
      <c r="RPW68" s="349"/>
      <c r="RPX68" s="349"/>
      <c r="RPY68" s="349"/>
      <c r="RPZ68" s="349"/>
      <c r="RQA68" s="349"/>
      <c r="RQB68" s="349"/>
      <c r="RQC68" s="349"/>
      <c r="RQD68" s="349"/>
      <c r="RQE68" s="349"/>
      <c r="RQF68" s="349"/>
      <c r="RQG68" s="349"/>
      <c r="RQH68" s="349"/>
      <c r="RQI68" s="349"/>
      <c r="RQJ68" s="349"/>
      <c r="RQK68" s="349"/>
      <c r="RQL68" s="349"/>
      <c r="RQM68" s="349"/>
      <c r="RQN68" s="349"/>
      <c r="RQO68" s="349"/>
      <c r="RQP68" s="349"/>
      <c r="RQQ68" s="349"/>
      <c r="RQR68" s="349"/>
      <c r="RQS68" s="349"/>
      <c r="RQT68" s="349"/>
      <c r="RQU68" s="349"/>
      <c r="RQV68" s="349"/>
      <c r="RQW68" s="349"/>
      <c r="RQX68" s="349"/>
      <c r="RQY68" s="349"/>
      <c r="RQZ68" s="349"/>
      <c r="RRA68" s="349"/>
      <c r="RRB68" s="349"/>
      <c r="RRC68" s="349"/>
      <c r="RRD68" s="349"/>
      <c r="RRE68" s="349"/>
      <c r="RRF68" s="349"/>
      <c r="RRG68" s="349"/>
      <c r="RRH68" s="349"/>
      <c r="RRI68" s="349"/>
      <c r="RRJ68" s="349"/>
      <c r="RRK68" s="349"/>
      <c r="RRL68" s="349"/>
      <c r="RRM68" s="349"/>
      <c r="RRN68" s="349"/>
      <c r="RRO68" s="349"/>
      <c r="RRP68" s="349"/>
      <c r="RRQ68" s="349"/>
      <c r="RRR68" s="349"/>
      <c r="RRS68" s="349"/>
      <c r="RRT68" s="349"/>
      <c r="RRU68" s="349"/>
      <c r="RRV68" s="349"/>
      <c r="RRW68" s="349"/>
      <c r="RRX68" s="349"/>
      <c r="RRY68" s="349"/>
      <c r="RRZ68" s="349"/>
      <c r="RSA68" s="349"/>
      <c r="RSB68" s="349"/>
      <c r="RSC68" s="349"/>
      <c r="RSD68" s="349"/>
      <c r="RSE68" s="349"/>
      <c r="RSF68" s="349"/>
      <c r="RSG68" s="349"/>
      <c r="RSH68" s="349"/>
      <c r="RSI68" s="349"/>
      <c r="RSJ68" s="349"/>
      <c r="RSK68" s="349"/>
      <c r="RSL68" s="349"/>
      <c r="RSM68" s="349"/>
      <c r="RSN68" s="349"/>
      <c r="RSO68" s="349"/>
      <c r="RSP68" s="349"/>
      <c r="RSQ68" s="349"/>
      <c r="RSR68" s="349"/>
      <c r="RSS68" s="349"/>
      <c r="RST68" s="349"/>
      <c r="RSU68" s="349"/>
      <c r="RSV68" s="349"/>
      <c r="RSW68" s="349"/>
      <c r="RSX68" s="349"/>
      <c r="RSY68" s="349"/>
      <c r="RSZ68" s="349"/>
      <c r="RTA68" s="349"/>
      <c r="RTB68" s="349"/>
      <c r="RTC68" s="349"/>
      <c r="RTD68" s="349"/>
      <c r="RTE68" s="349"/>
      <c r="RTF68" s="349"/>
      <c r="RTG68" s="349"/>
      <c r="RTH68" s="349"/>
      <c r="RTI68" s="349"/>
      <c r="RTJ68" s="349"/>
      <c r="RTK68" s="349"/>
      <c r="RTL68" s="349"/>
      <c r="RTM68" s="349"/>
      <c r="RTN68" s="349"/>
      <c r="RTO68" s="349"/>
      <c r="RTP68" s="349"/>
      <c r="RTQ68" s="349"/>
      <c r="RTR68" s="349"/>
      <c r="RTS68" s="349"/>
      <c r="RTT68" s="349"/>
      <c r="RTU68" s="349"/>
      <c r="RTV68" s="349"/>
      <c r="RTW68" s="349"/>
      <c r="RTX68" s="349"/>
      <c r="RTY68" s="349"/>
      <c r="RTZ68" s="349"/>
      <c r="RUA68" s="349"/>
      <c r="RUB68" s="349"/>
      <c r="RUC68" s="349"/>
      <c r="RUD68" s="349"/>
      <c r="RUE68" s="349"/>
      <c r="RUF68" s="349"/>
      <c r="RUG68" s="349"/>
      <c r="RUH68" s="349"/>
      <c r="RUI68" s="349"/>
      <c r="RUJ68" s="349"/>
      <c r="RUK68" s="349"/>
      <c r="RUL68" s="349"/>
      <c r="RUM68" s="349"/>
      <c r="RUN68" s="349"/>
      <c r="RUO68" s="349"/>
      <c r="RUP68" s="349"/>
      <c r="RUQ68" s="349"/>
      <c r="RUR68" s="349"/>
      <c r="RUS68" s="349"/>
      <c r="RUT68" s="349"/>
      <c r="RUU68" s="349"/>
      <c r="RUV68" s="349"/>
      <c r="RUW68" s="349"/>
      <c r="RUX68" s="349"/>
      <c r="RUY68" s="349"/>
      <c r="RUZ68" s="349"/>
      <c r="RVA68" s="349"/>
      <c r="RVB68" s="349"/>
      <c r="RVC68" s="349"/>
      <c r="RVD68" s="349"/>
      <c r="RVE68" s="349"/>
      <c r="RVF68" s="349"/>
      <c r="RVG68" s="349"/>
      <c r="RVH68" s="349"/>
      <c r="RVI68" s="349"/>
      <c r="RVJ68" s="349"/>
      <c r="RVK68" s="349"/>
      <c r="RVL68" s="349"/>
      <c r="RVM68" s="349"/>
      <c r="RVN68" s="349"/>
      <c r="RVO68" s="349"/>
      <c r="RVP68" s="349"/>
      <c r="RVQ68" s="349"/>
      <c r="RVR68" s="349"/>
      <c r="RVS68" s="349"/>
      <c r="RVT68" s="349"/>
      <c r="RVU68" s="349"/>
      <c r="RVV68" s="349"/>
      <c r="RVW68" s="349"/>
      <c r="RVX68" s="349"/>
      <c r="RVY68" s="349"/>
      <c r="RVZ68" s="349"/>
      <c r="RWA68" s="349"/>
      <c r="RWB68" s="349"/>
      <c r="RWC68" s="349"/>
      <c r="RWD68" s="349"/>
      <c r="RWE68" s="349"/>
      <c r="RWF68" s="349"/>
      <c r="RWG68" s="349"/>
      <c r="RWH68" s="349"/>
      <c r="RWI68" s="349"/>
      <c r="RWJ68" s="349"/>
      <c r="RWK68" s="349"/>
      <c r="RWL68" s="349"/>
      <c r="RWM68" s="349"/>
      <c r="RWN68" s="349"/>
      <c r="RWO68" s="349"/>
      <c r="RWP68" s="349"/>
      <c r="RWQ68" s="349"/>
      <c r="RWR68" s="349"/>
      <c r="RWS68" s="349"/>
      <c r="RWT68" s="349"/>
      <c r="RWU68" s="349"/>
      <c r="RWV68" s="349"/>
      <c r="RWW68" s="349"/>
      <c r="RWX68" s="349"/>
      <c r="RWY68" s="349"/>
      <c r="RWZ68" s="349"/>
      <c r="RXA68" s="349"/>
      <c r="RXB68" s="349"/>
      <c r="RXC68" s="349"/>
      <c r="RXD68" s="349"/>
      <c r="RXE68" s="349"/>
      <c r="RXF68" s="349"/>
      <c r="RXG68" s="349"/>
      <c r="RXH68" s="349"/>
      <c r="RXI68" s="349"/>
      <c r="RXJ68" s="349"/>
      <c r="RXK68" s="349"/>
      <c r="RXL68" s="349"/>
      <c r="RXM68" s="349"/>
      <c r="RXN68" s="349"/>
      <c r="RXO68" s="349"/>
      <c r="RXP68" s="349"/>
      <c r="RXQ68" s="349"/>
      <c r="RXR68" s="349"/>
      <c r="RXS68" s="349"/>
      <c r="RXT68" s="349"/>
      <c r="RXU68" s="349"/>
      <c r="RXV68" s="349"/>
      <c r="RXW68" s="349"/>
      <c r="RXX68" s="349"/>
      <c r="RXY68" s="349"/>
      <c r="RXZ68" s="349"/>
      <c r="RYA68" s="349"/>
      <c r="RYB68" s="349"/>
      <c r="RYC68" s="349"/>
      <c r="RYD68" s="349"/>
      <c r="RYE68" s="349"/>
      <c r="RYF68" s="349"/>
      <c r="RYG68" s="349"/>
      <c r="RYH68" s="349"/>
      <c r="RYI68" s="349"/>
      <c r="RYJ68" s="349"/>
      <c r="RYK68" s="349"/>
      <c r="RYL68" s="349"/>
      <c r="RYM68" s="349"/>
      <c r="RYN68" s="349"/>
      <c r="RYO68" s="349"/>
      <c r="RYP68" s="349"/>
      <c r="RYQ68" s="349"/>
      <c r="RYR68" s="349"/>
      <c r="RYS68" s="349"/>
      <c r="RYT68" s="349"/>
      <c r="RYU68" s="349"/>
      <c r="RYV68" s="349"/>
      <c r="RYW68" s="349"/>
      <c r="RYX68" s="349"/>
      <c r="RYY68" s="349"/>
      <c r="RYZ68" s="349"/>
      <c r="RZA68" s="349"/>
      <c r="RZB68" s="349"/>
      <c r="RZC68" s="349"/>
      <c r="RZD68" s="349"/>
      <c r="RZE68" s="349"/>
      <c r="RZF68" s="349"/>
      <c r="RZG68" s="349"/>
      <c r="RZH68" s="349"/>
      <c r="RZI68" s="349"/>
      <c r="RZJ68" s="349"/>
      <c r="RZK68" s="349"/>
      <c r="RZL68" s="349"/>
      <c r="RZM68" s="349"/>
      <c r="RZN68" s="349"/>
      <c r="RZO68" s="349"/>
      <c r="RZP68" s="349"/>
      <c r="RZQ68" s="349"/>
      <c r="RZR68" s="349"/>
      <c r="RZS68" s="349"/>
      <c r="RZT68" s="349"/>
      <c r="RZU68" s="349"/>
      <c r="RZV68" s="349"/>
      <c r="RZW68" s="349"/>
      <c r="RZX68" s="349"/>
      <c r="RZY68" s="349"/>
      <c r="RZZ68" s="349"/>
      <c r="SAA68" s="349"/>
      <c r="SAB68" s="349"/>
      <c r="SAC68" s="349"/>
      <c r="SAD68" s="349"/>
      <c r="SAE68" s="349"/>
      <c r="SAF68" s="349"/>
      <c r="SAG68" s="349"/>
      <c r="SAH68" s="349"/>
      <c r="SAI68" s="349"/>
      <c r="SAJ68" s="349"/>
      <c r="SAK68" s="349"/>
      <c r="SAL68" s="349"/>
      <c r="SAM68" s="349"/>
      <c r="SAN68" s="349"/>
      <c r="SAO68" s="349"/>
      <c r="SAP68" s="349"/>
      <c r="SAQ68" s="349"/>
      <c r="SAR68" s="349"/>
      <c r="SAS68" s="349"/>
      <c r="SAT68" s="349"/>
      <c r="SAU68" s="349"/>
      <c r="SAV68" s="349"/>
      <c r="SAW68" s="349"/>
      <c r="SAX68" s="349"/>
      <c r="SAY68" s="349"/>
      <c r="SAZ68" s="349"/>
      <c r="SBA68" s="349"/>
      <c r="SBB68" s="349"/>
      <c r="SBC68" s="349"/>
      <c r="SBD68" s="349"/>
      <c r="SBE68" s="349"/>
      <c r="SBF68" s="349"/>
      <c r="SBG68" s="349"/>
      <c r="SBH68" s="349"/>
      <c r="SBI68" s="349"/>
      <c r="SBJ68" s="349"/>
      <c r="SBK68" s="349"/>
      <c r="SBL68" s="349"/>
      <c r="SBM68" s="349"/>
      <c r="SBN68" s="349"/>
      <c r="SBO68" s="349"/>
      <c r="SBP68" s="349"/>
      <c r="SBQ68" s="349"/>
      <c r="SBR68" s="349"/>
      <c r="SBS68" s="349"/>
      <c r="SBT68" s="349"/>
      <c r="SBU68" s="349"/>
      <c r="SBV68" s="349"/>
      <c r="SBW68" s="349"/>
      <c r="SBX68" s="349"/>
      <c r="SBY68" s="349"/>
      <c r="SBZ68" s="349"/>
      <c r="SCA68" s="349"/>
      <c r="SCB68" s="349"/>
      <c r="SCC68" s="349"/>
      <c r="SCD68" s="349"/>
      <c r="SCE68" s="349"/>
      <c r="SCF68" s="349"/>
      <c r="SCG68" s="349"/>
      <c r="SCH68" s="349"/>
      <c r="SCI68" s="349"/>
      <c r="SCJ68" s="349"/>
      <c r="SCK68" s="349"/>
      <c r="SCL68" s="349"/>
      <c r="SCM68" s="349"/>
      <c r="SCN68" s="349"/>
      <c r="SCO68" s="349"/>
      <c r="SCP68" s="349"/>
      <c r="SCQ68" s="349"/>
      <c r="SCR68" s="349"/>
      <c r="SCS68" s="349"/>
      <c r="SCT68" s="349"/>
      <c r="SCU68" s="349"/>
      <c r="SCV68" s="349"/>
      <c r="SCW68" s="349"/>
      <c r="SCX68" s="349"/>
      <c r="SCY68" s="349"/>
      <c r="SCZ68" s="349"/>
      <c r="SDA68" s="349"/>
      <c r="SDB68" s="349"/>
      <c r="SDC68" s="349"/>
      <c r="SDD68" s="349"/>
      <c r="SDE68" s="349"/>
      <c r="SDF68" s="349"/>
      <c r="SDG68" s="349"/>
      <c r="SDH68" s="349"/>
      <c r="SDI68" s="349"/>
      <c r="SDJ68" s="349"/>
      <c r="SDK68" s="349"/>
      <c r="SDL68" s="349"/>
      <c r="SDM68" s="349"/>
      <c r="SDN68" s="349"/>
      <c r="SDO68" s="349"/>
      <c r="SDP68" s="349"/>
      <c r="SDQ68" s="349"/>
      <c r="SDR68" s="349"/>
      <c r="SDS68" s="349"/>
      <c r="SDT68" s="349"/>
      <c r="SDU68" s="349"/>
      <c r="SDV68" s="349"/>
      <c r="SDW68" s="349"/>
      <c r="SDX68" s="349"/>
      <c r="SDY68" s="349"/>
      <c r="SDZ68" s="349"/>
      <c r="SEA68" s="349"/>
      <c r="SEB68" s="349"/>
      <c r="SEC68" s="349"/>
      <c r="SED68" s="349"/>
      <c r="SEE68" s="349"/>
      <c r="SEF68" s="349"/>
      <c r="SEG68" s="349"/>
      <c r="SEH68" s="349"/>
      <c r="SEI68" s="349"/>
      <c r="SEJ68" s="349"/>
      <c r="SEK68" s="349"/>
      <c r="SEL68" s="349"/>
      <c r="SEM68" s="349"/>
      <c r="SEN68" s="349"/>
      <c r="SEO68" s="349"/>
      <c r="SEP68" s="349"/>
      <c r="SEQ68" s="349"/>
      <c r="SER68" s="349"/>
      <c r="SES68" s="349"/>
      <c r="SET68" s="349"/>
      <c r="SEU68" s="349"/>
      <c r="SEV68" s="349"/>
      <c r="SEW68" s="349"/>
      <c r="SEX68" s="349"/>
      <c r="SEY68" s="349"/>
      <c r="SEZ68" s="349"/>
      <c r="SFA68" s="349"/>
      <c r="SFB68" s="349"/>
      <c r="SFC68" s="349"/>
      <c r="SFD68" s="349"/>
      <c r="SFE68" s="349"/>
      <c r="SFF68" s="349"/>
      <c r="SFG68" s="349"/>
      <c r="SFH68" s="349"/>
      <c r="SFI68" s="349"/>
      <c r="SFJ68" s="349"/>
      <c r="SFK68" s="349"/>
      <c r="SFL68" s="349"/>
      <c r="SFM68" s="349"/>
      <c r="SFN68" s="349"/>
      <c r="SFO68" s="349"/>
      <c r="SFP68" s="349"/>
      <c r="SFQ68" s="349"/>
      <c r="SFR68" s="349"/>
      <c r="SFS68" s="349"/>
      <c r="SFT68" s="349"/>
      <c r="SFU68" s="349"/>
      <c r="SFV68" s="349"/>
      <c r="SFW68" s="349"/>
      <c r="SFX68" s="349"/>
      <c r="SFY68" s="349"/>
      <c r="SFZ68" s="349"/>
      <c r="SGA68" s="349"/>
      <c r="SGB68" s="349"/>
      <c r="SGC68" s="349"/>
      <c r="SGD68" s="349"/>
      <c r="SGE68" s="349"/>
      <c r="SGF68" s="349"/>
      <c r="SGG68" s="349"/>
      <c r="SGH68" s="349"/>
      <c r="SGI68" s="349"/>
      <c r="SGJ68" s="349"/>
      <c r="SGK68" s="349"/>
      <c r="SGL68" s="349"/>
      <c r="SGM68" s="349"/>
      <c r="SGN68" s="349"/>
      <c r="SGO68" s="349"/>
      <c r="SGP68" s="349"/>
      <c r="SGQ68" s="349"/>
      <c r="SGR68" s="349"/>
      <c r="SGS68" s="349"/>
      <c r="SGT68" s="349"/>
      <c r="SGU68" s="349"/>
      <c r="SGV68" s="349"/>
      <c r="SGW68" s="349"/>
      <c r="SGX68" s="349"/>
      <c r="SGY68" s="349"/>
      <c r="SGZ68" s="349"/>
      <c r="SHA68" s="349"/>
      <c r="SHB68" s="349"/>
      <c r="SHC68" s="349"/>
      <c r="SHD68" s="349"/>
      <c r="SHE68" s="349"/>
      <c r="SHF68" s="349"/>
      <c r="SHG68" s="349"/>
      <c r="SHH68" s="349"/>
      <c r="SHI68" s="349"/>
      <c r="SHJ68" s="349"/>
      <c r="SHK68" s="349"/>
      <c r="SHL68" s="349"/>
      <c r="SHM68" s="349"/>
      <c r="SHN68" s="349"/>
      <c r="SHO68" s="349"/>
      <c r="SHP68" s="349"/>
      <c r="SHQ68" s="349"/>
      <c r="SHR68" s="349"/>
      <c r="SHS68" s="349"/>
      <c r="SHT68" s="349"/>
      <c r="SHU68" s="349"/>
      <c r="SHV68" s="349"/>
      <c r="SHW68" s="349"/>
      <c r="SHX68" s="349"/>
      <c r="SHY68" s="349"/>
      <c r="SHZ68" s="349"/>
      <c r="SIA68" s="349"/>
      <c r="SIB68" s="349"/>
      <c r="SIC68" s="349"/>
      <c r="SID68" s="349"/>
      <c r="SIE68" s="349"/>
      <c r="SIF68" s="349"/>
      <c r="SIG68" s="349"/>
      <c r="SIH68" s="349"/>
      <c r="SII68" s="349"/>
      <c r="SIJ68" s="349"/>
      <c r="SIK68" s="349"/>
      <c r="SIL68" s="349"/>
      <c r="SIM68" s="349"/>
      <c r="SIN68" s="349"/>
      <c r="SIO68" s="349"/>
      <c r="SIP68" s="349"/>
      <c r="SIQ68" s="349"/>
      <c r="SIR68" s="349"/>
      <c r="SIS68" s="349"/>
      <c r="SIT68" s="349"/>
      <c r="SIU68" s="349"/>
      <c r="SIV68" s="349"/>
      <c r="SIW68" s="349"/>
      <c r="SIX68" s="349"/>
      <c r="SIY68" s="349"/>
      <c r="SIZ68" s="349"/>
      <c r="SJA68" s="349"/>
      <c r="SJB68" s="349"/>
      <c r="SJC68" s="349"/>
      <c r="SJD68" s="349"/>
      <c r="SJE68" s="349"/>
      <c r="SJF68" s="349"/>
      <c r="SJG68" s="349"/>
      <c r="SJH68" s="349"/>
      <c r="SJI68" s="349"/>
      <c r="SJJ68" s="349"/>
      <c r="SJK68" s="349"/>
      <c r="SJL68" s="349"/>
      <c r="SJM68" s="349"/>
      <c r="SJN68" s="349"/>
      <c r="SJO68" s="349"/>
      <c r="SJP68" s="349"/>
      <c r="SJQ68" s="349"/>
      <c r="SJR68" s="349"/>
      <c r="SJS68" s="349"/>
      <c r="SJT68" s="349"/>
      <c r="SJU68" s="349"/>
      <c r="SJV68" s="349"/>
      <c r="SJW68" s="349"/>
      <c r="SJX68" s="349"/>
      <c r="SJY68" s="349"/>
      <c r="SJZ68" s="349"/>
      <c r="SKA68" s="349"/>
      <c r="SKB68" s="349"/>
      <c r="SKC68" s="349"/>
      <c r="SKD68" s="349"/>
      <c r="SKE68" s="349"/>
      <c r="SKF68" s="349"/>
      <c r="SKG68" s="349"/>
      <c r="SKH68" s="349"/>
      <c r="SKI68" s="349"/>
      <c r="SKJ68" s="349"/>
      <c r="SKK68" s="349"/>
      <c r="SKL68" s="349"/>
      <c r="SKM68" s="349"/>
      <c r="SKN68" s="349"/>
      <c r="SKO68" s="349"/>
      <c r="SKP68" s="349"/>
      <c r="SKQ68" s="349"/>
      <c r="SKR68" s="349"/>
      <c r="SKS68" s="349"/>
      <c r="SKT68" s="349"/>
      <c r="SKU68" s="349"/>
      <c r="SKV68" s="349"/>
      <c r="SKW68" s="349"/>
      <c r="SKX68" s="349"/>
      <c r="SKY68" s="349"/>
      <c r="SKZ68" s="349"/>
      <c r="SLA68" s="349"/>
      <c r="SLB68" s="349"/>
      <c r="SLC68" s="349"/>
      <c r="SLD68" s="349"/>
      <c r="SLE68" s="349"/>
      <c r="SLF68" s="349"/>
      <c r="SLG68" s="349"/>
      <c r="SLH68" s="349"/>
      <c r="SLI68" s="349"/>
      <c r="SLJ68" s="349"/>
      <c r="SLK68" s="349"/>
      <c r="SLL68" s="349"/>
      <c r="SLM68" s="349"/>
      <c r="SLN68" s="349"/>
      <c r="SLO68" s="349"/>
      <c r="SLP68" s="349"/>
      <c r="SLQ68" s="349"/>
      <c r="SLR68" s="349"/>
      <c r="SLS68" s="349"/>
      <c r="SLT68" s="349"/>
      <c r="SLU68" s="349"/>
      <c r="SLV68" s="349"/>
      <c r="SLW68" s="349"/>
      <c r="SLX68" s="349"/>
      <c r="SLY68" s="349"/>
      <c r="SLZ68" s="349"/>
      <c r="SMA68" s="349"/>
      <c r="SMB68" s="349"/>
      <c r="SMC68" s="349"/>
      <c r="SMD68" s="349"/>
      <c r="SME68" s="349"/>
      <c r="SMF68" s="349"/>
      <c r="SMG68" s="349"/>
      <c r="SMH68" s="349"/>
      <c r="SMI68" s="349"/>
      <c r="SMJ68" s="349"/>
      <c r="SMK68" s="349"/>
      <c r="SML68" s="349"/>
      <c r="SMM68" s="349"/>
      <c r="SMN68" s="349"/>
      <c r="SMO68" s="349"/>
      <c r="SMP68" s="349"/>
      <c r="SMQ68" s="349"/>
      <c r="SMR68" s="349"/>
      <c r="SMS68" s="349"/>
      <c r="SMT68" s="349"/>
      <c r="SMU68" s="349"/>
      <c r="SMV68" s="349"/>
      <c r="SMW68" s="349"/>
      <c r="SMX68" s="349"/>
      <c r="SMY68" s="349"/>
      <c r="SMZ68" s="349"/>
      <c r="SNA68" s="349"/>
      <c r="SNB68" s="349"/>
      <c r="SNC68" s="349"/>
      <c r="SND68" s="349"/>
      <c r="SNE68" s="349"/>
      <c r="SNF68" s="349"/>
      <c r="SNG68" s="349"/>
      <c r="SNH68" s="349"/>
      <c r="SNI68" s="349"/>
      <c r="SNJ68" s="349"/>
      <c r="SNK68" s="349"/>
      <c r="SNL68" s="349"/>
      <c r="SNM68" s="349"/>
      <c r="SNN68" s="349"/>
      <c r="SNO68" s="349"/>
      <c r="SNP68" s="349"/>
      <c r="SNQ68" s="349"/>
      <c r="SNR68" s="349"/>
      <c r="SNS68" s="349"/>
      <c r="SNT68" s="349"/>
      <c r="SNU68" s="349"/>
      <c r="SNV68" s="349"/>
      <c r="SNW68" s="349"/>
      <c r="SNX68" s="349"/>
      <c r="SNY68" s="349"/>
      <c r="SNZ68" s="349"/>
      <c r="SOA68" s="349"/>
      <c r="SOB68" s="349"/>
      <c r="SOC68" s="349"/>
      <c r="SOD68" s="349"/>
      <c r="SOE68" s="349"/>
      <c r="SOF68" s="349"/>
      <c r="SOG68" s="349"/>
      <c r="SOH68" s="349"/>
      <c r="SOI68" s="349"/>
      <c r="SOJ68" s="349"/>
      <c r="SOK68" s="349"/>
      <c r="SOL68" s="349"/>
      <c r="SOM68" s="349"/>
      <c r="SON68" s="349"/>
      <c r="SOO68" s="349"/>
      <c r="SOP68" s="349"/>
      <c r="SOQ68" s="349"/>
      <c r="SOR68" s="349"/>
      <c r="SOS68" s="349"/>
      <c r="SOT68" s="349"/>
      <c r="SOU68" s="349"/>
      <c r="SOV68" s="349"/>
      <c r="SOW68" s="349"/>
      <c r="SOX68" s="349"/>
      <c r="SOY68" s="349"/>
      <c r="SOZ68" s="349"/>
      <c r="SPA68" s="349"/>
      <c r="SPB68" s="349"/>
      <c r="SPC68" s="349"/>
      <c r="SPD68" s="349"/>
      <c r="SPE68" s="349"/>
      <c r="SPF68" s="349"/>
      <c r="SPG68" s="349"/>
      <c r="SPH68" s="349"/>
      <c r="SPI68" s="349"/>
      <c r="SPJ68" s="349"/>
      <c r="SPK68" s="349"/>
      <c r="SPL68" s="349"/>
      <c r="SPM68" s="349"/>
      <c r="SPN68" s="349"/>
      <c r="SPO68" s="349"/>
      <c r="SPP68" s="349"/>
      <c r="SPQ68" s="349"/>
      <c r="SPR68" s="349"/>
      <c r="SPS68" s="349"/>
      <c r="SPT68" s="349"/>
      <c r="SPU68" s="349"/>
      <c r="SPV68" s="349"/>
      <c r="SPW68" s="349"/>
      <c r="SPX68" s="349"/>
      <c r="SPY68" s="349"/>
      <c r="SPZ68" s="349"/>
      <c r="SQA68" s="349"/>
      <c r="SQB68" s="349"/>
      <c r="SQC68" s="349"/>
      <c r="SQD68" s="349"/>
      <c r="SQE68" s="349"/>
      <c r="SQF68" s="349"/>
      <c r="SQG68" s="349"/>
      <c r="SQH68" s="349"/>
      <c r="SQI68" s="349"/>
      <c r="SQJ68" s="349"/>
      <c r="SQK68" s="349"/>
      <c r="SQL68" s="349"/>
      <c r="SQM68" s="349"/>
      <c r="SQN68" s="349"/>
      <c r="SQO68" s="349"/>
      <c r="SQP68" s="349"/>
      <c r="SQQ68" s="349"/>
      <c r="SQR68" s="349"/>
      <c r="SQS68" s="349"/>
      <c r="SQT68" s="349"/>
      <c r="SQU68" s="349"/>
      <c r="SQV68" s="349"/>
      <c r="SQW68" s="349"/>
      <c r="SQX68" s="349"/>
      <c r="SQY68" s="349"/>
      <c r="SQZ68" s="349"/>
      <c r="SRA68" s="349"/>
      <c r="SRB68" s="349"/>
      <c r="SRC68" s="349"/>
      <c r="SRD68" s="349"/>
      <c r="SRE68" s="349"/>
      <c r="SRF68" s="349"/>
      <c r="SRG68" s="349"/>
      <c r="SRH68" s="349"/>
      <c r="SRI68" s="349"/>
      <c r="SRJ68" s="349"/>
      <c r="SRK68" s="349"/>
      <c r="SRL68" s="349"/>
      <c r="SRM68" s="349"/>
      <c r="SRN68" s="349"/>
      <c r="SRO68" s="349"/>
      <c r="SRP68" s="349"/>
      <c r="SRQ68" s="349"/>
      <c r="SRR68" s="349"/>
      <c r="SRS68" s="349"/>
      <c r="SRT68" s="349"/>
      <c r="SRU68" s="349"/>
      <c r="SRV68" s="349"/>
      <c r="SRW68" s="349"/>
      <c r="SRX68" s="349"/>
      <c r="SRY68" s="349"/>
      <c r="SRZ68" s="349"/>
      <c r="SSA68" s="349"/>
      <c r="SSB68" s="349"/>
      <c r="SSC68" s="349"/>
      <c r="SSD68" s="349"/>
      <c r="SSE68" s="349"/>
      <c r="SSF68" s="349"/>
      <c r="SSG68" s="349"/>
      <c r="SSH68" s="349"/>
      <c r="SSI68" s="349"/>
      <c r="SSJ68" s="349"/>
      <c r="SSK68" s="349"/>
      <c r="SSL68" s="349"/>
      <c r="SSM68" s="349"/>
      <c r="SSN68" s="349"/>
      <c r="SSO68" s="349"/>
      <c r="SSP68" s="349"/>
      <c r="SSQ68" s="349"/>
      <c r="SSR68" s="349"/>
      <c r="SSS68" s="349"/>
      <c r="SST68" s="349"/>
      <c r="SSU68" s="349"/>
      <c r="SSV68" s="349"/>
      <c r="SSW68" s="349"/>
      <c r="SSX68" s="349"/>
      <c r="SSY68" s="349"/>
      <c r="SSZ68" s="349"/>
      <c r="STA68" s="349"/>
      <c r="STB68" s="349"/>
      <c r="STC68" s="349"/>
      <c r="STD68" s="349"/>
      <c r="STE68" s="349"/>
      <c r="STF68" s="349"/>
      <c r="STG68" s="349"/>
      <c r="STH68" s="349"/>
      <c r="STI68" s="349"/>
      <c r="STJ68" s="349"/>
      <c r="STK68" s="349"/>
      <c r="STL68" s="349"/>
      <c r="STM68" s="349"/>
      <c r="STN68" s="349"/>
      <c r="STO68" s="349"/>
      <c r="STP68" s="349"/>
      <c r="STQ68" s="349"/>
      <c r="STR68" s="349"/>
      <c r="STS68" s="349"/>
      <c r="STT68" s="349"/>
      <c r="STU68" s="349"/>
      <c r="STV68" s="349"/>
      <c r="STW68" s="349"/>
      <c r="STX68" s="349"/>
      <c r="STY68" s="349"/>
      <c r="STZ68" s="349"/>
      <c r="SUA68" s="349"/>
      <c r="SUB68" s="349"/>
      <c r="SUC68" s="349"/>
      <c r="SUD68" s="349"/>
      <c r="SUE68" s="349"/>
      <c r="SUF68" s="349"/>
      <c r="SUG68" s="349"/>
      <c r="SUH68" s="349"/>
      <c r="SUI68" s="349"/>
      <c r="SUJ68" s="349"/>
      <c r="SUK68" s="349"/>
      <c r="SUL68" s="349"/>
      <c r="SUM68" s="349"/>
      <c r="SUN68" s="349"/>
      <c r="SUO68" s="349"/>
      <c r="SUP68" s="349"/>
      <c r="SUQ68" s="349"/>
      <c r="SUR68" s="349"/>
      <c r="SUS68" s="349"/>
      <c r="SUT68" s="349"/>
      <c r="SUU68" s="349"/>
      <c r="SUV68" s="349"/>
      <c r="SUW68" s="349"/>
      <c r="SUX68" s="349"/>
      <c r="SUY68" s="349"/>
      <c r="SUZ68" s="349"/>
      <c r="SVA68" s="349"/>
      <c r="SVB68" s="349"/>
      <c r="SVC68" s="349"/>
      <c r="SVD68" s="349"/>
      <c r="SVE68" s="349"/>
      <c r="SVF68" s="349"/>
      <c r="SVG68" s="349"/>
      <c r="SVH68" s="349"/>
      <c r="SVI68" s="349"/>
      <c r="SVJ68" s="349"/>
      <c r="SVK68" s="349"/>
      <c r="SVL68" s="349"/>
      <c r="SVM68" s="349"/>
      <c r="SVN68" s="349"/>
      <c r="SVO68" s="349"/>
      <c r="SVP68" s="349"/>
      <c r="SVQ68" s="349"/>
      <c r="SVR68" s="349"/>
      <c r="SVS68" s="349"/>
      <c r="SVT68" s="349"/>
      <c r="SVU68" s="349"/>
      <c r="SVV68" s="349"/>
      <c r="SVW68" s="349"/>
      <c r="SVX68" s="349"/>
      <c r="SVY68" s="349"/>
      <c r="SVZ68" s="349"/>
      <c r="SWA68" s="349"/>
      <c r="SWB68" s="349"/>
      <c r="SWC68" s="349"/>
      <c r="SWD68" s="349"/>
      <c r="SWE68" s="349"/>
      <c r="SWF68" s="349"/>
      <c r="SWG68" s="349"/>
      <c r="SWH68" s="349"/>
      <c r="SWI68" s="349"/>
      <c r="SWJ68" s="349"/>
      <c r="SWK68" s="349"/>
      <c r="SWL68" s="349"/>
      <c r="SWM68" s="349"/>
      <c r="SWN68" s="349"/>
      <c r="SWO68" s="349"/>
      <c r="SWP68" s="349"/>
      <c r="SWQ68" s="349"/>
      <c r="SWR68" s="349"/>
      <c r="SWS68" s="349"/>
      <c r="SWT68" s="349"/>
      <c r="SWU68" s="349"/>
      <c r="SWV68" s="349"/>
      <c r="SWW68" s="349"/>
      <c r="SWX68" s="349"/>
      <c r="SWY68" s="349"/>
      <c r="SWZ68" s="349"/>
      <c r="SXA68" s="349"/>
      <c r="SXB68" s="349"/>
      <c r="SXC68" s="349"/>
      <c r="SXD68" s="349"/>
      <c r="SXE68" s="349"/>
      <c r="SXF68" s="349"/>
      <c r="SXG68" s="349"/>
      <c r="SXH68" s="349"/>
      <c r="SXI68" s="349"/>
      <c r="SXJ68" s="349"/>
      <c r="SXK68" s="349"/>
      <c r="SXL68" s="349"/>
      <c r="SXM68" s="349"/>
      <c r="SXN68" s="349"/>
      <c r="SXO68" s="349"/>
      <c r="SXP68" s="349"/>
      <c r="SXQ68" s="349"/>
      <c r="SXR68" s="349"/>
      <c r="SXS68" s="349"/>
      <c r="SXT68" s="349"/>
      <c r="SXU68" s="349"/>
      <c r="SXV68" s="349"/>
      <c r="SXW68" s="349"/>
      <c r="SXX68" s="349"/>
      <c r="SXY68" s="349"/>
      <c r="SXZ68" s="349"/>
      <c r="SYA68" s="349"/>
      <c r="SYB68" s="349"/>
      <c r="SYC68" s="349"/>
      <c r="SYD68" s="349"/>
      <c r="SYE68" s="349"/>
      <c r="SYF68" s="349"/>
      <c r="SYG68" s="349"/>
      <c r="SYH68" s="349"/>
      <c r="SYI68" s="349"/>
      <c r="SYJ68" s="349"/>
      <c r="SYK68" s="349"/>
      <c r="SYL68" s="349"/>
      <c r="SYM68" s="349"/>
      <c r="SYN68" s="349"/>
      <c r="SYO68" s="349"/>
      <c r="SYP68" s="349"/>
      <c r="SYQ68" s="349"/>
      <c r="SYR68" s="349"/>
      <c r="SYS68" s="349"/>
      <c r="SYT68" s="349"/>
      <c r="SYU68" s="349"/>
      <c r="SYV68" s="349"/>
      <c r="SYW68" s="349"/>
      <c r="SYX68" s="349"/>
      <c r="SYY68" s="349"/>
      <c r="SYZ68" s="349"/>
      <c r="SZA68" s="349"/>
      <c r="SZB68" s="349"/>
      <c r="SZC68" s="349"/>
      <c r="SZD68" s="349"/>
      <c r="SZE68" s="349"/>
      <c r="SZF68" s="349"/>
      <c r="SZG68" s="349"/>
      <c r="SZH68" s="349"/>
      <c r="SZI68" s="349"/>
      <c r="SZJ68" s="349"/>
      <c r="SZK68" s="349"/>
      <c r="SZL68" s="349"/>
      <c r="SZM68" s="349"/>
      <c r="SZN68" s="349"/>
      <c r="SZO68" s="349"/>
      <c r="SZP68" s="349"/>
      <c r="SZQ68" s="349"/>
      <c r="SZR68" s="349"/>
      <c r="SZS68" s="349"/>
      <c r="SZT68" s="349"/>
      <c r="SZU68" s="349"/>
      <c r="SZV68" s="349"/>
      <c r="SZW68" s="349"/>
      <c r="SZX68" s="349"/>
      <c r="SZY68" s="349"/>
      <c r="SZZ68" s="349"/>
      <c r="TAA68" s="349"/>
      <c r="TAB68" s="349"/>
      <c r="TAC68" s="349"/>
      <c r="TAD68" s="349"/>
      <c r="TAE68" s="349"/>
      <c r="TAF68" s="349"/>
      <c r="TAG68" s="349"/>
      <c r="TAH68" s="349"/>
      <c r="TAI68" s="349"/>
      <c r="TAJ68" s="349"/>
      <c r="TAK68" s="349"/>
      <c r="TAL68" s="349"/>
      <c r="TAM68" s="349"/>
      <c r="TAN68" s="349"/>
      <c r="TAO68" s="349"/>
      <c r="TAP68" s="349"/>
      <c r="TAQ68" s="349"/>
      <c r="TAR68" s="349"/>
      <c r="TAS68" s="349"/>
      <c r="TAT68" s="349"/>
      <c r="TAU68" s="349"/>
      <c r="TAV68" s="349"/>
      <c r="TAW68" s="349"/>
      <c r="TAX68" s="349"/>
      <c r="TAY68" s="349"/>
      <c r="TAZ68" s="349"/>
      <c r="TBA68" s="349"/>
      <c r="TBB68" s="349"/>
      <c r="TBC68" s="349"/>
      <c r="TBD68" s="349"/>
      <c r="TBE68" s="349"/>
      <c r="TBF68" s="349"/>
      <c r="TBG68" s="349"/>
      <c r="TBH68" s="349"/>
      <c r="TBI68" s="349"/>
      <c r="TBJ68" s="349"/>
      <c r="TBK68" s="349"/>
      <c r="TBL68" s="349"/>
      <c r="TBM68" s="349"/>
      <c r="TBN68" s="349"/>
      <c r="TBO68" s="349"/>
      <c r="TBP68" s="349"/>
      <c r="TBQ68" s="349"/>
      <c r="TBR68" s="349"/>
      <c r="TBS68" s="349"/>
      <c r="TBT68" s="349"/>
      <c r="TBU68" s="349"/>
      <c r="TBV68" s="349"/>
      <c r="TBW68" s="349"/>
      <c r="TBX68" s="349"/>
      <c r="TBY68" s="349"/>
      <c r="TBZ68" s="349"/>
      <c r="TCA68" s="349"/>
      <c r="TCB68" s="349"/>
      <c r="TCC68" s="349"/>
      <c r="TCD68" s="349"/>
      <c r="TCE68" s="349"/>
      <c r="TCF68" s="349"/>
      <c r="TCG68" s="349"/>
      <c r="TCH68" s="349"/>
      <c r="TCI68" s="349"/>
      <c r="TCJ68" s="349"/>
      <c r="TCK68" s="349"/>
      <c r="TCL68" s="349"/>
      <c r="TCM68" s="349"/>
      <c r="TCN68" s="349"/>
      <c r="TCO68" s="349"/>
      <c r="TCP68" s="349"/>
      <c r="TCQ68" s="349"/>
      <c r="TCR68" s="349"/>
      <c r="TCS68" s="349"/>
      <c r="TCT68" s="349"/>
      <c r="TCU68" s="349"/>
      <c r="TCV68" s="349"/>
      <c r="TCW68" s="349"/>
      <c r="TCX68" s="349"/>
      <c r="TCY68" s="349"/>
      <c r="TCZ68" s="349"/>
      <c r="TDA68" s="349"/>
      <c r="TDB68" s="349"/>
      <c r="TDC68" s="349"/>
      <c r="TDD68" s="349"/>
      <c r="TDE68" s="349"/>
      <c r="TDF68" s="349"/>
      <c r="TDG68" s="349"/>
      <c r="TDH68" s="349"/>
      <c r="TDI68" s="349"/>
      <c r="TDJ68" s="349"/>
      <c r="TDK68" s="349"/>
      <c r="TDL68" s="349"/>
      <c r="TDM68" s="349"/>
      <c r="TDN68" s="349"/>
      <c r="TDO68" s="349"/>
      <c r="TDP68" s="349"/>
      <c r="TDQ68" s="349"/>
      <c r="TDR68" s="349"/>
      <c r="TDS68" s="349"/>
      <c r="TDT68" s="349"/>
      <c r="TDU68" s="349"/>
      <c r="TDV68" s="349"/>
      <c r="TDW68" s="349"/>
      <c r="TDX68" s="349"/>
      <c r="TDY68" s="349"/>
      <c r="TDZ68" s="349"/>
      <c r="TEA68" s="349"/>
      <c r="TEB68" s="349"/>
      <c r="TEC68" s="349"/>
      <c r="TED68" s="349"/>
      <c r="TEE68" s="349"/>
      <c r="TEF68" s="349"/>
      <c r="TEG68" s="349"/>
      <c r="TEH68" s="349"/>
      <c r="TEI68" s="349"/>
      <c r="TEJ68" s="349"/>
      <c r="TEK68" s="349"/>
      <c r="TEL68" s="349"/>
      <c r="TEM68" s="349"/>
      <c r="TEN68" s="349"/>
      <c r="TEO68" s="349"/>
      <c r="TEP68" s="349"/>
      <c r="TEQ68" s="349"/>
      <c r="TER68" s="349"/>
      <c r="TES68" s="349"/>
      <c r="TET68" s="349"/>
      <c r="TEU68" s="349"/>
      <c r="TEV68" s="349"/>
      <c r="TEW68" s="349"/>
      <c r="TEX68" s="349"/>
      <c r="TEY68" s="349"/>
      <c r="TEZ68" s="349"/>
      <c r="TFA68" s="349"/>
      <c r="TFB68" s="349"/>
      <c r="TFC68" s="349"/>
      <c r="TFD68" s="349"/>
      <c r="TFE68" s="349"/>
      <c r="TFF68" s="349"/>
      <c r="TFG68" s="349"/>
      <c r="TFH68" s="349"/>
      <c r="TFI68" s="349"/>
      <c r="TFJ68" s="349"/>
      <c r="TFK68" s="349"/>
      <c r="TFL68" s="349"/>
      <c r="TFM68" s="349"/>
      <c r="TFN68" s="349"/>
      <c r="TFO68" s="349"/>
      <c r="TFP68" s="349"/>
      <c r="TFQ68" s="349"/>
      <c r="TFR68" s="349"/>
      <c r="TFS68" s="349"/>
      <c r="TFT68" s="349"/>
      <c r="TFU68" s="349"/>
      <c r="TFV68" s="349"/>
      <c r="TFW68" s="349"/>
      <c r="TFX68" s="349"/>
      <c r="TFY68" s="349"/>
      <c r="TFZ68" s="349"/>
      <c r="TGA68" s="349"/>
      <c r="TGB68" s="349"/>
      <c r="TGC68" s="349"/>
      <c r="TGD68" s="349"/>
      <c r="TGE68" s="349"/>
      <c r="TGF68" s="349"/>
      <c r="TGG68" s="349"/>
      <c r="TGH68" s="349"/>
      <c r="TGI68" s="349"/>
      <c r="TGJ68" s="349"/>
      <c r="TGK68" s="349"/>
      <c r="TGL68" s="349"/>
      <c r="TGM68" s="349"/>
      <c r="TGN68" s="349"/>
      <c r="TGO68" s="349"/>
      <c r="TGP68" s="349"/>
      <c r="TGQ68" s="349"/>
      <c r="TGR68" s="349"/>
      <c r="TGS68" s="349"/>
      <c r="TGT68" s="349"/>
      <c r="TGU68" s="349"/>
      <c r="TGV68" s="349"/>
      <c r="TGW68" s="349"/>
      <c r="TGX68" s="349"/>
      <c r="TGY68" s="349"/>
      <c r="TGZ68" s="349"/>
      <c r="THA68" s="349"/>
      <c r="THB68" s="349"/>
      <c r="THC68" s="349"/>
      <c r="THD68" s="349"/>
      <c r="THE68" s="349"/>
      <c r="THF68" s="349"/>
      <c r="THG68" s="349"/>
      <c r="THH68" s="349"/>
      <c r="THI68" s="349"/>
      <c r="THJ68" s="349"/>
      <c r="THK68" s="349"/>
      <c r="THL68" s="349"/>
      <c r="THM68" s="349"/>
      <c r="THN68" s="349"/>
      <c r="THO68" s="349"/>
      <c r="THP68" s="349"/>
      <c r="THQ68" s="349"/>
      <c r="THR68" s="349"/>
      <c r="THS68" s="349"/>
      <c r="THT68" s="349"/>
      <c r="THU68" s="349"/>
      <c r="THV68" s="349"/>
      <c r="THW68" s="349"/>
      <c r="THX68" s="349"/>
      <c r="THY68" s="349"/>
      <c r="THZ68" s="349"/>
      <c r="TIA68" s="349"/>
      <c r="TIB68" s="349"/>
      <c r="TIC68" s="349"/>
      <c r="TID68" s="349"/>
      <c r="TIE68" s="349"/>
      <c r="TIF68" s="349"/>
      <c r="TIG68" s="349"/>
      <c r="TIH68" s="349"/>
      <c r="TII68" s="349"/>
      <c r="TIJ68" s="349"/>
      <c r="TIK68" s="349"/>
      <c r="TIL68" s="349"/>
      <c r="TIM68" s="349"/>
      <c r="TIN68" s="349"/>
      <c r="TIO68" s="349"/>
      <c r="TIP68" s="349"/>
      <c r="TIQ68" s="349"/>
      <c r="TIR68" s="349"/>
      <c r="TIS68" s="349"/>
      <c r="TIT68" s="349"/>
      <c r="TIU68" s="349"/>
      <c r="TIV68" s="349"/>
      <c r="TIW68" s="349"/>
      <c r="TIX68" s="349"/>
      <c r="TIY68" s="349"/>
      <c r="TIZ68" s="349"/>
      <c r="TJA68" s="349"/>
      <c r="TJB68" s="349"/>
      <c r="TJC68" s="349"/>
      <c r="TJD68" s="349"/>
      <c r="TJE68" s="349"/>
      <c r="TJF68" s="349"/>
      <c r="TJG68" s="349"/>
      <c r="TJH68" s="349"/>
      <c r="TJI68" s="349"/>
      <c r="TJJ68" s="349"/>
      <c r="TJK68" s="349"/>
      <c r="TJL68" s="349"/>
      <c r="TJM68" s="349"/>
      <c r="TJN68" s="349"/>
      <c r="TJO68" s="349"/>
      <c r="TJP68" s="349"/>
      <c r="TJQ68" s="349"/>
      <c r="TJR68" s="349"/>
      <c r="TJS68" s="349"/>
      <c r="TJT68" s="349"/>
      <c r="TJU68" s="349"/>
      <c r="TJV68" s="349"/>
      <c r="TJW68" s="349"/>
      <c r="TJX68" s="349"/>
      <c r="TJY68" s="349"/>
      <c r="TJZ68" s="349"/>
      <c r="TKA68" s="349"/>
      <c r="TKB68" s="349"/>
      <c r="TKC68" s="349"/>
      <c r="TKD68" s="349"/>
      <c r="TKE68" s="349"/>
      <c r="TKF68" s="349"/>
      <c r="TKG68" s="349"/>
      <c r="TKH68" s="349"/>
      <c r="TKI68" s="349"/>
      <c r="TKJ68" s="349"/>
      <c r="TKK68" s="349"/>
      <c r="TKL68" s="349"/>
      <c r="TKM68" s="349"/>
      <c r="TKN68" s="349"/>
      <c r="TKO68" s="349"/>
      <c r="TKP68" s="349"/>
      <c r="TKQ68" s="349"/>
      <c r="TKR68" s="349"/>
      <c r="TKS68" s="349"/>
      <c r="TKT68" s="349"/>
      <c r="TKU68" s="349"/>
      <c r="TKV68" s="349"/>
      <c r="TKW68" s="349"/>
      <c r="TKX68" s="349"/>
      <c r="TKY68" s="349"/>
      <c r="TKZ68" s="349"/>
      <c r="TLA68" s="349"/>
      <c r="TLB68" s="349"/>
      <c r="TLC68" s="349"/>
      <c r="TLD68" s="349"/>
      <c r="TLE68" s="349"/>
      <c r="TLF68" s="349"/>
      <c r="TLG68" s="349"/>
      <c r="TLH68" s="349"/>
      <c r="TLI68" s="349"/>
      <c r="TLJ68" s="349"/>
      <c r="TLK68" s="349"/>
      <c r="TLL68" s="349"/>
      <c r="TLM68" s="349"/>
      <c r="TLN68" s="349"/>
      <c r="TLO68" s="349"/>
      <c r="TLP68" s="349"/>
      <c r="TLQ68" s="349"/>
      <c r="TLR68" s="349"/>
      <c r="TLS68" s="349"/>
      <c r="TLT68" s="349"/>
      <c r="TLU68" s="349"/>
      <c r="TLV68" s="349"/>
      <c r="TLW68" s="349"/>
      <c r="TLX68" s="349"/>
      <c r="TLY68" s="349"/>
      <c r="TLZ68" s="349"/>
      <c r="TMA68" s="349"/>
      <c r="TMB68" s="349"/>
      <c r="TMC68" s="349"/>
      <c r="TMD68" s="349"/>
      <c r="TME68" s="349"/>
      <c r="TMF68" s="349"/>
      <c r="TMG68" s="349"/>
      <c r="TMH68" s="349"/>
      <c r="TMI68" s="349"/>
      <c r="TMJ68" s="349"/>
      <c r="TMK68" s="349"/>
      <c r="TML68" s="349"/>
      <c r="TMM68" s="349"/>
      <c r="TMN68" s="349"/>
      <c r="TMO68" s="349"/>
      <c r="TMP68" s="349"/>
      <c r="TMQ68" s="349"/>
      <c r="TMR68" s="349"/>
      <c r="TMS68" s="349"/>
      <c r="TMT68" s="349"/>
      <c r="TMU68" s="349"/>
      <c r="TMV68" s="349"/>
      <c r="TMW68" s="349"/>
      <c r="TMX68" s="349"/>
      <c r="TMY68" s="349"/>
      <c r="TMZ68" s="349"/>
      <c r="TNA68" s="349"/>
      <c r="TNB68" s="349"/>
      <c r="TNC68" s="349"/>
      <c r="TND68" s="349"/>
      <c r="TNE68" s="349"/>
      <c r="TNF68" s="349"/>
      <c r="TNG68" s="349"/>
      <c r="TNH68" s="349"/>
      <c r="TNI68" s="349"/>
      <c r="TNJ68" s="349"/>
      <c r="TNK68" s="349"/>
      <c r="TNL68" s="349"/>
      <c r="TNM68" s="349"/>
      <c r="TNN68" s="349"/>
      <c r="TNO68" s="349"/>
      <c r="TNP68" s="349"/>
      <c r="TNQ68" s="349"/>
      <c r="TNR68" s="349"/>
      <c r="TNS68" s="349"/>
      <c r="TNT68" s="349"/>
      <c r="TNU68" s="349"/>
      <c r="TNV68" s="349"/>
      <c r="TNW68" s="349"/>
      <c r="TNX68" s="349"/>
      <c r="TNY68" s="349"/>
      <c r="TNZ68" s="349"/>
      <c r="TOA68" s="349"/>
      <c r="TOB68" s="349"/>
      <c r="TOC68" s="349"/>
      <c r="TOD68" s="349"/>
      <c r="TOE68" s="349"/>
      <c r="TOF68" s="349"/>
      <c r="TOG68" s="349"/>
      <c r="TOH68" s="349"/>
      <c r="TOI68" s="349"/>
      <c r="TOJ68" s="349"/>
      <c r="TOK68" s="349"/>
      <c r="TOL68" s="349"/>
      <c r="TOM68" s="349"/>
      <c r="TON68" s="349"/>
      <c r="TOO68" s="349"/>
      <c r="TOP68" s="349"/>
      <c r="TOQ68" s="349"/>
      <c r="TOR68" s="349"/>
      <c r="TOS68" s="349"/>
      <c r="TOT68" s="349"/>
      <c r="TOU68" s="349"/>
      <c r="TOV68" s="349"/>
      <c r="TOW68" s="349"/>
      <c r="TOX68" s="349"/>
      <c r="TOY68" s="349"/>
      <c r="TOZ68" s="349"/>
      <c r="TPA68" s="349"/>
      <c r="TPB68" s="349"/>
      <c r="TPC68" s="349"/>
      <c r="TPD68" s="349"/>
      <c r="TPE68" s="349"/>
      <c r="TPF68" s="349"/>
      <c r="TPG68" s="349"/>
      <c r="TPH68" s="349"/>
      <c r="TPI68" s="349"/>
      <c r="TPJ68" s="349"/>
      <c r="TPK68" s="349"/>
      <c r="TPL68" s="349"/>
      <c r="TPM68" s="349"/>
      <c r="TPN68" s="349"/>
      <c r="TPO68" s="349"/>
      <c r="TPP68" s="349"/>
      <c r="TPQ68" s="349"/>
      <c r="TPR68" s="349"/>
      <c r="TPS68" s="349"/>
      <c r="TPT68" s="349"/>
      <c r="TPU68" s="349"/>
      <c r="TPV68" s="349"/>
      <c r="TPW68" s="349"/>
      <c r="TPX68" s="349"/>
      <c r="TPY68" s="349"/>
      <c r="TPZ68" s="349"/>
      <c r="TQA68" s="349"/>
      <c r="TQB68" s="349"/>
      <c r="TQC68" s="349"/>
      <c r="TQD68" s="349"/>
      <c r="TQE68" s="349"/>
      <c r="TQF68" s="349"/>
      <c r="TQG68" s="349"/>
      <c r="TQH68" s="349"/>
      <c r="TQI68" s="349"/>
      <c r="TQJ68" s="349"/>
      <c r="TQK68" s="349"/>
      <c r="TQL68" s="349"/>
      <c r="TQM68" s="349"/>
      <c r="TQN68" s="349"/>
      <c r="TQO68" s="349"/>
      <c r="TQP68" s="349"/>
      <c r="TQQ68" s="349"/>
      <c r="TQR68" s="349"/>
      <c r="TQS68" s="349"/>
      <c r="TQT68" s="349"/>
      <c r="TQU68" s="349"/>
      <c r="TQV68" s="349"/>
      <c r="TQW68" s="349"/>
      <c r="TQX68" s="349"/>
      <c r="TQY68" s="349"/>
      <c r="TQZ68" s="349"/>
      <c r="TRA68" s="349"/>
      <c r="TRB68" s="349"/>
      <c r="TRC68" s="349"/>
      <c r="TRD68" s="349"/>
      <c r="TRE68" s="349"/>
      <c r="TRF68" s="349"/>
      <c r="TRG68" s="349"/>
      <c r="TRH68" s="349"/>
      <c r="TRI68" s="349"/>
      <c r="TRJ68" s="349"/>
      <c r="TRK68" s="349"/>
      <c r="TRL68" s="349"/>
      <c r="TRM68" s="349"/>
      <c r="TRN68" s="349"/>
      <c r="TRO68" s="349"/>
      <c r="TRP68" s="349"/>
      <c r="TRQ68" s="349"/>
      <c r="TRR68" s="349"/>
      <c r="TRS68" s="349"/>
      <c r="TRT68" s="349"/>
      <c r="TRU68" s="349"/>
      <c r="TRV68" s="349"/>
      <c r="TRW68" s="349"/>
      <c r="TRX68" s="349"/>
      <c r="TRY68" s="349"/>
      <c r="TRZ68" s="349"/>
      <c r="TSA68" s="349"/>
      <c r="TSB68" s="349"/>
      <c r="TSC68" s="349"/>
      <c r="TSD68" s="349"/>
      <c r="TSE68" s="349"/>
      <c r="TSF68" s="349"/>
      <c r="TSG68" s="349"/>
      <c r="TSH68" s="349"/>
      <c r="TSI68" s="349"/>
      <c r="TSJ68" s="349"/>
      <c r="TSK68" s="349"/>
      <c r="TSL68" s="349"/>
      <c r="TSM68" s="349"/>
      <c r="TSN68" s="349"/>
      <c r="TSO68" s="349"/>
      <c r="TSP68" s="349"/>
      <c r="TSQ68" s="349"/>
      <c r="TSR68" s="349"/>
      <c r="TSS68" s="349"/>
      <c r="TST68" s="349"/>
      <c r="TSU68" s="349"/>
      <c r="TSV68" s="349"/>
      <c r="TSW68" s="349"/>
      <c r="TSX68" s="349"/>
      <c r="TSY68" s="349"/>
      <c r="TSZ68" s="349"/>
      <c r="TTA68" s="349"/>
      <c r="TTB68" s="349"/>
      <c r="TTC68" s="349"/>
      <c r="TTD68" s="349"/>
      <c r="TTE68" s="349"/>
      <c r="TTF68" s="349"/>
      <c r="TTG68" s="349"/>
      <c r="TTH68" s="349"/>
      <c r="TTI68" s="349"/>
      <c r="TTJ68" s="349"/>
      <c r="TTK68" s="349"/>
      <c r="TTL68" s="349"/>
      <c r="TTM68" s="349"/>
      <c r="TTN68" s="349"/>
      <c r="TTO68" s="349"/>
      <c r="TTP68" s="349"/>
      <c r="TTQ68" s="349"/>
      <c r="TTR68" s="349"/>
      <c r="TTS68" s="349"/>
      <c r="TTT68" s="349"/>
      <c r="TTU68" s="349"/>
      <c r="TTV68" s="349"/>
      <c r="TTW68" s="349"/>
      <c r="TTX68" s="349"/>
      <c r="TTY68" s="349"/>
      <c r="TTZ68" s="349"/>
      <c r="TUA68" s="349"/>
      <c r="TUB68" s="349"/>
      <c r="TUC68" s="349"/>
      <c r="TUD68" s="349"/>
      <c r="TUE68" s="349"/>
      <c r="TUF68" s="349"/>
      <c r="TUG68" s="349"/>
      <c r="TUH68" s="349"/>
      <c r="TUI68" s="349"/>
      <c r="TUJ68" s="349"/>
      <c r="TUK68" s="349"/>
      <c r="TUL68" s="349"/>
      <c r="TUM68" s="349"/>
      <c r="TUN68" s="349"/>
      <c r="TUO68" s="349"/>
      <c r="TUP68" s="349"/>
      <c r="TUQ68" s="349"/>
      <c r="TUR68" s="349"/>
      <c r="TUS68" s="349"/>
      <c r="TUT68" s="349"/>
      <c r="TUU68" s="349"/>
      <c r="TUV68" s="349"/>
      <c r="TUW68" s="349"/>
      <c r="TUX68" s="349"/>
      <c r="TUY68" s="349"/>
      <c r="TUZ68" s="349"/>
      <c r="TVA68" s="349"/>
      <c r="TVB68" s="349"/>
      <c r="TVC68" s="349"/>
      <c r="TVD68" s="349"/>
      <c r="TVE68" s="349"/>
      <c r="TVF68" s="349"/>
      <c r="TVG68" s="349"/>
      <c r="TVH68" s="349"/>
      <c r="TVI68" s="349"/>
      <c r="TVJ68" s="349"/>
      <c r="TVK68" s="349"/>
      <c r="TVL68" s="349"/>
      <c r="TVM68" s="349"/>
      <c r="TVN68" s="349"/>
      <c r="TVO68" s="349"/>
      <c r="TVP68" s="349"/>
      <c r="TVQ68" s="349"/>
      <c r="TVR68" s="349"/>
      <c r="TVS68" s="349"/>
      <c r="TVT68" s="349"/>
      <c r="TVU68" s="349"/>
      <c r="TVV68" s="349"/>
      <c r="TVW68" s="349"/>
      <c r="TVX68" s="349"/>
      <c r="TVY68" s="349"/>
      <c r="TVZ68" s="349"/>
      <c r="TWA68" s="349"/>
      <c r="TWB68" s="349"/>
      <c r="TWC68" s="349"/>
      <c r="TWD68" s="349"/>
      <c r="TWE68" s="349"/>
      <c r="TWF68" s="349"/>
      <c r="TWG68" s="349"/>
      <c r="TWH68" s="349"/>
      <c r="TWI68" s="349"/>
      <c r="TWJ68" s="349"/>
      <c r="TWK68" s="349"/>
      <c r="TWL68" s="349"/>
      <c r="TWM68" s="349"/>
      <c r="TWN68" s="349"/>
      <c r="TWO68" s="349"/>
      <c r="TWP68" s="349"/>
      <c r="TWQ68" s="349"/>
      <c r="TWR68" s="349"/>
      <c r="TWS68" s="349"/>
      <c r="TWT68" s="349"/>
      <c r="TWU68" s="349"/>
      <c r="TWV68" s="349"/>
      <c r="TWW68" s="349"/>
      <c r="TWX68" s="349"/>
      <c r="TWY68" s="349"/>
      <c r="TWZ68" s="349"/>
      <c r="TXA68" s="349"/>
      <c r="TXB68" s="349"/>
      <c r="TXC68" s="349"/>
      <c r="TXD68" s="349"/>
      <c r="TXE68" s="349"/>
      <c r="TXF68" s="349"/>
      <c r="TXG68" s="349"/>
      <c r="TXH68" s="349"/>
      <c r="TXI68" s="349"/>
      <c r="TXJ68" s="349"/>
      <c r="TXK68" s="349"/>
      <c r="TXL68" s="349"/>
      <c r="TXM68" s="349"/>
      <c r="TXN68" s="349"/>
      <c r="TXO68" s="349"/>
      <c r="TXP68" s="349"/>
      <c r="TXQ68" s="349"/>
      <c r="TXR68" s="349"/>
      <c r="TXS68" s="349"/>
      <c r="TXT68" s="349"/>
      <c r="TXU68" s="349"/>
      <c r="TXV68" s="349"/>
      <c r="TXW68" s="349"/>
      <c r="TXX68" s="349"/>
      <c r="TXY68" s="349"/>
      <c r="TXZ68" s="349"/>
      <c r="TYA68" s="349"/>
      <c r="TYB68" s="349"/>
      <c r="TYC68" s="349"/>
      <c r="TYD68" s="349"/>
      <c r="TYE68" s="349"/>
      <c r="TYF68" s="349"/>
      <c r="TYG68" s="349"/>
      <c r="TYH68" s="349"/>
      <c r="TYI68" s="349"/>
      <c r="TYJ68" s="349"/>
      <c r="TYK68" s="349"/>
      <c r="TYL68" s="349"/>
      <c r="TYM68" s="349"/>
      <c r="TYN68" s="349"/>
      <c r="TYO68" s="349"/>
      <c r="TYP68" s="349"/>
      <c r="TYQ68" s="349"/>
      <c r="TYR68" s="349"/>
      <c r="TYS68" s="349"/>
      <c r="TYT68" s="349"/>
      <c r="TYU68" s="349"/>
      <c r="TYV68" s="349"/>
      <c r="TYW68" s="349"/>
      <c r="TYX68" s="349"/>
      <c r="TYY68" s="349"/>
      <c r="TYZ68" s="349"/>
      <c r="TZA68" s="349"/>
      <c r="TZB68" s="349"/>
      <c r="TZC68" s="349"/>
      <c r="TZD68" s="349"/>
      <c r="TZE68" s="349"/>
      <c r="TZF68" s="349"/>
      <c r="TZG68" s="349"/>
      <c r="TZH68" s="349"/>
      <c r="TZI68" s="349"/>
      <c r="TZJ68" s="349"/>
      <c r="TZK68" s="349"/>
      <c r="TZL68" s="349"/>
      <c r="TZM68" s="349"/>
      <c r="TZN68" s="349"/>
      <c r="TZO68" s="349"/>
      <c r="TZP68" s="349"/>
      <c r="TZQ68" s="349"/>
      <c r="TZR68" s="349"/>
      <c r="TZS68" s="349"/>
      <c r="TZT68" s="349"/>
      <c r="TZU68" s="349"/>
      <c r="TZV68" s="349"/>
      <c r="TZW68" s="349"/>
      <c r="TZX68" s="349"/>
      <c r="TZY68" s="349"/>
      <c r="TZZ68" s="349"/>
      <c r="UAA68" s="349"/>
      <c r="UAB68" s="349"/>
      <c r="UAC68" s="349"/>
      <c r="UAD68" s="349"/>
      <c r="UAE68" s="349"/>
      <c r="UAF68" s="349"/>
      <c r="UAG68" s="349"/>
      <c r="UAH68" s="349"/>
      <c r="UAI68" s="349"/>
      <c r="UAJ68" s="349"/>
      <c r="UAK68" s="349"/>
      <c r="UAL68" s="349"/>
      <c r="UAM68" s="349"/>
      <c r="UAN68" s="349"/>
      <c r="UAO68" s="349"/>
      <c r="UAP68" s="349"/>
      <c r="UAQ68" s="349"/>
      <c r="UAR68" s="349"/>
      <c r="UAS68" s="349"/>
      <c r="UAT68" s="349"/>
      <c r="UAU68" s="349"/>
      <c r="UAV68" s="349"/>
      <c r="UAW68" s="349"/>
      <c r="UAX68" s="349"/>
      <c r="UAY68" s="349"/>
      <c r="UAZ68" s="349"/>
      <c r="UBA68" s="349"/>
      <c r="UBB68" s="349"/>
      <c r="UBC68" s="349"/>
      <c r="UBD68" s="349"/>
      <c r="UBE68" s="349"/>
      <c r="UBF68" s="349"/>
      <c r="UBG68" s="349"/>
      <c r="UBH68" s="349"/>
      <c r="UBI68" s="349"/>
      <c r="UBJ68" s="349"/>
      <c r="UBK68" s="349"/>
      <c r="UBL68" s="349"/>
      <c r="UBM68" s="349"/>
      <c r="UBN68" s="349"/>
      <c r="UBO68" s="349"/>
      <c r="UBP68" s="349"/>
      <c r="UBQ68" s="349"/>
      <c r="UBR68" s="349"/>
      <c r="UBS68" s="349"/>
      <c r="UBT68" s="349"/>
      <c r="UBU68" s="349"/>
      <c r="UBV68" s="349"/>
      <c r="UBW68" s="349"/>
      <c r="UBX68" s="349"/>
      <c r="UBY68" s="349"/>
      <c r="UBZ68" s="349"/>
      <c r="UCA68" s="349"/>
      <c r="UCB68" s="349"/>
      <c r="UCC68" s="349"/>
      <c r="UCD68" s="349"/>
      <c r="UCE68" s="349"/>
      <c r="UCF68" s="349"/>
      <c r="UCG68" s="349"/>
      <c r="UCH68" s="349"/>
      <c r="UCI68" s="349"/>
      <c r="UCJ68" s="349"/>
      <c r="UCK68" s="349"/>
      <c r="UCL68" s="349"/>
      <c r="UCM68" s="349"/>
      <c r="UCN68" s="349"/>
      <c r="UCO68" s="349"/>
      <c r="UCP68" s="349"/>
      <c r="UCQ68" s="349"/>
      <c r="UCR68" s="349"/>
      <c r="UCS68" s="349"/>
      <c r="UCT68" s="349"/>
      <c r="UCU68" s="349"/>
      <c r="UCV68" s="349"/>
      <c r="UCW68" s="349"/>
      <c r="UCX68" s="349"/>
      <c r="UCY68" s="349"/>
      <c r="UCZ68" s="349"/>
      <c r="UDA68" s="349"/>
      <c r="UDB68" s="349"/>
      <c r="UDC68" s="349"/>
      <c r="UDD68" s="349"/>
      <c r="UDE68" s="349"/>
      <c r="UDF68" s="349"/>
      <c r="UDG68" s="349"/>
      <c r="UDH68" s="349"/>
      <c r="UDI68" s="349"/>
      <c r="UDJ68" s="349"/>
      <c r="UDK68" s="349"/>
      <c r="UDL68" s="349"/>
      <c r="UDM68" s="349"/>
      <c r="UDN68" s="349"/>
      <c r="UDO68" s="349"/>
      <c r="UDP68" s="349"/>
      <c r="UDQ68" s="349"/>
      <c r="UDR68" s="349"/>
      <c r="UDS68" s="349"/>
      <c r="UDT68" s="349"/>
      <c r="UDU68" s="349"/>
      <c r="UDV68" s="349"/>
      <c r="UDW68" s="349"/>
      <c r="UDX68" s="349"/>
      <c r="UDY68" s="349"/>
      <c r="UDZ68" s="349"/>
      <c r="UEA68" s="349"/>
      <c r="UEB68" s="349"/>
      <c r="UEC68" s="349"/>
      <c r="UED68" s="349"/>
      <c r="UEE68" s="349"/>
      <c r="UEF68" s="349"/>
      <c r="UEG68" s="349"/>
      <c r="UEH68" s="349"/>
      <c r="UEI68" s="349"/>
      <c r="UEJ68" s="349"/>
      <c r="UEK68" s="349"/>
      <c r="UEL68" s="349"/>
      <c r="UEM68" s="349"/>
      <c r="UEN68" s="349"/>
      <c r="UEO68" s="349"/>
      <c r="UEP68" s="349"/>
      <c r="UEQ68" s="349"/>
      <c r="UER68" s="349"/>
      <c r="UES68" s="349"/>
      <c r="UET68" s="349"/>
      <c r="UEU68" s="349"/>
      <c r="UEV68" s="349"/>
      <c r="UEW68" s="349"/>
      <c r="UEX68" s="349"/>
      <c r="UEY68" s="349"/>
      <c r="UEZ68" s="349"/>
      <c r="UFA68" s="349"/>
      <c r="UFB68" s="349"/>
      <c r="UFC68" s="349"/>
      <c r="UFD68" s="349"/>
      <c r="UFE68" s="349"/>
      <c r="UFF68" s="349"/>
      <c r="UFG68" s="349"/>
      <c r="UFH68" s="349"/>
      <c r="UFI68" s="349"/>
      <c r="UFJ68" s="349"/>
      <c r="UFK68" s="349"/>
      <c r="UFL68" s="349"/>
      <c r="UFM68" s="349"/>
      <c r="UFN68" s="349"/>
      <c r="UFO68" s="349"/>
      <c r="UFP68" s="349"/>
      <c r="UFQ68" s="349"/>
      <c r="UFR68" s="349"/>
      <c r="UFS68" s="349"/>
      <c r="UFT68" s="349"/>
      <c r="UFU68" s="349"/>
      <c r="UFV68" s="349"/>
      <c r="UFW68" s="349"/>
      <c r="UFX68" s="349"/>
      <c r="UFY68" s="349"/>
      <c r="UFZ68" s="349"/>
      <c r="UGA68" s="349"/>
      <c r="UGB68" s="349"/>
      <c r="UGC68" s="349"/>
      <c r="UGD68" s="349"/>
      <c r="UGE68" s="349"/>
      <c r="UGF68" s="349"/>
      <c r="UGG68" s="349"/>
      <c r="UGH68" s="349"/>
      <c r="UGI68" s="349"/>
      <c r="UGJ68" s="349"/>
      <c r="UGK68" s="349"/>
      <c r="UGL68" s="349"/>
      <c r="UGM68" s="349"/>
      <c r="UGN68" s="349"/>
      <c r="UGO68" s="349"/>
      <c r="UGP68" s="349"/>
      <c r="UGQ68" s="349"/>
      <c r="UGR68" s="349"/>
      <c r="UGS68" s="349"/>
      <c r="UGT68" s="349"/>
      <c r="UGU68" s="349"/>
      <c r="UGV68" s="349"/>
      <c r="UGW68" s="349"/>
      <c r="UGX68" s="349"/>
      <c r="UGY68" s="349"/>
      <c r="UGZ68" s="349"/>
      <c r="UHA68" s="349"/>
      <c r="UHB68" s="349"/>
      <c r="UHC68" s="349"/>
      <c r="UHD68" s="349"/>
      <c r="UHE68" s="349"/>
      <c r="UHF68" s="349"/>
      <c r="UHG68" s="349"/>
      <c r="UHH68" s="349"/>
      <c r="UHI68" s="349"/>
      <c r="UHJ68" s="349"/>
      <c r="UHK68" s="349"/>
      <c r="UHL68" s="349"/>
      <c r="UHM68" s="349"/>
      <c r="UHN68" s="349"/>
      <c r="UHO68" s="349"/>
      <c r="UHP68" s="349"/>
      <c r="UHQ68" s="349"/>
      <c r="UHR68" s="349"/>
      <c r="UHS68" s="349"/>
      <c r="UHT68" s="349"/>
      <c r="UHU68" s="349"/>
      <c r="UHV68" s="349"/>
      <c r="UHW68" s="349"/>
      <c r="UHX68" s="349"/>
      <c r="UHY68" s="349"/>
      <c r="UHZ68" s="349"/>
      <c r="UIA68" s="349"/>
      <c r="UIB68" s="349"/>
      <c r="UIC68" s="349"/>
      <c r="UID68" s="349"/>
      <c r="UIE68" s="349"/>
      <c r="UIF68" s="349"/>
      <c r="UIG68" s="349"/>
      <c r="UIH68" s="349"/>
      <c r="UII68" s="349"/>
      <c r="UIJ68" s="349"/>
      <c r="UIK68" s="349"/>
      <c r="UIL68" s="349"/>
      <c r="UIM68" s="349"/>
      <c r="UIN68" s="349"/>
      <c r="UIO68" s="349"/>
      <c r="UIP68" s="349"/>
      <c r="UIQ68" s="349"/>
      <c r="UIR68" s="349"/>
      <c r="UIS68" s="349"/>
      <c r="UIT68" s="349"/>
      <c r="UIU68" s="349"/>
      <c r="UIV68" s="349"/>
      <c r="UIW68" s="349"/>
      <c r="UIX68" s="349"/>
      <c r="UIY68" s="349"/>
      <c r="UIZ68" s="349"/>
      <c r="UJA68" s="349"/>
      <c r="UJB68" s="349"/>
      <c r="UJC68" s="349"/>
      <c r="UJD68" s="349"/>
      <c r="UJE68" s="349"/>
      <c r="UJF68" s="349"/>
      <c r="UJG68" s="349"/>
      <c r="UJH68" s="349"/>
      <c r="UJI68" s="349"/>
      <c r="UJJ68" s="349"/>
      <c r="UJK68" s="349"/>
      <c r="UJL68" s="349"/>
      <c r="UJM68" s="349"/>
      <c r="UJN68" s="349"/>
      <c r="UJO68" s="349"/>
      <c r="UJP68" s="349"/>
      <c r="UJQ68" s="349"/>
      <c r="UJR68" s="349"/>
      <c r="UJS68" s="349"/>
      <c r="UJT68" s="349"/>
      <c r="UJU68" s="349"/>
      <c r="UJV68" s="349"/>
      <c r="UJW68" s="349"/>
      <c r="UJX68" s="349"/>
      <c r="UJY68" s="349"/>
      <c r="UJZ68" s="349"/>
      <c r="UKA68" s="349"/>
      <c r="UKB68" s="349"/>
      <c r="UKC68" s="349"/>
      <c r="UKD68" s="349"/>
      <c r="UKE68" s="349"/>
      <c r="UKF68" s="349"/>
      <c r="UKG68" s="349"/>
      <c r="UKH68" s="349"/>
      <c r="UKI68" s="349"/>
      <c r="UKJ68" s="349"/>
      <c r="UKK68" s="349"/>
      <c r="UKL68" s="349"/>
      <c r="UKM68" s="349"/>
      <c r="UKN68" s="349"/>
      <c r="UKO68" s="349"/>
      <c r="UKP68" s="349"/>
      <c r="UKQ68" s="349"/>
      <c r="UKR68" s="349"/>
      <c r="UKS68" s="349"/>
      <c r="UKT68" s="349"/>
      <c r="UKU68" s="349"/>
      <c r="UKV68" s="349"/>
      <c r="UKW68" s="349"/>
      <c r="UKX68" s="349"/>
      <c r="UKY68" s="349"/>
      <c r="UKZ68" s="349"/>
      <c r="ULA68" s="349"/>
      <c r="ULB68" s="349"/>
      <c r="ULC68" s="349"/>
      <c r="ULD68" s="349"/>
      <c r="ULE68" s="349"/>
      <c r="ULF68" s="349"/>
      <c r="ULG68" s="349"/>
      <c r="ULH68" s="349"/>
      <c r="ULI68" s="349"/>
      <c r="ULJ68" s="349"/>
      <c r="ULK68" s="349"/>
      <c r="ULL68" s="349"/>
      <c r="ULM68" s="349"/>
      <c r="ULN68" s="349"/>
      <c r="ULO68" s="349"/>
      <c r="ULP68" s="349"/>
      <c r="ULQ68" s="349"/>
      <c r="ULR68" s="349"/>
      <c r="ULS68" s="349"/>
      <c r="ULT68" s="349"/>
      <c r="ULU68" s="349"/>
      <c r="ULV68" s="349"/>
      <c r="ULW68" s="349"/>
      <c r="ULX68" s="349"/>
      <c r="ULY68" s="349"/>
      <c r="ULZ68" s="349"/>
      <c r="UMA68" s="349"/>
      <c r="UMB68" s="349"/>
      <c r="UMC68" s="349"/>
      <c r="UMD68" s="349"/>
      <c r="UME68" s="349"/>
      <c r="UMF68" s="349"/>
      <c r="UMG68" s="349"/>
      <c r="UMH68" s="349"/>
      <c r="UMI68" s="349"/>
      <c r="UMJ68" s="349"/>
      <c r="UMK68" s="349"/>
      <c r="UML68" s="349"/>
      <c r="UMM68" s="349"/>
      <c r="UMN68" s="349"/>
      <c r="UMO68" s="349"/>
      <c r="UMP68" s="349"/>
      <c r="UMQ68" s="349"/>
      <c r="UMR68" s="349"/>
      <c r="UMS68" s="349"/>
      <c r="UMT68" s="349"/>
      <c r="UMU68" s="349"/>
      <c r="UMV68" s="349"/>
      <c r="UMW68" s="349"/>
      <c r="UMX68" s="349"/>
      <c r="UMY68" s="349"/>
      <c r="UMZ68" s="349"/>
      <c r="UNA68" s="349"/>
      <c r="UNB68" s="349"/>
      <c r="UNC68" s="349"/>
      <c r="UND68" s="349"/>
      <c r="UNE68" s="349"/>
      <c r="UNF68" s="349"/>
      <c r="UNG68" s="349"/>
      <c r="UNH68" s="349"/>
      <c r="UNI68" s="349"/>
      <c r="UNJ68" s="349"/>
      <c r="UNK68" s="349"/>
      <c r="UNL68" s="349"/>
      <c r="UNM68" s="349"/>
      <c r="UNN68" s="349"/>
      <c r="UNO68" s="349"/>
      <c r="UNP68" s="349"/>
      <c r="UNQ68" s="349"/>
      <c r="UNR68" s="349"/>
      <c r="UNS68" s="349"/>
      <c r="UNT68" s="349"/>
      <c r="UNU68" s="349"/>
      <c r="UNV68" s="349"/>
      <c r="UNW68" s="349"/>
      <c r="UNX68" s="349"/>
      <c r="UNY68" s="349"/>
      <c r="UNZ68" s="349"/>
      <c r="UOA68" s="349"/>
      <c r="UOB68" s="349"/>
      <c r="UOC68" s="349"/>
      <c r="UOD68" s="349"/>
      <c r="UOE68" s="349"/>
      <c r="UOF68" s="349"/>
      <c r="UOG68" s="349"/>
      <c r="UOH68" s="349"/>
      <c r="UOI68" s="349"/>
      <c r="UOJ68" s="349"/>
      <c r="UOK68" s="349"/>
      <c r="UOL68" s="349"/>
      <c r="UOM68" s="349"/>
      <c r="UON68" s="349"/>
      <c r="UOO68" s="349"/>
      <c r="UOP68" s="349"/>
      <c r="UOQ68" s="349"/>
      <c r="UOR68" s="349"/>
      <c r="UOS68" s="349"/>
      <c r="UOT68" s="349"/>
      <c r="UOU68" s="349"/>
      <c r="UOV68" s="349"/>
      <c r="UOW68" s="349"/>
      <c r="UOX68" s="349"/>
      <c r="UOY68" s="349"/>
      <c r="UOZ68" s="349"/>
      <c r="UPA68" s="349"/>
      <c r="UPB68" s="349"/>
      <c r="UPC68" s="349"/>
      <c r="UPD68" s="349"/>
      <c r="UPE68" s="349"/>
      <c r="UPF68" s="349"/>
      <c r="UPG68" s="349"/>
      <c r="UPH68" s="349"/>
      <c r="UPI68" s="349"/>
      <c r="UPJ68" s="349"/>
      <c r="UPK68" s="349"/>
      <c r="UPL68" s="349"/>
      <c r="UPM68" s="349"/>
      <c r="UPN68" s="349"/>
      <c r="UPO68" s="349"/>
      <c r="UPP68" s="349"/>
      <c r="UPQ68" s="349"/>
      <c r="UPR68" s="349"/>
      <c r="UPS68" s="349"/>
      <c r="UPT68" s="349"/>
      <c r="UPU68" s="349"/>
      <c r="UPV68" s="349"/>
      <c r="UPW68" s="349"/>
      <c r="UPX68" s="349"/>
      <c r="UPY68" s="349"/>
      <c r="UPZ68" s="349"/>
      <c r="UQA68" s="349"/>
      <c r="UQB68" s="349"/>
      <c r="UQC68" s="349"/>
      <c r="UQD68" s="349"/>
      <c r="UQE68" s="349"/>
      <c r="UQF68" s="349"/>
      <c r="UQG68" s="349"/>
      <c r="UQH68" s="349"/>
      <c r="UQI68" s="349"/>
      <c r="UQJ68" s="349"/>
      <c r="UQK68" s="349"/>
      <c r="UQL68" s="349"/>
      <c r="UQM68" s="349"/>
      <c r="UQN68" s="349"/>
      <c r="UQO68" s="349"/>
      <c r="UQP68" s="349"/>
      <c r="UQQ68" s="349"/>
      <c r="UQR68" s="349"/>
      <c r="UQS68" s="349"/>
      <c r="UQT68" s="349"/>
      <c r="UQU68" s="349"/>
      <c r="UQV68" s="349"/>
      <c r="UQW68" s="349"/>
      <c r="UQX68" s="349"/>
      <c r="UQY68" s="349"/>
      <c r="UQZ68" s="349"/>
      <c r="URA68" s="349"/>
      <c r="URB68" s="349"/>
      <c r="URC68" s="349"/>
      <c r="URD68" s="349"/>
      <c r="URE68" s="349"/>
      <c r="URF68" s="349"/>
      <c r="URG68" s="349"/>
      <c r="URH68" s="349"/>
      <c r="URI68" s="349"/>
      <c r="URJ68" s="349"/>
      <c r="URK68" s="349"/>
      <c r="URL68" s="349"/>
      <c r="URM68" s="349"/>
      <c r="URN68" s="349"/>
      <c r="URO68" s="349"/>
      <c r="URP68" s="349"/>
      <c r="URQ68" s="349"/>
      <c r="URR68" s="349"/>
      <c r="URS68" s="349"/>
      <c r="URT68" s="349"/>
      <c r="URU68" s="349"/>
      <c r="URV68" s="349"/>
      <c r="URW68" s="349"/>
      <c r="URX68" s="349"/>
      <c r="URY68" s="349"/>
      <c r="URZ68" s="349"/>
      <c r="USA68" s="349"/>
      <c r="USB68" s="349"/>
      <c r="USC68" s="349"/>
      <c r="USD68" s="349"/>
      <c r="USE68" s="349"/>
      <c r="USF68" s="349"/>
      <c r="USG68" s="349"/>
      <c r="USH68" s="349"/>
      <c r="USI68" s="349"/>
      <c r="USJ68" s="349"/>
      <c r="USK68" s="349"/>
      <c r="USL68" s="349"/>
      <c r="USM68" s="349"/>
      <c r="USN68" s="349"/>
      <c r="USO68" s="349"/>
      <c r="USP68" s="349"/>
      <c r="USQ68" s="349"/>
      <c r="USR68" s="349"/>
      <c r="USS68" s="349"/>
      <c r="UST68" s="349"/>
      <c r="USU68" s="349"/>
      <c r="USV68" s="349"/>
      <c r="USW68" s="349"/>
      <c r="USX68" s="349"/>
      <c r="USY68" s="349"/>
      <c r="USZ68" s="349"/>
      <c r="UTA68" s="349"/>
      <c r="UTB68" s="349"/>
      <c r="UTC68" s="349"/>
      <c r="UTD68" s="349"/>
      <c r="UTE68" s="349"/>
      <c r="UTF68" s="349"/>
      <c r="UTG68" s="349"/>
      <c r="UTH68" s="349"/>
      <c r="UTI68" s="349"/>
      <c r="UTJ68" s="349"/>
      <c r="UTK68" s="349"/>
      <c r="UTL68" s="349"/>
      <c r="UTM68" s="349"/>
      <c r="UTN68" s="349"/>
      <c r="UTO68" s="349"/>
      <c r="UTP68" s="349"/>
      <c r="UTQ68" s="349"/>
      <c r="UTR68" s="349"/>
      <c r="UTS68" s="349"/>
      <c r="UTT68" s="349"/>
      <c r="UTU68" s="349"/>
      <c r="UTV68" s="349"/>
      <c r="UTW68" s="349"/>
      <c r="UTX68" s="349"/>
      <c r="UTY68" s="349"/>
      <c r="UTZ68" s="349"/>
      <c r="UUA68" s="349"/>
      <c r="UUB68" s="349"/>
      <c r="UUC68" s="349"/>
      <c r="UUD68" s="349"/>
      <c r="UUE68" s="349"/>
      <c r="UUF68" s="349"/>
      <c r="UUG68" s="349"/>
      <c r="UUH68" s="349"/>
      <c r="UUI68" s="349"/>
      <c r="UUJ68" s="349"/>
      <c r="UUK68" s="349"/>
      <c r="UUL68" s="349"/>
      <c r="UUM68" s="349"/>
      <c r="UUN68" s="349"/>
      <c r="UUO68" s="349"/>
      <c r="UUP68" s="349"/>
      <c r="UUQ68" s="349"/>
      <c r="UUR68" s="349"/>
      <c r="UUS68" s="349"/>
      <c r="UUT68" s="349"/>
      <c r="UUU68" s="349"/>
      <c r="UUV68" s="349"/>
      <c r="UUW68" s="349"/>
      <c r="UUX68" s="349"/>
      <c r="UUY68" s="349"/>
      <c r="UUZ68" s="349"/>
      <c r="UVA68" s="349"/>
      <c r="UVB68" s="349"/>
      <c r="UVC68" s="349"/>
      <c r="UVD68" s="349"/>
      <c r="UVE68" s="349"/>
      <c r="UVF68" s="349"/>
      <c r="UVG68" s="349"/>
      <c r="UVH68" s="349"/>
      <c r="UVI68" s="349"/>
      <c r="UVJ68" s="349"/>
      <c r="UVK68" s="349"/>
      <c r="UVL68" s="349"/>
      <c r="UVM68" s="349"/>
      <c r="UVN68" s="349"/>
      <c r="UVO68" s="349"/>
      <c r="UVP68" s="349"/>
      <c r="UVQ68" s="349"/>
      <c r="UVR68" s="349"/>
      <c r="UVS68" s="349"/>
      <c r="UVT68" s="349"/>
      <c r="UVU68" s="349"/>
      <c r="UVV68" s="349"/>
      <c r="UVW68" s="349"/>
      <c r="UVX68" s="349"/>
      <c r="UVY68" s="349"/>
      <c r="UVZ68" s="349"/>
      <c r="UWA68" s="349"/>
      <c r="UWB68" s="349"/>
      <c r="UWC68" s="349"/>
      <c r="UWD68" s="349"/>
      <c r="UWE68" s="349"/>
      <c r="UWF68" s="349"/>
      <c r="UWG68" s="349"/>
      <c r="UWH68" s="349"/>
      <c r="UWI68" s="349"/>
      <c r="UWJ68" s="349"/>
      <c r="UWK68" s="349"/>
      <c r="UWL68" s="349"/>
      <c r="UWM68" s="349"/>
      <c r="UWN68" s="349"/>
      <c r="UWO68" s="349"/>
      <c r="UWP68" s="349"/>
      <c r="UWQ68" s="349"/>
      <c r="UWR68" s="349"/>
      <c r="UWS68" s="349"/>
      <c r="UWT68" s="349"/>
      <c r="UWU68" s="349"/>
      <c r="UWV68" s="349"/>
      <c r="UWW68" s="349"/>
      <c r="UWX68" s="349"/>
      <c r="UWY68" s="349"/>
      <c r="UWZ68" s="349"/>
      <c r="UXA68" s="349"/>
      <c r="UXB68" s="349"/>
      <c r="UXC68" s="349"/>
      <c r="UXD68" s="349"/>
      <c r="UXE68" s="349"/>
      <c r="UXF68" s="349"/>
      <c r="UXG68" s="349"/>
      <c r="UXH68" s="349"/>
      <c r="UXI68" s="349"/>
      <c r="UXJ68" s="349"/>
      <c r="UXK68" s="349"/>
      <c r="UXL68" s="349"/>
      <c r="UXM68" s="349"/>
      <c r="UXN68" s="349"/>
      <c r="UXO68" s="349"/>
      <c r="UXP68" s="349"/>
      <c r="UXQ68" s="349"/>
      <c r="UXR68" s="349"/>
      <c r="UXS68" s="349"/>
      <c r="UXT68" s="349"/>
      <c r="UXU68" s="349"/>
      <c r="UXV68" s="349"/>
      <c r="UXW68" s="349"/>
      <c r="UXX68" s="349"/>
      <c r="UXY68" s="349"/>
      <c r="UXZ68" s="349"/>
      <c r="UYA68" s="349"/>
      <c r="UYB68" s="349"/>
      <c r="UYC68" s="349"/>
      <c r="UYD68" s="349"/>
      <c r="UYE68" s="349"/>
      <c r="UYF68" s="349"/>
      <c r="UYG68" s="349"/>
      <c r="UYH68" s="349"/>
      <c r="UYI68" s="349"/>
      <c r="UYJ68" s="349"/>
      <c r="UYK68" s="349"/>
      <c r="UYL68" s="349"/>
      <c r="UYM68" s="349"/>
      <c r="UYN68" s="349"/>
      <c r="UYO68" s="349"/>
      <c r="UYP68" s="349"/>
      <c r="UYQ68" s="349"/>
      <c r="UYR68" s="349"/>
      <c r="UYS68" s="349"/>
      <c r="UYT68" s="349"/>
      <c r="UYU68" s="349"/>
      <c r="UYV68" s="349"/>
      <c r="UYW68" s="349"/>
      <c r="UYX68" s="349"/>
      <c r="UYY68" s="349"/>
      <c r="UYZ68" s="349"/>
      <c r="UZA68" s="349"/>
      <c r="UZB68" s="349"/>
      <c r="UZC68" s="349"/>
      <c r="UZD68" s="349"/>
      <c r="UZE68" s="349"/>
      <c r="UZF68" s="349"/>
      <c r="UZG68" s="349"/>
      <c r="UZH68" s="349"/>
      <c r="UZI68" s="349"/>
      <c r="UZJ68" s="349"/>
      <c r="UZK68" s="349"/>
      <c r="UZL68" s="349"/>
      <c r="UZM68" s="349"/>
      <c r="UZN68" s="349"/>
      <c r="UZO68" s="349"/>
      <c r="UZP68" s="349"/>
      <c r="UZQ68" s="349"/>
      <c r="UZR68" s="349"/>
      <c r="UZS68" s="349"/>
      <c r="UZT68" s="349"/>
      <c r="UZU68" s="349"/>
      <c r="UZV68" s="349"/>
      <c r="UZW68" s="349"/>
      <c r="UZX68" s="349"/>
      <c r="UZY68" s="349"/>
      <c r="UZZ68" s="349"/>
      <c r="VAA68" s="349"/>
      <c r="VAB68" s="349"/>
      <c r="VAC68" s="349"/>
      <c r="VAD68" s="349"/>
      <c r="VAE68" s="349"/>
      <c r="VAF68" s="349"/>
      <c r="VAG68" s="349"/>
      <c r="VAH68" s="349"/>
      <c r="VAI68" s="349"/>
      <c r="VAJ68" s="349"/>
      <c r="VAK68" s="349"/>
      <c r="VAL68" s="349"/>
      <c r="VAM68" s="349"/>
      <c r="VAN68" s="349"/>
      <c r="VAO68" s="349"/>
      <c r="VAP68" s="349"/>
      <c r="VAQ68" s="349"/>
      <c r="VAR68" s="349"/>
      <c r="VAS68" s="349"/>
      <c r="VAT68" s="349"/>
      <c r="VAU68" s="349"/>
      <c r="VAV68" s="349"/>
      <c r="VAW68" s="349"/>
      <c r="VAX68" s="349"/>
      <c r="VAY68" s="349"/>
      <c r="VAZ68" s="349"/>
      <c r="VBA68" s="349"/>
      <c r="VBB68" s="349"/>
      <c r="VBC68" s="349"/>
      <c r="VBD68" s="349"/>
      <c r="VBE68" s="349"/>
      <c r="VBF68" s="349"/>
      <c r="VBG68" s="349"/>
      <c r="VBH68" s="349"/>
      <c r="VBI68" s="349"/>
      <c r="VBJ68" s="349"/>
      <c r="VBK68" s="349"/>
      <c r="VBL68" s="349"/>
      <c r="VBM68" s="349"/>
      <c r="VBN68" s="349"/>
      <c r="VBO68" s="349"/>
      <c r="VBP68" s="349"/>
      <c r="VBQ68" s="349"/>
      <c r="VBR68" s="349"/>
      <c r="VBS68" s="349"/>
      <c r="VBT68" s="349"/>
      <c r="VBU68" s="349"/>
      <c r="VBV68" s="349"/>
      <c r="VBW68" s="349"/>
      <c r="VBX68" s="349"/>
      <c r="VBY68" s="349"/>
      <c r="VBZ68" s="349"/>
      <c r="VCA68" s="349"/>
      <c r="VCB68" s="349"/>
      <c r="VCC68" s="349"/>
      <c r="VCD68" s="349"/>
      <c r="VCE68" s="349"/>
      <c r="VCF68" s="349"/>
      <c r="VCG68" s="349"/>
      <c r="VCH68" s="349"/>
      <c r="VCI68" s="349"/>
      <c r="VCJ68" s="349"/>
      <c r="VCK68" s="349"/>
      <c r="VCL68" s="349"/>
      <c r="VCM68" s="349"/>
      <c r="VCN68" s="349"/>
      <c r="VCO68" s="349"/>
      <c r="VCP68" s="349"/>
      <c r="VCQ68" s="349"/>
      <c r="VCR68" s="349"/>
      <c r="VCS68" s="349"/>
      <c r="VCT68" s="349"/>
      <c r="VCU68" s="349"/>
      <c r="VCV68" s="349"/>
      <c r="VCW68" s="349"/>
      <c r="VCX68" s="349"/>
      <c r="VCY68" s="349"/>
      <c r="VCZ68" s="349"/>
      <c r="VDA68" s="349"/>
      <c r="VDB68" s="349"/>
      <c r="VDC68" s="349"/>
      <c r="VDD68" s="349"/>
      <c r="VDE68" s="349"/>
      <c r="VDF68" s="349"/>
      <c r="VDG68" s="349"/>
      <c r="VDH68" s="349"/>
      <c r="VDI68" s="349"/>
      <c r="VDJ68" s="349"/>
      <c r="VDK68" s="349"/>
      <c r="VDL68" s="349"/>
      <c r="VDM68" s="349"/>
      <c r="VDN68" s="349"/>
      <c r="VDO68" s="349"/>
      <c r="VDP68" s="349"/>
      <c r="VDQ68" s="349"/>
      <c r="VDR68" s="349"/>
      <c r="VDS68" s="349"/>
      <c r="VDT68" s="349"/>
      <c r="VDU68" s="349"/>
      <c r="VDV68" s="349"/>
      <c r="VDW68" s="349"/>
      <c r="VDX68" s="349"/>
      <c r="VDY68" s="349"/>
      <c r="VDZ68" s="349"/>
      <c r="VEA68" s="349"/>
      <c r="VEB68" s="349"/>
      <c r="VEC68" s="349"/>
      <c r="VED68" s="349"/>
      <c r="VEE68" s="349"/>
      <c r="VEF68" s="349"/>
      <c r="VEG68" s="349"/>
      <c r="VEH68" s="349"/>
      <c r="VEI68" s="349"/>
      <c r="VEJ68" s="349"/>
      <c r="VEK68" s="349"/>
      <c r="VEL68" s="349"/>
      <c r="VEM68" s="349"/>
      <c r="VEN68" s="349"/>
      <c r="VEO68" s="349"/>
      <c r="VEP68" s="349"/>
      <c r="VEQ68" s="349"/>
      <c r="VER68" s="349"/>
      <c r="VES68" s="349"/>
      <c r="VET68" s="349"/>
      <c r="VEU68" s="349"/>
      <c r="VEV68" s="349"/>
      <c r="VEW68" s="349"/>
      <c r="VEX68" s="349"/>
      <c r="VEY68" s="349"/>
      <c r="VEZ68" s="349"/>
      <c r="VFA68" s="349"/>
      <c r="VFB68" s="349"/>
      <c r="VFC68" s="349"/>
      <c r="VFD68" s="349"/>
      <c r="VFE68" s="349"/>
      <c r="VFF68" s="349"/>
      <c r="VFG68" s="349"/>
      <c r="VFH68" s="349"/>
      <c r="VFI68" s="349"/>
      <c r="VFJ68" s="349"/>
      <c r="VFK68" s="349"/>
      <c r="VFL68" s="349"/>
      <c r="VFM68" s="349"/>
      <c r="VFN68" s="349"/>
      <c r="VFO68" s="349"/>
      <c r="VFP68" s="349"/>
      <c r="VFQ68" s="349"/>
      <c r="VFR68" s="349"/>
      <c r="VFS68" s="349"/>
      <c r="VFT68" s="349"/>
      <c r="VFU68" s="349"/>
      <c r="VFV68" s="349"/>
      <c r="VFW68" s="349"/>
      <c r="VFX68" s="349"/>
      <c r="VFY68" s="349"/>
      <c r="VFZ68" s="349"/>
      <c r="VGA68" s="349"/>
      <c r="VGB68" s="349"/>
      <c r="VGC68" s="349"/>
      <c r="VGD68" s="349"/>
      <c r="VGE68" s="349"/>
      <c r="VGF68" s="349"/>
      <c r="VGG68" s="349"/>
      <c r="VGH68" s="349"/>
      <c r="VGI68" s="349"/>
      <c r="VGJ68" s="349"/>
      <c r="VGK68" s="349"/>
      <c r="VGL68" s="349"/>
      <c r="VGM68" s="349"/>
      <c r="VGN68" s="349"/>
      <c r="VGO68" s="349"/>
      <c r="VGP68" s="349"/>
      <c r="VGQ68" s="349"/>
      <c r="VGR68" s="349"/>
      <c r="VGS68" s="349"/>
      <c r="VGT68" s="349"/>
      <c r="VGU68" s="349"/>
      <c r="VGV68" s="349"/>
      <c r="VGW68" s="349"/>
      <c r="VGX68" s="349"/>
      <c r="VGY68" s="349"/>
      <c r="VGZ68" s="349"/>
      <c r="VHA68" s="349"/>
      <c r="VHB68" s="349"/>
      <c r="VHC68" s="349"/>
      <c r="VHD68" s="349"/>
      <c r="VHE68" s="349"/>
      <c r="VHF68" s="349"/>
      <c r="VHG68" s="349"/>
      <c r="VHH68" s="349"/>
      <c r="VHI68" s="349"/>
      <c r="VHJ68" s="349"/>
      <c r="VHK68" s="349"/>
      <c r="VHL68" s="349"/>
      <c r="VHM68" s="349"/>
      <c r="VHN68" s="349"/>
      <c r="VHO68" s="349"/>
      <c r="VHP68" s="349"/>
      <c r="VHQ68" s="349"/>
      <c r="VHR68" s="349"/>
      <c r="VHS68" s="349"/>
      <c r="VHT68" s="349"/>
      <c r="VHU68" s="349"/>
      <c r="VHV68" s="349"/>
      <c r="VHW68" s="349"/>
      <c r="VHX68" s="349"/>
      <c r="VHY68" s="349"/>
      <c r="VHZ68" s="349"/>
      <c r="VIA68" s="349"/>
      <c r="VIB68" s="349"/>
      <c r="VIC68" s="349"/>
      <c r="VID68" s="349"/>
      <c r="VIE68" s="349"/>
      <c r="VIF68" s="349"/>
      <c r="VIG68" s="349"/>
      <c r="VIH68" s="349"/>
      <c r="VII68" s="349"/>
      <c r="VIJ68" s="349"/>
      <c r="VIK68" s="349"/>
      <c r="VIL68" s="349"/>
      <c r="VIM68" s="349"/>
      <c r="VIN68" s="349"/>
      <c r="VIO68" s="349"/>
      <c r="VIP68" s="349"/>
      <c r="VIQ68" s="349"/>
      <c r="VIR68" s="349"/>
      <c r="VIS68" s="349"/>
      <c r="VIT68" s="349"/>
      <c r="VIU68" s="349"/>
      <c r="VIV68" s="349"/>
      <c r="VIW68" s="349"/>
      <c r="VIX68" s="349"/>
      <c r="VIY68" s="349"/>
      <c r="VIZ68" s="349"/>
      <c r="VJA68" s="349"/>
      <c r="VJB68" s="349"/>
      <c r="VJC68" s="349"/>
      <c r="VJD68" s="349"/>
      <c r="VJE68" s="349"/>
      <c r="VJF68" s="349"/>
      <c r="VJG68" s="349"/>
      <c r="VJH68" s="349"/>
      <c r="VJI68" s="349"/>
      <c r="VJJ68" s="349"/>
      <c r="VJK68" s="349"/>
      <c r="VJL68" s="349"/>
      <c r="VJM68" s="349"/>
      <c r="VJN68" s="349"/>
      <c r="VJO68" s="349"/>
      <c r="VJP68" s="349"/>
      <c r="VJQ68" s="349"/>
      <c r="VJR68" s="349"/>
      <c r="VJS68" s="349"/>
      <c r="VJT68" s="349"/>
      <c r="VJU68" s="349"/>
      <c r="VJV68" s="349"/>
      <c r="VJW68" s="349"/>
      <c r="VJX68" s="349"/>
      <c r="VJY68" s="349"/>
      <c r="VJZ68" s="349"/>
      <c r="VKA68" s="349"/>
      <c r="VKB68" s="349"/>
      <c r="VKC68" s="349"/>
      <c r="VKD68" s="349"/>
      <c r="VKE68" s="349"/>
      <c r="VKF68" s="349"/>
      <c r="VKG68" s="349"/>
      <c r="VKH68" s="349"/>
      <c r="VKI68" s="349"/>
      <c r="VKJ68" s="349"/>
      <c r="VKK68" s="349"/>
      <c r="VKL68" s="349"/>
      <c r="VKM68" s="349"/>
      <c r="VKN68" s="349"/>
      <c r="VKO68" s="349"/>
      <c r="VKP68" s="349"/>
      <c r="VKQ68" s="349"/>
      <c r="VKR68" s="349"/>
      <c r="VKS68" s="349"/>
      <c r="VKT68" s="349"/>
      <c r="VKU68" s="349"/>
      <c r="VKV68" s="349"/>
      <c r="VKW68" s="349"/>
      <c r="VKX68" s="349"/>
      <c r="VKY68" s="349"/>
      <c r="VKZ68" s="349"/>
      <c r="VLA68" s="349"/>
      <c r="VLB68" s="349"/>
      <c r="VLC68" s="349"/>
      <c r="VLD68" s="349"/>
      <c r="VLE68" s="349"/>
      <c r="VLF68" s="349"/>
      <c r="VLG68" s="349"/>
      <c r="VLH68" s="349"/>
      <c r="VLI68" s="349"/>
      <c r="VLJ68" s="349"/>
      <c r="VLK68" s="349"/>
      <c r="VLL68" s="349"/>
      <c r="VLM68" s="349"/>
      <c r="VLN68" s="349"/>
      <c r="VLO68" s="349"/>
      <c r="VLP68" s="349"/>
      <c r="VLQ68" s="349"/>
      <c r="VLR68" s="349"/>
      <c r="VLS68" s="349"/>
      <c r="VLT68" s="349"/>
      <c r="VLU68" s="349"/>
      <c r="VLV68" s="349"/>
      <c r="VLW68" s="349"/>
      <c r="VLX68" s="349"/>
      <c r="VLY68" s="349"/>
      <c r="VLZ68" s="349"/>
      <c r="VMA68" s="349"/>
      <c r="VMB68" s="349"/>
      <c r="VMC68" s="349"/>
      <c r="VMD68" s="349"/>
      <c r="VME68" s="349"/>
      <c r="VMF68" s="349"/>
      <c r="VMG68" s="349"/>
      <c r="VMH68" s="349"/>
      <c r="VMI68" s="349"/>
      <c r="VMJ68" s="349"/>
      <c r="VMK68" s="349"/>
      <c r="VML68" s="349"/>
      <c r="VMM68" s="349"/>
      <c r="VMN68" s="349"/>
      <c r="VMO68" s="349"/>
      <c r="VMP68" s="349"/>
      <c r="VMQ68" s="349"/>
      <c r="VMR68" s="349"/>
      <c r="VMS68" s="349"/>
      <c r="VMT68" s="349"/>
      <c r="VMU68" s="349"/>
      <c r="VMV68" s="349"/>
      <c r="VMW68" s="349"/>
      <c r="VMX68" s="349"/>
      <c r="VMY68" s="349"/>
      <c r="VMZ68" s="349"/>
      <c r="VNA68" s="349"/>
      <c r="VNB68" s="349"/>
      <c r="VNC68" s="349"/>
      <c r="VND68" s="349"/>
      <c r="VNE68" s="349"/>
      <c r="VNF68" s="349"/>
      <c r="VNG68" s="349"/>
      <c r="VNH68" s="349"/>
      <c r="VNI68" s="349"/>
      <c r="VNJ68" s="349"/>
      <c r="VNK68" s="349"/>
      <c r="VNL68" s="349"/>
      <c r="VNM68" s="349"/>
      <c r="VNN68" s="349"/>
      <c r="VNO68" s="349"/>
      <c r="VNP68" s="349"/>
      <c r="VNQ68" s="349"/>
      <c r="VNR68" s="349"/>
      <c r="VNS68" s="349"/>
      <c r="VNT68" s="349"/>
      <c r="VNU68" s="349"/>
      <c r="VNV68" s="349"/>
      <c r="VNW68" s="349"/>
      <c r="VNX68" s="349"/>
      <c r="VNY68" s="349"/>
      <c r="VNZ68" s="349"/>
      <c r="VOA68" s="349"/>
      <c r="VOB68" s="349"/>
      <c r="VOC68" s="349"/>
      <c r="VOD68" s="349"/>
      <c r="VOE68" s="349"/>
      <c r="VOF68" s="349"/>
      <c r="VOG68" s="349"/>
      <c r="VOH68" s="349"/>
      <c r="VOI68" s="349"/>
      <c r="VOJ68" s="349"/>
      <c r="VOK68" s="349"/>
      <c r="VOL68" s="349"/>
      <c r="VOM68" s="349"/>
      <c r="VON68" s="349"/>
      <c r="VOO68" s="349"/>
      <c r="VOP68" s="349"/>
      <c r="VOQ68" s="349"/>
      <c r="VOR68" s="349"/>
      <c r="VOS68" s="349"/>
      <c r="VOT68" s="349"/>
      <c r="VOU68" s="349"/>
      <c r="VOV68" s="349"/>
      <c r="VOW68" s="349"/>
      <c r="VOX68" s="349"/>
      <c r="VOY68" s="349"/>
      <c r="VOZ68" s="349"/>
      <c r="VPA68" s="349"/>
      <c r="VPB68" s="349"/>
      <c r="VPC68" s="349"/>
      <c r="VPD68" s="349"/>
      <c r="VPE68" s="349"/>
      <c r="VPF68" s="349"/>
      <c r="VPG68" s="349"/>
      <c r="VPH68" s="349"/>
      <c r="VPI68" s="349"/>
      <c r="VPJ68" s="349"/>
      <c r="VPK68" s="349"/>
      <c r="VPL68" s="349"/>
      <c r="VPM68" s="349"/>
      <c r="VPN68" s="349"/>
      <c r="VPO68" s="349"/>
      <c r="VPP68" s="349"/>
      <c r="VPQ68" s="349"/>
      <c r="VPR68" s="349"/>
      <c r="VPS68" s="349"/>
      <c r="VPT68" s="349"/>
      <c r="VPU68" s="349"/>
      <c r="VPV68" s="349"/>
      <c r="VPW68" s="349"/>
      <c r="VPX68" s="349"/>
      <c r="VPY68" s="349"/>
      <c r="VPZ68" s="349"/>
      <c r="VQA68" s="349"/>
      <c r="VQB68" s="349"/>
      <c r="VQC68" s="349"/>
      <c r="VQD68" s="349"/>
      <c r="VQE68" s="349"/>
      <c r="VQF68" s="349"/>
      <c r="VQG68" s="349"/>
      <c r="VQH68" s="349"/>
      <c r="VQI68" s="349"/>
      <c r="VQJ68" s="349"/>
      <c r="VQK68" s="349"/>
      <c r="VQL68" s="349"/>
      <c r="VQM68" s="349"/>
      <c r="VQN68" s="349"/>
      <c r="VQO68" s="349"/>
      <c r="VQP68" s="349"/>
      <c r="VQQ68" s="349"/>
      <c r="VQR68" s="349"/>
      <c r="VQS68" s="349"/>
      <c r="VQT68" s="349"/>
      <c r="VQU68" s="349"/>
      <c r="VQV68" s="349"/>
      <c r="VQW68" s="349"/>
      <c r="VQX68" s="349"/>
      <c r="VQY68" s="349"/>
      <c r="VQZ68" s="349"/>
      <c r="VRA68" s="349"/>
      <c r="VRB68" s="349"/>
      <c r="VRC68" s="349"/>
      <c r="VRD68" s="349"/>
      <c r="VRE68" s="349"/>
      <c r="VRF68" s="349"/>
      <c r="VRG68" s="349"/>
      <c r="VRH68" s="349"/>
      <c r="VRI68" s="349"/>
      <c r="VRJ68" s="349"/>
      <c r="VRK68" s="349"/>
      <c r="VRL68" s="349"/>
      <c r="VRM68" s="349"/>
      <c r="VRN68" s="349"/>
      <c r="VRO68" s="349"/>
      <c r="VRP68" s="349"/>
      <c r="VRQ68" s="349"/>
      <c r="VRR68" s="349"/>
      <c r="VRS68" s="349"/>
      <c r="VRT68" s="349"/>
      <c r="VRU68" s="349"/>
      <c r="VRV68" s="349"/>
      <c r="VRW68" s="349"/>
      <c r="VRX68" s="349"/>
      <c r="VRY68" s="349"/>
      <c r="VRZ68" s="349"/>
      <c r="VSA68" s="349"/>
      <c r="VSB68" s="349"/>
      <c r="VSC68" s="349"/>
      <c r="VSD68" s="349"/>
      <c r="VSE68" s="349"/>
      <c r="VSF68" s="349"/>
      <c r="VSG68" s="349"/>
      <c r="VSH68" s="349"/>
      <c r="VSI68" s="349"/>
      <c r="VSJ68" s="349"/>
      <c r="VSK68" s="349"/>
      <c r="VSL68" s="349"/>
      <c r="VSM68" s="349"/>
      <c r="VSN68" s="349"/>
      <c r="VSO68" s="349"/>
      <c r="VSP68" s="349"/>
      <c r="VSQ68" s="349"/>
      <c r="VSR68" s="349"/>
      <c r="VSS68" s="349"/>
      <c r="VST68" s="349"/>
      <c r="VSU68" s="349"/>
      <c r="VSV68" s="349"/>
      <c r="VSW68" s="349"/>
      <c r="VSX68" s="349"/>
      <c r="VSY68" s="349"/>
      <c r="VSZ68" s="349"/>
      <c r="VTA68" s="349"/>
      <c r="VTB68" s="349"/>
      <c r="VTC68" s="349"/>
      <c r="VTD68" s="349"/>
      <c r="VTE68" s="349"/>
      <c r="VTF68" s="349"/>
      <c r="VTG68" s="349"/>
      <c r="VTH68" s="349"/>
      <c r="VTI68" s="349"/>
      <c r="VTJ68" s="349"/>
      <c r="VTK68" s="349"/>
      <c r="VTL68" s="349"/>
      <c r="VTM68" s="349"/>
      <c r="VTN68" s="349"/>
      <c r="VTO68" s="349"/>
      <c r="VTP68" s="349"/>
      <c r="VTQ68" s="349"/>
      <c r="VTR68" s="349"/>
      <c r="VTS68" s="349"/>
      <c r="VTT68" s="349"/>
      <c r="VTU68" s="349"/>
      <c r="VTV68" s="349"/>
      <c r="VTW68" s="349"/>
      <c r="VTX68" s="349"/>
      <c r="VTY68" s="349"/>
      <c r="VTZ68" s="349"/>
      <c r="VUA68" s="349"/>
      <c r="VUB68" s="349"/>
      <c r="VUC68" s="349"/>
      <c r="VUD68" s="349"/>
      <c r="VUE68" s="349"/>
      <c r="VUF68" s="349"/>
      <c r="VUG68" s="349"/>
      <c r="VUH68" s="349"/>
      <c r="VUI68" s="349"/>
      <c r="VUJ68" s="349"/>
      <c r="VUK68" s="349"/>
      <c r="VUL68" s="349"/>
      <c r="VUM68" s="349"/>
      <c r="VUN68" s="349"/>
      <c r="VUO68" s="349"/>
      <c r="VUP68" s="349"/>
      <c r="VUQ68" s="349"/>
      <c r="VUR68" s="349"/>
      <c r="VUS68" s="349"/>
      <c r="VUT68" s="349"/>
      <c r="VUU68" s="349"/>
      <c r="VUV68" s="349"/>
      <c r="VUW68" s="349"/>
      <c r="VUX68" s="349"/>
      <c r="VUY68" s="349"/>
      <c r="VUZ68" s="349"/>
      <c r="VVA68" s="349"/>
      <c r="VVB68" s="349"/>
      <c r="VVC68" s="349"/>
      <c r="VVD68" s="349"/>
      <c r="VVE68" s="349"/>
      <c r="VVF68" s="349"/>
      <c r="VVG68" s="349"/>
      <c r="VVH68" s="349"/>
      <c r="VVI68" s="349"/>
      <c r="VVJ68" s="349"/>
      <c r="VVK68" s="349"/>
      <c r="VVL68" s="349"/>
      <c r="VVM68" s="349"/>
      <c r="VVN68" s="349"/>
      <c r="VVO68" s="349"/>
      <c r="VVP68" s="349"/>
      <c r="VVQ68" s="349"/>
      <c r="VVR68" s="349"/>
      <c r="VVS68" s="349"/>
      <c r="VVT68" s="349"/>
      <c r="VVU68" s="349"/>
      <c r="VVV68" s="349"/>
      <c r="VVW68" s="349"/>
      <c r="VVX68" s="349"/>
      <c r="VVY68" s="349"/>
      <c r="VVZ68" s="349"/>
      <c r="VWA68" s="349"/>
      <c r="VWB68" s="349"/>
      <c r="VWC68" s="349"/>
      <c r="VWD68" s="349"/>
      <c r="VWE68" s="349"/>
      <c r="VWF68" s="349"/>
      <c r="VWG68" s="349"/>
      <c r="VWH68" s="349"/>
      <c r="VWI68" s="349"/>
      <c r="VWJ68" s="349"/>
      <c r="VWK68" s="349"/>
      <c r="VWL68" s="349"/>
      <c r="VWM68" s="349"/>
      <c r="VWN68" s="349"/>
      <c r="VWO68" s="349"/>
      <c r="VWP68" s="349"/>
      <c r="VWQ68" s="349"/>
      <c r="VWR68" s="349"/>
      <c r="VWS68" s="349"/>
      <c r="VWT68" s="349"/>
      <c r="VWU68" s="349"/>
      <c r="VWV68" s="349"/>
      <c r="VWW68" s="349"/>
      <c r="VWX68" s="349"/>
      <c r="VWY68" s="349"/>
      <c r="VWZ68" s="349"/>
      <c r="VXA68" s="349"/>
      <c r="VXB68" s="349"/>
      <c r="VXC68" s="349"/>
      <c r="VXD68" s="349"/>
      <c r="VXE68" s="349"/>
      <c r="VXF68" s="349"/>
      <c r="VXG68" s="349"/>
      <c r="VXH68" s="349"/>
      <c r="VXI68" s="349"/>
      <c r="VXJ68" s="349"/>
      <c r="VXK68" s="349"/>
      <c r="VXL68" s="349"/>
      <c r="VXM68" s="349"/>
      <c r="VXN68" s="349"/>
      <c r="VXO68" s="349"/>
      <c r="VXP68" s="349"/>
      <c r="VXQ68" s="349"/>
      <c r="VXR68" s="349"/>
      <c r="VXS68" s="349"/>
      <c r="VXT68" s="349"/>
      <c r="VXU68" s="349"/>
      <c r="VXV68" s="349"/>
      <c r="VXW68" s="349"/>
      <c r="VXX68" s="349"/>
      <c r="VXY68" s="349"/>
      <c r="VXZ68" s="349"/>
      <c r="VYA68" s="349"/>
      <c r="VYB68" s="349"/>
      <c r="VYC68" s="349"/>
      <c r="VYD68" s="349"/>
      <c r="VYE68" s="349"/>
      <c r="VYF68" s="349"/>
      <c r="VYG68" s="349"/>
      <c r="VYH68" s="349"/>
      <c r="VYI68" s="349"/>
      <c r="VYJ68" s="349"/>
      <c r="VYK68" s="349"/>
      <c r="VYL68" s="349"/>
      <c r="VYM68" s="349"/>
      <c r="VYN68" s="349"/>
      <c r="VYO68" s="349"/>
      <c r="VYP68" s="349"/>
      <c r="VYQ68" s="349"/>
      <c r="VYR68" s="349"/>
      <c r="VYS68" s="349"/>
      <c r="VYT68" s="349"/>
      <c r="VYU68" s="349"/>
      <c r="VYV68" s="349"/>
      <c r="VYW68" s="349"/>
      <c r="VYX68" s="349"/>
      <c r="VYY68" s="349"/>
      <c r="VYZ68" s="349"/>
      <c r="VZA68" s="349"/>
      <c r="VZB68" s="349"/>
      <c r="VZC68" s="349"/>
      <c r="VZD68" s="349"/>
      <c r="VZE68" s="349"/>
      <c r="VZF68" s="349"/>
      <c r="VZG68" s="349"/>
      <c r="VZH68" s="349"/>
      <c r="VZI68" s="349"/>
      <c r="VZJ68" s="349"/>
      <c r="VZK68" s="349"/>
      <c r="VZL68" s="349"/>
      <c r="VZM68" s="349"/>
      <c r="VZN68" s="349"/>
      <c r="VZO68" s="349"/>
      <c r="VZP68" s="349"/>
      <c r="VZQ68" s="349"/>
      <c r="VZR68" s="349"/>
      <c r="VZS68" s="349"/>
      <c r="VZT68" s="349"/>
      <c r="VZU68" s="349"/>
      <c r="VZV68" s="349"/>
      <c r="VZW68" s="349"/>
      <c r="VZX68" s="349"/>
      <c r="VZY68" s="349"/>
      <c r="VZZ68" s="349"/>
      <c r="WAA68" s="349"/>
      <c r="WAB68" s="349"/>
      <c r="WAC68" s="349"/>
      <c r="WAD68" s="349"/>
      <c r="WAE68" s="349"/>
      <c r="WAF68" s="349"/>
      <c r="WAG68" s="349"/>
      <c r="WAH68" s="349"/>
      <c r="WAI68" s="349"/>
      <c r="WAJ68" s="349"/>
      <c r="WAK68" s="349"/>
      <c r="WAL68" s="349"/>
      <c r="WAM68" s="349"/>
      <c r="WAN68" s="349"/>
      <c r="WAO68" s="349"/>
      <c r="WAP68" s="349"/>
      <c r="WAQ68" s="349"/>
      <c r="WAR68" s="349"/>
      <c r="WAS68" s="349"/>
      <c r="WAT68" s="349"/>
      <c r="WAU68" s="349"/>
      <c r="WAV68" s="349"/>
      <c r="WAW68" s="349"/>
      <c r="WAX68" s="349"/>
      <c r="WAY68" s="349"/>
      <c r="WAZ68" s="349"/>
      <c r="WBA68" s="349"/>
      <c r="WBB68" s="349"/>
      <c r="WBC68" s="349"/>
      <c r="WBD68" s="349"/>
      <c r="WBE68" s="349"/>
      <c r="WBF68" s="349"/>
      <c r="WBG68" s="349"/>
      <c r="WBH68" s="349"/>
      <c r="WBI68" s="349"/>
      <c r="WBJ68" s="349"/>
      <c r="WBK68" s="349"/>
      <c r="WBL68" s="349"/>
      <c r="WBM68" s="349"/>
      <c r="WBN68" s="349"/>
      <c r="WBO68" s="349"/>
      <c r="WBP68" s="349"/>
      <c r="WBQ68" s="349"/>
      <c r="WBR68" s="349"/>
      <c r="WBS68" s="349"/>
      <c r="WBT68" s="349"/>
      <c r="WBU68" s="349"/>
      <c r="WBV68" s="349"/>
      <c r="WBW68" s="349"/>
      <c r="WBX68" s="349"/>
      <c r="WBY68" s="349"/>
      <c r="WBZ68" s="349"/>
      <c r="WCA68" s="349"/>
      <c r="WCB68" s="349"/>
      <c r="WCC68" s="349"/>
      <c r="WCD68" s="349"/>
      <c r="WCE68" s="349"/>
      <c r="WCF68" s="349"/>
      <c r="WCG68" s="349"/>
      <c r="WCH68" s="349"/>
      <c r="WCI68" s="349"/>
      <c r="WCJ68" s="349"/>
      <c r="WCK68" s="349"/>
      <c r="WCL68" s="349"/>
      <c r="WCM68" s="349"/>
      <c r="WCN68" s="349"/>
      <c r="WCO68" s="349"/>
      <c r="WCP68" s="349"/>
      <c r="WCQ68" s="349"/>
      <c r="WCR68" s="349"/>
      <c r="WCS68" s="349"/>
      <c r="WCT68" s="349"/>
      <c r="WCU68" s="349"/>
      <c r="WCV68" s="349"/>
      <c r="WCW68" s="349"/>
      <c r="WCX68" s="349"/>
      <c r="WCY68" s="349"/>
      <c r="WCZ68" s="349"/>
      <c r="WDA68" s="349"/>
      <c r="WDB68" s="349"/>
      <c r="WDC68" s="349"/>
      <c r="WDD68" s="349"/>
      <c r="WDE68" s="349"/>
      <c r="WDF68" s="349"/>
      <c r="WDG68" s="349"/>
      <c r="WDH68" s="349"/>
      <c r="WDI68" s="349"/>
      <c r="WDJ68" s="349"/>
      <c r="WDK68" s="349"/>
      <c r="WDL68" s="349"/>
      <c r="WDM68" s="349"/>
      <c r="WDN68" s="349"/>
      <c r="WDO68" s="349"/>
      <c r="WDP68" s="349"/>
      <c r="WDQ68" s="349"/>
      <c r="WDR68" s="349"/>
      <c r="WDS68" s="349"/>
      <c r="WDT68" s="349"/>
      <c r="WDU68" s="349"/>
      <c r="WDV68" s="349"/>
      <c r="WDW68" s="349"/>
      <c r="WDX68" s="349"/>
      <c r="WDY68" s="349"/>
      <c r="WDZ68" s="349"/>
      <c r="WEA68" s="349"/>
      <c r="WEB68" s="349"/>
      <c r="WEC68" s="349"/>
      <c r="WED68" s="349"/>
      <c r="WEE68" s="349"/>
      <c r="WEF68" s="349"/>
      <c r="WEG68" s="349"/>
      <c r="WEH68" s="349"/>
      <c r="WEI68" s="349"/>
      <c r="WEJ68" s="349"/>
      <c r="WEK68" s="349"/>
      <c r="WEL68" s="349"/>
      <c r="WEM68" s="349"/>
      <c r="WEN68" s="349"/>
      <c r="WEO68" s="349"/>
      <c r="WEP68" s="349"/>
      <c r="WEQ68" s="349"/>
      <c r="WER68" s="349"/>
      <c r="WES68" s="349"/>
      <c r="WET68" s="349"/>
      <c r="WEU68" s="349"/>
      <c r="WEV68" s="349"/>
      <c r="WEW68" s="349"/>
      <c r="WEX68" s="349"/>
      <c r="WEY68" s="349"/>
      <c r="WEZ68" s="349"/>
      <c r="WFA68" s="349"/>
      <c r="WFB68" s="349"/>
      <c r="WFC68" s="349"/>
      <c r="WFD68" s="349"/>
      <c r="WFE68" s="349"/>
      <c r="WFF68" s="349"/>
      <c r="WFG68" s="349"/>
      <c r="WFH68" s="349"/>
      <c r="WFI68" s="349"/>
      <c r="WFJ68" s="349"/>
      <c r="WFK68" s="349"/>
      <c r="WFL68" s="349"/>
      <c r="WFM68" s="349"/>
      <c r="WFN68" s="349"/>
      <c r="WFO68" s="349"/>
      <c r="WFP68" s="349"/>
      <c r="WFQ68" s="349"/>
      <c r="WFR68" s="349"/>
      <c r="WFS68" s="349"/>
      <c r="WFT68" s="349"/>
      <c r="WFU68" s="349"/>
      <c r="WFV68" s="349"/>
      <c r="WFW68" s="349"/>
      <c r="WFX68" s="349"/>
      <c r="WFY68" s="349"/>
      <c r="WFZ68" s="349"/>
      <c r="WGA68" s="349"/>
      <c r="WGB68" s="349"/>
      <c r="WGC68" s="349"/>
      <c r="WGD68" s="349"/>
      <c r="WGE68" s="349"/>
      <c r="WGF68" s="349"/>
      <c r="WGG68" s="349"/>
      <c r="WGH68" s="349"/>
      <c r="WGI68" s="349"/>
      <c r="WGJ68" s="349"/>
      <c r="WGK68" s="349"/>
      <c r="WGL68" s="349"/>
      <c r="WGM68" s="349"/>
      <c r="WGN68" s="349"/>
      <c r="WGO68" s="349"/>
      <c r="WGP68" s="349"/>
      <c r="WGQ68" s="349"/>
      <c r="WGR68" s="349"/>
      <c r="WGS68" s="349"/>
      <c r="WGT68" s="349"/>
      <c r="WGU68" s="349"/>
      <c r="WGV68" s="349"/>
      <c r="WGW68" s="349"/>
      <c r="WGX68" s="349"/>
      <c r="WGY68" s="349"/>
      <c r="WGZ68" s="349"/>
      <c r="WHA68" s="349"/>
      <c r="WHB68" s="349"/>
      <c r="WHC68" s="349"/>
      <c r="WHD68" s="349"/>
      <c r="WHE68" s="349"/>
      <c r="WHF68" s="349"/>
      <c r="WHG68" s="349"/>
      <c r="WHH68" s="349"/>
      <c r="WHI68" s="349"/>
      <c r="WHJ68" s="349"/>
      <c r="WHK68" s="349"/>
      <c r="WHL68" s="349"/>
      <c r="WHM68" s="349"/>
      <c r="WHN68" s="349"/>
      <c r="WHO68" s="349"/>
      <c r="WHP68" s="349"/>
      <c r="WHQ68" s="349"/>
      <c r="WHR68" s="349"/>
      <c r="WHS68" s="349"/>
      <c r="WHT68" s="349"/>
      <c r="WHU68" s="349"/>
      <c r="WHV68" s="349"/>
      <c r="WHW68" s="349"/>
      <c r="WHX68" s="349"/>
      <c r="WHY68" s="349"/>
      <c r="WHZ68" s="349"/>
      <c r="WIA68" s="349"/>
      <c r="WIB68" s="349"/>
      <c r="WIC68" s="349"/>
      <c r="WID68" s="349"/>
      <c r="WIE68" s="349"/>
      <c r="WIF68" s="349"/>
      <c r="WIG68" s="349"/>
      <c r="WIH68" s="349"/>
      <c r="WII68" s="349"/>
      <c r="WIJ68" s="349"/>
      <c r="WIK68" s="349"/>
      <c r="WIL68" s="349"/>
      <c r="WIM68" s="349"/>
      <c r="WIN68" s="349"/>
      <c r="WIO68" s="349"/>
      <c r="WIP68" s="349"/>
      <c r="WIQ68" s="349"/>
      <c r="WIR68" s="349"/>
      <c r="WIS68" s="349"/>
      <c r="WIT68" s="349"/>
      <c r="WIU68" s="349"/>
      <c r="WIV68" s="349"/>
      <c r="WIW68" s="349"/>
      <c r="WIX68" s="349"/>
      <c r="WIY68" s="349"/>
      <c r="WIZ68" s="349"/>
      <c r="WJA68" s="349"/>
      <c r="WJB68" s="349"/>
      <c r="WJC68" s="349"/>
      <c r="WJD68" s="349"/>
      <c r="WJE68" s="349"/>
      <c r="WJF68" s="349"/>
      <c r="WJG68" s="349"/>
      <c r="WJH68" s="349"/>
      <c r="WJI68" s="349"/>
      <c r="WJJ68" s="349"/>
      <c r="WJK68" s="349"/>
      <c r="WJL68" s="349"/>
      <c r="WJM68" s="349"/>
      <c r="WJN68" s="349"/>
      <c r="WJO68" s="349"/>
      <c r="WJP68" s="349"/>
      <c r="WJQ68" s="349"/>
      <c r="WJR68" s="349"/>
      <c r="WJS68" s="349"/>
      <c r="WJT68" s="349"/>
      <c r="WJU68" s="349"/>
      <c r="WJV68" s="349"/>
      <c r="WJW68" s="349"/>
      <c r="WJX68" s="349"/>
      <c r="WJY68" s="349"/>
      <c r="WJZ68" s="349"/>
      <c r="WKA68" s="349"/>
      <c r="WKB68" s="349"/>
      <c r="WKC68" s="349"/>
      <c r="WKD68" s="349"/>
      <c r="WKE68" s="349"/>
      <c r="WKF68" s="349"/>
      <c r="WKG68" s="349"/>
      <c r="WKH68" s="349"/>
      <c r="WKI68" s="349"/>
      <c r="WKJ68" s="349"/>
      <c r="WKK68" s="349"/>
      <c r="WKL68" s="349"/>
      <c r="WKM68" s="349"/>
      <c r="WKN68" s="349"/>
      <c r="WKO68" s="349"/>
      <c r="WKP68" s="349"/>
      <c r="WKQ68" s="349"/>
      <c r="WKR68" s="349"/>
      <c r="WKS68" s="349"/>
      <c r="WKT68" s="349"/>
      <c r="WKU68" s="349"/>
      <c r="WKV68" s="349"/>
      <c r="WKW68" s="349"/>
      <c r="WKX68" s="349"/>
      <c r="WKY68" s="349"/>
      <c r="WKZ68" s="349"/>
      <c r="WLA68" s="349"/>
      <c r="WLB68" s="349"/>
      <c r="WLC68" s="349"/>
      <c r="WLD68" s="349"/>
      <c r="WLE68" s="349"/>
      <c r="WLF68" s="349"/>
      <c r="WLG68" s="349"/>
      <c r="WLH68" s="349"/>
      <c r="WLI68" s="349"/>
      <c r="WLJ68" s="349"/>
      <c r="WLK68" s="349"/>
      <c r="WLL68" s="349"/>
      <c r="WLM68" s="349"/>
      <c r="WLN68" s="349"/>
      <c r="WLO68" s="349"/>
      <c r="WLP68" s="349"/>
      <c r="WLQ68" s="349"/>
      <c r="WLR68" s="349"/>
      <c r="WLS68" s="349"/>
      <c r="WLT68" s="349"/>
      <c r="WLU68" s="349"/>
      <c r="WLV68" s="349"/>
      <c r="WLW68" s="349"/>
      <c r="WLX68" s="349"/>
      <c r="WLY68" s="349"/>
      <c r="WLZ68" s="349"/>
      <c r="WMA68" s="349"/>
      <c r="WMB68" s="349"/>
      <c r="WMC68" s="349"/>
      <c r="WMD68" s="349"/>
      <c r="WME68" s="349"/>
      <c r="WMF68" s="349"/>
      <c r="WMG68" s="349"/>
      <c r="WMH68" s="349"/>
      <c r="WMI68" s="349"/>
      <c r="WMJ68" s="349"/>
      <c r="WMK68" s="349"/>
      <c r="WML68" s="349"/>
      <c r="WMM68" s="349"/>
      <c r="WMN68" s="349"/>
      <c r="WMO68" s="349"/>
      <c r="WMP68" s="349"/>
      <c r="WMQ68" s="349"/>
      <c r="WMR68" s="349"/>
      <c r="WMS68" s="349"/>
      <c r="WMT68" s="349"/>
      <c r="WMU68" s="349"/>
      <c r="WMV68" s="349"/>
      <c r="WMW68" s="349"/>
      <c r="WMX68" s="349"/>
      <c r="WMY68" s="349"/>
      <c r="WMZ68" s="349"/>
      <c r="WNA68" s="349"/>
      <c r="WNB68" s="349"/>
      <c r="WNC68" s="349"/>
      <c r="WND68" s="349"/>
      <c r="WNE68" s="349"/>
      <c r="WNF68" s="349"/>
      <c r="WNG68" s="349"/>
      <c r="WNH68" s="349"/>
      <c r="WNI68" s="349"/>
      <c r="WNJ68" s="349"/>
      <c r="WNK68" s="349"/>
      <c r="WNL68" s="349"/>
      <c r="WNM68" s="349"/>
      <c r="WNN68" s="349"/>
      <c r="WNO68" s="349"/>
      <c r="WNP68" s="349"/>
      <c r="WNQ68" s="349"/>
      <c r="WNR68" s="349"/>
      <c r="WNS68" s="349"/>
      <c r="WNT68" s="349"/>
      <c r="WNU68" s="349"/>
      <c r="WNV68" s="349"/>
      <c r="WNW68" s="349"/>
      <c r="WNX68" s="349"/>
      <c r="WNY68" s="349"/>
      <c r="WNZ68" s="349"/>
      <c r="WOA68" s="349"/>
      <c r="WOB68" s="349"/>
      <c r="WOC68" s="349"/>
      <c r="WOD68" s="349"/>
      <c r="WOE68" s="349"/>
      <c r="WOF68" s="349"/>
      <c r="WOG68" s="349"/>
      <c r="WOH68" s="349"/>
      <c r="WOI68" s="349"/>
      <c r="WOJ68" s="349"/>
      <c r="WOK68" s="349"/>
      <c r="WOL68" s="349"/>
      <c r="WOM68" s="349"/>
      <c r="WON68" s="349"/>
      <c r="WOO68" s="349"/>
      <c r="WOP68" s="349"/>
      <c r="WOQ68" s="349"/>
      <c r="WOR68" s="349"/>
      <c r="WOS68" s="349"/>
      <c r="WOT68" s="349"/>
      <c r="WOU68" s="349"/>
      <c r="WOV68" s="349"/>
      <c r="WOW68" s="349"/>
      <c r="WOX68" s="349"/>
      <c r="WOY68" s="349"/>
      <c r="WOZ68" s="349"/>
      <c r="WPA68" s="349"/>
      <c r="WPB68" s="349"/>
      <c r="WPC68" s="349"/>
      <c r="WPD68" s="349"/>
      <c r="WPE68" s="349"/>
      <c r="WPF68" s="349"/>
      <c r="WPG68" s="349"/>
      <c r="WPH68" s="349"/>
      <c r="WPI68" s="349"/>
      <c r="WPJ68" s="349"/>
      <c r="WPK68" s="349"/>
      <c r="WPL68" s="349"/>
      <c r="WPM68" s="349"/>
      <c r="WPN68" s="349"/>
      <c r="WPO68" s="349"/>
      <c r="WPP68" s="349"/>
      <c r="WPQ68" s="349"/>
      <c r="WPR68" s="349"/>
      <c r="WPS68" s="349"/>
      <c r="WPT68" s="349"/>
      <c r="WPU68" s="349"/>
      <c r="WPV68" s="349"/>
      <c r="WPW68" s="349"/>
      <c r="WPX68" s="349"/>
      <c r="WPY68" s="349"/>
      <c r="WPZ68" s="349"/>
      <c r="WQA68" s="349"/>
      <c r="WQB68" s="349"/>
      <c r="WQC68" s="349"/>
      <c r="WQD68" s="349"/>
      <c r="WQE68" s="349"/>
      <c r="WQF68" s="349"/>
      <c r="WQG68" s="349"/>
      <c r="WQH68" s="349"/>
      <c r="WQI68" s="349"/>
      <c r="WQJ68" s="349"/>
      <c r="WQK68" s="349"/>
      <c r="WQL68" s="349"/>
      <c r="WQM68" s="349"/>
      <c r="WQN68" s="349"/>
      <c r="WQO68" s="349"/>
      <c r="WQP68" s="349"/>
      <c r="WQQ68" s="349"/>
      <c r="WQR68" s="349"/>
      <c r="WQS68" s="349"/>
      <c r="WQT68" s="349"/>
      <c r="WQU68" s="349"/>
      <c r="WQV68" s="349"/>
      <c r="WQW68" s="349"/>
      <c r="WQX68" s="349"/>
      <c r="WQY68" s="349"/>
      <c r="WQZ68" s="349"/>
      <c r="WRA68" s="349"/>
      <c r="WRB68" s="349"/>
      <c r="WRC68" s="349"/>
      <c r="WRD68" s="349"/>
      <c r="WRE68" s="349"/>
      <c r="WRF68" s="349"/>
      <c r="WRG68" s="349"/>
      <c r="WRH68" s="349"/>
      <c r="WRI68" s="349"/>
      <c r="WRJ68" s="349"/>
      <c r="WRK68" s="349"/>
      <c r="WRL68" s="349"/>
      <c r="WRM68" s="349"/>
      <c r="WRN68" s="349"/>
      <c r="WRO68" s="349"/>
      <c r="WRP68" s="349"/>
      <c r="WRQ68" s="349"/>
      <c r="WRR68" s="349"/>
      <c r="WRS68" s="349"/>
      <c r="WRT68" s="349"/>
      <c r="WRU68" s="349"/>
      <c r="WRV68" s="349"/>
      <c r="WRW68" s="349"/>
      <c r="WRX68" s="349"/>
      <c r="WRY68" s="349"/>
      <c r="WRZ68" s="349"/>
      <c r="WSA68" s="349"/>
      <c r="WSB68" s="349"/>
      <c r="WSC68" s="349"/>
      <c r="WSD68" s="349"/>
      <c r="WSE68" s="349"/>
      <c r="WSF68" s="349"/>
      <c r="WSG68" s="349"/>
      <c r="WSH68" s="349"/>
      <c r="WSI68" s="349"/>
      <c r="WSJ68" s="349"/>
      <c r="WSK68" s="349"/>
      <c r="WSL68" s="349"/>
      <c r="WSM68" s="349"/>
      <c r="WSN68" s="349"/>
      <c r="WSO68" s="349"/>
      <c r="WSP68" s="349"/>
      <c r="WSQ68" s="349"/>
      <c r="WSR68" s="349"/>
      <c r="WSS68" s="349"/>
      <c r="WST68" s="349"/>
      <c r="WSU68" s="349"/>
      <c r="WSV68" s="349"/>
      <c r="WSW68" s="349"/>
      <c r="WSX68" s="349"/>
      <c r="WSY68" s="349"/>
      <c r="WSZ68" s="349"/>
      <c r="WTA68" s="349"/>
      <c r="WTB68" s="349"/>
      <c r="WTC68" s="349"/>
      <c r="WTD68" s="349"/>
      <c r="WTE68" s="349"/>
      <c r="WTF68" s="349"/>
      <c r="WTG68" s="349"/>
      <c r="WTH68" s="349"/>
      <c r="WTI68" s="349"/>
      <c r="WTJ68" s="349"/>
      <c r="WTK68" s="349"/>
      <c r="WTL68" s="349"/>
      <c r="WTM68" s="349"/>
      <c r="WTN68" s="349"/>
      <c r="WTO68" s="349"/>
      <c r="WTP68" s="349"/>
      <c r="WTQ68" s="349"/>
      <c r="WTR68" s="349"/>
      <c r="WTS68" s="349"/>
      <c r="WTT68" s="349"/>
      <c r="WTU68" s="349"/>
      <c r="WTV68" s="349"/>
      <c r="WTW68" s="349"/>
      <c r="WTX68" s="349"/>
      <c r="WTY68" s="349"/>
      <c r="WTZ68" s="349"/>
      <c r="WUA68" s="349"/>
      <c r="WUB68" s="349"/>
      <c r="WUC68" s="349"/>
      <c r="WUD68" s="349"/>
      <c r="WUE68" s="349"/>
      <c r="WUF68" s="349"/>
      <c r="WUG68" s="349"/>
      <c r="WUH68" s="349"/>
      <c r="WUI68" s="349"/>
      <c r="WUJ68" s="349"/>
      <c r="WUK68" s="349"/>
      <c r="WUL68" s="349"/>
      <c r="WUM68" s="349"/>
      <c r="WUN68" s="349"/>
      <c r="WUO68" s="349"/>
      <c r="WUP68" s="349"/>
      <c r="WUQ68" s="349"/>
      <c r="WUR68" s="349"/>
      <c r="WUS68" s="349"/>
      <c r="WUT68" s="349"/>
      <c r="WUU68" s="349"/>
      <c r="WUV68" s="349"/>
      <c r="WUW68" s="349"/>
      <c r="WUX68" s="349"/>
      <c r="WUY68" s="349"/>
      <c r="WUZ68" s="349"/>
      <c r="WVA68" s="349"/>
      <c r="WVB68" s="349"/>
      <c r="WVC68" s="349"/>
      <c r="WVD68" s="349"/>
      <c r="WVE68" s="349"/>
      <c r="WVF68" s="349"/>
      <c r="WVG68" s="349"/>
      <c r="WVH68" s="349"/>
      <c r="WVI68" s="349"/>
      <c r="WVJ68" s="349"/>
      <c r="WVK68" s="349"/>
      <c r="WVL68" s="349"/>
      <c r="WVM68" s="349"/>
      <c r="WVN68" s="349"/>
      <c r="WVO68" s="349"/>
      <c r="WVP68" s="349"/>
      <c r="WVQ68" s="349"/>
      <c r="WVR68" s="349"/>
      <c r="WVS68" s="349"/>
      <c r="WVT68" s="349"/>
      <c r="WVU68" s="349"/>
      <c r="WVV68" s="349"/>
      <c r="WVW68" s="349"/>
      <c r="WVX68" s="349"/>
      <c r="WVY68" s="349"/>
      <c r="WVZ68" s="349"/>
      <c r="WWA68" s="349"/>
      <c r="WWB68" s="349"/>
      <c r="WWC68" s="349"/>
      <c r="WWD68" s="349"/>
      <c r="WWE68" s="349"/>
      <c r="WWF68" s="349"/>
      <c r="WWG68" s="349"/>
      <c r="WWH68" s="349"/>
      <c r="WWI68" s="349"/>
      <c r="WWJ68" s="349"/>
      <c r="WWK68" s="349"/>
      <c r="WWL68" s="349"/>
      <c r="WWM68" s="349"/>
      <c r="WWN68" s="349"/>
      <c r="WWO68" s="349"/>
      <c r="WWP68" s="349"/>
      <c r="WWQ68" s="349"/>
      <c r="WWR68" s="349"/>
      <c r="WWS68" s="349"/>
      <c r="WWT68" s="349"/>
      <c r="WWU68" s="349"/>
      <c r="WWV68" s="349"/>
      <c r="WWW68" s="349"/>
      <c r="WWX68" s="349"/>
      <c r="WWY68" s="349"/>
      <c r="WWZ68" s="349"/>
      <c r="WXA68" s="349"/>
      <c r="WXB68" s="349"/>
      <c r="WXC68" s="349"/>
      <c r="WXD68" s="349"/>
      <c r="WXE68" s="349"/>
      <c r="WXF68" s="349"/>
      <c r="WXG68" s="349"/>
      <c r="WXH68" s="349"/>
      <c r="WXI68" s="349"/>
      <c r="WXJ68" s="349"/>
      <c r="WXK68" s="349"/>
      <c r="WXL68" s="349"/>
      <c r="WXM68" s="349"/>
      <c r="WXN68" s="349"/>
      <c r="WXO68" s="349"/>
      <c r="WXP68" s="349"/>
      <c r="WXQ68" s="349"/>
      <c r="WXR68" s="349"/>
      <c r="WXS68" s="349"/>
      <c r="WXT68" s="349"/>
      <c r="WXU68" s="349"/>
      <c r="WXV68" s="349"/>
      <c r="WXW68" s="349"/>
      <c r="WXX68" s="349"/>
      <c r="WXY68" s="349"/>
      <c r="WXZ68" s="349"/>
      <c r="WYA68" s="349"/>
      <c r="WYB68" s="349"/>
      <c r="WYC68" s="349"/>
      <c r="WYD68" s="349"/>
      <c r="WYE68" s="349"/>
      <c r="WYF68" s="349"/>
      <c r="WYG68" s="349"/>
      <c r="WYH68" s="349"/>
      <c r="WYI68" s="349"/>
      <c r="WYJ68" s="349"/>
      <c r="WYK68" s="349"/>
      <c r="WYL68" s="349"/>
      <c r="WYM68" s="349"/>
      <c r="WYN68" s="349"/>
      <c r="WYO68" s="349"/>
      <c r="WYP68" s="349"/>
      <c r="WYQ68" s="349"/>
      <c r="WYR68" s="349"/>
      <c r="WYS68" s="349"/>
      <c r="WYT68" s="349"/>
      <c r="WYU68" s="349"/>
      <c r="WYV68" s="349"/>
      <c r="WYW68" s="349"/>
      <c r="WYX68" s="349"/>
      <c r="WYY68" s="349"/>
      <c r="WYZ68" s="349"/>
      <c r="WZA68" s="349"/>
      <c r="WZB68" s="349"/>
      <c r="WZC68" s="349"/>
      <c r="WZD68" s="349"/>
      <c r="WZE68" s="349"/>
      <c r="WZF68" s="349"/>
      <c r="WZG68" s="349"/>
      <c r="WZH68" s="349"/>
      <c r="WZI68" s="349"/>
      <c r="WZJ68" s="349"/>
      <c r="WZK68" s="349"/>
      <c r="WZL68" s="349"/>
      <c r="WZM68" s="349"/>
      <c r="WZN68" s="349"/>
      <c r="WZO68" s="349"/>
      <c r="WZP68" s="349"/>
      <c r="WZQ68" s="349"/>
      <c r="WZR68" s="349"/>
      <c r="WZS68" s="349"/>
      <c r="WZT68" s="349"/>
      <c r="WZU68" s="349"/>
      <c r="WZV68" s="349"/>
      <c r="WZW68" s="349"/>
      <c r="WZX68" s="349"/>
      <c r="WZY68" s="349"/>
      <c r="WZZ68" s="349"/>
      <c r="XAA68" s="349"/>
      <c r="XAB68" s="349"/>
      <c r="XAC68" s="349"/>
      <c r="XAD68" s="349"/>
      <c r="XAE68" s="349"/>
      <c r="XAF68" s="349"/>
      <c r="XAG68" s="349"/>
      <c r="XAH68" s="349"/>
      <c r="XAI68" s="349"/>
      <c r="XAJ68" s="349"/>
      <c r="XAK68" s="349"/>
      <c r="XAL68" s="349"/>
      <c r="XAM68" s="349"/>
      <c r="XAN68" s="349"/>
      <c r="XAO68" s="349"/>
      <c r="XAP68" s="349"/>
      <c r="XAQ68" s="349"/>
      <c r="XAR68" s="349"/>
      <c r="XAS68" s="349"/>
      <c r="XAT68" s="349"/>
      <c r="XAU68" s="349"/>
      <c r="XAV68" s="349"/>
      <c r="XAW68" s="349"/>
      <c r="XAX68" s="349"/>
      <c r="XAY68" s="349"/>
      <c r="XAZ68" s="349"/>
      <c r="XBA68" s="349"/>
      <c r="XBB68" s="349"/>
      <c r="XBC68" s="349"/>
      <c r="XBD68" s="349"/>
      <c r="XBE68" s="349"/>
      <c r="XBF68" s="349"/>
      <c r="XBG68" s="349"/>
      <c r="XBH68" s="349"/>
      <c r="XBI68" s="349"/>
      <c r="XBJ68" s="349"/>
      <c r="XBK68" s="349"/>
      <c r="XBL68" s="349"/>
      <c r="XBM68" s="349"/>
      <c r="XBN68" s="349"/>
      <c r="XBO68" s="349"/>
      <c r="XBP68" s="349"/>
      <c r="XBQ68" s="349"/>
      <c r="XBR68" s="349"/>
      <c r="XBS68" s="349"/>
      <c r="XBT68" s="349"/>
      <c r="XBU68" s="349"/>
      <c r="XBV68" s="349"/>
      <c r="XBW68" s="349"/>
      <c r="XBX68" s="349"/>
      <c r="XBY68" s="349"/>
      <c r="XBZ68" s="349"/>
      <c r="XCA68" s="349"/>
      <c r="XCB68" s="349"/>
      <c r="XCC68" s="349"/>
      <c r="XCD68" s="349"/>
      <c r="XCE68" s="349"/>
      <c r="XCF68" s="349"/>
      <c r="XCG68" s="349"/>
      <c r="XCH68" s="349"/>
      <c r="XCI68" s="349"/>
      <c r="XCJ68" s="349"/>
      <c r="XCK68" s="349"/>
      <c r="XCL68" s="349"/>
      <c r="XCM68" s="349"/>
      <c r="XCN68" s="349"/>
      <c r="XCO68" s="349"/>
      <c r="XCP68" s="349"/>
      <c r="XCQ68" s="349"/>
      <c r="XCR68" s="349"/>
      <c r="XCS68" s="349"/>
      <c r="XCT68" s="349"/>
      <c r="XCU68" s="349"/>
      <c r="XCV68" s="349"/>
      <c r="XCW68" s="349"/>
      <c r="XCX68" s="349"/>
      <c r="XCY68" s="349"/>
      <c r="XCZ68" s="349"/>
      <c r="XDA68" s="349"/>
      <c r="XDB68" s="349"/>
      <c r="XDC68" s="349"/>
      <c r="XDD68" s="349"/>
      <c r="XDE68" s="349"/>
      <c r="XDF68" s="349"/>
      <c r="XDG68" s="349"/>
      <c r="XDH68" s="349"/>
      <c r="XDI68" s="349"/>
      <c r="XDJ68" s="349"/>
      <c r="XDK68" s="349"/>
      <c r="XDL68" s="349"/>
      <c r="XDM68" s="349"/>
      <c r="XDN68" s="349"/>
      <c r="XDO68" s="349"/>
      <c r="XDP68" s="349"/>
      <c r="XDQ68" s="349"/>
      <c r="XDR68" s="349"/>
      <c r="XDS68" s="349"/>
      <c r="XDT68" s="349"/>
      <c r="XDU68" s="349"/>
      <c r="XDV68" s="349"/>
      <c r="XDW68" s="349"/>
      <c r="XDX68" s="349"/>
      <c r="XDY68" s="349"/>
      <c r="XDZ68" s="349"/>
      <c r="XEA68" s="349"/>
      <c r="XEB68" s="349"/>
      <c r="XEC68" s="349"/>
      <c r="XED68" s="349"/>
      <c r="XEE68" s="349"/>
      <c r="XEF68" s="349"/>
      <c r="XEG68" s="349"/>
      <c r="XEH68" s="349"/>
      <c r="XEI68" s="349"/>
      <c r="XEJ68" s="349"/>
      <c r="XEK68" s="349"/>
      <c r="XEL68" s="349"/>
      <c r="XEM68" s="349"/>
      <c r="XEN68" s="349"/>
      <c r="XEO68" s="349"/>
      <c r="XEP68" s="349"/>
      <c r="XEQ68" s="349"/>
    </row>
    <row r="69" spans="1:16371" ht="15" customHeight="1">
      <c r="A69" s="45">
        <f>+A64+1</f>
        <v>33</v>
      </c>
      <c r="B69" s="154"/>
      <c r="C69" s="22" t="s">
        <v>80</v>
      </c>
      <c r="D69" s="269"/>
      <c r="F69" s="29" t="s">
        <v>937</v>
      </c>
      <c r="G69" s="349"/>
      <c r="H69" s="627">
        <f>'Att 1A - ADIT'!J19</f>
        <v>-1066278111.2915761</v>
      </c>
      <c r="I69"/>
      <c r="J69" s="1270">
        <v>-941980576.38080645</v>
      </c>
      <c r="K69" s="1094">
        <f>$H69-J69</f>
        <v>-124297534.9107697</v>
      </c>
      <c r="L69" s="1579">
        <f>IF(J69=0,"n/m",K69/ABS(J69))</f>
        <v>-0.13195339482299578</v>
      </c>
      <c r="M69" s="349"/>
      <c r="N69" s="1270">
        <v>-1039502015.9837404</v>
      </c>
      <c r="O69" s="1094">
        <f>$H69-N69</f>
        <v>-26776095.307835698</v>
      </c>
      <c r="P69" s="1579">
        <f>IF(N69=0,"n/m",O69/ABS(N69))</f>
        <v>-2.5758579489137345E-2</v>
      </c>
      <c r="Q69" s="2131"/>
      <c r="R69" s="2192"/>
      <c r="S69" s="349"/>
      <c r="T69" s="349"/>
      <c r="U69" s="349"/>
      <c r="V69" s="349"/>
      <c r="W69" s="349"/>
      <c r="X69" s="349"/>
      <c r="Y69" s="349"/>
      <c r="Z69" s="349"/>
      <c r="AA69" s="349"/>
      <c r="AB69" s="349"/>
      <c r="AC69" s="349"/>
      <c r="AD69" s="349"/>
      <c r="AE69" s="349"/>
      <c r="AF69" s="349"/>
      <c r="AG69" s="349"/>
      <c r="AH69" s="349"/>
      <c r="AI69" s="349"/>
      <c r="AJ69" s="349"/>
      <c r="AK69" s="349"/>
      <c r="AL69" s="349"/>
      <c r="AM69" s="349"/>
      <c r="AN69" s="349"/>
      <c r="AO69" s="349"/>
      <c r="AP69" s="349"/>
      <c r="AQ69" s="349"/>
      <c r="AR69" s="349"/>
      <c r="AS69" s="349"/>
      <c r="AT69" s="349"/>
      <c r="AU69" s="349"/>
      <c r="AV69" s="349"/>
      <c r="AW69" s="349"/>
      <c r="AX69" s="349"/>
      <c r="AY69" s="349"/>
      <c r="AZ69" s="349"/>
      <c r="BA69" s="349"/>
      <c r="BB69" s="349"/>
      <c r="BC69" s="349"/>
      <c r="BD69" s="349"/>
      <c r="BE69" s="349"/>
      <c r="BF69" s="349"/>
      <c r="BG69" s="349"/>
      <c r="BH69" s="349"/>
      <c r="BI69" s="349"/>
      <c r="BJ69" s="349"/>
      <c r="BK69" s="349"/>
      <c r="BL69" s="349"/>
      <c r="BM69" s="349"/>
      <c r="BN69" s="349"/>
      <c r="BO69" s="349"/>
      <c r="BP69" s="349"/>
      <c r="BQ69" s="349"/>
      <c r="BR69" s="349"/>
      <c r="BS69" s="349"/>
      <c r="BT69" s="349"/>
      <c r="BU69" s="349"/>
      <c r="BV69" s="349"/>
      <c r="BW69" s="349"/>
      <c r="BX69" s="349"/>
      <c r="BY69" s="349"/>
      <c r="BZ69" s="349"/>
      <c r="CA69" s="349"/>
      <c r="CB69" s="349"/>
      <c r="CC69" s="349"/>
      <c r="CD69" s="349"/>
      <c r="CE69" s="349"/>
      <c r="CF69" s="349"/>
      <c r="CG69" s="349"/>
      <c r="CH69" s="349"/>
      <c r="CI69" s="349"/>
      <c r="CJ69" s="349"/>
      <c r="CK69" s="349"/>
      <c r="CL69" s="349"/>
      <c r="CM69" s="349"/>
      <c r="CN69" s="349"/>
      <c r="CO69" s="349"/>
      <c r="CP69" s="349"/>
      <c r="CQ69" s="349"/>
      <c r="CR69" s="349"/>
      <c r="CS69" s="349"/>
      <c r="CT69" s="349"/>
      <c r="CU69" s="349"/>
      <c r="CV69" s="349"/>
      <c r="CW69" s="349"/>
      <c r="CX69" s="349"/>
      <c r="CY69" s="349"/>
      <c r="CZ69" s="349"/>
      <c r="DA69" s="349"/>
      <c r="DB69" s="349"/>
      <c r="DC69" s="349"/>
      <c r="DD69" s="349"/>
      <c r="DE69" s="349"/>
      <c r="DF69" s="349"/>
      <c r="DG69" s="349"/>
      <c r="DH69" s="349"/>
      <c r="DI69" s="349"/>
      <c r="DJ69" s="349"/>
      <c r="DK69" s="349"/>
      <c r="DL69" s="349"/>
      <c r="DM69" s="349"/>
      <c r="DN69" s="349"/>
      <c r="DO69" s="349"/>
      <c r="DP69" s="349"/>
      <c r="DQ69" s="349"/>
      <c r="DR69" s="349"/>
      <c r="DS69" s="349"/>
      <c r="DT69" s="349"/>
      <c r="DU69" s="349"/>
      <c r="DV69" s="349"/>
      <c r="DW69" s="349"/>
      <c r="DX69" s="349"/>
      <c r="DY69" s="349"/>
      <c r="DZ69" s="349"/>
      <c r="EA69" s="349"/>
      <c r="EB69" s="349"/>
      <c r="EC69" s="349"/>
      <c r="ED69" s="349"/>
      <c r="EE69" s="349"/>
      <c r="EF69" s="349"/>
      <c r="EG69" s="349"/>
      <c r="EH69" s="349"/>
      <c r="EI69" s="349"/>
      <c r="EJ69" s="349"/>
      <c r="EK69" s="349"/>
      <c r="EL69" s="349"/>
      <c r="EM69" s="349"/>
      <c r="EN69" s="349"/>
      <c r="EO69" s="349"/>
      <c r="EP69" s="349"/>
      <c r="EQ69" s="349"/>
      <c r="ER69" s="349"/>
      <c r="ES69" s="349"/>
      <c r="ET69" s="349"/>
      <c r="EU69" s="349"/>
      <c r="EV69" s="349"/>
      <c r="EW69" s="349"/>
      <c r="EX69" s="349"/>
      <c r="EY69" s="349"/>
      <c r="EZ69" s="349"/>
      <c r="FA69" s="349"/>
      <c r="FB69" s="349"/>
      <c r="FC69" s="349"/>
      <c r="FD69" s="349"/>
      <c r="FE69" s="349"/>
      <c r="FF69" s="349"/>
      <c r="FG69" s="349"/>
      <c r="FH69" s="349"/>
      <c r="FI69" s="349"/>
      <c r="FJ69" s="349"/>
      <c r="FK69" s="349"/>
      <c r="FL69" s="349"/>
      <c r="FM69" s="349"/>
      <c r="FN69" s="349"/>
      <c r="FO69" s="349"/>
      <c r="FP69" s="349"/>
      <c r="FQ69" s="349"/>
      <c r="FR69" s="349"/>
      <c r="FS69" s="349"/>
      <c r="FT69" s="349"/>
      <c r="FU69" s="349"/>
      <c r="FV69" s="349"/>
      <c r="FW69" s="349"/>
      <c r="FX69" s="349"/>
      <c r="FY69" s="349"/>
      <c r="FZ69" s="349"/>
      <c r="GA69" s="349"/>
      <c r="GB69" s="349"/>
      <c r="GC69" s="349"/>
      <c r="GD69" s="349"/>
      <c r="GE69" s="349"/>
      <c r="GF69" s="349"/>
      <c r="GG69" s="349"/>
      <c r="GH69" s="349"/>
      <c r="GI69" s="349"/>
      <c r="GJ69" s="349"/>
      <c r="GK69" s="349"/>
      <c r="GL69" s="349"/>
      <c r="GM69" s="349"/>
      <c r="GN69" s="349"/>
      <c r="GO69" s="349"/>
      <c r="GP69" s="349"/>
      <c r="GQ69" s="349"/>
      <c r="GR69" s="349"/>
      <c r="GS69" s="349"/>
      <c r="GT69" s="349"/>
      <c r="GU69" s="349"/>
      <c r="GV69" s="349"/>
      <c r="GW69" s="349"/>
      <c r="GX69" s="349"/>
      <c r="GY69" s="349"/>
      <c r="GZ69" s="349"/>
      <c r="HA69" s="349"/>
      <c r="HB69" s="349"/>
      <c r="HC69" s="349"/>
      <c r="HD69" s="349"/>
      <c r="HE69" s="349"/>
      <c r="HF69" s="349"/>
      <c r="HG69" s="349"/>
      <c r="HH69" s="349"/>
      <c r="HI69" s="349"/>
      <c r="HJ69" s="349"/>
      <c r="HK69" s="349"/>
      <c r="HL69" s="349"/>
      <c r="HM69" s="349"/>
      <c r="HN69" s="349"/>
      <c r="HO69" s="349"/>
      <c r="HP69" s="349"/>
      <c r="HQ69" s="349"/>
      <c r="HR69" s="349"/>
      <c r="HS69" s="349"/>
      <c r="HT69" s="349"/>
      <c r="HU69" s="349"/>
      <c r="HV69" s="349"/>
      <c r="HW69" s="349"/>
      <c r="HX69" s="349"/>
      <c r="HY69" s="349"/>
      <c r="HZ69" s="349"/>
      <c r="IA69" s="349"/>
      <c r="IB69" s="349"/>
      <c r="IC69" s="349"/>
      <c r="ID69" s="349"/>
      <c r="IE69" s="349"/>
      <c r="IF69" s="349"/>
      <c r="IG69" s="349"/>
      <c r="IH69" s="349"/>
      <c r="II69" s="349"/>
      <c r="IJ69" s="349"/>
      <c r="IK69" s="349"/>
      <c r="IL69" s="349"/>
      <c r="IM69" s="349"/>
      <c r="IN69" s="349"/>
      <c r="IO69" s="349"/>
      <c r="IP69" s="349"/>
      <c r="IQ69" s="349"/>
      <c r="IR69" s="349"/>
      <c r="IS69" s="349"/>
      <c r="IT69" s="349"/>
      <c r="IU69" s="349"/>
      <c r="IV69" s="349"/>
      <c r="IW69" s="349"/>
      <c r="IX69" s="349"/>
      <c r="IY69" s="349"/>
      <c r="IZ69" s="349"/>
      <c r="JA69" s="349"/>
      <c r="JB69" s="349"/>
      <c r="JC69" s="349"/>
      <c r="JD69" s="349"/>
      <c r="JE69" s="349"/>
      <c r="JF69" s="349"/>
      <c r="JG69" s="349"/>
      <c r="JH69" s="349"/>
      <c r="JI69" s="349"/>
      <c r="JJ69" s="349"/>
      <c r="JK69" s="349"/>
      <c r="JL69" s="349"/>
      <c r="JM69" s="349"/>
      <c r="JN69" s="349"/>
      <c r="JO69" s="349"/>
      <c r="JP69" s="349"/>
      <c r="JQ69" s="349"/>
      <c r="JR69" s="349"/>
      <c r="JS69" s="349"/>
      <c r="JT69" s="349"/>
      <c r="JU69" s="349"/>
      <c r="JV69" s="349"/>
      <c r="JW69" s="349"/>
      <c r="JX69" s="349"/>
      <c r="JY69" s="349"/>
      <c r="JZ69" s="349"/>
      <c r="KA69" s="349"/>
      <c r="KB69" s="349"/>
      <c r="KC69" s="349"/>
      <c r="KD69" s="349"/>
      <c r="KE69" s="349"/>
      <c r="KF69" s="349"/>
      <c r="KG69" s="349"/>
      <c r="KH69" s="349"/>
      <c r="KI69" s="349"/>
      <c r="KJ69" s="349"/>
      <c r="KK69" s="349"/>
      <c r="KL69" s="349"/>
      <c r="KM69" s="349"/>
      <c r="KN69" s="349"/>
      <c r="KO69" s="349"/>
      <c r="KP69" s="349"/>
      <c r="KQ69" s="349"/>
      <c r="KR69" s="349"/>
      <c r="KS69" s="349"/>
      <c r="KT69" s="349"/>
      <c r="KU69" s="349"/>
      <c r="KV69" s="349"/>
      <c r="KW69" s="349"/>
      <c r="KX69" s="349"/>
      <c r="KY69" s="349"/>
      <c r="KZ69" s="349"/>
      <c r="LA69" s="349"/>
      <c r="LB69" s="349"/>
      <c r="LC69" s="349"/>
      <c r="LD69" s="349"/>
      <c r="LE69" s="349"/>
      <c r="LF69" s="349"/>
      <c r="LG69" s="349"/>
      <c r="LH69" s="349"/>
      <c r="LI69" s="349"/>
      <c r="LJ69" s="349"/>
      <c r="LK69" s="349"/>
      <c r="LL69" s="349"/>
      <c r="LM69" s="349"/>
      <c r="LN69" s="349"/>
      <c r="LO69" s="349"/>
      <c r="LP69" s="349"/>
      <c r="LQ69" s="349"/>
      <c r="LR69" s="349"/>
      <c r="LS69" s="349"/>
      <c r="LT69" s="349"/>
      <c r="LU69" s="349"/>
      <c r="LV69" s="349"/>
      <c r="LW69" s="349"/>
      <c r="LX69" s="349"/>
      <c r="LY69" s="349"/>
      <c r="LZ69" s="349"/>
      <c r="MA69" s="349"/>
      <c r="MB69" s="349"/>
      <c r="MC69" s="349"/>
      <c r="MD69" s="349"/>
      <c r="ME69" s="349"/>
      <c r="MF69" s="349"/>
      <c r="MG69" s="349"/>
      <c r="MH69" s="349"/>
      <c r="MI69" s="349"/>
      <c r="MJ69" s="349"/>
      <c r="MK69" s="349"/>
      <c r="ML69" s="349"/>
      <c r="MM69" s="349"/>
      <c r="MN69" s="349"/>
      <c r="MO69" s="349"/>
      <c r="MP69" s="349"/>
      <c r="MQ69" s="349"/>
      <c r="MR69" s="349"/>
      <c r="MS69" s="349"/>
      <c r="MT69" s="349"/>
      <c r="MU69" s="349"/>
      <c r="MV69" s="349"/>
      <c r="MW69" s="349"/>
      <c r="MX69" s="349"/>
      <c r="MY69" s="349"/>
      <c r="MZ69" s="349"/>
      <c r="NA69" s="349"/>
      <c r="NB69" s="349"/>
      <c r="NC69" s="349"/>
      <c r="ND69" s="349"/>
      <c r="NE69" s="349"/>
      <c r="NF69" s="349"/>
      <c r="NG69" s="349"/>
      <c r="NH69" s="349"/>
      <c r="NI69" s="349"/>
      <c r="NJ69" s="349"/>
      <c r="NK69" s="349"/>
      <c r="NL69" s="349"/>
      <c r="NM69" s="349"/>
      <c r="NN69" s="349"/>
      <c r="NO69" s="349"/>
      <c r="NP69" s="349"/>
      <c r="NQ69" s="349"/>
      <c r="NR69" s="349"/>
      <c r="NS69" s="349"/>
      <c r="NT69" s="349"/>
      <c r="NU69" s="349"/>
      <c r="NV69" s="349"/>
      <c r="NW69" s="349"/>
      <c r="NX69" s="349"/>
      <c r="NY69" s="349"/>
      <c r="NZ69" s="349"/>
      <c r="OA69" s="349"/>
      <c r="OB69" s="349"/>
      <c r="OC69" s="349"/>
      <c r="OD69" s="349"/>
      <c r="OE69" s="349"/>
      <c r="OF69" s="349"/>
      <c r="OG69" s="349"/>
      <c r="OH69" s="349"/>
      <c r="OI69" s="349"/>
      <c r="OJ69" s="349"/>
      <c r="OK69" s="349"/>
      <c r="OL69" s="349"/>
      <c r="OM69" s="349"/>
      <c r="ON69" s="349"/>
      <c r="OO69" s="349"/>
      <c r="OP69" s="349"/>
      <c r="OQ69" s="349"/>
      <c r="OR69" s="349"/>
      <c r="OS69" s="349"/>
      <c r="OT69" s="349"/>
      <c r="OU69" s="349"/>
      <c r="OV69" s="349"/>
      <c r="OW69" s="349"/>
      <c r="OX69" s="349"/>
      <c r="OY69" s="349"/>
      <c r="OZ69" s="349"/>
      <c r="PA69" s="349"/>
      <c r="PB69" s="349"/>
      <c r="PC69" s="349"/>
      <c r="PD69" s="349"/>
      <c r="PE69" s="349"/>
      <c r="PF69" s="349"/>
      <c r="PG69" s="349"/>
      <c r="PH69" s="349"/>
      <c r="PI69" s="349"/>
      <c r="PJ69" s="349"/>
      <c r="PK69" s="349"/>
      <c r="PL69" s="349"/>
      <c r="PM69" s="349"/>
      <c r="PN69" s="349"/>
      <c r="PO69" s="349"/>
      <c r="PP69" s="349"/>
      <c r="PQ69" s="349"/>
      <c r="PR69" s="349"/>
      <c r="PS69" s="349"/>
      <c r="PT69" s="349"/>
      <c r="PU69" s="349"/>
      <c r="PV69" s="349"/>
      <c r="PW69" s="349"/>
      <c r="PX69" s="349"/>
      <c r="PY69" s="349"/>
      <c r="PZ69" s="349"/>
      <c r="QA69" s="349"/>
      <c r="QB69" s="349"/>
      <c r="QC69" s="349"/>
      <c r="QD69" s="349"/>
      <c r="QE69" s="349"/>
      <c r="QF69" s="349"/>
      <c r="QG69" s="349"/>
      <c r="QH69" s="349"/>
      <c r="QI69" s="349"/>
      <c r="QJ69" s="349"/>
      <c r="QK69" s="349"/>
      <c r="QL69" s="349"/>
      <c r="QM69" s="349"/>
      <c r="QN69" s="349"/>
      <c r="QO69" s="349"/>
      <c r="QP69" s="349"/>
      <c r="QQ69" s="349"/>
      <c r="QR69" s="349"/>
      <c r="QS69" s="349"/>
      <c r="QT69" s="349"/>
      <c r="QU69" s="349"/>
      <c r="QV69" s="349"/>
      <c r="QW69" s="349"/>
      <c r="QX69" s="349"/>
      <c r="QY69" s="349"/>
      <c r="QZ69" s="349"/>
      <c r="RA69" s="349"/>
      <c r="RB69" s="349"/>
      <c r="RC69" s="349"/>
      <c r="RD69" s="349"/>
      <c r="RE69" s="349"/>
      <c r="RF69" s="349"/>
      <c r="RG69" s="349"/>
      <c r="RH69" s="349"/>
      <c r="RI69" s="349"/>
      <c r="RJ69" s="349"/>
      <c r="RK69" s="349"/>
      <c r="RL69" s="349"/>
      <c r="RM69" s="349"/>
      <c r="RN69" s="349"/>
      <c r="RO69" s="349"/>
      <c r="RP69" s="349"/>
      <c r="RQ69" s="349"/>
      <c r="RR69" s="349"/>
      <c r="RS69" s="349"/>
      <c r="RT69" s="349"/>
      <c r="RU69" s="349"/>
      <c r="RV69" s="349"/>
      <c r="RW69" s="349"/>
      <c r="RX69" s="349"/>
      <c r="RY69" s="349"/>
      <c r="RZ69" s="349"/>
      <c r="SA69" s="349"/>
      <c r="SB69" s="349"/>
      <c r="SC69" s="349"/>
      <c r="SD69" s="349"/>
      <c r="SE69" s="349"/>
      <c r="SF69" s="349"/>
      <c r="SG69" s="349"/>
      <c r="SH69" s="349"/>
      <c r="SI69" s="349"/>
      <c r="SJ69" s="349"/>
      <c r="SK69" s="349"/>
      <c r="SL69" s="349"/>
      <c r="SM69" s="349"/>
      <c r="SN69" s="349"/>
      <c r="SO69" s="349"/>
      <c r="SP69" s="349"/>
      <c r="SQ69" s="349"/>
      <c r="SR69" s="349"/>
      <c r="SS69" s="349"/>
      <c r="ST69" s="349"/>
      <c r="SU69" s="349"/>
      <c r="SV69" s="349"/>
      <c r="SW69" s="349"/>
      <c r="SX69" s="349"/>
      <c r="SY69" s="349"/>
      <c r="SZ69" s="349"/>
      <c r="TA69" s="349"/>
      <c r="TB69" s="349"/>
      <c r="TC69" s="349"/>
      <c r="TD69" s="349"/>
      <c r="TE69" s="349"/>
      <c r="TF69" s="349"/>
      <c r="TG69" s="349"/>
      <c r="TH69" s="349"/>
      <c r="TI69" s="349"/>
      <c r="TJ69" s="349"/>
      <c r="TK69" s="349"/>
      <c r="TL69" s="349"/>
      <c r="TM69" s="349"/>
      <c r="TN69" s="349"/>
      <c r="TO69" s="349"/>
      <c r="TP69" s="349"/>
      <c r="TQ69" s="349"/>
      <c r="TR69" s="349"/>
      <c r="TS69" s="349"/>
      <c r="TT69" s="349"/>
      <c r="TU69" s="349"/>
      <c r="TV69" s="349"/>
      <c r="TW69" s="349"/>
      <c r="TX69" s="349"/>
      <c r="TY69" s="349"/>
      <c r="TZ69" s="349"/>
      <c r="UA69" s="349"/>
      <c r="UB69" s="349"/>
      <c r="UC69" s="349"/>
      <c r="UD69" s="349"/>
      <c r="UE69" s="349"/>
      <c r="UF69" s="349"/>
      <c r="UG69" s="349"/>
      <c r="UH69" s="349"/>
      <c r="UI69" s="349"/>
      <c r="UJ69" s="349"/>
      <c r="UK69" s="349"/>
      <c r="UL69" s="349"/>
      <c r="UM69" s="349"/>
      <c r="UN69" s="349"/>
      <c r="UO69" s="349"/>
      <c r="UP69" s="349"/>
      <c r="UQ69" s="349"/>
      <c r="UR69" s="349"/>
      <c r="US69" s="349"/>
      <c r="UT69" s="349"/>
      <c r="UU69" s="349"/>
      <c r="UV69" s="349"/>
      <c r="UW69" s="349"/>
      <c r="UX69" s="349"/>
      <c r="UY69" s="349"/>
      <c r="UZ69" s="349"/>
      <c r="VA69" s="349"/>
      <c r="VB69" s="349"/>
      <c r="VC69" s="349"/>
      <c r="VD69" s="349"/>
      <c r="VE69" s="349"/>
      <c r="VF69" s="349"/>
      <c r="VG69" s="349"/>
      <c r="VH69" s="349"/>
      <c r="VI69" s="349"/>
      <c r="VJ69" s="349"/>
      <c r="VK69" s="349"/>
      <c r="VL69" s="349"/>
      <c r="VM69" s="349"/>
      <c r="VN69" s="349"/>
      <c r="VO69" s="349"/>
      <c r="VP69" s="349"/>
      <c r="VQ69" s="349"/>
      <c r="VR69" s="349"/>
      <c r="VS69" s="349"/>
      <c r="VT69" s="349"/>
      <c r="VU69" s="349"/>
      <c r="VV69" s="349"/>
      <c r="VW69" s="349"/>
      <c r="VX69" s="349"/>
      <c r="VY69" s="349"/>
      <c r="VZ69" s="349"/>
      <c r="WA69" s="349"/>
      <c r="WB69" s="349"/>
      <c r="WC69" s="349"/>
      <c r="WD69" s="349"/>
      <c r="WE69" s="349"/>
      <c r="WF69" s="349"/>
      <c r="WG69" s="349"/>
      <c r="WH69" s="349"/>
      <c r="WI69" s="349"/>
      <c r="WJ69" s="349"/>
      <c r="WK69" s="349"/>
      <c r="WL69" s="349"/>
      <c r="WM69" s="349"/>
      <c r="WN69" s="349"/>
      <c r="WO69" s="349"/>
      <c r="WP69" s="349"/>
      <c r="WQ69" s="349"/>
      <c r="WR69" s="349"/>
      <c r="WS69" s="349"/>
      <c r="WT69" s="349"/>
      <c r="WU69" s="349"/>
      <c r="WV69" s="349"/>
      <c r="WW69" s="349"/>
      <c r="WX69" s="349"/>
      <c r="WY69" s="349"/>
      <c r="WZ69" s="349"/>
      <c r="XA69" s="349"/>
      <c r="XB69" s="349"/>
      <c r="XC69" s="349"/>
      <c r="XD69" s="349"/>
      <c r="XE69" s="349"/>
      <c r="XF69" s="349"/>
      <c r="XG69" s="349"/>
      <c r="XH69" s="349"/>
      <c r="XI69" s="349"/>
      <c r="XJ69" s="349"/>
      <c r="XK69" s="349"/>
      <c r="XL69" s="349"/>
      <c r="XM69" s="349"/>
      <c r="XN69" s="349"/>
      <c r="XO69" s="349"/>
      <c r="XP69" s="349"/>
      <c r="XQ69" s="349"/>
      <c r="XR69" s="349"/>
      <c r="XS69" s="349"/>
      <c r="XT69" s="349"/>
      <c r="XU69" s="349"/>
      <c r="XV69" s="349"/>
      <c r="XW69" s="349"/>
      <c r="XX69" s="349"/>
      <c r="XY69" s="349"/>
      <c r="XZ69" s="349"/>
      <c r="YA69" s="349"/>
      <c r="YB69" s="349"/>
      <c r="YC69" s="349"/>
      <c r="YD69" s="349"/>
      <c r="YE69" s="349"/>
      <c r="YF69" s="349"/>
      <c r="YG69" s="349"/>
      <c r="YH69" s="349"/>
      <c r="YI69" s="349"/>
      <c r="YJ69" s="349"/>
      <c r="YK69" s="349"/>
      <c r="YL69" s="349"/>
      <c r="YM69" s="349"/>
      <c r="YN69" s="349"/>
      <c r="YO69" s="349"/>
      <c r="YP69" s="349"/>
      <c r="YQ69" s="349"/>
      <c r="YR69" s="349"/>
      <c r="YS69" s="349"/>
      <c r="YT69" s="349"/>
      <c r="YU69" s="349"/>
      <c r="YV69" s="349"/>
      <c r="YW69" s="349"/>
      <c r="YX69" s="349"/>
      <c r="YY69" s="349"/>
      <c r="YZ69" s="349"/>
      <c r="ZA69" s="349"/>
      <c r="ZB69" s="349"/>
      <c r="ZC69" s="349"/>
      <c r="ZD69" s="349"/>
      <c r="ZE69" s="349"/>
      <c r="ZF69" s="349"/>
      <c r="ZG69" s="349"/>
      <c r="ZH69" s="349"/>
      <c r="ZI69" s="349"/>
      <c r="ZJ69" s="349"/>
      <c r="ZK69" s="349"/>
      <c r="ZL69" s="349"/>
      <c r="ZM69" s="349"/>
      <c r="ZN69" s="349"/>
      <c r="ZO69" s="349"/>
      <c r="ZP69" s="349"/>
      <c r="ZQ69" s="349"/>
      <c r="ZR69" s="349"/>
      <c r="ZS69" s="349"/>
      <c r="ZT69" s="349"/>
      <c r="ZU69" s="349"/>
      <c r="ZV69" s="349"/>
      <c r="ZW69" s="349"/>
      <c r="ZX69" s="349"/>
      <c r="ZY69" s="349"/>
      <c r="ZZ69" s="349"/>
      <c r="AAA69" s="349"/>
      <c r="AAB69" s="349"/>
      <c r="AAC69" s="349"/>
      <c r="AAD69" s="349"/>
      <c r="AAE69" s="349"/>
      <c r="AAF69" s="349"/>
      <c r="AAG69" s="349"/>
      <c r="AAH69" s="349"/>
      <c r="AAI69" s="349"/>
      <c r="AAJ69" s="349"/>
      <c r="AAK69" s="349"/>
      <c r="AAL69" s="349"/>
      <c r="AAM69" s="349"/>
      <c r="AAN69" s="349"/>
      <c r="AAO69" s="349"/>
      <c r="AAP69" s="349"/>
      <c r="AAQ69" s="349"/>
      <c r="AAR69" s="349"/>
      <c r="AAS69" s="349"/>
      <c r="AAT69" s="349"/>
      <c r="AAU69" s="349"/>
      <c r="AAV69" s="349"/>
      <c r="AAW69" s="349"/>
      <c r="AAX69" s="349"/>
      <c r="AAY69" s="349"/>
      <c r="AAZ69" s="349"/>
      <c r="ABA69" s="349"/>
      <c r="ABB69" s="349"/>
      <c r="ABC69" s="349"/>
      <c r="ABD69" s="349"/>
      <c r="ABE69" s="349"/>
      <c r="ABF69" s="349"/>
      <c r="ABG69" s="349"/>
      <c r="ABH69" s="349"/>
      <c r="ABI69" s="349"/>
      <c r="ABJ69" s="349"/>
      <c r="ABK69" s="349"/>
      <c r="ABL69" s="349"/>
      <c r="ABM69" s="349"/>
      <c r="ABN69" s="349"/>
      <c r="ABO69" s="349"/>
      <c r="ABP69" s="349"/>
      <c r="ABQ69" s="349"/>
      <c r="ABR69" s="349"/>
      <c r="ABS69" s="349"/>
      <c r="ABT69" s="349"/>
      <c r="ABU69" s="349"/>
      <c r="ABV69" s="349"/>
      <c r="ABW69" s="349"/>
      <c r="ABX69" s="349"/>
      <c r="ABY69" s="349"/>
      <c r="ABZ69" s="349"/>
      <c r="ACA69" s="349"/>
      <c r="ACB69" s="349"/>
      <c r="ACC69" s="349"/>
      <c r="ACD69" s="349"/>
      <c r="ACE69" s="349"/>
      <c r="ACF69" s="349"/>
      <c r="ACG69" s="349"/>
      <c r="ACH69" s="349"/>
      <c r="ACI69" s="349"/>
      <c r="ACJ69" s="349"/>
      <c r="ACK69" s="349"/>
      <c r="ACL69" s="349"/>
      <c r="ACM69" s="349"/>
      <c r="ACN69" s="349"/>
      <c r="ACO69" s="349"/>
      <c r="ACP69" s="349"/>
      <c r="ACQ69" s="349"/>
      <c r="ACR69" s="349"/>
      <c r="ACS69" s="349"/>
      <c r="ACT69" s="349"/>
      <c r="ACU69" s="349"/>
      <c r="ACV69" s="349"/>
      <c r="ACW69" s="349"/>
      <c r="ACX69" s="349"/>
      <c r="ACY69" s="349"/>
      <c r="ACZ69" s="349"/>
      <c r="ADA69" s="349"/>
      <c r="ADB69" s="349"/>
      <c r="ADC69" s="349"/>
      <c r="ADD69" s="349"/>
      <c r="ADE69" s="349"/>
      <c r="ADF69" s="349"/>
      <c r="ADG69" s="349"/>
      <c r="ADH69" s="349"/>
      <c r="ADI69" s="349"/>
      <c r="ADJ69" s="349"/>
      <c r="ADK69" s="349"/>
      <c r="ADL69" s="349"/>
      <c r="ADM69" s="349"/>
      <c r="ADN69" s="349"/>
      <c r="ADO69" s="349"/>
      <c r="ADP69" s="349"/>
      <c r="ADQ69" s="349"/>
      <c r="ADR69" s="349"/>
      <c r="ADS69" s="349"/>
      <c r="ADT69" s="349"/>
      <c r="ADU69" s="349"/>
      <c r="ADV69" s="349"/>
      <c r="ADW69" s="349"/>
      <c r="ADX69" s="349"/>
      <c r="ADY69" s="349"/>
      <c r="ADZ69" s="349"/>
      <c r="AEA69" s="349"/>
      <c r="AEB69" s="349"/>
      <c r="AEC69" s="349"/>
      <c r="AED69" s="349"/>
      <c r="AEE69" s="349"/>
      <c r="AEF69" s="349"/>
      <c r="AEG69" s="349"/>
      <c r="AEH69" s="349"/>
      <c r="AEI69" s="349"/>
      <c r="AEJ69" s="349"/>
      <c r="AEK69" s="349"/>
      <c r="AEL69" s="349"/>
      <c r="AEM69" s="349"/>
      <c r="AEN69" s="349"/>
      <c r="AEO69" s="349"/>
      <c r="AEP69" s="349"/>
      <c r="AEQ69" s="349"/>
      <c r="AER69" s="349"/>
      <c r="AES69" s="349"/>
      <c r="AET69" s="349"/>
      <c r="AEU69" s="349"/>
      <c r="AEV69" s="349"/>
      <c r="AEW69" s="349"/>
      <c r="AEX69" s="349"/>
      <c r="AEY69" s="349"/>
      <c r="AEZ69" s="349"/>
      <c r="AFA69" s="349"/>
      <c r="AFB69" s="349"/>
      <c r="AFC69" s="349"/>
      <c r="AFD69" s="349"/>
      <c r="AFE69" s="349"/>
      <c r="AFF69" s="349"/>
      <c r="AFG69" s="349"/>
      <c r="AFH69" s="349"/>
      <c r="AFI69" s="349"/>
      <c r="AFJ69" s="349"/>
      <c r="AFK69" s="349"/>
      <c r="AFL69" s="349"/>
      <c r="AFM69" s="349"/>
      <c r="AFN69" s="349"/>
      <c r="AFO69" s="349"/>
      <c r="AFP69" s="349"/>
      <c r="AFQ69" s="349"/>
      <c r="AFR69" s="349"/>
      <c r="AFS69" s="349"/>
      <c r="AFT69" s="349"/>
      <c r="AFU69" s="349"/>
      <c r="AFV69" s="349"/>
      <c r="AFW69" s="349"/>
      <c r="AFX69" s="349"/>
      <c r="AFY69" s="349"/>
      <c r="AFZ69" s="349"/>
      <c r="AGA69" s="349"/>
      <c r="AGB69" s="349"/>
      <c r="AGC69" s="349"/>
      <c r="AGD69" s="349"/>
      <c r="AGE69" s="349"/>
      <c r="AGF69" s="349"/>
      <c r="AGG69" s="349"/>
      <c r="AGH69" s="349"/>
      <c r="AGI69" s="349"/>
      <c r="AGJ69" s="349"/>
      <c r="AGK69" s="349"/>
      <c r="AGL69" s="349"/>
      <c r="AGM69" s="349"/>
      <c r="AGN69" s="349"/>
      <c r="AGO69" s="349"/>
      <c r="AGP69" s="349"/>
      <c r="AGQ69" s="349"/>
      <c r="AGR69" s="349"/>
      <c r="AGS69" s="349"/>
      <c r="AGT69" s="349"/>
      <c r="AGU69" s="349"/>
      <c r="AGV69" s="349"/>
      <c r="AGW69" s="349"/>
      <c r="AGX69" s="349"/>
      <c r="AGY69" s="349"/>
      <c r="AGZ69" s="349"/>
      <c r="AHA69" s="349"/>
      <c r="AHB69" s="349"/>
      <c r="AHC69" s="349"/>
      <c r="AHD69" s="349"/>
      <c r="AHE69" s="349"/>
      <c r="AHF69" s="349"/>
      <c r="AHG69" s="349"/>
      <c r="AHH69" s="349"/>
      <c r="AHI69" s="349"/>
      <c r="AHJ69" s="349"/>
      <c r="AHK69" s="349"/>
      <c r="AHL69" s="349"/>
      <c r="AHM69" s="349"/>
      <c r="AHN69" s="349"/>
      <c r="AHO69" s="349"/>
      <c r="AHP69" s="349"/>
      <c r="AHQ69" s="349"/>
      <c r="AHR69" s="349"/>
      <c r="AHS69" s="349"/>
      <c r="AHT69" s="349"/>
      <c r="AHU69" s="349"/>
      <c r="AHV69" s="349"/>
      <c r="AHW69" s="349"/>
      <c r="AHX69" s="349"/>
      <c r="AHY69" s="349"/>
      <c r="AHZ69" s="349"/>
      <c r="AIA69" s="349"/>
      <c r="AIB69" s="349"/>
      <c r="AIC69" s="349"/>
      <c r="AID69" s="349"/>
      <c r="AIE69" s="349"/>
      <c r="AIF69" s="349"/>
      <c r="AIG69" s="349"/>
      <c r="AIH69" s="349"/>
      <c r="AII69" s="349"/>
      <c r="AIJ69" s="349"/>
      <c r="AIK69" s="349"/>
      <c r="AIL69" s="349"/>
      <c r="AIM69" s="349"/>
      <c r="AIN69" s="349"/>
      <c r="AIO69" s="349"/>
      <c r="AIP69" s="349"/>
      <c r="AIQ69" s="349"/>
      <c r="AIR69" s="349"/>
      <c r="AIS69" s="349"/>
      <c r="AIT69" s="349"/>
      <c r="AIU69" s="349"/>
      <c r="AIV69" s="349"/>
      <c r="AIW69" s="349"/>
      <c r="AIX69" s="349"/>
      <c r="AIY69" s="349"/>
      <c r="AIZ69" s="349"/>
      <c r="AJA69" s="349"/>
      <c r="AJB69" s="349"/>
      <c r="AJC69" s="349"/>
      <c r="AJD69" s="349"/>
      <c r="AJE69" s="349"/>
      <c r="AJF69" s="349"/>
      <c r="AJG69" s="349"/>
      <c r="AJH69" s="349"/>
      <c r="AJI69" s="349"/>
      <c r="AJJ69" s="349"/>
      <c r="AJK69" s="349"/>
      <c r="AJL69" s="349"/>
      <c r="AJM69" s="349"/>
      <c r="AJN69" s="349"/>
      <c r="AJO69" s="349"/>
      <c r="AJP69" s="349"/>
      <c r="AJQ69" s="349"/>
      <c r="AJR69" s="349"/>
      <c r="AJS69" s="349"/>
      <c r="AJT69" s="349"/>
      <c r="AJU69" s="349"/>
      <c r="AJV69" s="349"/>
      <c r="AJW69" s="349"/>
      <c r="AJX69" s="349"/>
      <c r="AJY69" s="349"/>
      <c r="AJZ69" s="349"/>
      <c r="AKA69" s="349"/>
      <c r="AKB69" s="349"/>
      <c r="AKC69" s="349"/>
      <c r="AKD69" s="349"/>
      <c r="AKE69" s="349"/>
      <c r="AKF69" s="349"/>
      <c r="AKG69" s="349"/>
      <c r="AKH69" s="349"/>
      <c r="AKI69" s="349"/>
      <c r="AKJ69" s="349"/>
      <c r="AKK69" s="349"/>
      <c r="AKL69" s="349"/>
      <c r="AKM69" s="349"/>
      <c r="AKN69" s="349"/>
      <c r="AKO69" s="349"/>
      <c r="AKP69" s="349"/>
      <c r="AKQ69" s="349"/>
      <c r="AKR69" s="349"/>
      <c r="AKS69" s="349"/>
      <c r="AKT69" s="349"/>
      <c r="AKU69" s="349"/>
      <c r="AKV69" s="349"/>
      <c r="AKW69" s="349"/>
      <c r="AKX69" s="349"/>
      <c r="AKY69" s="349"/>
      <c r="AKZ69" s="349"/>
      <c r="ALA69" s="349"/>
      <c r="ALB69" s="349"/>
      <c r="ALC69" s="349"/>
      <c r="ALD69" s="349"/>
      <c r="ALE69" s="349"/>
      <c r="ALF69" s="349"/>
      <c r="ALG69" s="349"/>
      <c r="ALH69" s="349"/>
      <c r="ALI69" s="349"/>
      <c r="ALJ69" s="349"/>
      <c r="ALK69" s="349"/>
      <c r="ALL69" s="349"/>
      <c r="ALM69" s="349"/>
      <c r="ALN69" s="349"/>
      <c r="ALO69" s="349"/>
      <c r="ALP69" s="349"/>
      <c r="ALQ69" s="349"/>
      <c r="ALR69" s="349"/>
      <c r="ALS69" s="349"/>
      <c r="ALT69" s="349"/>
      <c r="ALU69" s="349"/>
      <c r="ALV69" s="349"/>
      <c r="ALW69" s="349"/>
      <c r="ALX69" s="349"/>
      <c r="ALY69" s="349"/>
      <c r="ALZ69" s="349"/>
      <c r="AMA69" s="349"/>
      <c r="AMB69" s="349"/>
      <c r="AMC69" s="349"/>
      <c r="AMD69" s="349"/>
      <c r="AME69" s="349"/>
      <c r="AMF69" s="349"/>
      <c r="AMG69" s="349"/>
      <c r="AMH69" s="349"/>
      <c r="AMI69" s="349"/>
      <c r="AMJ69" s="349"/>
      <c r="AMK69" s="349"/>
      <c r="AML69" s="349"/>
      <c r="AMM69" s="349"/>
      <c r="AMN69" s="349"/>
      <c r="AMO69" s="349"/>
      <c r="AMP69" s="349"/>
      <c r="AMQ69" s="349"/>
      <c r="AMR69" s="349"/>
      <c r="AMS69" s="349"/>
      <c r="AMT69" s="349"/>
      <c r="AMU69" s="349"/>
      <c r="AMV69" s="349"/>
      <c r="AMW69" s="349"/>
      <c r="AMX69" s="349"/>
      <c r="AMY69" s="349"/>
      <c r="AMZ69" s="349"/>
      <c r="ANA69" s="349"/>
      <c r="ANB69" s="349"/>
      <c r="ANC69" s="349"/>
      <c r="AND69" s="349"/>
      <c r="ANE69" s="349"/>
      <c r="ANF69" s="349"/>
      <c r="ANG69" s="349"/>
      <c r="ANH69" s="349"/>
      <c r="ANI69" s="349"/>
      <c r="ANJ69" s="349"/>
      <c r="ANK69" s="349"/>
      <c r="ANL69" s="349"/>
      <c r="ANM69" s="349"/>
      <c r="ANN69" s="349"/>
      <c r="ANO69" s="349"/>
      <c r="ANP69" s="349"/>
      <c r="ANQ69" s="349"/>
      <c r="ANR69" s="349"/>
      <c r="ANS69" s="349"/>
      <c r="ANT69" s="349"/>
      <c r="ANU69" s="349"/>
      <c r="ANV69" s="349"/>
      <c r="ANW69" s="349"/>
      <c r="ANX69" s="349"/>
      <c r="ANY69" s="349"/>
      <c r="ANZ69" s="349"/>
      <c r="AOA69" s="349"/>
      <c r="AOB69" s="349"/>
      <c r="AOC69" s="349"/>
      <c r="AOD69" s="349"/>
      <c r="AOE69" s="349"/>
      <c r="AOF69" s="349"/>
      <c r="AOG69" s="349"/>
      <c r="AOH69" s="349"/>
      <c r="AOI69" s="349"/>
      <c r="AOJ69" s="349"/>
      <c r="AOK69" s="349"/>
      <c r="AOL69" s="349"/>
      <c r="AOM69" s="349"/>
      <c r="AON69" s="349"/>
      <c r="AOO69" s="349"/>
      <c r="AOP69" s="349"/>
      <c r="AOQ69" s="349"/>
      <c r="AOR69" s="349"/>
      <c r="AOS69" s="349"/>
      <c r="AOT69" s="349"/>
      <c r="AOU69" s="349"/>
      <c r="AOV69" s="349"/>
      <c r="AOW69" s="349"/>
      <c r="AOX69" s="349"/>
      <c r="AOY69" s="349"/>
      <c r="AOZ69" s="349"/>
      <c r="APA69" s="349"/>
      <c r="APB69" s="349"/>
      <c r="APC69" s="349"/>
      <c r="APD69" s="349"/>
      <c r="APE69" s="349"/>
      <c r="APF69" s="349"/>
      <c r="APG69" s="349"/>
      <c r="APH69" s="349"/>
      <c r="API69" s="349"/>
      <c r="APJ69" s="349"/>
      <c r="APK69" s="349"/>
      <c r="APL69" s="349"/>
      <c r="APM69" s="349"/>
      <c r="APN69" s="349"/>
      <c r="APO69" s="349"/>
      <c r="APP69" s="349"/>
      <c r="APQ69" s="349"/>
      <c r="APR69" s="349"/>
      <c r="APS69" s="349"/>
      <c r="APT69" s="349"/>
      <c r="APU69" s="349"/>
      <c r="APV69" s="349"/>
      <c r="APW69" s="349"/>
      <c r="APX69" s="349"/>
      <c r="APY69" s="349"/>
      <c r="APZ69" s="349"/>
      <c r="AQA69" s="349"/>
      <c r="AQB69" s="349"/>
      <c r="AQC69" s="349"/>
      <c r="AQD69" s="349"/>
      <c r="AQE69" s="349"/>
      <c r="AQF69" s="349"/>
      <c r="AQG69" s="349"/>
      <c r="AQH69" s="349"/>
      <c r="AQI69" s="349"/>
      <c r="AQJ69" s="349"/>
      <c r="AQK69" s="349"/>
      <c r="AQL69" s="349"/>
      <c r="AQM69" s="349"/>
      <c r="AQN69" s="349"/>
      <c r="AQO69" s="349"/>
      <c r="AQP69" s="349"/>
      <c r="AQQ69" s="349"/>
      <c r="AQR69" s="349"/>
      <c r="AQS69" s="349"/>
      <c r="AQT69" s="349"/>
      <c r="AQU69" s="349"/>
      <c r="AQV69" s="349"/>
      <c r="AQW69" s="349"/>
      <c r="AQX69" s="349"/>
      <c r="AQY69" s="349"/>
      <c r="AQZ69" s="349"/>
      <c r="ARA69" s="349"/>
      <c r="ARB69" s="349"/>
      <c r="ARC69" s="349"/>
      <c r="ARD69" s="349"/>
      <c r="ARE69" s="349"/>
      <c r="ARF69" s="349"/>
      <c r="ARG69" s="349"/>
      <c r="ARH69" s="349"/>
      <c r="ARI69" s="349"/>
      <c r="ARJ69" s="349"/>
      <c r="ARK69" s="349"/>
      <c r="ARL69" s="349"/>
      <c r="ARM69" s="349"/>
      <c r="ARN69" s="349"/>
      <c r="ARO69" s="349"/>
      <c r="ARP69" s="349"/>
      <c r="ARQ69" s="349"/>
      <c r="ARR69" s="349"/>
      <c r="ARS69" s="349"/>
      <c r="ART69" s="349"/>
      <c r="ARU69" s="349"/>
      <c r="ARV69" s="349"/>
      <c r="ARW69" s="349"/>
      <c r="ARX69" s="349"/>
      <c r="ARY69" s="349"/>
      <c r="ARZ69" s="349"/>
      <c r="ASA69" s="349"/>
      <c r="ASB69" s="349"/>
      <c r="ASC69" s="349"/>
      <c r="ASD69" s="349"/>
      <c r="ASE69" s="349"/>
      <c r="ASF69" s="349"/>
      <c r="ASG69" s="349"/>
      <c r="ASH69" s="349"/>
      <c r="ASI69" s="349"/>
      <c r="ASJ69" s="349"/>
      <c r="ASK69" s="349"/>
      <c r="ASL69" s="349"/>
      <c r="ASM69" s="349"/>
      <c r="ASN69" s="349"/>
      <c r="ASO69" s="349"/>
      <c r="ASP69" s="349"/>
      <c r="ASQ69" s="349"/>
      <c r="ASR69" s="349"/>
      <c r="ASS69" s="349"/>
      <c r="AST69" s="349"/>
      <c r="ASU69" s="349"/>
      <c r="ASV69" s="349"/>
      <c r="ASW69" s="349"/>
      <c r="ASX69" s="349"/>
      <c r="ASY69" s="349"/>
      <c r="ASZ69" s="349"/>
      <c r="ATA69" s="349"/>
      <c r="ATB69" s="349"/>
      <c r="ATC69" s="349"/>
      <c r="ATD69" s="349"/>
      <c r="ATE69" s="349"/>
      <c r="ATF69" s="349"/>
      <c r="ATG69" s="349"/>
      <c r="ATH69" s="349"/>
      <c r="ATI69" s="349"/>
      <c r="ATJ69" s="349"/>
      <c r="ATK69" s="349"/>
      <c r="ATL69" s="349"/>
      <c r="ATM69" s="349"/>
      <c r="ATN69" s="349"/>
      <c r="ATO69" s="349"/>
      <c r="ATP69" s="349"/>
      <c r="ATQ69" s="349"/>
      <c r="ATR69" s="349"/>
      <c r="ATS69" s="349"/>
      <c r="ATT69" s="349"/>
      <c r="ATU69" s="349"/>
      <c r="ATV69" s="349"/>
      <c r="ATW69" s="349"/>
      <c r="ATX69" s="349"/>
      <c r="ATY69" s="349"/>
      <c r="ATZ69" s="349"/>
      <c r="AUA69" s="349"/>
      <c r="AUB69" s="349"/>
      <c r="AUC69" s="349"/>
      <c r="AUD69" s="349"/>
      <c r="AUE69" s="349"/>
      <c r="AUF69" s="349"/>
      <c r="AUG69" s="349"/>
      <c r="AUH69" s="349"/>
      <c r="AUI69" s="349"/>
      <c r="AUJ69" s="349"/>
      <c r="AUK69" s="349"/>
      <c r="AUL69" s="349"/>
      <c r="AUM69" s="349"/>
      <c r="AUN69" s="349"/>
      <c r="AUO69" s="349"/>
      <c r="AUP69" s="349"/>
      <c r="AUQ69" s="349"/>
      <c r="AUR69" s="349"/>
      <c r="AUS69" s="349"/>
      <c r="AUT69" s="349"/>
      <c r="AUU69" s="349"/>
      <c r="AUV69" s="349"/>
      <c r="AUW69" s="349"/>
      <c r="AUX69" s="349"/>
      <c r="AUY69" s="349"/>
      <c r="AUZ69" s="349"/>
      <c r="AVA69" s="349"/>
      <c r="AVB69" s="349"/>
      <c r="AVC69" s="349"/>
      <c r="AVD69" s="349"/>
      <c r="AVE69" s="349"/>
      <c r="AVF69" s="349"/>
      <c r="AVG69" s="349"/>
      <c r="AVH69" s="349"/>
      <c r="AVI69" s="349"/>
      <c r="AVJ69" s="349"/>
      <c r="AVK69" s="349"/>
      <c r="AVL69" s="349"/>
      <c r="AVM69" s="349"/>
      <c r="AVN69" s="349"/>
      <c r="AVO69" s="349"/>
      <c r="AVP69" s="349"/>
      <c r="AVQ69" s="349"/>
      <c r="AVR69" s="349"/>
      <c r="AVS69" s="349"/>
      <c r="AVT69" s="349"/>
      <c r="AVU69" s="349"/>
      <c r="AVV69" s="349"/>
      <c r="AVW69" s="349"/>
      <c r="AVX69" s="349"/>
      <c r="AVY69" s="349"/>
      <c r="AVZ69" s="349"/>
      <c r="AWA69" s="349"/>
      <c r="AWB69" s="349"/>
      <c r="AWC69" s="349"/>
      <c r="AWD69" s="349"/>
      <c r="AWE69" s="349"/>
      <c r="AWF69" s="349"/>
      <c r="AWG69" s="349"/>
      <c r="AWH69" s="349"/>
      <c r="AWI69" s="349"/>
      <c r="AWJ69" s="349"/>
      <c r="AWK69" s="349"/>
      <c r="AWL69" s="349"/>
      <c r="AWM69" s="349"/>
      <c r="AWN69" s="349"/>
      <c r="AWO69" s="349"/>
      <c r="AWP69" s="349"/>
      <c r="AWQ69" s="349"/>
      <c r="AWR69" s="349"/>
      <c r="AWS69" s="349"/>
      <c r="AWT69" s="349"/>
      <c r="AWU69" s="349"/>
      <c r="AWV69" s="349"/>
      <c r="AWW69" s="349"/>
      <c r="AWX69" s="349"/>
      <c r="AWY69" s="349"/>
      <c r="AWZ69" s="349"/>
      <c r="AXA69" s="349"/>
      <c r="AXB69" s="349"/>
      <c r="AXC69" s="349"/>
      <c r="AXD69" s="349"/>
      <c r="AXE69" s="349"/>
      <c r="AXF69" s="349"/>
      <c r="AXG69" s="349"/>
      <c r="AXH69" s="349"/>
      <c r="AXI69" s="349"/>
      <c r="AXJ69" s="349"/>
      <c r="AXK69" s="349"/>
      <c r="AXL69" s="349"/>
      <c r="AXM69" s="349"/>
      <c r="AXN69" s="349"/>
      <c r="AXO69" s="349"/>
      <c r="AXP69" s="349"/>
      <c r="AXQ69" s="349"/>
      <c r="AXR69" s="349"/>
      <c r="AXS69" s="349"/>
      <c r="AXT69" s="349"/>
      <c r="AXU69" s="349"/>
      <c r="AXV69" s="349"/>
      <c r="AXW69" s="349"/>
      <c r="AXX69" s="349"/>
      <c r="AXY69" s="349"/>
      <c r="AXZ69" s="349"/>
      <c r="AYA69" s="349"/>
      <c r="AYB69" s="349"/>
      <c r="AYC69" s="349"/>
      <c r="AYD69" s="349"/>
      <c r="AYE69" s="349"/>
      <c r="AYF69" s="349"/>
      <c r="AYG69" s="349"/>
      <c r="AYH69" s="349"/>
      <c r="AYI69" s="349"/>
      <c r="AYJ69" s="349"/>
      <c r="AYK69" s="349"/>
      <c r="AYL69" s="349"/>
      <c r="AYM69" s="349"/>
      <c r="AYN69" s="349"/>
      <c r="AYO69" s="349"/>
      <c r="AYP69" s="349"/>
      <c r="AYQ69" s="349"/>
      <c r="AYR69" s="349"/>
      <c r="AYS69" s="349"/>
      <c r="AYT69" s="349"/>
      <c r="AYU69" s="349"/>
      <c r="AYV69" s="349"/>
      <c r="AYW69" s="349"/>
      <c r="AYX69" s="349"/>
      <c r="AYY69" s="349"/>
      <c r="AYZ69" s="349"/>
      <c r="AZA69" s="349"/>
      <c r="AZB69" s="349"/>
      <c r="AZC69" s="349"/>
      <c r="AZD69" s="349"/>
      <c r="AZE69" s="349"/>
      <c r="AZF69" s="349"/>
      <c r="AZG69" s="349"/>
      <c r="AZH69" s="349"/>
      <c r="AZI69" s="349"/>
      <c r="AZJ69" s="349"/>
      <c r="AZK69" s="349"/>
      <c r="AZL69" s="349"/>
      <c r="AZM69" s="349"/>
      <c r="AZN69" s="349"/>
      <c r="AZO69" s="349"/>
      <c r="AZP69" s="349"/>
      <c r="AZQ69" s="349"/>
      <c r="AZR69" s="349"/>
      <c r="AZS69" s="349"/>
      <c r="AZT69" s="349"/>
      <c r="AZU69" s="349"/>
      <c r="AZV69" s="349"/>
      <c r="AZW69" s="349"/>
      <c r="AZX69" s="349"/>
      <c r="AZY69" s="349"/>
      <c r="AZZ69" s="349"/>
      <c r="BAA69" s="349"/>
      <c r="BAB69" s="349"/>
      <c r="BAC69" s="349"/>
      <c r="BAD69" s="349"/>
      <c r="BAE69" s="349"/>
      <c r="BAF69" s="349"/>
      <c r="BAG69" s="349"/>
      <c r="BAH69" s="349"/>
      <c r="BAI69" s="349"/>
      <c r="BAJ69" s="349"/>
      <c r="BAK69" s="349"/>
      <c r="BAL69" s="349"/>
      <c r="BAM69" s="349"/>
      <c r="BAN69" s="349"/>
      <c r="BAO69" s="349"/>
      <c r="BAP69" s="349"/>
      <c r="BAQ69" s="349"/>
      <c r="BAR69" s="349"/>
      <c r="BAS69" s="349"/>
      <c r="BAT69" s="349"/>
      <c r="BAU69" s="349"/>
      <c r="BAV69" s="349"/>
      <c r="BAW69" s="349"/>
      <c r="BAX69" s="349"/>
      <c r="BAY69" s="349"/>
      <c r="BAZ69" s="349"/>
      <c r="BBA69" s="349"/>
      <c r="BBB69" s="349"/>
      <c r="BBC69" s="349"/>
      <c r="BBD69" s="349"/>
      <c r="BBE69" s="349"/>
      <c r="BBF69" s="349"/>
      <c r="BBG69" s="349"/>
      <c r="BBH69" s="349"/>
      <c r="BBI69" s="349"/>
      <c r="BBJ69" s="349"/>
      <c r="BBK69" s="349"/>
      <c r="BBL69" s="349"/>
      <c r="BBM69" s="349"/>
      <c r="BBN69" s="349"/>
      <c r="BBO69" s="349"/>
      <c r="BBP69" s="349"/>
      <c r="BBQ69" s="349"/>
      <c r="BBR69" s="349"/>
      <c r="BBS69" s="349"/>
      <c r="BBT69" s="349"/>
      <c r="BBU69" s="349"/>
      <c r="BBV69" s="349"/>
      <c r="BBW69" s="349"/>
      <c r="BBX69" s="349"/>
      <c r="BBY69" s="349"/>
      <c r="BBZ69" s="349"/>
      <c r="BCA69" s="349"/>
      <c r="BCB69" s="349"/>
      <c r="BCC69" s="349"/>
      <c r="BCD69" s="349"/>
      <c r="BCE69" s="349"/>
      <c r="BCF69" s="349"/>
      <c r="BCG69" s="349"/>
      <c r="BCH69" s="349"/>
      <c r="BCI69" s="349"/>
      <c r="BCJ69" s="349"/>
      <c r="BCK69" s="349"/>
      <c r="BCL69" s="349"/>
      <c r="BCM69" s="349"/>
      <c r="BCN69" s="349"/>
      <c r="BCO69" s="349"/>
      <c r="BCP69" s="349"/>
      <c r="BCQ69" s="349"/>
      <c r="BCR69" s="349"/>
      <c r="BCS69" s="349"/>
      <c r="BCT69" s="349"/>
      <c r="BCU69" s="349"/>
      <c r="BCV69" s="349"/>
      <c r="BCW69" s="349"/>
      <c r="BCX69" s="349"/>
      <c r="BCY69" s="349"/>
      <c r="BCZ69" s="349"/>
      <c r="BDA69" s="349"/>
      <c r="BDB69" s="349"/>
      <c r="BDC69" s="349"/>
      <c r="BDD69" s="349"/>
      <c r="BDE69" s="349"/>
      <c r="BDF69" s="349"/>
      <c r="BDG69" s="349"/>
      <c r="BDH69" s="349"/>
      <c r="BDI69" s="349"/>
      <c r="BDJ69" s="349"/>
      <c r="BDK69" s="349"/>
      <c r="BDL69" s="349"/>
      <c r="BDM69" s="349"/>
      <c r="BDN69" s="349"/>
      <c r="BDO69" s="349"/>
      <c r="BDP69" s="349"/>
      <c r="BDQ69" s="349"/>
      <c r="BDR69" s="349"/>
      <c r="BDS69" s="349"/>
      <c r="BDT69" s="349"/>
      <c r="BDU69" s="349"/>
      <c r="BDV69" s="349"/>
      <c r="BDW69" s="349"/>
      <c r="BDX69" s="349"/>
      <c r="BDY69" s="349"/>
      <c r="BDZ69" s="349"/>
      <c r="BEA69" s="349"/>
      <c r="BEB69" s="349"/>
      <c r="BEC69" s="349"/>
      <c r="BED69" s="349"/>
      <c r="BEE69" s="349"/>
      <c r="BEF69" s="349"/>
      <c r="BEG69" s="349"/>
      <c r="BEH69" s="349"/>
      <c r="BEI69" s="349"/>
      <c r="BEJ69" s="349"/>
      <c r="BEK69" s="349"/>
      <c r="BEL69" s="349"/>
      <c r="BEM69" s="349"/>
      <c r="BEN69" s="349"/>
      <c r="BEO69" s="349"/>
      <c r="BEP69" s="349"/>
      <c r="BEQ69" s="349"/>
      <c r="BER69" s="349"/>
      <c r="BES69" s="349"/>
      <c r="BET69" s="349"/>
      <c r="BEU69" s="349"/>
      <c r="BEV69" s="349"/>
      <c r="BEW69" s="349"/>
      <c r="BEX69" s="349"/>
      <c r="BEY69" s="349"/>
      <c r="BEZ69" s="349"/>
      <c r="BFA69" s="349"/>
      <c r="BFB69" s="349"/>
      <c r="BFC69" s="349"/>
      <c r="BFD69" s="349"/>
      <c r="BFE69" s="349"/>
      <c r="BFF69" s="349"/>
      <c r="BFG69" s="349"/>
      <c r="BFH69" s="349"/>
      <c r="BFI69" s="349"/>
      <c r="BFJ69" s="349"/>
      <c r="BFK69" s="349"/>
      <c r="BFL69" s="349"/>
      <c r="BFM69" s="349"/>
      <c r="BFN69" s="349"/>
      <c r="BFO69" s="349"/>
      <c r="BFP69" s="349"/>
      <c r="BFQ69" s="349"/>
      <c r="BFR69" s="349"/>
      <c r="BFS69" s="349"/>
      <c r="BFT69" s="349"/>
      <c r="BFU69" s="349"/>
      <c r="BFV69" s="349"/>
      <c r="BFW69" s="349"/>
      <c r="BFX69" s="349"/>
      <c r="BFY69" s="349"/>
      <c r="BFZ69" s="349"/>
      <c r="BGA69" s="349"/>
      <c r="BGB69" s="349"/>
      <c r="BGC69" s="349"/>
      <c r="BGD69" s="349"/>
      <c r="BGE69" s="349"/>
      <c r="BGF69" s="349"/>
      <c r="BGG69" s="349"/>
      <c r="BGH69" s="349"/>
      <c r="BGI69" s="349"/>
      <c r="BGJ69" s="349"/>
      <c r="BGK69" s="349"/>
      <c r="BGL69" s="349"/>
      <c r="BGM69" s="349"/>
      <c r="BGN69" s="349"/>
      <c r="BGO69" s="349"/>
      <c r="BGP69" s="349"/>
      <c r="BGQ69" s="349"/>
      <c r="BGR69" s="349"/>
      <c r="BGS69" s="349"/>
      <c r="BGT69" s="349"/>
      <c r="BGU69" s="349"/>
      <c r="BGV69" s="349"/>
      <c r="BGW69" s="349"/>
      <c r="BGX69" s="349"/>
      <c r="BGY69" s="349"/>
      <c r="BGZ69" s="349"/>
      <c r="BHA69" s="349"/>
      <c r="BHB69" s="349"/>
      <c r="BHC69" s="349"/>
      <c r="BHD69" s="349"/>
      <c r="BHE69" s="349"/>
      <c r="BHF69" s="349"/>
      <c r="BHG69" s="349"/>
      <c r="BHH69" s="349"/>
      <c r="BHI69" s="349"/>
      <c r="BHJ69" s="349"/>
      <c r="BHK69" s="349"/>
      <c r="BHL69" s="349"/>
      <c r="BHM69" s="349"/>
      <c r="BHN69" s="349"/>
      <c r="BHO69" s="349"/>
      <c r="BHP69" s="349"/>
      <c r="BHQ69" s="349"/>
      <c r="BHR69" s="349"/>
      <c r="BHS69" s="349"/>
      <c r="BHT69" s="349"/>
      <c r="BHU69" s="349"/>
      <c r="BHV69" s="349"/>
      <c r="BHW69" s="349"/>
      <c r="BHX69" s="349"/>
      <c r="BHY69" s="349"/>
      <c r="BHZ69" s="349"/>
      <c r="BIA69" s="349"/>
      <c r="BIB69" s="349"/>
      <c r="BIC69" s="349"/>
      <c r="BID69" s="349"/>
      <c r="BIE69" s="349"/>
      <c r="BIF69" s="349"/>
      <c r="BIG69" s="349"/>
      <c r="BIH69" s="349"/>
      <c r="BII69" s="349"/>
      <c r="BIJ69" s="349"/>
      <c r="BIK69" s="349"/>
      <c r="BIL69" s="349"/>
      <c r="BIM69" s="349"/>
      <c r="BIN69" s="349"/>
      <c r="BIO69" s="349"/>
      <c r="BIP69" s="349"/>
      <c r="BIQ69" s="349"/>
      <c r="BIR69" s="349"/>
      <c r="BIS69" s="349"/>
      <c r="BIT69" s="349"/>
      <c r="BIU69" s="349"/>
      <c r="BIV69" s="349"/>
      <c r="BIW69" s="349"/>
      <c r="BIX69" s="349"/>
      <c r="BIY69" s="349"/>
      <c r="BIZ69" s="349"/>
      <c r="BJA69" s="349"/>
      <c r="BJB69" s="349"/>
      <c r="BJC69" s="349"/>
      <c r="BJD69" s="349"/>
      <c r="BJE69" s="349"/>
      <c r="BJF69" s="349"/>
      <c r="BJG69" s="349"/>
      <c r="BJH69" s="349"/>
      <c r="BJI69" s="349"/>
      <c r="BJJ69" s="349"/>
      <c r="BJK69" s="349"/>
      <c r="BJL69" s="349"/>
      <c r="BJM69" s="349"/>
      <c r="BJN69" s="349"/>
      <c r="BJO69" s="349"/>
      <c r="BJP69" s="349"/>
      <c r="BJQ69" s="349"/>
      <c r="BJR69" s="349"/>
      <c r="BJS69" s="349"/>
      <c r="BJT69" s="349"/>
      <c r="BJU69" s="349"/>
      <c r="BJV69" s="349"/>
      <c r="BJW69" s="349"/>
      <c r="BJX69" s="349"/>
      <c r="BJY69" s="349"/>
      <c r="BJZ69" s="349"/>
      <c r="BKA69" s="349"/>
      <c r="BKB69" s="349"/>
      <c r="BKC69" s="349"/>
      <c r="BKD69" s="349"/>
      <c r="BKE69" s="349"/>
      <c r="BKF69" s="349"/>
      <c r="BKG69" s="349"/>
      <c r="BKH69" s="349"/>
      <c r="BKI69" s="349"/>
      <c r="BKJ69" s="349"/>
      <c r="BKK69" s="349"/>
      <c r="BKL69" s="349"/>
      <c r="BKM69" s="349"/>
      <c r="BKN69" s="349"/>
      <c r="BKO69" s="349"/>
      <c r="BKP69" s="349"/>
      <c r="BKQ69" s="349"/>
      <c r="BKR69" s="349"/>
      <c r="BKS69" s="349"/>
      <c r="BKT69" s="349"/>
      <c r="BKU69" s="349"/>
      <c r="BKV69" s="349"/>
      <c r="BKW69" s="349"/>
      <c r="BKX69" s="349"/>
      <c r="BKY69" s="349"/>
      <c r="BKZ69" s="349"/>
      <c r="BLA69" s="349"/>
      <c r="BLB69" s="349"/>
      <c r="BLC69" s="349"/>
      <c r="BLD69" s="349"/>
      <c r="BLE69" s="349"/>
      <c r="BLF69" s="349"/>
      <c r="BLG69" s="349"/>
      <c r="BLH69" s="349"/>
      <c r="BLI69" s="349"/>
      <c r="BLJ69" s="349"/>
      <c r="BLK69" s="349"/>
      <c r="BLL69" s="349"/>
      <c r="BLM69" s="349"/>
      <c r="BLN69" s="349"/>
      <c r="BLO69" s="349"/>
      <c r="BLP69" s="349"/>
      <c r="BLQ69" s="349"/>
      <c r="BLR69" s="349"/>
      <c r="BLS69" s="349"/>
      <c r="BLT69" s="349"/>
      <c r="BLU69" s="349"/>
      <c r="BLV69" s="349"/>
      <c r="BLW69" s="349"/>
      <c r="BLX69" s="349"/>
      <c r="BLY69" s="349"/>
      <c r="BLZ69" s="349"/>
      <c r="BMA69" s="349"/>
      <c r="BMB69" s="349"/>
      <c r="BMC69" s="349"/>
      <c r="BMD69" s="349"/>
      <c r="BME69" s="349"/>
      <c r="BMF69" s="349"/>
      <c r="BMG69" s="349"/>
      <c r="BMH69" s="349"/>
      <c r="BMI69" s="349"/>
      <c r="BMJ69" s="349"/>
      <c r="BMK69" s="349"/>
      <c r="BML69" s="349"/>
      <c r="BMM69" s="349"/>
      <c r="BMN69" s="349"/>
      <c r="BMO69" s="349"/>
      <c r="BMP69" s="349"/>
      <c r="BMQ69" s="349"/>
      <c r="BMR69" s="349"/>
      <c r="BMS69" s="349"/>
      <c r="BMT69" s="349"/>
      <c r="BMU69" s="349"/>
      <c r="BMV69" s="349"/>
      <c r="BMW69" s="349"/>
      <c r="BMX69" s="349"/>
      <c r="BMY69" s="349"/>
      <c r="BMZ69" s="349"/>
      <c r="BNA69" s="349"/>
      <c r="BNB69" s="349"/>
      <c r="BNC69" s="349"/>
      <c r="BND69" s="349"/>
      <c r="BNE69" s="349"/>
      <c r="BNF69" s="349"/>
      <c r="BNG69" s="349"/>
      <c r="BNH69" s="349"/>
      <c r="BNI69" s="349"/>
      <c r="BNJ69" s="349"/>
      <c r="BNK69" s="349"/>
      <c r="BNL69" s="349"/>
      <c r="BNM69" s="349"/>
      <c r="BNN69" s="349"/>
      <c r="BNO69" s="349"/>
      <c r="BNP69" s="349"/>
      <c r="BNQ69" s="349"/>
      <c r="BNR69" s="349"/>
      <c r="BNS69" s="349"/>
      <c r="BNT69" s="349"/>
      <c r="BNU69" s="349"/>
      <c r="BNV69" s="349"/>
      <c r="BNW69" s="349"/>
      <c r="BNX69" s="349"/>
      <c r="BNY69" s="349"/>
      <c r="BNZ69" s="349"/>
      <c r="BOA69" s="349"/>
      <c r="BOB69" s="349"/>
      <c r="BOC69" s="349"/>
      <c r="BOD69" s="349"/>
      <c r="BOE69" s="349"/>
      <c r="BOF69" s="349"/>
      <c r="BOG69" s="349"/>
      <c r="BOH69" s="349"/>
      <c r="BOI69" s="349"/>
      <c r="BOJ69" s="349"/>
      <c r="BOK69" s="349"/>
      <c r="BOL69" s="349"/>
      <c r="BOM69" s="349"/>
      <c r="BON69" s="349"/>
      <c r="BOO69" s="349"/>
      <c r="BOP69" s="349"/>
      <c r="BOQ69" s="349"/>
      <c r="BOR69" s="349"/>
      <c r="BOS69" s="349"/>
      <c r="BOT69" s="349"/>
      <c r="BOU69" s="349"/>
      <c r="BOV69" s="349"/>
      <c r="BOW69" s="349"/>
      <c r="BOX69" s="349"/>
      <c r="BOY69" s="349"/>
      <c r="BOZ69" s="349"/>
      <c r="BPA69" s="349"/>
      <c r="BPB69" s="349"/>
      <c r="BPC69" s="349"/>
      <c r="BPD69" s="349"/>
      <c r="BPE69" s="349"/>
      <c r="BPF69" s="349"/>
      <c r="BPG69" s="349"/>
      <c r="BPH69" s="349"/>
      <c r="BPI69" s="349"/>
      <c r="BPJ69" s="349"/>
      <c r="BPK69" s="349"/>
      <c r="BPL69" s="349"/>
      <c r="BPM69" s="349"/>
      <c r="BPN69" s="349"/>
      <c r="BPO69" s="349"/>
      <c r="BPP69" s="349"/>
      <c r="BPQ69" s="349"/>
      <c r="BPR69" s="349"/>
      <c r="BPS69" s="349"/>
      <c r="BPT69" s="349"/>
      <c r="BPU69" s="349"/>
      <c r="BPV69" s="349"/>
      <c r="BPW69" s="349"/>
      <c r="BPX69" s="349"/>
      <c r="BPY69" s="349"/>
      <c r="BPZ69" s="349"/>
      <c r="BQA69" s="349"/>
      <c r="BQB69" s="349"/>
      <c r="BQC69" s="349"/>
      <c r="BQD69" s="349"/>
      <c r="BQE69" s="349"/>
      <c r="BQF69" s="349"/>
      <c r="BQG69" s="349"/>
      <c r="BQH69" s="349"/>
      <c r="BQI69" s="349"/>
      <c r="BQJ69" s="349"/>
      <c r="BQK69" s="349"/>
      <c r="BQL69" s="349"/>
      <c r="BQM69" s="349"/>
      <c r="BQN69" s="349"/>
      <c r="BQO69" s="349"/>
      <c r="BQP69" s="349"/>
      <c r="BQQ69" s="349"/>
      <c r="BQR69" s="349"/>
      <c r="BQS69" s="349"/>
      <c r="BQT69" s="349"/>
      <c r="BQU69" s="349"/>
      <c r="BQV69" s="349"/>
      <c r="BQW69" s="349"/>
      <c r="BQX69" s="349"/>
      <c r="BQY69" s="349"/>
      <c r="BQZ69" s="349"/>
      <c r="BRA69" s="349"/>
      <c r="BRB69" s="349"/>
      <c r="BRC69" s="349"/>
      <c r="BRD69" s="349"/>
      <c r="BRE69" s="349"/>
      <c r="BRF69" s="349"/>
      <c r="BRG69" s="349"/>
      <c r="BRH69" s="349"/>
      <c r="BRI69" s="349"/>
      <c r="BRJ69" s="349"/>
      <c r="BRK69" s="349"/>
      <c r="BRL69" s="349"/>
      <c r="BRM69" s="349"/>
      <c r="BRN69" s="349"/>
      <c r="BRO69" s="349"/>
      <c r="BRP69" s="349"/>
      <c r="BRQ69" s="349"/>
      <c r="BRR69" s="349"/>
      <c r="BRS69" s="349"/>
      <c r="BRT69" s="349"/>
      <c r="BRU69" s="349"/>
      <c r="BRV69" s="349"/>
      <c r="BRW69" s="349"/>
      <c r="BRX69" s="349"/>
      <c r="BRY69" s="349"/>
      <c r="BRZ69" s="349"/>
      <c r="BSA69" s="349"/>
      <c r="BSB69" s="349"/>
      <c r="BSC69" s="349"/>
      <c r="BSD69" s="349"/>
      <c r="BSE69" s="349"/>
      <c r="BSF69" s="349"/>
      <c r="BSG69" s="349"/>
      <c r="BSH69" s="349"/>
      <c r="BSI69" s="349"/>
      <c r="BSJ69" s="349"/>
      <c r="BSK69" s="349"/>
      <c r="BSL69" s="349"/>
      <c r="BSM69" s="349"/>
      <c r="BSN69" s="349"/>
      <c r="BSO69" s="349"/>
      <c r="BSP69" s="349"/>
      <c r="BSQ69" s="349"/>
      <c r="BSR69" s="349"/>
      <c r="BSS69" s="349"/>
      <c r="BST69" s="349"/>
      <c r="BSU69" s="349"/>
      <c r="BSV69" s="349"/>
      <c r="BSW69" s="349"/>
      <c r="BSX69" s="349"/>
      <c r="BSY69" s="349"/>
      <c r="BSZ69" s="349"/>
      <c r="BTA69" s="349"/>
      <c r="BTB69" s="349"/>
      <c r="BTC69" s="349"/>
      <c r="BTD69" s="349"/>
      <c r="BTE69" s="349"/>
      <c r="BTF69" s="349"/>
      <c r="BTG69" s="349"/>
      <c r="BTH69" s="349"/>
      <c r="BTI69" s="349"/>
      <c r="BTJ69" s="349"/>
      <c r="BTK69" s="349"/>
      <c r="BTL69" s="349"/>
      <c r="BTM69" s="349"/>
      <c r="BTN69" s="349"/>
      <c r="BTO69" s="349"/>
      <c r="BTP69" s="349"/>
      <c r="BTQ69" s="349"/>
      <c r="BTR69" s="349"/>
      <c r="BTS69" s="349"/>
      <c r="BTT69" s="349"/>
      <c r="BTU69" s="349"/>
      <c r="BTV69" s="349"/>
      <c r="BTW69" s="349"/>
      <c r="BTX69" s="349"/>
      <c r="BTY69" s="349"/>
      <c r="BTZ69" s="349"/>
      <c r="BUA69" s="349"/>
      <c r="BUB69" s="349"/>
      <c r="BUC69" s="349"/>
      <c r="BUD69" s="349"/>
      <c r="BUE69" s="349"/>
      <c r="BUF69" s="349"/>
      <c r="BUG69" s="349"/>
      <c r="BUH69" s="349"/>
      <c r="BUI69" s="349"/>
      <c r="BUJ69" s="349"/>
      <c r="BUK69" s="349"/>
      <c r="BUL69" s="349"/>
      <c r="BUM69" s="349"/>
      <c r="BUN69" s="349"/>
      <c r="BUO69" s="349"/>
      <c r="BUP69" s="349"/>
      <c r="BUQ69" s="349"/>
      <c r="BUR69" s="349"/>
      <c r="BUS69" s="349"/>
      <c r="BUT69" s="349"/>
      <c r="BUU69" s="349"/>
      <c r="BUV69" s="349"/>
      <c r="BUW69" s="349"/>
      <c r="BUX69" s="349"/>
      <c r="BUY69" s="349"/>
      <c r="BUZ69" s="349"/>
      <c r="BVA69" s="349"/>
      <c r="BVB69" s="349"/>
      <c r="BVC69" s="349"/>
      <c r="BVD69" s="349"/>
      <c r="BVE69" s="349"/>
      <c r="BVF69" s="349"/>
      <c r="BVG69" s="349"/>
      <c r="BVH69" s="349"/>
      <c r="BVI69" s="349"/>
      <c r="BVJ69" s="349"/>
      <c r="BVK69" s="349"/>
      <c r="BVL69" s="349"/>
      <c r="BVM69" s="349"/>
      <c r="BVN69" s="349"/>
      <c r="BVO69" s="349"/>
      <c r="BVP69" s="349"/>
      <c r="BVQ69" s="349"/>
      <c r="BVR69" s="349"/>
      <c r="BVS69" s="349"/>
      <c r="BVT69" s="349"/>
      <c r="BVU69" s="349"/>
      <c r="BVV69" s="349"/>
      <c r="BVW69" s="349"/>
      <c r="BVX69" s="349"/>
      <c r="BVY69" s="349"/>
      <c r="BVZ69" s="349"/>
      <c r="BWA69" s="349"/>
      <c r="BWB69" s="349"/>
      <c r="BWC69" s="349"/>
      <c r="BWD69" s="349"/>
      <c r="BWE69" s="349"/>
      <c r="BWF69" s="349"/>
      <c r="BWG69" s="349"/>
      <c r="BWH69" s="349"/>
      <c r="BWI69" s="349"/>
      <c r="BWJ69" s="349"/>
      <c r="BWK69" s="349"/>
      <c r="BWL69" s="349"/>
      <c r="BWM69" s="349"/>
      <c r="BWN69" s="349"/>
      <c r="BWO69" s="349"/>
      <c r="BWP69" s="349"/>
      <c r="BWQ69" s="349"/>
      <c r="BWR69" s="349"/>
      <c r="BWS69" s="349"/>
      <c r="BWT69" s="349"/>
      <c r="BWU69" s="349"/>
      <c r="BWV69" s="349"/>
      <c r="BWW69" s="349"/>
      <c r="BWX69" s="349"/>
      <c r="BWY69" s="349"/>
      <c r="BWZ69" s="349"/>
      <c r="BXA69" s="349"/>
      <c r="BXB69" s="349"/>
      <c r="BXC69" s="349"/>
      <c r="BXD69" s="349"/>
      <c r="BXE69" s="349"/>
      <c r="BXF69" s="349"/>
      <c r="BXG69" s="349"/>
      <c r="BXH69" s="349"/>
      <c r="BXI69" s="349"/>
      <c r="BXJ69" s="349"/>
      <c r="BXK69" s="349"/>
      <c r="BXL69" s="349"/>
      <c r="BXM69" s="349"/>
      <c r="BXN69" s="349"/>
      <c r="BXO69" s="349"/>
      <c r="BXP69" s="349"/>
      <c r="BXQ69" s="349"/>
      <c r="BXR69" s="349"/>
      <c r="BXS69" s="349"/>
      <c r="BXT69" s="349"/>
      <c r="BXU69" s="349"/>
      <c r="BXV69" s="349"/>
      <c r="BXW69" s="349"/>
      <c r="BXX69" s="349"/>
      <c r="BXY69" s="349"/>
      <c r="BXZ69" s="349"/>
      <c r="BYA69" s="349"/>
      <c r="BYB69" s="349"/>
      <c r="BYC69" s="349"/>
      <c r="BYD69" s="349"/>
      <c r="BYE69" s="349"/>
      <c r="BYF69" s="349"/>
      <c r="BYG69" s="349"/>
      <c r="BYH69" s="349"/>
      <c r="BYI69" s="349"/>
      <c r="BYJ69" s="349"/>
      <c r="BYK69" s="349"/>
      <c r="BYL69" s="349"/>
      <c r="BYM69" s="349"/>
      <c r="BYN69" s="349"/>
      <c r="BYO69" s="349"/>
      <c r="BYP69" s="349"/>
      <c r="BYQ69" s="349"/>
      <c r="BYR69" s="349"/>
      <c r="BYS69" s="349"/>
      <c r="BYT69" s="349"/>
      <c r="BYU69" s="349"/>
      <c r="BYV69" s="349"/>
      <c r="BYW69" s="349"/>
      <c r="BYX69" s="349"/>
      <c r="BYY69" s="349"/>
      <c r="BYZ69" s="349"/>
      <c r="BZA69" s="349"/>
      <c r="BZB69" s="349"/>
      <c r="BZC69" s="349"/>
      <c r="BZD69" s="349"/>
      <c r="BZE69" s="349"/>
      <c r="BZF69" s="349"/>
      <c r="BZG69" s="349"/>
      <c r="BZH69" s="349"/>
      <c r="BZI69" s="349"/>
      <c r="BZJ69" s="349"/>
      <c r="BZK69" s="349"/>
      <c r="BZL69" s="349"/>
      <c r="BZM69" s="349"/>
      <c r="BZN69" s="349"/>
      <c r="BZO69" s="349"/>
      <c r="BZP69" s="349"/>
      <c r="BZQ69" s="349"/>
      <c r="BZR69" s="349"/>
      <c r="BZS69" s="349"/>
      <c r="BZT69" s="349"/>
      <c r="BZU69" s="349"/>
      <c r="BZV69" s="349"/>
      <c r="BZW69" s="349"/>
      <c r="BZX69" s="349"/>
      <c r="BZY69" s="349"/>
      <c r="BZZ69" s="349"/>
      <c r="CAA69" s="349"/>
      <c r="CAB69" s="349"/>
      <c r="CAC69" s="349"/>
      <c r="CAD69" s="349"/>
      <c r="CAE69" s="349"/>
      <c r="CAF69" s="349"/>
      <c r="CAG69" s="349"/>
      <c r="CAH69" s="349"/>
      <c r="CAI69" s="349"/>
      <c r="CAJ69" s="349"/>
      <c r="CAK69" s="349"/>
      <c r="CAL69" s="349"/>
      <c r="CAM69" s="349"/>
      <c r="CAN69" s="349"/>
      <c r="CAO69" s="349"/>
      <c r="CAP69" s="349"/>
      <c r="CAQ69" s="349"/>
      <c r="CAR69" s="349"/>
      <c r="CAS69" s="349"/>
      <c r="CAT69" s="349"/>
      <c r="CAU69" s="349"/>
      <c r="CAV69" s="349"/>
      <c r="CAW69" s="349"/>
      <c r="CAX69" s="349"/>
      <c r="CAY69" s="349"/>
      <c r="CAZ69" s="349"/>
      <c r="CBA69" s="349"/>
      <c r="CBB69" s="349"/>
      <c r="CBC69" s="349"/>
      <c r="CBD69" s="349"/>
      <c r="CBE69" s="349"/>
      <c r="CBF69" s="349"/>
      <c r="CBG69" s="349"/>
      <c r="CBH69" s="349"/>
      <c r="CBI69" s="349"/>
      <c r="CBJ69" s="349"/>
      <c r="CBK69" s="349"/>
      <c r="CBL69" s="349"/>
      <c r="CBM69" s="349"/>
      <c r="CBN69" s="349"/>
      <c r="CBO69" s="349"/>
      <c r="CBP69" s="349"/>
      <c r="CBQ69" s="349"/>
      <c r="CBR69" s="349"/>
      <c r="CBS69" s="349"/>
      <c r="CBT69" s="349"/>
      <c r="CBU69" s="349"/>
      <c r="CBV69" s="349"/>
      <c r="CBW69" s="349"/>
      <c r="CBX69" s="349"/>
      <c r="CBY69" s="349"/>
      <c r="CBZ69" s="349"/>
      <c r="CCA69" s="349"/>
      <c r="CCB69" s="349"/>
      <c r="CCC69" s="349"/>
      <c r="CCD69" s="349"/>
      <c r="CCE69" s="349"/>
      <c r="CCF69" s="349"/>
      <c r="CCG69" s="349"/>
      <c r="CCH69" s="349"/>
      <c r="CCI69" s="349"/>
      <c r="CCJ69" s="349"/>
      <c r="CCK69" s="349"/>
      <c r="CCL69" s="349"/>
      <c r="CCM69" s="349"/>
      <c r="CCN69" s="349"/>
      <c r="CCO69" s="349"/>
      <c r="CCP69" s="349"/>
      <c r="CCQ69" s="349"/>
      <c r="CCR69" s="349"/>
      <c r="CCS69" s="349"/>
      <c r="CCT69" s="349"/>
      <c r="CCU69" s="349"/>
      <c r="CCV69" s="349"/>
      <c r="CCW69" s="349"/>
      <c r="CCX69" s="349"/>
      <c r="CCY69" s="349"/>
      <c r="CCZ69" s="349"/>
      <c r="CDA69" s="349"/>
      <c r="CDB69" s="349"/>
      <c r="CDC69" s="349"/>
      <c r="CDD69" s="349"/>
      <c r="CDE69" s="349"/>
      <c r="CDF69" s="349"/>
      <c r="CDG69" s="349"/>
      <c r="CDH69" s="349"/>
      <c r="CDI69" s="349"/>
      <c r="CDJ69" s="349"/>
      <c r="CDK69" s="349"/>
      <c r="CDL69" s="349"/>
      <c r="CDM69" s="349"/>
      <c r="CDN69" s="349"/>
      <c r="CDO69" s="349"/>
      <c r="CDP69" s="349"/>
      <c r="CDQ69" s="349"/>
      <c r="CDR69" s="349"/>
      <c r="CDS69" s="349"/>
      <c r="CDT69" s="349"/>
      <c r="CDU69" s="349"/>
      <c r="CDV69" s="349"/>
      <c r="CDW69" s="349"/>
      <c r="CDX69" s="349"/>
      <c r="CDY69" s="349"/>
      <c r="CDZ69" s="349"/>
      <c r="CEA69" s="349"/>
      <c r="CEB69" s="349"/>
      <c r="CEC69" s="349"/>
      <c r="CED69" s="349"/>
      <c r="CEE69" s="349"/>
      <c r="CEF69" s="349"/>
      <c r="CEG69" s="349"/>
      <c r="CEH69" s="349"/>
      <c r="CEI69" s="349"/>
      <c r="CEJ69" s="349"/>
      <c r="CEK69" s="349"/>
      <c r="CEL69" s="349"/>
      <c r="CEM69" s="349"/>
      <c r="CEN69" s="349"/>
      <c r="CEO69" s="349"/>
      <c r="CEP69" s="349"/>
      <c r="CEQ69" s="349"/>
      <c r="CER69" s="349"/>
      <c r="CES69" s="349"/>
      <c r="CET69" s="349"/>
      <c r="CEU69" s="349"/>
      <c r="CEV69" s="349"/>
      <c r="CEW69" s="349"/>
      <c r="CEX69" s="349"/>
      <c r="CEY69" s="349"/>
      <c r="CEZ69" s="349"/>
      <c r="CFA69" s="349"/>
      <c r="CFB69" s="349"/>
      <c r="CFC69" s="349"/>
      <c r="CFD69" s="349"/>
      <c r="CFE69" s="349"/>
      <c r="CFF69" s="349"/>
      <c r="CFG69" s="349"/>
      <c r="CFH69" s="349"/>
      <c r="CFI69" s="349"/>
      <c r="CFJ69" s="349"/>
      <c r="CFK69" s="349"/>
      <c r="CFL69" s="349"/>
      <c r="CFM69" s="349"/>
      <c r="CFN69" s="349"/>
      <c r="CFO69" s="349"/>
      <c r="CFP69" s="349"/>
      <c r="CFQ69" s="349"/>
      <c r="CFR69" s="349"/>
      <c r="CFS69" s="349"/>
      <c r="CFT69" s="349"/>
      <c r="CFU69" s="349"/>
      <c r="CFV69" s="349"/>
      <c r="CFW69" s="349"/>
      <c r="CFX69" s="349"/>
      <c r="CFY69" s="349"/>
      <c r="CFZ69" s="349"/>
      <c r="CGA69" s="349"/>
      <c r="CGB69" s="349"/>
      <c r="CGC69" s="349"/>
      <c r="CGD69" s="349"/>
      <c r="CGE69" s="349"/>
      <c r="CGF69" s="349"/>
      <c r="CGG69" s="349"/>
      <c r="CGH69" s="349"/>
      <c r="CGI69" s="349"/>
      <c r="CGJ69" s="349"/>
      <c r="CGK69" s="349"/>
      <c r="CGL69" s="349"/>
      <c r="CGM69" s="349"/>
      <c r="CGN69" s="349"/>
      <c r="CGO69" s="349"/>
      <c r="CGP69" s="349"/>
      <c r="CGQ69" s="349"/>
      <c r="CGR69" s="349"/>
      <c r="CGS69" s="349"/>
      <c r="CGT69" s="349"/>
      <c r="CGU69" s="349"/>
      <c r="CGV69" s="349"/>
      <c r="CGW69" s="349"/>
      <c r="CGX69" s="349"/>
      <c r="CGY69" s="349"/>
      <c r="CGZ69" s="349"/>
      <c r="CHA69" s="349"/>
      <c r="CHB69" s="349"/>
      <c r="CHC69" s="349"/>
      <c r="CHD69" s="349"/>
      <c r="CHE69" s="349"/>
      <c r="CHF69" s="349"/>
      <c r="CHG69" s="349"/>
      <c r="CHH69" s="349"/>
      <c r="CHI69" s="349"/>
      <c r="CHJ69" s="349"/>
      <c r="CHK69" s="349"/>
      <c r="CHL69" s="349"/>
      <c r="CHM69" s="349"/>
      <c r="CHN69" s="349"/>
      <c r="CHO69" s="349"/>
      <c r="CHP69" s="349"/>
      <c r="CHQ69" s="349"/>
      <c r="CHR69" s="349"/>
      <c r="CHS69" s="349"/>
      <c r="CHT69" s="349"/>
      <c r="CHU69" s="349"/>
      <c r="CHV69" s="349"/>
      <c r="CHW69" s="349"/>
      <c r="CHX69" s="349"/>
      <c r="CHY69" s="349"/>
      <c r="CHZ69" s="349"/>
      <c r="CIA69" s="349"/>
      <c r="CIB69" s="349"/>
      <c r="CIC69" s="349"/>
      <c r="CID69" s="349"/>
      <c r="CIE69" s="349"/>
      <c r="CIF69" s="349"/>
      <c r="CIG69" s="349"/>
      <c r="CIH69" s="349"/>
      <c r="CII69" s="349"/>
      <c r="CIJ69" s="349"/>
      <c r="CIK69" s="349"/>
      <c r="CIL69" s="349"/>
      <c r="CIM69" s="349"/>
      <c r="CIN69" s="349"/>
      <c r="CIO69" s="349"/>
      <c r="CIP69" s="349"/>
      <c r="CIQ69" s="349"/>
      <c r="CIR69" s="349"/>
      <c r="CIS69" s="349"/>
      <c r="CIT69" s="349"/>
      <c r="CIU69" s="349"/>
      <c r="CIV69" s="349"/>
      <c r="CIW69" s="349"/>
      <c r="CIX69" s="349"/>
      <c r="CIY69" s="349"/>
      <c r="CIZ69" s="349"/>
      <c r="CJA69" s="349"/>
      <c r="CJB69" s="349"/>
      <c r="CJC69" s="349"/>
      <c r="CJD69" s="349"/>
      <c r="CJE69" s="349"/>
      <c r="CJF69" s="349"/>
      <c r="CJG69" s="349"/>
      <c r="CJH69" s="349"/>
      <c r="CJI69" s="349"/>
      <c r="CJJ69" s="349"/>
      <c r="CJK69" s="349"/>
      <c r="CJL69" s="349"/>
      <c r="CJM69" s="349"/>
      <c r="CJN69" s="349"/>
      <c r="CJO69" s="349"/>
      <c r="CJP69" s="349"/>
      <c r="CJQ69" s="349"/>
      <c r="CJR69" s="349"/>
      <c r="CJS69" s="349"/>
      <c r="CJT69" s="349"/>
      <c r="CJU69" s="349"/>
      <c r="CJV69" s="349"/>
      <c r="CJW69" s="349"/>
      <c r="CJX69" s="349"/>
      <c r="CJY69" s="349"/>
      <c r="CJZ69" s="349"/>
      <c r="CKA69" s="349"/>
      <c r="CKB69" s="349"/>
      <c r="CKC69" s="349"/>
      <c r="CKD69" s="349"/>
      <c r="CKE69" s="349"/>
      <c r="CKF69" s="349"/>
      <c r="CKG69" s="349"/>
      <c r="CKH69" s="349"/>
      <c r="CKI69" s="349"/>
      <c r="CKJ69" s="349"/>
      <c r="CKK69" s="349"/>
      <c r="CKL69" s="349"/>
      <c r="CKM69" s="349"/>
      <c r="CKN69" s="349"/>
      <c r="CKO69" s="349"/>
      <c r="CKP69" s="349"/>
      <c r="CKQ69" s="349"/>
      <c r="CKR69" s="349"/>
      <c r="CKS69" s="349"/>
      <c r="CKT69" s="349"/>
      <c r="CKU69" s="349"/>
      <c r="CKV69" s="349"/>
      <c r="CKW69" s="349"/>
      <c r="CKX69" s="349"/>
      <c r="CKY69" s="349"/>
      <c r="CKZ69" s="349"/>
      <c r="CLA69" s="349"/>
      <c r="CLB69" s="349"/>
      <c r="CLC69" s="349"/>
      <c r="CLD69" s="349"/>
      <c r="CLE69" s="349"/>
      <c r="CLF69" s="349"/>
      <c r="CLG69" s="349"/>
      <c r="CLH69" s="349"/>
      <c r="CLI69" s="349"/>
      <c r="CLJ69" s="349"/>
      <c r="CLK69" s="349"/>
      <c r="CLL69" s="349"/>
      <c r="CLM69" s="349"/>
      <c r="CLN69" s="349"/>
      <c r="CLO69" s="349"/>
      <c r="CLP69" s="349"/>
      <c r="CLQ69" s="349"/>
      <c r="CLR69" s="349"/>
      <c r="CLS69" s="349"/>
      <c r="CLT69" s="349"/>
      <c r="CLU69" s="349"/>
      <c r="CLV69" s="349"/>
      <c r="CLW69" s="349"/>
      <c r="CLX69" s="349"/>
      <c r="CLY69" s="349"/>
      <c r="CLZ69" s="349"/>
      <c r="CMA69" s="349"/>
      <c r="CMB69" s="349"/>
      <c r="CMC69" s="349"/>
      <c r="CMD69" s="349"/>
      <c r="CME69" s="349"/>
      <c r="CMF69" s="349"/>
      <c r="CMG69" s="349"/>
      <c r="CMH69" s="349"/>
      <c r="CMI69" s="349"/>
      <c r="CMJ69" s="349"/>
      <c r="CMK69" s="349"/>
      <c r="CML69" s="349"/>
      <c r="CMM69" s="349"/>
      <c r="CMN69" s="349"/>
      <c r="CMO69" s="349"/>
      <c r="CMP69" s="349"/>
      <c r="CMQ69" s="349"/>
      <c r="CMR69" s="349"/>
      <c r="CMS69" s="349"/>
      <c r="CMT69" s="349"/>
      <c r="CMU69" s="349"/>
      <c r="CMV69" s="349"/>
      <c r="CMW69" s="349"/>
      <c r="CMX69" s="349"/>
      <c r="CMY69" s="349"/>
      <c r="CMZ69" s="349"/>
      <c r="CNA69" s="349"/>
      <c r="CNB69" s="349"/>
      <c r="CNC69" s="349"/>
      <c r="CND69" s="349"/>
      <c r="CNE69" s="349"/>
      <c r="CNF69" s="349"/>
      <c r="CNG69" s="349"/>
      <c r="CNH69" s="349"/>
      <c r="CNI69" s="349"/>
      <c r="CNJ69" s="349"/>
      <c r="CNK69" s="349"/>
      <c r="CNL69" s="349"/>
      <c r="CNM69" s="349"/>
      <c r="CNN69" s="349"/>
      <c r="CNO69" s="349"/>
      <c r="CNP69" s="349"/>
      <c r="CNQ69" s="349"/>
      <c r="CNR69" s="349"/>
      <c r="CNS69" s="349"/>
      <c r="CNT69" s="349"/>
      <c r="CNU69" s="349"/>
      <c r="CNV69" s="349"/>
      <c r="CNW69" s="349"/>
      <c r="CNX69" s="349"/>
      <c r="CNY69" s="349"/>
      <c r="CNZ69" s="349"/>
      <c r="COA69" s="349"/>
      <c r="COB69" s="349"/>
      <c r="COC69" s="349"/>
      <c r="COD69" s="349"/>
      <c r="COE69" s="349"/>
      <c r="COF69" s="349"/>
      <c r="COG69" s="349"/>
      <c r="COH69" s="349"/>
      <c r="COI69" s="349"/>
      <c r="COJ69" s="349"/>
      <c r="COK69" s="349"/>
      <c r="COL69" s="349"/>
      <c r="COM69" s="349"/>
      <c r="CON69" s="349"/>
      <c r="COO69" s="349"/>
      <c r="COP69" s="349"/>
      <c r="COQ69" s="349"/>
      <c r="COR69" s="349"/>
      <c r="COS69" s="349"/>
      <c r="COT69" s="349"/>
      <c r="COU69" s="349"/>
      <c r="COV69" s="349"/>
      <c r="COW69" s="349"/>
      <c r="COX69" s="349"/>
      <c r="COY69" s="349"/>
      <c r="COZ69" s="349"/>
      <c r="CPA69" s="349"/>
      <c r="CPB69" s="349"/>
      <c r="CPC69" s="349"/>
      <c r="CPD69" s="349"/>
      <c r="CPE69" s="349"/>
      <c r="CPF69" s="349"/>
      <c r="CPG69" s="349"/>
      <c r="CPH69" s="349"/>
      <c r="CPI69" s="349"/>
      <c r="CPJ69" s="349"/>
      <c r="CPK69" s="349"/>
      <c r="CPL69" s="349"/>
      <c r="CPM69" s="349"/>
      <c r="CPN69" s="349"/>
      <c r="CPO69" s="349"/>
      <c r="CPP69" s="349"/>
      <c r="CPQ69" s="349"/>
      <c r="CPR69" s="349"/>
      <c r="CPS69" s="349"/>
      <c r="CPT69" s="349"/>
      <c r="CPU69" s="349"/>
      <c r="CPV69" s="349"/>
      <c r="CPW69" s="349"/>
      <c r="CPX69" s="349"/>
      <c r="CPY69" s="349"/>
      <c r="CPZ69" s="349"/>
      <c r="CQA69" s="349"/>
      <c r="CQB69" s="349"/>
      <c r="CQC69" s="349"/>
      <c r="CQD69" s="349"/>
      <c r="CQE69" s="349"/>
      <c r="CQF69" s="349"/>
      <c r="CQG69" s="349"/>
      <c r="CQH69" s="349"/>
      <c r="CQI69" s="349"/>
      <c r="CQJ69" s="349"/>
      <c r="CQK69" s="349"/>
      <c r="CQL69" s="349"/>
      <c r="CQM69" s="349"/>
      <c r="CQN69" s="349"/>
      <c r="CQO69" s="349"/>
      <c r="CQP69" s="349"/>
      <c r="CQQ69" s="349"/>
      <c r="CQR69" s="349"/>
      <c r="CQS69" s="349"/>
      <c r="CQT69" s="349"/>
      <c r="CQU69" s="349"/>
      <c r="CQV69" s="349"/>
      <c r="CQW69" s="349"/>
      <c r="CQX69" s="349"/>
      <c r="CQY69" s="349"/>
      <c r="CQZ69" s="349"/>
      <c r="CRA69" s="349"/>
      <c r="CRB69" s="349"/>
      <c r="CRC69" s="349"/>
      <c r="CRD69" s="349"/>
      <c r="CRE69" s="349"/>
      <c r="CRF69" s="349"/>
      <c r="CRG69" s="349"/>
      <c r="CRH69" s="349"/>
      <c r="CRI69" s="349"/>
      <c r="CRJ69" s="349"/>
      <c r="CRK69" s="349"/>
      <c r="CRL69" s="349"/>
      <c r="CRM69" s="349"/>
      <c r="CRN69" s="349"/>
      <c r="CRO69" s="349"/>
      <c r="CRP69" s="349"/>
      <c r="CRQ69" s="349"/>
      <c r="CRR69" s="349"/>
      <c r="CRS69" s="349"/>
      <c r="CRT69" s="349"/>
      <c r="CRU69" s="349"/>
      <c r="CRV69" s="349"/>
      <c r="CRW69" s="349"/>
      <c r="CRX69" s="349"/>
      <c r="CRY69" s="349"/>
      <c r="CRZ69" s="349"/>
      <c r="CSA69" s="349"/>
      <c r="CSB69" s="349"/>
      <c r="CSC69" s="349"/>
      <c r="CSD69" s="349"/>
      <c r="CSE69" s="349"/>
      <c r="CSF69" s="349"/>
      <c r="CSG69" s="349"/>
      <c r="CSH69" s="349"/>
      <c r="CSI69" s="349"/>
      <c r="CSJ69" s="349"/>
      <c r="CSK69" s="349"/>
      <c r="CSL69" s="349"/>
      <c r="CSM69" s="349"/>
      <c r="CSN69" s="349"/>
      <c r="CSO69" s="349"/>
      <c r="CSP69" s="349"/>
      <c r="CSQ69" s="349"/>
      <c r="CSR69" s="349"/>
      <c r="CSS69" s="349"/>
      <c r="CST69" s="349"/>
      <c r="CSU69" s="349"/>
      <c r="CSV69" s="349"/>
      <c r="CSW69" s="349"/>
      <c r="CSX69" s="349"/>
      <c r="CSY69" s="349"/>
      <c r="CSZ69" s="349"/>
      <c r="CTA69" s="349"/>
      <c r="CTB69" s="349"/>
      <c r="CTC69" s="349"/>
      <c r="CTD69" s="349"/>
      <c r="CTE69" s="349"/>
      <c r="CTF69" s="349"/>
      <c r="CTG69" s="349"/>
      <c r="CTH69" s="349"/>
      <c r="CTI69" s="349"/>
      <c r="CTJ69" s="349"/>
      <c r="CTK69" s="349"/>
      <c r="CTL69" s="349"/>
      <c r="CTM69" s="349"/>
      <c r="CTN69" s="349"/>
      <c r="CTO69" s="349"/>
      <c r="CTP69" s="349"/>
      <c r="CTQ69" s="349"/>
      <c r="CTR69" s="349"/>
      <c r="CTS69" s="349"/>
      <c r="CTT69" s="349"/>
      <c r="CTU69" s="349"/>
      <c r="CTV69" s="349"/>
      <c r="CTW69" s="349"/>
      <c r="CTX69" s="349"/>
      <c r="CTY69" s="349"/>
      <c r="CTZ69" s="349"/>
      <c r="CUA69" s="349"/>
      <c r="CUB69" s="349"/>
      <c r="CUC69" s="349"/>
      <c r="CUD69" s="349"/>
      <c r="CUE69" s="349"/>
      <c r="CUF69" s="349"/>
      <c r="CUG69" s="349"/>
      <c r="CUH69" s="349"/>
      <c r="CUI69" s="349"/>
      <c r="CUJ69" s="349"/>
      <c r="CUK69" s="349"/>
      <c r="CUL69" s="349"/>
      <c r="CUM69" s="349"/>
      <c r="CUN69" s="349"/>
      <c r="CUO69" s="349"/>
      <c r="CUP69" s="349"/>
      <c r="CUQ69" s="349"/>
      <c r="CUR69" s="349"/>
      <c r="CUS69" s="349"/>
      <c r="CUT69" s="349"/>
      <c r="CUU69" s="349"/>
      <c r="CUV69" s="349"/>
      <c r="CUW69" s="349"/>
      <c r="CUX69" s="349"/>
      <c r="CUY69" s="349"/>
      <c r="CUZ69" s="349"/>
      <c r="CVA69" s="349"/>
      <c r="CVB69" s="349"/>
      <c r="CVC69" s="349"/>
      <c r="CVD69" s="349"/>
      <c r="CVE69" s="349"/>
      <c r="CVF69" s="349"/>
      <c r="CVG69" s="349"/>
      <c r="CVH69" s="349"/>
      <c r="CVI69" s="349"/>
      <c r="CVJ69" s="349"/>
      <c r="CVK69" s="349"/>
      <c r="CVL69" s="349"/>
      <c r="CVM69" s="349"/>
      <c r="CVN69" s="349"/>
      <c r="CVO69" s="349"/>
      <c r="CVP69" s="349"/>
      <c r="CVQ69" s="349"/>
      <c r="CVR69" s="349"/>
      <c r="CVS69" s="349"/>
      <c r="CVT69" s="349"/>
      <c r="CVU69" s="349"/>
      <c r="CVV69" s="349"/>
      <c r="CVW69" s="349"/>
      <c r="CVX69" s="349"/>
      <c r="CVY69" s="349"/>
      <c r="CVZ69" s="349"/>
      <c r="CWA69" s="349"/>
      <c r="CWB69" s="349"/>
      <c r="CWC69" s="349"/>
      <c r="CWD69" s="349"/>
      <c r="CWE69" s="349"/>
      <c r="CWF69" s="349"/>
      <c r="CWG69" s="349"/>
      <c r="CWH69" s="349"/>
      <c r="CWI69" s="349"/>
      <c r="CWJ69" s="349"/>
      <c r="CWK69" s="349"/>
      <c r="CWL69" s="349"/>
      <c r="CWM69" s="349"/>
      <c r="CWN69" s="349"/>
      <c r="CWO69" s="349"/>
      <c r="CWP69" s="349"/>
      <c r="CWQ69" s="349"/>
      <c r="CWR69" s="349"/>
      <c r="CWS69" s="349"/>
      <c r="CWT69" s="349"/>
      <c r="CWU69" s="349"/>
      <c r="CWV69" s="349"/>
      <c r="CWW69" s="349"/>
      <c r="CWX69" s="349"/>
      <c r="CWY69" s="349"/>
      <c r="CWZ69" s="349"/>
      <c r="CXA69" s="349"/>
      <c r="CXB69" s="349"/>
      <c r="CXC69" s="349"/>
      <c r="CXD69" s="349"/>
      <c r="CXE69" s="349"/>
      <c r="CXF69" s="349"/>
      <c r="CXG69" s="349"/>
      <c r="CXH69" s="349"/>
      <c r="CXI69" s="349"/>
      <c r="CXJ69" s="349"/>
      <c r="CXK69" s="349"/>
      <c r="CXL69" s="349"/>
      <c r="CXM69" s="349"/>
      <c r="CXN69" s="349"/>
      <c r="CXO69" s="349"/>
      <c r="CXP69" s="349"/>
      <c r="CXQ69" s="349"/>
      <c r="CXR69" s="349"/>
      <c r="CXS69" s="349"/>
      <c r="CXT69" s="349"/>
      <c r="CXU69" s="349"/>
      <c r="CXV69" s="349"/>
      <c r="CXW69" s="349"/>
      <c r="CXX69" s="349"/>
      <c r="CXY69" s="349"/>
      <c r="CXZ69" s="349"/>
      <c r="CYA69" s="349"/>
      <c r="CYB69" s="349"/>
      <c r="CYC69" s="349"/>
      <c r="CYD69" s="349"/>
      <c r="CYE69" s="349"/>
      <c r="CYF69" s="349"/>
      <c r="CYG69" s="349"/>
      <c r="CYH69" s="349"/>
      <c r="CYI69" s="349"/>
      <c r="CYJ69" s="349"/>
      <c r="CYK69" s="349"/>
      <c r="CYL69" s="349"/>
      <c r="CYM69" s="349"/>
      <c r="CYN69" s="349"/>
      <c r="CYO69" s="349"/>
      <c r="CYP69" s="349"/>
      <c r="CYQ69" s="349"/>
      <c r="CYR69" s="349"/>
      <c r="CYS69" s="349"/>
      <c r="CYT69" s="349"/>
      <c r="CYU69" s="349"/>
      <c r="CYV69" s="349"/>
      <c r="CYW69" s="349"/>
      <c r="CYX69" s="349"/>
      <c r="CYY69" s="349"/>
      <c r="CYZ69" s="349"/>
      <c r="CZA69" s="349"/>
      <c r="CZB69" s="349"/>
      <c r="CZC69" s="349"/>
      <c r="CZD69" s="349"/>
      <c r="CZE69" s="349"/>
      <c r="CZF69" s="349"/>
      <c r="CZG69" s="349"/>
      <c r="CZH69" s="349"/>
      <c r="CZI69" s="349"/>
      <c r="CZJ69" s="349"/>
      <c r="CZK69" s="349"/>
      <c r="CZL69" s="349"/>
      <c r="CZM69" s="349"/>
      <c r="CZN69" s="349"/>
      <c r="CZO69" s="349"/>
      <c r="CZP69" s="349"/>
      <c r="CZQ69" s="349"/>
      <c r="CZR69" s="349"/>
      <c r="CZS69" s="349"/>
      <c r="CZT69" s="349"/>
      <c r="CZU69" s="349"/>
      <c r="CZV69" s="349"/>
      <c r="CZW69" s="349"/>
      <c r="CZX69" s="349"/>
      <c r="CZY69" s="349"/>
      <c r="CZZ69" s="349"/>
      <c r="DAA69" s="349"/>
      <c r="DAB69" s="349"/>
      <c r="DAC69" s="349"/>
      <c r="DAD69" s="349"/>
      <c r="DAE69" s="349"/>
      <c r="DAF69" s="349"/>
      <c r="DAG69" s="349"/>
      <c r="DAH69" s="349"/>
      <c r="DAI69" s="349"/>
      <c r="DAJ69" s="349"/>
      <c r="DAK69" s="349"/>
      <c r="DAL69" s="349"/>
      <c r="DAM69" s="349"/>
      <c r="DAN69" s="349"/>
      <c r="DAO69" s="349"/>
      <c r="DAP69" s="349"/>
      <c r="DAQ69" s="349"/>
      <c r="DAR69" s="349"/>
      <c r="DAS69" s="349"/>
      <c r="DAT69" s="349"/>
      <c r="DAU69" s="349"/>
      <c r="DAV69" s="349"/>
      <c r="DAW69" s="349"/>
      <c r="DAX69" s="349"/>
      <c r="DAY69" s="349"/>
      <c r="DAZ69" s="349"/>
      <c r="DBA69" s="349"/>
      <c r="DBB69" s="349"/>
      <c r="DBC69" s="349"/>
      <c r="DBD69" s="349"/>
      <c r="DBE69" s="349"/>
      <c r="DBF69" s="349"/>
      <c r="DBG69" s="349"/>
      <c r="DBH69" s="349"/>
      <c r="DBI69" s="349"/>
      <c r="DBJ69" s="349"/>
      <c r="DBK69" s="349"/>
      <c r="DBL69" s="349"/>
      <c r="DBM69" s="349"/>
      <c r="DBN69" s="349"/>
      <c r="DBO69" s="349"/>
      <c r="DBP69" s="349"/>
      <c r="DBQ69" s="349"/>
      <c r="DBR69" s="349"/>
      <c r="DBS69" s="349"/>
      <c r="DBT69" s="349"/>
      <c r="DBU69" s="349"/>
      <c r="DBV69" s="349"/>
      <c r="DBW69" s="349"/>
      <c r="DBX69" s="349"/>
      <c r="DBY69" s="349"/>
      <c r="DBZ69" s="349"/>
      <c r="DCA69" s="349"/>
      <c r="DCB69" s="349"/>
      <c r="DCC69" s="349"/>
      <c r="DCD69" s="349"/>
      <c r="DCE69" s="349"/>
      <c r="DCF69" s="349"/>
      <c r="DCG69" s="349"/>
      <c r="DCH69" s="349"/>
      <c r="DCI69" s="349"/>
      <c r="DCJ69" s="349"/>
      <c r="DCK69" s="349"/>
      <c r="DCL69" s="349"/>
      <c r="DCM69" s="349"/>
      <c r="DCN69" s="349"/>
      <c r="DCO69" s="349"/>
      <c r="DCP69" s="349"/>
      <c r="DCQ69" s="349"/>
      <c r="DCR69" s="349"/>
      <c r="DCS69" s="349"/>
      <c r="DCT69" s="349"/>
      <c r="DCU69" s="349"/>
      <c r="DCV69" s="349"/>
      <c r="DCW69" s="349"/>
      <c r="DCX69" s="349"/>
      <c r="DCY69" s="349"/>
      <c r="DCZ69" s="349"/>
      <c r="DDA69" s="349"/>
      <c r="DDB69" s="349"/>
      <c r="DDC69" s="349"/>
      <c r="DDD69" s="349"/>
      <c r="DDE69" s="349"/>
      <c r="DDF69" s="349"/>
      <c r="DDG69" s="349"/>
      <c r="DDH69" s="349"/>
      <c r="DDI69" s="349"/>
      <c r="DDJ69" s="349"/>
      <c r="DDK69" s="349"/>
      <c r="DDL69" s="349"/>
      <c r="DDM69" s="349"/>
      <c r="DDN69" s="349"/>
      <c r="DDO69" s="349"/>
      <c r="DDP69" s="349"/>
      <c r="DDQ69" s="349"/>
      <c r="DDR69" s="349"/>
      <c r="DDS69" s="349"/>
      <c r="DDT69" s="349"/>
      <c r="DDU69" s="349"/>
      <c r="DDV69" s="349"/>
      <c r="DDW69" s="349"/>
      <c r="DDX69" s="349"/>
      <c r="DDY69" s="349"/>
      <c r="DDZ69" s="349"/>
      <c r="DEA69" s="349"/>
      <c r="DEB69" s="349"/>
      <c r="DEC69" s="349"/>
      <c r="DED69" s="349"/>
      <c r="DEE69" s="349"/>
      <c r="DEF69" s="349"/>
      <c r="DEG69" s="349"/>
      <c r="DEH69" s="349"/>
      <c r="DEI69" s="349"/>
      <c r="DEJ69" s="349"/>
      <c r="DEK69" s="349"/>
      <c r="DEL69" s="349"/>
      <c r="DEM69" s="349"/>
      <c r="DEN69" s="349"/>
      <c r="DEO69" s="349"/>
      <c r="DEP69" s="349"/>
      <c r="DEQ69" s="349"/>
      <c r="DER69" s="349"/>
      <c r="DES69" s="349"/>
      <c r="DET69" s="349"/>
      <c r="DEU69" s="349"/>
      <c r="DEV69" s="349"/>
      <c r="DEW69" s="349"/>
      <c r="DEX69" s="349"/>
      <c r="DEY69" s="349"/>
      <c r="DEZ69" s="349"/>
      <c r="DFA69" s="349"/>
      <c r="DFB69" s="349"/>
      <c r="DFC69" s="349"/>
      <c r="DFD69" s="349"/>
      <c r="DFE69" s="349"/>
      <c r="DFF69" s="349"/>
      <c r="DFG69" s="349"/>
      <c r="DFH69" s="349"/>
      <c r="DFI69" s="349"/>
      <c r="DFJ69" s="349"/>
      <c r="DFK69" s="349"/>
      <c r="DFL69" s="349"/>
      <c r="DFM69" s="349"/>
      <c r="DFN69" s="349"/>
      <c r="DFO69" s="349"/>
      <c r="DFP69" s="349"/>
      <c r="DFQ69" s="349"/>
      <c r="DFR69" s="349"/>
      <c r="DFS69" s="349"/>
      <c r="DFT69" s="349"/>
      <c r="DFU69" s="349"/>
      <c r="DFV69" s="349"/>
      <c r="DFW69" s="349"/>
      <c r="DFX69" s="349"/>
      <c r="DFY69" s="349"/>
      <c r="DFZ69" s="349"/>
      <c r="DGA69" s="349"/>
      <c r="DGB69" s="349"/>
      <c r="DGC69" s="349"/>
      <c r="DGD69" s="349"/>
      <c r="DGE69" s="349"/>
      <c r="DGF69" s="349"/>
      <c r="DGG69" s="349"/>
      <c r="DGH69" s="349"/>
      <c r="DGI69" s="349"/>
      <c r="DGJ69" s="349"/>
      <c r="DGK69" s="349"/>
      <c r="DGL69" s="349"/>
      <c r="DGM69" s="349"/>
      <c r="DGN69" s="349"/>
      <c r="DGO69" s="349"/>
      <c r="DGP69" s="349"/>
      <c r="DGQ69" s="349"/>
      <c r="DGR69" s="349"/>
      <c r="DGS69" s="349"/>
      <c r="DGT69" s="349"/>
      <c r="DGU69" s="349"/>
      <c r="DGV69" s="349"/>
      <c r="DGW69" s="349"/>
      <c r="DGX69" s="349"/>
      <c r="DGY69" s="349"/>
      <c r="DGZ69" s="349"/>
      <c r="DHA69" s="349"/>
      <c r="DHB69" s="349"/>
      <c r="DHC69" s="349"/>
      <c r="DHD69" s="349"/>
      <c r="DHE69" s="349"/>
      <c r="DHF69" s="349"/>
      <c r="DHG69" s="349"/>
      <c r="DHH69" s="349"/>
      <c r="DHI69" s="349"/>
      <c r="DHJ69" s="349"/>
      <c r="DHK69" s="349"/>
      <c r="DHL69" s="349"/>
      <c r="DHM69" s="349"/>
      <c r="DHN69" s="349"/>
      <c r="DHO69" s="349"/>
      <c r="DHP69" s="349"/>
      <c r="DHQ69" s="349"/>
      <c r="DHR69" s="349"/>
      <c r="DHS69" s="349"/>
      <c r="DHT69" s="349"/>
      <c r="DHU69" s="349"/>
      <c r="DHV69" s="349"/>
      <c r="DHW69" s="349"/>
      <c r="DHX69" s="349"/>
      <c r="DHY69" s="349"/>
      <c r="DHZ69" s="349"/>
      <c r="DIA69" s="349"/>
      <c r="DIB69" s="349"/>
      <c r="DIC69" s="349"/>
      <c r="DID69" s="349"/>
      <c r="DIE69" s="349"/>
      <c r="DIF69" s="349"/>
      <c r="DIG69" s="349"/>
      <c r="DIH69" s="349"/>
      <c r="DII69" s="349"/>
      <c r="DIJ69" s="349"/>
      <c r="DIK69" s="349"/>
      <c r="DIL69" s="349"/>
      <c r="DIM69" s="349"/>
      <c r="DIN69" s="349"/>
      <c r="DIO69" s="349"/>
      <c r="DIP69" s="349"/>
      <c r="DIQ69" s="349"/>
      <c r="DIR69" s="349"/>
      <c r="DIS69" s="349"/>
      <c r="DIT69" s="349"/>
      <c r="DIU69" s="349"/>
      <c r="DIV69" s="349"/>
      <c r="DIW69" s="349"/>
      <c r="DIX69" s="349"/>
      <c r="DIY69" s="349"/>
      <c r="DIZ69" s="349"/>
      <c r="DJA69" s="349"/>
      <c r="DJB69" s="349"/>
      <c r="DJC69" s="349"/>
      <c r="DJD69" s="349"/>
      <c r="DJE69" s="349"/>
      <c r="DJF69" s="349"/>
      <c r="DJG69" s="349"/>
      <c r="DJH69" s="349"/>
      <c r="DJI69" s="349"/>
      <c r="DJJ69" s="349"/>
      <c r="DJK69" s="349"/>
      <c r="DJL69" s="349"/>
      <c r="DJM69" s="349"/>
      <c r="DJN69" s="349"/>
      <c r="DJO69" s="349"/>
      <c r="DJP69" s="349"/>
      <c r="DJQ69" s="349"/>
      <c r="DJR69" s="349"/>
      <c r="DJS69" s="349"/>
      <c r="DJT69" s="349"/>
      <c r="DJU69" s="349"/>
      <c r="DJV69" s="349"/>
      <c r="DJW69" s="349"/>
      <c r="DJX69" s="349"/>
      <c r="DJY69" s="349"/>
      <c r="DJZ69" s="349"/>
      <c r="DKA69" s="349"/>
      <c r="DKB69" s="349"/>
      <c r="DKC69" s="349"/>
      <c r="DKD69" s="349"/>
      <c r="DKE69" s="349"/>
      <c r="DKF69" s="349"/>
      <c r="DKG69" s="349"/>
      <c r="DKH69" s="349"/>
      <c r="DKI69" s="349"/>
      <c r="DKJ69" s="349"/>
      <c r="DKK69" s="349"/>
      <c r="DKL69" s="349"/>
      <c r="DKM69" s="349"/>
      <c r="DKN69" s="349"/>
      <c r="DKO69" s="349"/>
      <c r="DKP69" s="349"/>
      <c r="DKQ69" s="349"/>
      <c r="DKR69" s="349"/>
      <c r="DKS69" s="349"/>
      <c r="DKT69" s="349"/>
      <c r="DKU69" s="349"/>
      <c r="DKV69" s="349"/>
      <c r="DKW69" s="349"/>
      <c r="DKX69" s="349"/>
      <c r="DKY69" s="349"/>
      <c r="DKZ69" s="349"/>
      <c r="DLA69" s="349"/>
      <c r="DLB69" s="349"/>
      <c r="DLC69" s="349"/>
      <c r="DLD69" s="349"/>
      <c r="DLE69" s="349"/>
      <c r="DLF69" s="349"/>
      <c r="DLG69" s="349"/>
      <c r="DLH69" s="349"/>
      <c r="DLI69" s="349"/>
      <c r="DLJ69" s="349"/>
      <c r="DLK69" s="349"/>
      <c r="DLL69" s="349"/>
      <c r="DLM69" s="349"/>
      <c r="DLN69" s="349"/>
      <c r="DLO69" s="349"/>
      <c r="DLP69" s="349"/>
      <c r="DLQ69" s="349"/>
      <c r="DLR69" s="349"/>
      <c r="DLS69" s="349"/>
      <c r="DLT69" s="349"/>
      <c r="DLU69" s="349"/>
      <c r="DLV69" s="349"/>
      <c r="DLW69" s="349"/>
      <c r="DLX69" s="349"/>
      <c r="DLY69" s="349"/>
      <c r="DLZ69" s="349"/>
      <c r="DMA69" s="349"/>
      <c r="DMB69" s="349"/>
      <c r="DMC69" s="349"/>
      <c r="DMD69" s="349"/>
      <c r="DME69" s="349"/>
      <c r="DMF69" s="349"/>
      <c r="DMG69" s="349"/>
      <c r="DMH69" s="349"/>
      <c r="DMI69" s="349"/>
      <c r="DMJ69" s="349"/>
      <c r="DMK69" s="349"/>
      <c r="DML69" s="349"/>
      <c r="DMM69" s="349"/>
      <c r="DMN69" s="349"/>
      <c r="DMO69" s="349"/>
      <c r="DMP69" s="349"/>
      <c r="DMQ69" s="349"/>
      <c r="DMR69" s="349"/>
      <c r="DMS69" s="349"/>
      <c r="DMT69" s="349"/>
      <c r="DMU69" s="349"/>
      <c r="DMV69" s="349"/>
      <c r="DMW69" s="349"/>
      <c r="DMX69" s="349"/>
      <c r="DMY69" s="349"/>
      <c r="DMZ69" s="349"/>
      <c r="DNA69" s="349"/>
      <c r="DNB69" s="349"/>
      <c r="DNC69" s="349"/>
      <c r="DND69" s="349"/>
      <c r="DNE69" s="349"/>
      <c r="DNF69" s="349"/>
      <c r="DNG69" s="349"/>
      <c r="DNH69" s="349"/>
      <c r="DNI69" s="349"/>
      <c r="DNJ69" s="349"/>
      <c r="DNK69" s="349"/>
      <c r="DNL69" s="349"/>
      <c r="DNM69" s="349"/>
      <c r="DNN69" s="349"/>
      <c r="DNO69" s="349"/>
      <c r="DNP69" s="349"/>
      <c r="DNQ69" s="349"/>
      <c r="DNR69" s="349"/>
      <c r="DNS69" s="349"/>
      <c r="DNT69" s="349"/>
      <c r="DNU69" s="349"/>
      <c r="DNV69" s="349"/>
      <c r="DNW69" s="349"/>
      <c r="DNX69" s="349"/>
      <c r="DNY69" s="349"/>
      <c r="DNZ69" s="349"/>
      <c r="DOA69" s="349"/>
      <c r="DOB69" s="349"/>
      <c r="DOC69" s="349"/>
      <c r="DOD69" s="349"/>
      <c r="DOE69" s="349"/>
      <c r="DOF69" s="349"/>
      <c r="DOG69" s="349"/>
      <c r="DOH69" s="349"/>
      <c r="DOI69" s="349"/>
      <c r="DOJ69" s="349"/>
      <c r="DOK69" s="349"/>
      <c r="DOL69" s="349"/>
      <c r="DOM69" s="349"/>
      <c r="DON69" s="349"/>
      <c r="DOO69" s="349"/>
      <c r="DOP69" s="349"/>
      <c r="DOQ69" s="349"/>
      <c r="DOR69" s="349"/>
      <c r="DOS69" s="349"/>
      <c r="DOT69" s="349"/>
      <c r="DOU69" s="349"/>
      <c r="DOV69" s="349"/>
      <c r="DOW69" s="349"/>
      <c r="DOX69" s="349"/>
      <c r="DOY69" s="349"/>
      <c r="DOZ69" s="349"/>
      <c r="DPA69" s="349"/>
      <c r="DPB69" s="349"/>
      <c r="DPC69" s="349"/>
      <c r="DPD69" s="349"/>
      <c r="DPE69" s="349"/>
      <c r="DPF69" s="349"/>
      <c r="DPG69" s="349"/>
      <c r="DPH69" s="349"/>
      <c r="DPI69" s="349"/>
      <c r="DPJ69" s="349"/>
      <c r="DPK69" s="349"/>
      <c r="DPL69" s="349"/>
      <c r="DPM69" s="349"/>
      <c r="DPN69" s="349"/>
      <c r="DPO69" s="349"/>
      <c r="DPP69" s="349"/>
      <c r="DPQ69" s="349"/>
      <c r="DPR69" s="349"/>
      <c r="DPS69" s="349"/>
      <c r="DPT69" s="349"/>
      <c r="DPU69" s="349"/>
      <c r="DPV69" s="349"/>
      <c r="DPW69" s="349"/>
      <c r="DPX69" s="349"/>
      <c r="DPY69" s="349"/>
      <c r="DPZ69" s="349"/>
      <c r="DQA69" s="349"/>
      <c r="DQB69" s="349"/>
      <c r="DQC69" s="349"/>
      <c r="DQD69" s="349"/>
      <c r="DQE69" s="349"/>
      <c r="DQF69" s="349"/>
      <c r="DQG69" s="349"/>
      <c r="DQH69" s="349"/>
      <c r="DQI69" s="349"/>
      <c r="DQJ69" s="349"/>
      <c r="DQK69" s="349"/>
      <c r="DQL69" s="349"/>
      <c r="DQM69" s="349"/>
      <c r="DQN69" s="349"/>
      <c r="DQO69" s="349"/>
      <c r="DQP69" s="349"/>
      <c r="DQQ69" s="349"/>
      <c r="DQR69" s="349"/>
      <c r="DQS69" s="349"/>
      <c r="DQT69" s="349"/>
      <c r="DQU69" s="349"/>
      <c r="DQV69" s="349"/>
      <c r="DQW69" s="349"/>
      <c r="DQX69" s="349"/>
      <c r="DQY69" s="349"/>
      <c r="DQZ69" s="349"/>
      <c r="DRA69" s="349"/>
      <c r="DRB69" s="349"/>
      <c r="DRC69" s="349"/>
      <c r="DRD69" s="349"/>
      <c r="DRE69" s="349"/>
      <c r="DRF69" s="349"/>
      <c r="DRG69" s="349"/>
      <c r="DRH69" s="349"/>
      <c r="DRI69" s="349"/>
      <c r="DRJ69" s="349"/>
      <c r="DRK69" s="349"/>
      <c r="DRL69" s="349"/>
      <c r="DRM69" s="349"/>
      <c r="DRN69" s="349"/>
      <c r="DRO69" s="349"/>
      <c r="DRP69" s="349"/>
      <c r="DRQ69" s="349"/>
      <c r="DRR69" s="349"/>
      <c r="DRS69" s="349"/>
      <c r="DRT69" s="349"/>
      <c r="DRU69" s="349"/>
      <c r="DRV69" s="349"/>
      <c r="DRW69" s="349"/>
      <c r="DRX69" s="349"/>
      <c r="DRY69" s="349"/>
      <c r="DRZ69" s="349"/>
      <c r="DSA69" s="349"/>
      <c r="DSB69" s="349"/>
      <c r="DSC69" s="349"/>
      <c r="DSD69" s="349"/>
      <c r="DSE69" s="349"/>
      <c r="DSF69" s="349"/>
      <c r="DSG69" s="349"/>
      <c r="DSH69" s="349"/>
      <c r="DSI69" s="349"/>
      <c r="DSJ69" s="349"/>
      <c r="DSK69" s="349"/>
      <c r="DSL69" s="349"/>
      <c r="DSM69" s="349"/>
      <c r="DSN69" s="349"/>
      <c r="DSO69" s="349"/>
      <c r="DSP69" s="349"/>
      <c r="DSQ69" s="349"/>
      <c r="DSR69" s="349"/>
      <c r="DSS69" s="349"/>
      <c r="DST69" s="349"/>
      <c r="DSU69" s="349"/>
      <c r="DSV69" s="349"/>
      <c r="DSW69" s="349"/>
      <c r="DSX69" s="349"/>
      <c r="DSY69" s="349"/>
      <c r="DSZ69" s="349"/>
      <c r="DTA69" s="349"/>
      <c r="DTB69" s="349"/>
      <c r="DTC69" s="349"/>
      <c r="DTD69" s="349"/>
      <c r="DTE69" s="349"/>
      <c r="DTF69" s="349"/>
      <c r="DTG69" s="349"/>
      <c r="DTH69" s="349"/>
      <c r="DTI69" s="349"/>
      <c r="DTJ69" s="349"/>
      <c r="DTK69" s="349"/>
      <c r="DTL69" s="349"/>
      <c r="DTM69" s="349"/>
      <c r="DTN69" s="349"/>
      <c r="DTO69" s="349"/>
      <c r="DTP69" s="349"/>
      <c r="DTQ69" s="349"/>
      <c r="DTR69" s="349"/>
      <c r="DTS69" s="349"/>
      <c r="DTT69" s="349"/>
      <c r="DTU69" s="349"/>
      <c r="DTV69" s="349"/>
      <c r="DTW69" s="349"/>
      <c r="DTX69" s="349"/>
      <c r="DTY69" s="349"/>
      <c r="DTZ69" s="349"/>
      <c r="DUA69" s="349"/>
      <c r="DUB69" s="349"/>
      <c r="DUC69" s="349"/>
      <c r="DUD69" s="349"/>
      <c r="DUE69" s="349"/>
      <c r="DUF69" s="349"/>
      <c r="DUG69" s="349"/>
      <c r="DUH69" s="349"/>
      <c r="DUI69" s="349"/>
      <c r="DUJ69" s="349"/>
      <c r="DUK69" s="349"/>
      <c r="DUL69" s="349"/>
      <c r="DUM69" s="349"/>
      <c r="DUN69" s="349"/>
      <c r="DUO69" s="349"/>
      <c r="DUP69" s="349"/>
      <c r="DUQ69" s="349"/>
      <c r="DUR69" s="349"/>
      <c r="DUS69" s="349"/>
      <c r="DUT69" s="349"/>
      <c r="DUU69" s="349"/>
      <c r="DUV69" s="349"/>
      <c r="DUW69" s="349"/>
      <c r="DUX69" s="349"/>
      <c r="DUY69" s="349"/>
      <c r="DUZ69" s="349"/>
      <c r="DVA69" s="349"/>
      <c r="DVB69" s="349"/>
      <c r="DVC69" s="349"/>
      <c r="DVD69" s="349"/>
      <c r="DVE69" s="349"/>
      <c r="DVF69" s="349"/>
      <c r="DVG69" s="349"/>
      <c r="DVH69" s="349"/>
      <c r="DVI69" s="349"/>
      <c r="DVJ69" s="349"/>
      <c r="DVK69" s="349"/>
      <c r="DVL69" s="349"/>
      <c r="DVM69" s="349"/>
      <c r="DVN69" s="349"/>
      <c r="DVO69" s="349"/>
      <c r="DVP69" s="349"/>
      <c r="DVQ69" s="349"/>
      <c r="DVR69" s="349"/>
      <c r="DVS69" s="349"/>
      <c r="DVT69" s="349"/>
      <c r="DVU69" s="349"/>
      <c r="DVV69" s="349"/>
      <c r="DVW69" s="349"/>
      <c r="DVX69" s="349"/>
      <c r="DVY69" s="349"/>
      <c r="DVZ69" s="349"/>
      <c r="DWA69" s="349"/>
      <c r="DWB69" s="349"/>
      <c r="DWC69" s="349"/>
      <c r="DWD69" s="349"/>
      <c r="DWE69" s="349"/>
      <c r="DWF69" s="349"/>
      <c r="DWG69" s="349"/>
      <c r="DWH69" s="349"/>
      <c r="DWI69" s="349"/>
      <c r="DWJ69" s="349"/>
      <c r="DWK69" s="349"/>
      <c r="DWL69" s="349"/>
      <c r="DWM69" s="349"/>
      <c r="DWN69" s="349"/>
      <c r="DWO69" s="349"/>
      <c r="DWP69" s="349"/>
      <c r="DWQ69" s="349"/>
      <c r="DWR69" s="349"/>
      <c r="DWS69" s="349"/>
      <c r="DWT69" s="349"/>
      <c r="DWU69" s="349"/>
      <c r="DWV69" s="349"/>
      <c r="DWW69" s="349"/>
      <c r="DWX69" s="349"/>
      <c r="DWY69" s="349"/>
      <c r="DWZ69" s="349"/>
      <c r="DXA69" s="349"/>
      <c r="DXB69" s="349"/>
      <c r="DXC69" s="349"/>
      <c r="DXD69" s="349"/>
      <c r="DXE69" s="349"/>
      <c r="DXF69" s="349"/>
      <c r="DXG69" s="349"/>
      <c r="DXH69" s="349"/>
      <c r="DXI69" s="349"/>
      <c r="DXJ69" s="349"/>
      <c r="DXK69" s="349"/>
      <c r="DXL69" s="349"/>
      <c r="DXM69" s="349"/>
      <c r="DXN69" s="349"/>
      <c r="DXO69" s="349"/>
      <c r="DXP69" s="349"/>
      <c r="DXQ69" s="349"/>
      <c r="DXR69" s="349"/>
      <c r="DXS69" s="349"/>
      <c r="DXT69" s="349"/>
      <c r="DXU69" s="349"/>
      <c r="DXV69" s="349"/>
      <c r="DXW69" s="349"/>
      <c r="DXX69" s="349"/>
      <c r="DXY69" s="349"/>
      <c r="DXZ69" s="349"/>
      <c r="DYA69" s="349"/>
      <c r="DYB69" s="349"/>
      <c r="DYC69" s="349"/>
      <c r="DYD69" s="349"/>
      <c r="DYE69" s="349"/>
      <c r="DYF69" s="349"/>
      <c r="DYG69" s="349"/>
      <c r="DYH69" s="349"/>
      <c r="DYI69" s="349"/>
      <c r="DYJ69" s="349"/>
      <c r="DYK69" s="349"/>
      <c r="DYL69" s="349"/>
      <c r="DYM69" s="349"/>
      <c r="DYN69" s="349"/>
      <c r="DYO69" s="349"/>
      <c r="DYP69" s="349"/>
      <c r="DYQ69" s="349"/>
      <c r="DYR69" s="349"/>
      <c r="DYS69" s="349"/>
      <c r="DYT69" s="349"/>
      <c r="DYU69" s="349"/>
      <c r="DYV69" s="349"/>
      <c r="DYW69" s="349"/>
      <c r="DYX69" s="349"/>
      <c r="DYY69" s="349"/>
      <c r="DYZ69" s="349"/>
      <c r="DZA69" s="349"/>
      <c r="DZB69" s="349"/>
      <c r="DZC69" s="349"/>
      <c r="DZD69" s="349"/>
      <c r="DZE69" s="349"/>
      <c r="DZF69" s="349"/>
      <c r="DZG69" s="349"/>
      <c r="DZH69" s="349"/>
      <c r="DZI69" s="349"/>
      <c r="DZJ69" s="349"/>
      <c r="DZK69" s="349"/>
      <c r="DZL69" s="349"/>
      <c r="DZM69" s="349"/>
      <c r="DZN69" s="349"/>
      <c r="DZO69" s="349"/>
      <c r="DZP69" s="349"/>
      <c r="DZQ69" s="349"/>
      <c r="DZR69" s="349"/>
      <c r="DZS69" s="349"/>
      <c r="DZT69" s="349"/>
      <c r="DZU69" s="349"/>
      <c r="DZV69" s="349"/>
      <c r="DZW69" s="349"/>
      <c r="DZX69" s="349"/>
      <c r="DZY69" s="349"/>
      <c r="DZZ69" s="349"/>
      <c r="EAA69" s="349"/>
      <c r="EAB69" s="349"/>
      <c r="EAC69" s="349"/>
      <c r="EAD69" s="349"/>
      <c r="EAE69" s="349"/>
      <c r="EAF69" s="349"/>
      <c r="EAG69" s="349"/>
      <c r="EAH69" s="349"/>
      <c r="EAI69" s="349"/>
      <c r="EAJ69" s="349"/>
      <c r="EAK69" s="349"/>
      <c r="EAL69" s="349"/>
      <c r="EAM69" s="349"/>
      <c r="EAN69" s="349"/>
      <c r="EAO69" s="349"/>
      <c r="EAP69" s="349"/>
      <c r="EAQ69" s="349"/>
      <c r="EAR69" s="349"/>
      <c r="EAS69" s="349"/>
      <c r="EAT69" s="349"/>
      <c r="EAU69" s="349"/>
      <c r="EAV69" s="349"/>
      <c r="EAW69" s="349"/>
      <c r="EAX69" s="349"/>
      <c r="EAY69" s="349"/>
      <c r="EAZ69" s="349"/>
      <c r="EBA69" s="349"/>
      <c r="EBB69" s="349"/>
      <c r="EBC69" s="349"/>
      <c r="EBD69" s="349"/>
      <c r="EBE69" s="349"/>
      <c r="EBF69" s="349"/>
      <c r="EBG69" s="349"/>
      <c r="EBH69" s="349"/>
      <c r="EBI69" s="349"/>
      <c r="EBJ69" s="349"/>
      <c r="EBK69" s="349"/>
      <c r="EBL69" s="349"/>
      <c r="EBM69" s="349"/>
      <c r="EBN69" s="349"/>
      <c r="EBO69" s="349"/>
      <c r="EBP69" s="349"/>
      <c r="EBQ69" s="349"/>
      <c r="EBR69" s="349"/>
      <c r="EBS69" s="349"/>
      <c r="EBT69" s="349"/>
      <c r="EBU69" s="349"/>
      <c r="EBV69" s="349"/>
      <c r="EBW69" s="349"/>
      <c r="EBX69" s="349"/>
      <c r="EBY69" s="349"/>
      <c r="EBZ69" s="349"/>
      <c r="ECA69" s="349"/>
      <c r="ECB69" s="349"/>
      <c r="ECC69" s="349"/>
      <c r="ECD69" s="349"/>
      <c r="ECE69" s="349"/>
      <c r="ECF69" s="349"/>
      <c r="ECG69" s="349"/>
      <c r="ECH69" s="349"/>
      <c r="ECI69" s="349"/>
      <c r="ECJ69" s="349"/>
      <c r="ECK69" s="349"/>
      <c r="ECL69" s="349"/>
      <c r="ECM69" s="349"/>
      <c r="ECN69" s="349"/>
      <c r="ECO69" s="349"/>
      <c r="ECP69" s="349"/>
      <c r="ECQ69" s="349"/>
      <c r="ECR69" s="349"/>
      <c r="ECS69" s="349"/>
      <c r="ECT69" s="349"/>
      <c r="ECU69" s="349"/>
      <c r="ECV69" s="349"/>
      <c r="ECW69" s="349"/>
      <c r="ECX69" s="349"/>
      <c r="ECY69" s="349"/>
      <c r="ECZ69" s="349"/>
      <c r="EDA69" s="349"/>
      <c r="EDB69" s="349"/>
      <c r="EDC69" s="349"/>
      <c r="EDD69" s="349"/>
      <c r="EDE69" s="349"/>
      <c r="EDF69" s="349"/>
      <c r="EDG69" s="349"/>
      <c r="EDH69" s="349"/>
      <c r="EDI69" s="349"/>
      <c r="EDJ69" s="349"/>
      <c r="EDK69" s="349"/>
      <c r="EDL69" s="349"/>
      <c r="EDM69" s="349"/>
      <c r="EDN69" s="349"/>
      <c r="EDO69" s="349"/>
      <c r="EDP69" s="349"/>
      <c r="EDQ69" s="349"/>
      <c r="EDR69" s="349"/>
      <c r="EDS69" s="349"/>
      <c r="EDT69" s="349"/>
      <c r="EDU69" s="349"/>
      <c r="EDV69" s="349"/>
      <c r="EDW69" s="349"/>
      <c r="EDX69" s="349"/>
      <c r="EDY69" s="349"/>
      <c r="EDZ69" s="349"/>
      <c r="EEA69" s="349"/>
      <c r="EEB69" s="349"/>
      <c r="EEC69" s="349"/>
      <c r="EED69" s="349"/>
      <c r="EEE69" s="349"/>
      <c r="EEF69" s="349"/>
      <c r="EEG69" s="349"/>
      <c r="EEH69" s="349"/>
      <c r="EEI69" s="349"/>
      <c r="EEJ69" s="349"/>
      <c r="EEK69" s="349"/>
      <c r="EEL69" s="349"/>
      <c r="EEM69" s="349"/>
      <c r="EEN69" s="349"/>
      <c r="EEO69" s="349"/>
      <c r="EEP69" s="349"/>
      <c r="EEQ69" s="349"/>
      <c r="EER69" s="349"/>
      <c r="EES69" s="349"/>
      <c r="EET69" s="349"/>
      <c r="EEU69" s="349"/>
      <c r="EEV69" s="349"/>
      <c r="EEW69" s="349"/>
      <c r="EEX69" s="349"/>
      <c r="EEY69" s="349"/>
      <c r="EEZ69" s="349"/>
      <c r="EFA69" s="349"/>
      <c r="EFB69" s="349"/>
      <c r="EFC69" s="349"/>
      <c r="EFD69" s="349"/>
      <c r="EFE69" s="349"/>
      <c r="EFF69" s="349"/>
      <c r="EFG69" s="349"/>
      <c r="EFH69" s="349"/>
      <c r="EFI69" s="349"/>
      <c r="EFJ69" s="349"/>
      <c r="EFK69" s="349"/>
      <c r="EFL69" s="349"/>
      <c r="EFM69" s="349"/>
      <c r="EFN69" s="349"/>
      <c r="EFO69" s="349"/>
      <c r="EFP69" s="349"/>
      <c r="EFQ69" s="349"/>
      <c r="EFR69" s="349"/>
      <c r="EFS69" s="349"/>
      <c r="EFT69" s="349"/>
      <c r="EFU69" s="349"/>
      <c r="EFV69" s="349"/>
      <c r="EFW69" s="349"/>
      <c r="EFX69" s="349"/>
      <c r="EFY69" s="349"/>
      <c r="EFZ69" s="349"/>
      <c r="EGA69" s="349"/>
      <c r="EGB69" s="349"/>
      <c r="EGC69" s="349"/>
      <c r="EGD69" s="349"/>
      <c r="EGE69" s="349"/>
      <c r="EGF69" s="349"/>
      <c r="EGG69" s="349"/>
      <c r="EGH69" s="349"/>
      <c r="EGI69" s="349"/>
      <c r="EGJ69" s="349"/>
      <c r="EGK69" s="349"/>
      <c r="EGL69" s="349"/>
      <c r="EGM69" s="349"/>
      <c r="EGN69" s="349"/>
      <c r="EGO69" s="349"/>
      <c r="EGP69" s="349"/>
      <c r="EGQ69" s="349"/>
      <c r="EGR69" s="349"/>
      <c r="EGS69" s="349"/>
      <c r="EGT69" s="349"/>
      <c r="EGU69" s="349"/>
      <c r="EGV69" s="349"/>
      <c r="EGW69" s="349"/>
      <c r="EGX69" s="349"/>
      <c r="EGY69" s="349"/>
      <c r="EGZ69" s="349"/>
      <c r="EHA69" s="349"/>
      <c r="EHB69" s="349"/>
      <c r="EHC69" s="349"/>
      <c r="EHD69" s="349"/>
      <c r="EHE69" s="349"/>
      <c r="EHF69" s="349"/>
      <c r="EHG69" s="349"/>
      <c r="EHH69" s="349"/>
      <c r="EHI69" s="349"/>
      <c r="EHJ69" s="349"/>
      <c r="EHK69" s="349"/>
      <c r="EHL69" s="349"/>
      <c r="EHM69" s="349"/>
      <c r="EHN69" s="349"/>
      <c r="EHO69" s="349"/>
      <c r="EHP69" s="349"/>
      <c r="EHQ69" s="349"/>
      <c r="EHR69" s="349"/>
      <c r="EHS69" s="349"/>
      <c r="EHT69" s="349"/>
      <c r="EHU69" s="349"/>
      <c r="EHV69" s="349"/>
      <c r="EHW69" s="349"/>
      <c r="EHX69" s="349"/>
      <c r="EHY69" s="349"/>
      <c r="EHZ69" s="349"/>
      <c r="EIA69" s="349"/>
      <c r="EIB69" s="349"/>
      <c r="EIC69" s="349"/>
      <c r="EID69" s="349"/>
      <c r="EIE69" s="349"/>
      <c r="EIF69" s="349"/>
      <c r="EIG69" s="349"/>
      <c r="EIH69" s="349"/>
      <c r="EII69" s="349"/>
      <c r="EIJ69" s="349"/>
      <c r="EIK69" s="349"/>
      <c r="EIL69" s="349"/>
      <c r="EIM69" s="349"/>
      <c r="EIN69" s="349"/>
      <c r="EIO69" s="349"/>
      <c r="EIP69" s="349"/>
      <c r="EIQ69" s="349"/>
      <c r="EIR69" s="349"/>
      <c r="EIS69" s="349"/>
      <c r="EIT69" s="349"/>
      <c r="EIU69" s="349"/>
      <c r="EIV69" s="349"/>
      <c r="EIW69" s="349"/>
      <c r="EIX69" s="349"/>
      <c r="EIY69" s="349"/>
      <c r="EIZ69" s="349"/>
      <c r="EJA69" s="349"/>
      <c r="EJB69" s="349"/>
      <c r="EJC69" s="349"/>
      <c r="EJD69" s="349"/>
      <c r="EJE69" s="349"/>
      <c r="EJF69" s="349"/>
      <c r="EJG69" s="349"/>
      <c r="EJH69" s="349"/>
      <c r="EJI69" s="349"/>
      <c r="EJJ69" s="349"/>
      <c r="EJK69" s="349"/>
      <c r="EJL69" s="349"/>
      <c r="EJM69" s="349"/>
      <c r="EJN69" s="349"/>
      <c r="EJO69" s="349"/>
      <c r="EJP69" s="349"/>
      <c r="EJQ69" s="349"/>
      <c r="EJR69" s="349"/>
      <c r="EJS69" s="349"/>
      <c r="EJT69" s="349"/>
      <c r="EJU69" s="349"/>
      <c r="EJV69" s="349"/>
      <c r="EJW69" s="349"/>
      <c r="EJX69" s="349"/>
      <c r="EJY69" s="349"/>
      <c r="EJZ69" s="349"/>
      <c r="EKA69" s="349"/>
      <c r="EKB69" s="349"/>
      <c r="EKC69" s="349"/>
      <c r="EKD69" s="349"/>
      <c r="EKE69" s="349"/>
      <c r="EKF69" s="349"/>
      <c r="EKG69" s="349"/>
      <c r="EKH69" s="349"/>
      <c r="EKI69" s="349"/>
      <c r="EKJ69" s="349"/>
      <c r="EKK69" s="349"/>
      <c r="EKL69" s="349"/>
      <c r="EKM69" s="349"/>
      <c r="EKN69" s="349"/>
      <c r="EKO69" s="349"/>
      <c r="EKP69" s="349"/>
      <c r="EKQ69" s="349"/>
      <c r="EKR69" s="349"/>
      <c r="EKS69" s="349"/>
      <c r="EKT69" s="349"/>
      <c r="EKU69" s="349"/>
      <c r="EKV69" s="349"/>
      <c r="EKW69" s="349"/>
      <c r="EKX69" s="349"/>
      <c r="EKY69" s="349"/>
      <c r="EKZ69" s="349"/>
      <c r="ELA69" s="349"/>
      <c r="ELB69" s="349"/>
      <c r="ELC69" s="349"/>
      <c r="ELD69" s="349"/>
      <c r="ELE69" s="349"/>
      <c r="ELF69" s="349"/>
      <c r="ELG69" s="349"/>
      <c r="ELH69" s="349"/>
      <c r="ELI69" s="349"/>
      <c r="ELJ69" s="349"/>
      <c r="ELK69" s="349"/>
      <c r="ELL69" s="349"/>
      <c r="ELM69" s="349"/>
      <c r="ELN69" s="349"/>
      <c r="ELO69" s="349"/>
      <c r="ELP69" s="349"/>
      <c r="ELQ69" s="349"/>
      <c r="ELR69" s="349"/>
      <c r="ELS69" s="349"/>
      <c r="ELT69" s="349"/>
      <c r="ELU69" s="349"/>
      <c r="ELV69" s="349"/>
      <c r="ELW69" s="349"/>
      <c r="ELX69" s="349"/>
      <c r="ELY69" s="349"/>
      <c r="ELZ69" s="349"/>
      <c r="EMA69" s="349"/>
      <c r="EMB69" s="349"/>
      <c r="EMC69" s="349"/>
      <c r="EMD69" s="349"/>
      <c r="EME69" s="349"/>
      <c r="EMF69" s="349"/>
      <c r="EMG69" s="349"/>
      <c r="EMH69" s="349"/>
      <c r="EMI69" s="349"/>
      <c r="EMJ69" s="349"/>
      <c r="EMK69" s="349"/>
      <c r="EML69" s="349"/>
      <c r="EMM69" s="349"/>
      <c r="EMN69" s="349"/>
      <c r="EMO69" s="349"/>
      <c r="EMP69" s="349"/>
      <c r="EMQ69" s="349"/>
      <c r="EMR69" s="349"/>
      <c r="EMS69" s="349"/>
      <c r="EMT69" s="349"/>
      <c r="EMU69" s="349"/>
      <c r="EMV69" s="349"/>
      <c r="EMW69" s="349"/>
      <c r="EMX69" s="349"/>
      <c r="EMY69" s="349"/>
      <c r="EMZ69" s="349"/>
      <c r="ENA69" s="349"/>
      <c r="ENB69" s="349"/>
      <c r="ENC69" s="349"/>
      <c r="END69" s="349"/>
      <c r="ENE69" s="349"/>
      <c r="ENF69" s="349"/>
      <c r="ENG69" s="349"/>
      <c r="ENH69" s="349"/>
      <c r="ENI69" s="349"/>
      <c r="ENJ69" s="349"/>
      <c r="ENK69" s="349"/>
      <c r="ENL69" s="349"/>
      <c r="ENM69" s="349"/>
      <c r="ENN69" s="349"/>
      <c r="ENO69" s="349"/>
      <c r="ENP69" s="349"/>
      <c r="ENQ69" s="349"/>
      <c r="ENR69" s="349"/>
      <c r="ENS69" s="349"/>
      <c r="ENT69" s="349"/>
      <c r="ENU69" s="349"/>
      <c r="ENV69" s="349"/>
      <c r="ENW69" s="349"/>
      <c r="ENX69" s="349"/>
      <c r="ENY69" s="349"/>
      <c r="ENZ69" s="349"/>
      <c r="EOA69" s="349"/>
      <c r="EOB69" s="349"/>
      <c r="EOC69" s="349"/>
      <c r="EOD69" s="349"/>
      <c r="EOE69" s="349"/>
      <c r="EOF69" s="349"/>
      <c r="EOG69" s="349"/>
      <c r="EOH69" s="349"/>
      <c r="EOI69" s="349"/>
      <c r="EOJ69" s="349"/>
      <c r="EOK69" s="349"/>
      <c r="EOL69" s="349"/>
      <c r="EOM69" s="349"/>
      <c r="EON69" s="349"/>
      <c r="EOO69" s="349"/>
      <c r="EOP69" s="349"/>
      <c r="EOQ69" s="349"/>
      <c r="EOR69" s="349"/>
      <c r="EOS69" s="349"/>
      <c r="EOT69" s="349"/>
      <c r="EOU69" s="349"/>
      <c r="EOV69" s="349"/>
      <c r="EOW69" s="349"/>
      <c r="EOX69" s="349"/>
      <c r="EOY69" s="349"/>
      <c r="EOZ69" s="349"/>
      <c r="EPA69" s="349"/>
      <c r="EPB69" s="349"/>
      <c r="EPC69" s="349"/>
      <c r="EPD69" s="349"/>
      <c r="EPE69" s="349"/>
      <c r="EPF69" s="349"/>
      <c r="EPG69" s="349"/>
      <c r="EPH69" s="349"/>
      <c r="EPI69" s="349"/>
      <c r="EPJ69" s="349"/>
      <c r="EPK69" s="349"/>
      <c r="EPL69" s="349"/>
      <c r="EPM69" s="349"/>
      <c r="EPN69" s="349"/>
      <c r="EPO69" s="349"/>
      <c r="EPP69" s="349"/>
      <c r="EPQ69" s="349"/>
      <c r="EPR69" s="349"/>
      <c r="EPS69" s="349"/>
      <c r="EPT69" s="349"/>
      <c r="EPU69" s="349"/>
      <c r="EPV69" s="349"/>
      <c r="EPW69" s="349"/>
      <c r="EPX69" s="349"/>
      <c r="EPY69" s="349"/>
      <c r="EPZ69" s="349"/>
      <c r="EQA69" s="349"/>
      <c r="EQB69" s="349"/>
      <c r="EQC69" s="349"/>
      <c r="EQD69" s="349"/>
      <c r="EQE69" s="349"/>
      <c r="EQF69" s="349"/>
      <c r="EQG69" s="349"/>
      <c r="EQH69" s="349"/>
      <c r="EQI69" s="349"/>
      <c r="EQJ69" s="349"/>
      <c r="EQK69" s="349"/>
      <c r="EQL69" s="349"/>
      <c r="EQM69" s="349"/>
      <c r="EQN69" s="349"/>
      <c r="EQO69" s="349"/>
      <c r="EQP69" s="349"/>
      <c r="EQQ69" s="349"/>
      <c r="EQR69" s="349"/>
      <c r="EQS69" s="349"/>
      <c r="EQT69" s="349"/>
      <c r="EQU69" s="349"/>
      <c r="EQV69" s="349"/>
      <c r="EQW69" s="349"/>
      <c r="EQX69" s="349"/>
      <c r="EQY69" s="349"/>
      <c r="EQZ69" s="349"/>
      <c r="ERA69" s="349"/>
      <c r="ERB69" s="349"/>
      <c r="ERC69" s="349"/>
      <c r="ERD69" s="349"/>
      <c r="ERE69" s="349"/>
      <c r="ERF69" s="349"/>
      <c r="ERG69" s="349"/>
      <c r="ERH69" s="349"/>
      <c r="ERI69" s="349"/>
      <c r="ERJ69" s="349"/>
      <c r="ERK69" s="349"/>
      <c r="ERL69" s="349"/>
      <c r="ERM69" s="349"/>
      <c r="ERN69" s="349"/>
      <c r="ERO69" s="349"/>
      <c r="ERP69" s="349"/>
      <c r="ERQ69" s="349"/>
      <c r="ERR69" s="349"/>
      <c r="ERS69" s="349"/>
      <c r="ERT69" s="349"/>
      <c r="ERU69" s="349"/>
      <c r="ERV69" s="349"/>
      <c r="ERW69" s="349"/>
      <c r="ERX69" s="349"/>
      <c r="ERY69" s="349"/>
      <c r="ERZ69" s="349"/>
      <c r="ESA69" s="349"/>
      <c r="ESB69" s="349"/>
      <c r="ESC69" s="349"/>
      <c r="ESD69" s="349"/>
      <c r="ESE69" s="349"/>
      <c r="ESF69" s="349"/>
      <c r="ESG69" s="349"/>
      <c r="ESH69" s="349"/>
      <c r="ESI69" s="349"/>
      <c r="ESJ69" s="349"/>
      <c r="ESK69" s="349"/>
      <c r="ESL69" s="349"/>
      <c r="ESM69" s="349"/>
      <c r="ESN69" s="349"/>
      <c r="ESO69" s="349"/>
      <c r="ESP69" s="349"/>
      <c r="ESQ69" s="349"/>
      <c r="ESR69" s="349"/>
      <c r="ESS69" s="349"/>
      <c r="EST69" s="349"/>
      <c r="ESU69" s="349"/>
      <c r="ESV69" s="349"/>
      <c r="ESW69" s="349"/>
      <c r="ESX69" s="349"/>
      <c r="ESY69" s="349"/>
      <c r="ESZ69" s="349"/>
      <c r="ETA69" s="349"/>
      <c r="ETB69" s="349"/>
      <c r="ETC69" s="349"/>
      <c r="ETD69" s="349"/>
      <c r="ETE69" s="349"/>
      <c r="ETF69" s="349"/>
      <c r="ETG69" s="349"/>
      <c r="ETH69" s="349"/>
      <c r="ETI69" s="349"/>
      <c r="ETJ69" s="349"/>
      <c r="ETK69" s="349"/>
      <c r="ETL69" s="349"/>
      <c r="ETM69" s="349"/>
      <c r="ETN69" s="349"/>
      <c r="ETO69" s="349"/>
      <c r="ETP69" s="349"/>
      <c r="ETQ69" s="349"/>
      <c r="ETR69" s="349"/>
      <c r="ETS69" s="349"/>
      <c r="ETT69" s="349"/>
      <c r="ETU69" s="349"/>
      <c r="ETV69" s="349"/>
      <c r="ETW69" s="349"/>
      <c r="ETX69" s="349"/>
      <c r="ETY69" s="349"/>
      <c r="ETZ69" s="349"/>
      <c r="EUA69" s="349"/>
      <c r="EUB69" s="349"/>
      <c r="EUC69" s="349"/>
      <c r="EUD69" s="349"/>
      <c r="EUE69" s="349"/>
      <c r="EUF69" s="349"/>
      <c r="EUG69" s="349"/>
      <c r="EUH69" s="349"/>
      <c r="EUI69" s="349"/>
      <c r="EUJ69" s="349"/>
      <c r="EUK69" s="349"/>
      <c r="EUL69" s="349"/>
      <c r="EUM69" s="349"/>
      <c r="EUN69" s="349"/>
      <c r="EUO69" s="349"/>
      <c r="EUP69" s="349"/>
      <c r="EUQ69" s="349"/>
      <c r="EUR69" s="349"/>
      <c r="EUS69" s="349"/>
      <c r="EUT69" s="349"/>
      <c r="EUU69" s="349"/>
      <c r="EUV69" s="349"/>
      <c r="EUW69" s="349"/>
      <c r="EUX69" s="349"/>
      <c r="EUY69" s="349"/>
      <c r="EUZ69" s="349"/>
      <c r="EVA69" s="349"/>
      <c r="EVB69" s="349"/>
      <c r="EVC69" s="349"/>
      <c r="EVD69" s="349"/>
      <c r="EVE69" s="349"/>
      <c r="EVF69" s="349"/>
      <c r="EVG69" s="349"/>
      <c r="EVH69" s="349"/>
      <c r="EVI69" s="349"/>
      <c r="EVJ69" s="349"/>
      <c r="EVK69" s="349"/>
      <c r="EVL69" s="349"/>
      <c r="EVM69" s="349"/>
      <c r="EVN69" s="349"/>
      <c r="EVO69" s="349"/>
      <c r="EVP69" s="349"/>
      <c r="EVQ69" s="349"/>
      <c r="EVR69" s="349"/>
      <c r="EVS69" s="349"/>
      <c r="EVT69" s="349"/>
      <c r="EVU69" s="349"/>
      <c r="EVV69" s="349"/>
      <c r="EVW69" s="349"/>
      <c r="EVX69" s="349"/>
      <c r="EVY69" s="349"/>
      <c r="EVZ69" s="349"/>
      <c r="EWA69" s="349"/>
      <c r="EWB69" s="349"/>
      <c r="EWC69" s="349"/>
      <c r="EWD69" s="349"/>
      <c r="EWE69" s="349"/>
      <c r="EWF69" s="349"/>
      <c r="EWG69" s="349"/>
      <c r="EWH69" s="349"/>
      <c r="EWI69" s="349"/>
      <c r="EWJ69" s="349"/>
      <c r="EWK69" s="349"/>
      <c r="EWL69" s="349"/>
      <c r="EWM69" s="349"/>
      <c r="EWN69" s="349"/>
      <c r="EWO69" s="349"/>
      <c r="EWP69" s="349"/>
      <c r="EWQ69" s="349"/>
      <c r="EWR69" s="349"/>
      <c r="EWS69" s="349"/>
      <c r="EWT69" s="349"/>
      <c r="EWU69" s="349"/>
      <c r="EWV69" s="349"/>
      <c r="EWW69" s="349"/>
      <c r="EWX69" s="349"/>
      <c r="EWY69" s="349"/>
      <c r="EWZ69" s="349"/>
      <c r="EXA69" s="349"/>
      <c r="EXB69" s="349"/>
      <c r="EXC69" s="349"/>
      <c r="EXD69" s="349"/>
      <c r="EXE69" s="349"/>
      <c r="EXF69" s="349"/>
      <c r="EXG69" s="349"/>
      <c r="EXH69" s="349"/>
      <c r="EXI69" s="349"/>
      <c r="EXJ69" s="349"/>
      <c r="EXK69" s="349"/>
      <c r="EXL69" s="349"/>
      <c r="EXM69" s="349"/>
      <c r="EXN69" s="349"/>
      <c r="EXO69" s="349"/>
      <c r="EXP69" s="349"/>
      <c r="EXQ69" s="349"/>
      <c r="EXR69" s="349"/>
      <c r="EXS69" s="349"/>
      <c r="EXT69" s="349"/>
      <c r="EXU69" s="349"/>
      <c r="EXV69" s="349"/>
      <c r="EXW69" s="349"/>
      <c r="EXX69" s="349"/>
      <c r="EXY69" s="349"/>
      <c r="EXZ69" s="349"/>
      <c r="EYA69" s="349"/>
      <c r="EYB69" s="349"/>
      <c r="EYC69" s="349"/>
      <c r="EYD69" s="349"/>
      <c r="EYE69" s="349"/>
      <c r="EYF69" s="349"/>
      <c r="EYG69" s="349"/>
      <c r="EYH69" s="349"/>
      <c r="EYI69" s="349"/>
      <c r="EYJ69" s="349"/>
      <c r="EYK69" s="349"/>
      <c r="EYL69" s="349"/>
      <c r="EYM69" s="349"/>
      <c r="EYN69" s="349"/>
      <c r="EYO69" s="349"/>
      <c r="EYP69" s="349"/>
      <c r="EYQ69" s="349"/>
      <c r="EYR69" s="349"/>
      <c r="EYS69" s="349"/>
      <c r="EYT69" s="349"/>
      <c r="EYU69" s="349"/>
      <c r="EYV69" s="349"/>
      <c r="EYW69" s="349"/>
      <c r="EYX69" s="349"/>
      <c r="EYY69" s="349"/>
      <c r="EYZ69" s="349"/>
      <c r="EZA69" s="349"/>
      <c r="EZB69" s="349"/>
      <c r="EZC69" s="349"/>
      <c r="EZD69" s="349"/>
      <c r="EZE69" s="349"/>
      <c r="EZF69" s="349"/>
      <c r="EZG69" s="349"/>
      <c r="EZH69" s="349"/>
      <c r="EZI69" s="349"/>
      <c r="EZJ69" s="349"/>
      <c r="EZK69" s="349"/>
      <c r="EZL69" s="349"/>
      <c r="EZM69" s="349"/>
      <c r="EZN69" s="349"/>
      <c r="EZO69" s="349"/>
      <c r="EZP69" s="349"/>
      <c r="EZQ69" s="349"/>
      <c r="EZR69" s="349"/>
      <c r="EZS69" s="349"/>
      <c r="EZT69" s="349"/>
      <c r="EZU69" s="349"/>
      <c r="EZV69" s="349"/>
      <c r="EZW69" s="349"/>
      <c r="EZX69" s="349"/>
      <c r="EZY69" s="349"/>
      <c r="EZZ69" s="349"/>
      <c r="FAA69" s="349"/>
      <c r="FAB69" s="349"/>
      <c r="FAC69" s="349"/>
      <c r="FAD69" s="349"/>
      <c r="FAE69" s="349"/>
      <c r="FAF69" s="349"/>
      <c r="FAG69" s="349"/>
      <c r="FAH69" s="349"/>
      <c r="FAI69" s="349"/>
      <c r="FAJ69" s="349"/>
      <c r="FAK69" s="349"/>
      <c r="FAL69" s="349"/>
      <c r="FAM69" s="349"/>
      <c r="FAN69" s="349"/>
      <c r="FAO69" s="349"/>
      <c r="FAP69" s="349"/>
      <c r="FAQ69" s="349"/>
      <c r="FAR69" s="349"/>
      <c r="FAS69" s="349"/>
      <c r="FAT69" s="349"/>
      <c r="FAU69" s="349"/>
      <c r="FAV69" s="349"/>
      <c r="FAW69" s="349"/>
      <c r="FAX69" s="349"/>
      <c r="FAY69" s="349"/>
      <c r="FAZ69" s="349"/>
      <c r="FBA69" s="349"/>
      <c r="FBB69" s="349"/>
      <c r="FBC69" s="349"/>
      <c r="FBD69" s="349"/>
      <c r="FBE69" s="349"/>
      <c r="FBF69" s="349"/>
      <c r="FBG69" s="349"/>
      <c r="FBH69" s="349"/>
      <c r="FBI69" s="349"/>
      <c r="FBJ69" s="349"/>
      <c r="FBK69" s="349"/>
      <c r="FBL69" s="349"/>
      <c r="FBM69" s="349"/>
      <c r="FBN69" s="349"/>
      <c r="FBO69" s="349"/>
      <c r="FBP69" s="349"/>
      <c r="FBQ69" s="349"/>
      <c r="FBR69" s="349"/>
      <c r="FBS69" s="349"/>
      <c r="FBT69" s="349"/>
      <c r="FBU69" s="349"/>
      <c r="FBV69" s="349"/>
      <c r="FBW69" s="349"/>
      <c r="FBX69" s="349"/>
      <c r="FBY69" s="349"/>
      <c r="FBZ69" s="349"/>
      <c r="FCA69" s="349"/>
      <c r="FCB69" s="349"/>
      <c r="FCC69" s="349"/>
      <c r="FCD69" s="349"/>
      <c r="FCE69" s="349"/>
      <c r="FCF69" s="349"/>
      <c r="FCG69" s="349"/>
      <c r="FCH69" s="349"/>
      <c r="FCI69" s="349"/>
      <c r="FCJ69" s="349"/>
      <c r="FCK69" s="349"/>
      <c r="FCL69" s="349"/>
      <c r="FCM69" s="349"/>
      <c r="FCN69" s="349"/>
      <c r="FCO69" s="349"/>
      <c r="FCP69" s="349"/>
      <c r="FCQ69" s="349"/>
      <c r="FCR69" s="349"/>
      <c r="FCS69" s="349"/>
      <c r="FCT69" s="349"/>
      <c r="FCU69" s="349"/>
      <c r="FCV69" s="349"/>
      <c r="FCW69" s="349"/>
      <c r="FCX69" s="349"/>
      <c r="FCY69" s="349"/>
      <c r="FCZ69" s="349"/>
      <c r="FDA69" s="349"/>
      <c r="FDB69" s="349"/>
      <c r="FDC69" s="349"/>
      <c r="FDD69" s="349"/>
      <c r="FDE69" s="349"/>
      <c r="FDF69" s="349"/>
      <c r="FDG69" s="349"/>
      <c r="FDH69" s="349"/>
      <c r="FDI69" s="349"/>
      <c r="FDJ69" s="349"/>
      <c r="FDK69" s="349"/>
      <c r="FDL69" s="349"/>
      <c r="FDM69" s="349"/>
      <c r="FDN69" s="349"/>
      <c r="FDO69" s="349"/>
      <c r="FDP69" s="349"/>
      <c r="FDQ69" s="349"/>
      <c r="FDR69" s="349"/>
      <c r="FDS69" s="349"/>
      <c r="FDT69" s="349"/>
      <c r="FDU69" s="349"/>
      <c r="FDV69" s="349"/>
      <c r="FDW69" s="349"/>
      <c r="FDX69" s="349"/>
      <c r="FDY69" s="349"/>
      <c r="FDZ69" s="349"/>
      <c r="FEA69" s="349"/>
      <c r="FEB69" s="349"/>
      <c r="FEC69" s="349"/>
      <c r="FED69" s="349"/>
      <c r="FEE69" s="349"/>
      <c r="FEF69" s="349"/>
      <c r="FEG69" s="349"/>
      <c r="FEH69" s="349"/>
      <c r="FEI69" s="349"/>
      <c r="FEJ69" s="349"/>
      <c r="FEK69" s="349"/>
      <c r="FEL69" s="349"/>
      <c r="FEM69" s="349"/>
      <c r="FEN69" s="349"/>
      <c r="FEO69" s="349"/>
      <c r="FEP69" s="349"/>
      <c r="FEQ69" s="349"/>
      <c r="FER69" s="349"/>
      <c r="FES69" s="349"/>
      <c r="FET69" s="349"/>
      <c r="FEU69" s="349"/>
      <c r="FEV69" s="349"/>
      <c r="FEW69" s="349"/>
      <c r="FEX69" s="349"/>
      <c r="FEY69" s="349"/>
      <c r="FEZ69" s="349"/>
      <c r="FFA69" s="349"/>
      <c r="FFB69" s="349"/>
      <c r="FFC69" s="349"/>
      <c r="FFD69" s="349"/>
      <c r="FFE69" s="349"/>
      <c r="FFF69" s="349"/>
      <c r="FFG69" s="349"/>
      <c r="FFH69" s="349"/>
      <c r="FFI69" s="349"/>
      <c r="FFJ69" s="349"/>
      <c r="FFK69" s="349"/>
      <c r="FFL69" s="349"/>
      <c r="FFM69" s="349"/>
      <c r="FFN69" s="349"/>
      <c r="FFO69" s="349"/>
      <c r="FFP69" s="349"/>
      <c r="FFQ69" s="349"/>
      <c r="FFR69" s="349"/>
      <c r="FFS69" s="349"/>
      <c r="FFT69" s="349"/>
      <c r="FFU69" s="349"/>
      <c r="FFV69" s="349"/>
      <c r="FFW69" s="349"/>
      <c r="FFX69" s="349"/>
      <c r="FFY69" s="349"/>
      <c r="FFZ69" s="349"/>
      <c r="FGA69" s="349"/>
      <c r="FGB69" s="349"/>
      <c r="FGC69" s="349"/>
      <c r="FGD69" s="349"/>
      <c r="FGE69" s="349"/>
      <c r="FGF69" s="349"/>
      <c r="FGG69" s="349"/>
      <c r="FGH69" s="349"/>
      <c r="FGI69" s="349"/>
      <c r="FGJ69" s="349"/>
      <c r="FGK69" s="349"/>
      <c r="FGL69" s="349"/>
      <c r="FGM69" s="349"/>
      <c r="FGN69" s="349"/>
      <c r="FGO69" s="349"/>
      <c r="FGP69" s="349"/>
      <c r="FGQ69" s="349"/>
      <c r="FGR69" s="349"/>
      <c r="FGS69" s="349"/>
      <c r="FGT69" s="349"/>
      <c r="FGU69" s="349"/>
      <c r="FGV69" s="349"/>
      <c r="FGW69" s="349"/>
      <c r="FGX69" s="349"/>
      <c r="FGY69" s="349"/>
      <c r="FGZ69" s="349"/>
      <c r="FHA69" s="349"/>
      <c r="FHB69" s="349"/>
      <c r="FHC69" s="349"/>
      <c r="FHD69" s="349"/>
      <c r="FHE69" s="349"/>
      <c r="FHF69" s="349"/>
      <c r="FHG69" s="349"/>
      <c r="FHH69" s="349"/>
      <c r="FHI69" s="349"/>
      <c r="FHJ69" s="349"/>
      <c r="FHK69" s="349"/>
      <c r="FHL69" s="349"/>
      <c r="FHM69" s="349"/>
      <c r="FHN69" s="349"/>
      <c r="FHO69" s="349"/>
      <c r="FHP69" s="349"/>
      <c r="FHQ69" s="349"/>
      <c r="FHR69" s="349"/>
      <c r="FHS69" s="349"/>
      <c r="FHT69" s="349"/>
      <c r="FHU69" s="349"/>
      <c r="FHV69" s="349"/>
      <c r="FHW69" s="349"/>
      <c r="FHX69" s="349"/>
      <c r="FHY69" s="349"/>
      <c r="FHZ69" s="349"/>
      <c r="FIA69" s="349"/>
      <c r="FIB69" s="349"/>
      <c r="FIC69" s="349"/>
      <c r="FID69" s="349"/>
      <c r="FIE69" s="349"/>
      <c r="FIF69" s="349"/>
      <c r="FIG69" s="349"/>
      <c r="FIH69" s="349"/>
      <c r="FII69" s="349"/>
      <c r="FIJ69" s="349"/>
      <c r="FIK69" s="349"/>
      <c r="FIL69" s="349"/>
      <c r="FIM69" s="349"/>
      <c r="FIN69" s="349"/>
      <c r="FIO69" s="349"/>
      <c r="FIP69" s="349"/>
      <c r="FIQ69" s="349"/>
      <c r="FIR69" s="349"/>
      <c r="FIS69" s="349"/>
      <c r="FIT69" s="349"/>
      <c r="FIU69" s="349"/>
      <c r="FIV69" s="349"/>
      <c r="FIW69" s="349"/>
      <c r="FIX69" s="349"/>
      <c r="FIY69" s="349"/>
      <c r="FIZ69" s="349"/>
      <c r="FJA69" s="349"/>
      <c r="FJB69" s="349"/>
      <c r="FJC69" s="349"/>
      <c r="FJD69" s="349"/>
      <c r="FJE69" s="349"/>
      <c r="FJF69" s="349"/>
      <c r="FJG69" s="349"/>
      <c r="FJH69" s="349"/>
      <c r="FJI69" s="349"/>
      <c r="FJJ69" s="349"/>
      <c r="FJK69" s="349"/>
      <c r="FJL69" s="349"/>
      <c r="FJM69" s="349"/>
      <c r="FJN69" s="349"/>
      <c r="FJO69" s="349"/>
      <c r="FJP69" s="349"/>
      <c r="FJQ69" s="349"/>
      <c r="FJR69" s="349"/>
      <c r="FJS69" s="349"/>
      <c r="FJT69" s="349"/>
      <c r="FJU69" s="349"/>
      <c r="FJV69" s="349"/>
      <c r="FJW69" s="349"/>
      <c r="FJX69" s="349"/>
      <c r="FJY69" s="349"/>
      <c r="FJZ69" s="349"/>
      <c r="FKA69" s="349"/>
      <c r="FKB69" s="349"/>
      <c r="FKC69" s="349"/>
      <c r="FKD69" s="349"/>
      <c r="FKE69" s="349"/>
      <c r="FKF69" s="349"/>
      <c r="FKG69" s="349"/>
      <c r="FKH69" s="349"/>
      <c r="FKI69" s="349"/>
      <c r="FKJ69" s="349"/>
      <c r="FKK69" s="349"/>
      <c r="FKL69" s="349"/>
      <c r="FKM69" s="349"/>
      <c r="FKN69" s="349"/>
      <c r="FKO69" s="349"/>
      <c r="FKP69" s="349"/>
      <c r="FKQ69" s="349"/>
      <c r="FKR69" s="349"/>
      <c r="FKS69" s="349"/>
      <c r="FKT69" s="349"/>
      <c r="FKU69" s="349"/>
      <c r="FKV69" s="349"/>
      <c r="FKW69" s="349"/>
      <c r="FKX69" s="349"/>
      <c r="FKY69" s="349"/>
      <c r="FKZ69" s="349"/>
      <c r="FLA69" s="349"/>
      <c r="FLB69" s="349"/>
      <c r="FLC69" s="349"/>
      <c r="FLD69" s="349"/>
      <c r="FLE69" s="349"/>
      <c r="FLF69" s="349"/>
      <c r="FLG69" s="349"/>
      <c r="FLH69" s="349"/>
      <c r="FLI69" s="349"/>
      <c r="FLJ69" s="349"/>
      <c r="FLK69" s="349"/>
      <c r="FLL69" s="349"/>
      <c r="FLM69" s="349"/>
      <c r="FLN69" s="349"/>
      <c r="FLO69" s="349"/>
      <c r="FLP69" s="349"/>
      <c r="FLQ69" s="349"/>
      <c r="FLR69" s="349"/>
      <c r="FLS69" s="349"/>
      <c r="FLT69" s="349"/>
      <c r="FLU69" s="349"/>
      <c r="FLV69" s="349"/>
      <c r="FLW69" s="349"/>
      <c r="FLX69" s="349"/>
      <c r="FLY69" s="349"/>
      <c r="FLZ69" s="349"/>
      <c r="FMA69" s="349"/>
      <c r="FMB69" s="349"/>
      <c r="FMC69" s="349"/>
      <c r="FMD69" s="349"/>
      <c r="FME69" s="349"/>
      <c r="FMF69" s="349"/>
      <c r="FMG69" s="349"/>
      <c r="FMH69" s="349"/>
      <c r="FMI69" s="349"/>
      <c r="FMJ69" s="349"/>
      <c r="FMK69" s="349"/>
      <c r="FML69" s="349"/>
      <c r="FMM69" s="349"/>
      <c r="FMN69" s="349"/>
      <c r="FMO69" s="349"/>
      <c r="FMP69" s="349"/>
      <c r="FMQ69" s="349"/>
      <c r="FMR69" s="349"/>
      <c r="FMS69" s="349"/>
      <c r="FMT69" s="349"/>
      <c r="FMU69" s="349"/>
      <c r="FMV69" s="349"/>
      <c r="FMW69" s="349"/>
      <c r="FMX69" s="349"/>
      <c r="FMY69" s="349"/>
      <c r="FMZ69" s="349"/>
      <c r="FNA69" s="349"/>
      <c r="FNB69" s="349"/>
      <c r="FNC69" s="349"/>
      <c r="FND69" s="349"/>
      <c r="FNE69" s="349"/>
      <c r="FNF69" s="349"/>
      <c r="FNG69" s="349"/>
      <c r="FNH69" s="349"/>
      <c r="FNI69" s="349"/>
      <c r="FNJ69" s="349"/>
      <c r="FNK69" s="349"/>
      <c r="FNL69" s="349"/>
      <c r="FNM69" s="349"/>
      <c r="FNN69" s="349"/>
      <c r="FNO69" s="349"/>
      <c r="FNP69" s="349"/>
      <c r="FNQ69" s="349"/>
      <c r="FNR69" s="349"/>
      <c r="FNS69" s="349"/>
      <c r="FNT69" s="349"/>
      <c r="FNU69" s="349"/>
      <c r="FNV69" s="349"/>
      <c r="FNW69" s="349"/>
      <c r="FNX69" s="349"/>
      <c r="FNY69" s="349"/>
      <c r="FNZ69" s="349"/>
      <c r="FOA69" s="349"/>
      <c r="FOB69" s="349"/>
      <c r="FOC69" s="349"/>
      <c r="FOD69" s="349"/>
      <c r="FOE69" s="349"/>
      <c r="FOF69" s="349"/>
      <c r="FOG69" s="349"/>
      <c r="FOH69" s="349"/>
      <c r="FOI69" s="349"/>
      <c r="FOJ69" s="349"/>
      <c r="FOK69" s="349"/>
      <c r="FOL69" s="349"/>
      <c r="FOM69" s="349"/>
      <c r="FON69" s="349"/>
      <c r="FOO69" s="349"/>
      <c r="FOP69" s="349"/>
      <c r="FOQ69" s="349"/>
      <c r="FOR69" s="349"/>
      <c r="FOS69" s="349"/>
      <c r="FOT69" s="349"/>
      <c r="FOU69" s="349"/>
      <c r="FOV69" s="349"/>
      <c r="FOW69" s="349"/>
      <c r="FOX69" s="349"/>
      <c r="FOY69" s="349"/>
      <c r="FOZ69" s="349"/>
      <c r="FPA69" s="349"/>
      <c r="FPB69" s="349"/>
      <c r="FPC69" s="349"/>
      <c r="FPD69" s="349"/>
      <c r="FPE69" s="349"/>
      <c r="FPF69" s="349"/>
      <c r="FPG69" s="349"/>
      <c r="FPH69" s="349"/>
      <c r="FPI69" s="349"/>
      <c r="FPJ69" s="349"/>
      <c r="FPK69" s="349"/>
      <c r="FPL69" s="349"/>
      <c r="FPM69" s="349"/>
      <c r="FPN69" s="349"/>
      <c r="FPO69" s="349"/>
      <c r="FPP69" s="349"/>
      <c r="FPQ69" s="349"/>
      <c r="FPR69" s="349"/>
      <c r="FPS69" s="349"/>
      <c r="FPT69" s="349"/>
      <c r="FPU69" s="349"/>
      <c r="FPV69" s="349"/>
      <c r="FPW69" s="349"/>
      <c r="FPX69" s="349"/>
      <c r="FPY69" s="349"/>
      <c r="FPZ69" s="349"/>
      <c r="FQA69" s="349"/>
      <c r="FQB69" s="349"/>
      <c r="FQC69" s="349"/>
      <c r="FQD69" s="349"/>
      <c r="FQE69" s="349"/>
      <c r="FQF69" s="349"/>
      <c r="FQG69" s="349"/>
      <c r="FQH69" s="349"/>
      <c r="FQI69" s="349"/>
      <c r="FQJ69" s="349"/>
      <c r="FQK69" s="349"/>
      <c r="FQL69" s="349"/>
      <c r="FQM69" s="349"/>
      <c r="FQN69" s="349"/>
      <c r="FQO69" s="349"/>
      <c r="FQP69" s="349"/>
      <c r="FQQ69" s="349"/>
      <c r="FQR69" s="349"/>
      <c r="FQS69" s="349"/>
      <c r="FQT69" s="349"/>
      <c r="FQU69" s="349"/>
      <c r="FQV69" s="349"/>
      <c r="FQW69" s="349"/>
      <c r="FQX69" s="349"/>
      <c r="FQY69" s="349"/>
      <c r="FQZ69" s="349"/>
      <c r="FRA69" s="349"/>
      <c r="FRB69" s="349"/>
      <c r="FRC69" s="349"/>
      <c r="FRD69" s="349"/>
      <c r="FRE69" s="349"/>
      <c r="FRF69" s="349"/>
      <c r="FRG69" s="349"/>
      <c r="FRH69" s="349"/>
      <c r="FRI69" s="349"/>
      <c r="FRJ69" s="349"/>
      <c r="FRK69" s="349"/>
      <c r="FRL69" s="349"/>
      <c r="FRM69" s="349"/>
      <c r="FRN69" s="349"/>
      <c r="FRO69" s="349"/>
      <c r="FRP69" s="349"/>
      <c r="FRQ69" s="349"/>
      <c r="FRR69" s="349"/>
      <c r="FRS69" s="349"/>
      <c r="FRT69" s="349"/>
      <c r="FRU69" s="349"/>
      <c r="FRV69" s="349"/>
      <c r="FRW69" s="349"/>
      <c r="FRX69" s="349"/>
      <c r="FRY69" s="349"/>
      <c r="FRZ69" s="349"/>
      <c r="FSA69" s="349"/>
      <c r="FSB69" s="349"/>
      <c r="FSC69" s="349"/>
      <c r="FSD69" s="349"/>
      <c r="FSE69" s="349"/>
      <c r="FSF69" s="349"/>
      <c r="FSG69" s="349"/>
      <c r="FSH69" s="349"/>
      <c r="FSI69" s="349"/>
      <c r="FSJ69" s="349"/>
      <c r="FSK69" s="349"/>
      <c r="FSL69" s="349"/>
      <c r="FSM69" s="349"/>
      <c r="FSN69" s="349"/>
      <c r="FSO69" s="349"/>
      <c r="FSP69" s="349"/>
      <c r="FSQ69" s="349"/>
      <c r="FSR69" s="349"/>
      <c r="FSS69" s="349"/>
      <c r="FST69" s="349"/>
      <c r="FSU69" s="349"/>
      <c r="FSV69" s="349"/>
      <c r="FSW69" s="349"/>
      <c r="FSX69" s="349"/>
      <c r="FSY69" s="349"/>
      <c r="FSZ69" s="349"/>
      <c r="FTA69" s="349"/>
      <c r="FTB69" s="349"/>
      <c r="FTC69" s="349"/>
      <c r="FTD69" s="349"/>
      <c r="FTE69" s="349"/>
      <c r="FTF69" s="349"/>
      <c r="FTG69" s="349"/>
      <c r="FTH69" s="349"/>
      <c r="FTI69" s="349"/>
      <c r="FTJ69" s="349"/>
      <c r="FTK69" s="349"/>
      <c r="FTL69" s="349"/>
      <c r="FTM69" s="349"/>
      <c r="FTN69" s="349"/>
      <c r="FTO69" s="349"/>
      <c r="FTP69" s="349"/>
      <c r="FTQ69" s="349"/>
      <c r="FTR69" s="349"/>
      <c r="FTS69" s="349"/>
      <c r="FTT69" s="349"/>
      <c r="FTU69" s="349"/>
      <c r="FTV69" s="349"/>
      <c r="FTW69" s="349"/>
      <c r="FTX69" s="349"/>
      <c r="FTY69" s="349"/>
      <c r="FTZ69" s="349"/>
      <c r="FUA69" s="349"/>
      <c r="FUB69" s="349"/>
      <c r="FUC69" s="349"/>
      <c r="FUD69" s="349"/>
      <c r="FUE69" s="349"/>
      <c r="FUF69" s="349"/>
      <c r="FUG69" s="349"/>
      <c r="FUH69" s="349"/>
      <c r="FUI69" s="349"/>
      <c r="FUJ69" s="349"/>
      <c r="FUK69" s="349"/>
      <c r="FUL69" s="349"/>
      <c r="FUM69" s="349"/>
      <c r="FUN69" s="349"/>
      <c r="FUO69" s="349"/>
      <c r="FUP69" s="349"/>
      <c r="FUQ69" s="349"/>
      <c r="FUR69" s="349"/>
      <c r="FUS69" s="349"/>
      <c r="FUT69" s="349"/>
      <c r="FUU69" s="349"/>
      <c r="FUV69" s="349"/>
      <c r="FUW69" s="349"/>
      <c r="FUX69" s="349"/>
      <c r="FUY69" s="349"/>
      <c r="FUZ69" s="349"/>
      <c r="FVA69" s="349"/>
      <c r="FVB69" s="349"/>
      <c r="FVC69" s="349"/>
      <c r="FVD69" s="349"/>
      <c r="FVE69" s="349"/>
      <c r="FVF69" s="349"/>
      <c r="FVG69" s="349"/>
      <c r="FVH69" s="349"/>
      <c r="FVI69" s="349"/>
      <c r="FVJ69" s="349"/>
      <c r="FVK69" s="349"/>
      <c r="FVL69" s="349"/>
      <c r="FVM69" s="349"/>
      <c r="FVN69" s="349"/>
      <c r="FVO69" s="349"/>
      <c r="FVP69" s="349"/>
      <c r="FVQ69" s="349"/>
      <c r="FVR69" s="349"/>
      <c r="FVS69" s="349"/>
      <c r="FVT69" s="349"/>
      <c r="FVU69" s="349"/>
      <c r="FVV69" s="349"/>
      <c r="FVW69" s="349"/>
      <c r="FVX69" s="349"/>
      <c r="FVY69" s="349"/>
      <c r="FVZ69" s="349"/>
      <c r="FWA69" s="349"/>
      <c r="FWB69" s="349"/>
      <c r="FWC69" s="349"/>
      <c r="FWD69" s="349"/>
      <c r="FWE69" s="349"/>
      <c r="FWF69" s="349"/>
      <c r="FWG69" s="349"/>
      <c r="FWH69" s="349"/>
      <c r="FWI69" s="349"/>
      <c r="FWJ69" s="349"/>
      <c r="FWK69" s="349"/>
      <c r="FWL69" s="349"/>
      <c r="FWM69" s="349"/>
      <c r="FWN69" s="349"/>
      <c r="FWO69" s="349"/>
      <c r="FWP69" s="349"/>
      <c r="FWQ69" s="349"/>
      <c r="FWR69" s="349"/>
      <c r="FWS69" s="349"/>
      <c r="FWT69" s="349"/>
      <c r="FWU69" s="349"/>
      <c r="FWV69" s="349"/>
      <c r="FWW69" s="349"/>
      <c r="FWX69" s="349"/>
      <c r="FWY69" s="349"/>
      <c r="FWZ69" s="349"/>
      <c r="FXA69" s="349"/>
      <c r="FXB69" s="349"/>
      <c r="FXC69" s="349"/>
      <c r="FXD69" s="349"/>
      <c r="FXE69" s="349"/>
      <c r="FXF69" s="349"/>
      <c r="FXG69" s="349"/>
      <c r="FXH69" s="349"/>
      <c r="FXI69" s="349"/>
      <c r="FXJ69" s="349"/>
      <c r="FXK69" s="349"/>
      <c r="FXL69" s="349"/>
      <c r="FXM69" s="349"/>
      <c r="FXN69" s="349"/>
      <c r="FXO69" s="349"/>
      <c r="FXP69" s="349"/>
      <c r="FXQ69" s="349"/>
      <c r="FXR69" s="349"/>
      <c r="FXS69" s="349"/>
      <c r="FXT69" s="349"/>
      <c r="FXU69" s="349"/>
      <c r="FXV69" s="349"/>
      <c r="FXW69" s="349"/>
      <c r="FXX69" s="349"/>
      <c r="FXY69" s="349"/>
      <c r="FXZ69" s="349"/>
      <c r="FYA69" s="349"/>
      <c r="FYB69" s="349"/>
      <c r="FYC69" s="349"/>
      <c r="FYD69" s="349"/>
      <c r="FYE69" s="349"/>
      <c r="FYF69" s="349"/>
      <c r="FYG69" s="349"/>
      <c r="FYH69" s="349"/>
      <c r="FYI69" s="349"/>
      <c r="FYJ69" s="349"/>
      <c r="FYK69" s="349"/>
      <c r="FYL69" s="349"/>
      <c r="FYM69" s="349"/>
      <c r="FYN69" s="349"/>
      <c r="FYO69" s="349"/>
      <c r="FYP69" s="349"/>
      <c r="FYQ69" s="349"/>
      <c r="FYR69" s="349"/>
      <c r="FYS69" s="349"/>
      <c r="FYT69" s="349"/>
      <c r="FYU69" s="349"/>
      <c r="FYV69" s="349"/>
      <c r="FYW69" s="349"/>
      <c r="FYX69" s="349"/>
      <c r="FYY69" s="349"/>
      <c r="FYZ69" s="349"/>
      <c r="FZA69" s="349"/>
      <c r="FZB69" s="349"/>
      <c r="FZC69" s="349"/>
      <c r="FZD69" s="349"/>
      <c r="FZE69" s="349"/>
      <c r="FZF69" s="349"/>
      <c r="FZG69" s="349"/>
      <c r="FZH69" s="349"/>
      <c r="FZI69" s="349"/>
      <c r="FZJ69" s="349"/>
      <c r="FZK69" s="349"/>
      <c r="FZL69" s="349"/>
      <c r="FZM69" s="349"/>
      <c r="FZN69" s="349"/>
      <c r="FZO69" s="349"/>
      <c r="FZP69" s="349"/>
      <c r="FZQ69" s="349"/>
      <c r="FZR69" s="349"/>
      <c r="FZS69" s="349"/>
      <c r="FZT69" s="349"/>
      <c r="FZU69" s="349"/>
      <c r="FZV69" s="349"/>
      <c r="FZW69" s="349"/>
      <c r="FZX69" s="349"/>
      <c r="FZY69" s="349"/>
      <c r="FZZ69" s="349"/>
      <c r="GAA69" s="349"/>
      <c r="GAB69" s="349"/>
      <c r="GAC69" s="349"/>
      <c r="GAD69" s="349"/>
      <c r="GAE69" s="349"/>
      <c r="GAF69" s="349"/>
      <c r="GAG69" s="349"/>
      <c r="GAH69" s="349"/>
      <c r="GAI69" s="349"/>
      <c r="GAJ69" s="349"/>
      <c r="GAK69" s="349"/>
      <c r="GAL69" s="349"/>
      <c r="GAM69" s="349"/>
      <c r="GAN69" s="349"/>
      <c r="GAO69" s="349"/>
      <c r="GAP69" s="349"/>
      <c r="GAQ69" s="349"/>
      <c r="GAR69" s="349"/>
      <c r="GAS69" s="349"/>
      <c r="GAT69" s="349"/>
      <c r="GAU69" s="349"/>
      <c r="GAV69" s="349"/>
      <c r="GAW69" s="349"/>
      <c r="GAX69" s="349"/>
      <c r="GAY69" s="349"/>
      <c r="GAZ69" s="349"/>
      <c r="GBA69" s="349"/>
      <c r="GBB69" s="349"/>
      <c r="GBC69" s="349"/>
      <c r="GBD69" s="349"/>
      <c r="GBE69" s="349"/>
      <c r="GBF69" s="349"/>
      <c r="GBG69" s="349"/>
      <c r="GBH69" s="349"/>
      <c r="GBI69" s="349"/>
      <c r="GBJ69" s="349"/>
      <c r="GBK69" s="349"/>
      <c r="GBL69" s="349"/>
      <c r="GBM69" s="349"/>
      <c r="GBN69" s="349"/>
      <c r="GBO69" s="349"/>
      <c r="GBP69" s="349"/>
      <c r="GBQ69" s="349"/>
      <c r="GBR69" s="349"/>
      <c r="GBS69" s="349"/>
      <c r="GBT69" s="349"/>
      <c r="GBU69" s="349"/>
      <c r="GBV69" s="349"/>
      <c r="GBW69" s="349"/>
      <c r="GBX69" s="349"/>
      <c r="GBY69" s="349"/>
      <c r="GBZ69" s="349"/>
      <c r="GCA69" s="349"/>
      <c r="GCB69" s="349"/>
      <c r="GCC69" s="349"/>
      <c r="GCD69" s="349"/>
      <c r="GCE69" s="349"/>
      <c r="GCF69" s="349"/>
      <c r="GCG69" s="349"/>
      <c r="GCH69" s="349"/>
      <c r="GCI69" s="349"/>
      <c r="GCJ69" s="349"/>
      <c r="GCK69" s="349"/>
      <c r="GCL69" s="349"/>
      <c r="GCM69" s="349"/>
      <c r="GCN69" s="349"/>
      <c r="GCO69" s="349"/>
      <c r="GCP69" s="349"/>
      <c r="GCQ69" s="349"/>
      <c r="GCR69" s="349"/>
      <c r="GCS69" s="349"/>
      <c r="GCT69" s="349"/>
      <c r="GCU69" s="349"/>
      <c r="GCV69" s="349"/>
      <c r="GCW69" s="349"/>
      <c r="GCX69" s="349"/>
      <c r="GCY69" s="349"/>
      <c r="GCZ69" s="349"/>
      <c r="GDA69" s="349"/>
      <c r="GDB69" s="349"/>
      <c r="GDC69" s="349"/>
      <c r="GDD69" s="349"/>
      <c r="GDE69" s="349"/>
      <c r="GDF69" s="349"/>
      <c r="GDG69" s="349"/>
      <c r="GDH69" s="349"/>
      <c r="GDI69" s="349"/>
      <c r="GDJ69" s="349"/>
      <c r="GDK69" s="349"/>
      <c r="GDL69" s="349"/>
      <c r="GDM69" s="349"/>
      <c r="GDN69" s="349"/>
      <c r="GDO69" s="349"/>
      <c r="GDP69" s="349"/>
      <c r="GDQ69" s="349"/>
      <c r="GDR69" s="349"/>
      <c r="GDS69" s="349"/>
      <c r="GDT69" s="349"/>
      <c r="GDU69" s="349"/>
      <c r="GDV69" s="349"/>
      <c r="GDW69" s="349"/>
      <c r="GDX69" s="349"/>
      <c r="GDY69" s="349"/>
      <c r="GDZ69" s="349"/>
      <c r="GEA69" s="349"/>
      <c r="GEB69" s="349"/>
      <c r="GEC69" s="349"/>
      <c r="GED69" s="349"/>
      <c r="GEE69" s="349"/>
      <c r="GEF69" s="349"/>
      <c r="GEG69" s="349"/>
      <c r="GEH69" s="349"/>
      <c r="GEI69" s="349"/>
      <c r="GEJ69" s="349"/>
      <c r="GEK69" s="349"/>
      <c r="GEL69" s="349"/>
      <c r="GEM69" s="349"/>
      <c r="GEN69" s="349"/>
      <c r="GEO69" s="349"/>
      <c r="GEP69" s="349"/>
      <c r="GEQ69" s="349"/>
      <c r="GER69" s="349"/>
      <c r="GES69" s="349"/>
      <c r="GET69" s="349"/>
      <c r="GEU69" s="349"/>
      <c r="GEV69" s="349"/>
      <c r="GEW69" s="349"/>
      <c r="GEX69" s="349"/>
      <c r="GEY69" s="349"/>
      <c r="GEZ69" s="349"/>
      <c r="GFA69" s="349"/>
      <c r="GFB69" s="349"/>
      <c r="GFC69" s="349"/>
      <c r="GFD69" s="349"/>
      <c r="GFE69" s="349"/>
      <c r="GFF69" s="349"/>
      <c r="GFG69" s="349"/>
      <c r="GFH69" s="349"/>
      <c r="GFI69" s="349"/>
      <c r="GFJ69" s="349"/>
      <c r="GFK69" s="349"/>
      <c r="GFL69" s="349"/>
      <c r="GFM69" s="349"/>
      <c r="GFN69" s="349"/>
      <c r="GFO69" s="349"/>
      <c r="GFP69" s="349"/>
      <c r="GFQ69" s="349"/>
      <c r="GFR69" s="349"/>
      <c r="GFS69" s="349"/>
      <c r="GFT69" s="349"/>
      <c r="GFU69" s="349"/>
      <c r="GFV69" s="349"/>
      <c r="GFW69" s="349"/>
      <c r="GFX69" s="349"/>
      <c r="GFY69" s="349"/>
      <c r="GFZ69" s="349"/>
      <c r="GGA69" s="349"/>
      <c r="GGB69" s="349"/>
      <c r="GGC69" s="349"/>
      <c r="GGD69" s="349"/>
      <c r="GGE69" s="349"/>
      <c r="GGF69" s="349"/>
      <c r="GGG69" s="349"/>
      <c r="GGH69" s="349"/>
      <c r="GGI69" s="349"/>
      <c r="GGJ69" s="349"/>
      <c r="GGK69" s="349"/>
      <c r="GGL69" s="349"/>
      <c r="GGM69" s="349"/>
      <c r="GGN69" s="349"/>
      <c r="GGO69" s="349"/>
      <c r="GGP69" s="349"/>
      <c r="GGQ69" s="349"/>
      <c r="GGR69" s="349"/>
      <c r="GGS69" s="349"/>
      <c r="GGT69" s="349"/>
      <c r="GGU69" s="349"/>
      <c r="GGV69" s="349"/>
      <c r="GGW69" s="349"/>
      <c r="GGX69" s="349"/>
      <c r="GGY69" s="349"/>
      <c r="GGZ69" s="349"/>
      <c r="GHA69" s="349"/>
      <c r="GHB69" s="349"/>
      <c r="GHC69" s="349"/>
      <c r="GHD69" s="349"/>
      <c r="GHE69" s="349"/>
      <c r="GHF69" s="349"/>
      <c r="GHG69" s="349"/>
      <c r="GHH69" s="349"/>
      <c r="GHI69" s="349"/>
      <c r="GHJ69" s="349"/>
      <c r="GHK69" s="349"/>
      <c r="GHL69" s="349"/>
      <c r="GHM69" s="349"/>
      <c r="GHN69" s="349"/>
      <c r="GHO69" s="349"/>
      <c r="GHP69" s="349"/>
      <c r="GHQ69" s="349"/>
      <c r="GHR69" s="349"/>
      <c r="GHS69" s="349"/>
      <c r="GHT69" s="349"/>
      <c r="GHU69" s="349"/>
      <c r="GHV69" s="349"/>
      <c r="GHW69" s="349"/>
      <c r="GHX69" s="349"/>
      <c r="GHY69" s="349"/>
      <c r="GHZ69" s="349"/>
      <c r="GIA69" s="349"/>
      <c r="GIB69" s="349"/>
      <c r="GIC69" s="349"/>
      <c r="GID69" s="349"/>
      <c r="GIE69" s="349"/>
      <c r="GIF69" s="349"/>
      <c r="GIG69" s="349"/>
      <c r="GIH69" s="349"/>
      <c r="GII69" s="349"/>
      <c r="GIJ69" s="349"/>
      <c r="GIK69" s="349"/>
      <c r="GIL69" s="349"/>
      <c r="GIM69" s="349"/>
      <c r="GIN69" s="349"/>
      <c r="GIO69" s="349"/>
      <c r="GIP69" s="349"/>
      <c r="GIQ69" s="349"/>
      <c r="GIR69" s="349"/>
      <c r="GIS69" s="349"/>
      <c r="GIT69" s="349"/>
      <c r="GIU69" s="349"/>
      <c r="GIV69" s="349"/>
      <c r="GIW69" s="349"/>
      <c r="GIX69" s="349"/>
      <c r="GIY69" s="349"/>
      <c r="GIZ69" s="349"/>
      <c r="GJA69" s="349"/>
      <c r="GJB69" s="349"/>
      <c r="GJC69" s="349"/>
      <c r="GJD69" s="349"/>
      <c r="GJE69" s="349"/>
      <c r="GJF69" s="349"/>
      <c r="GJG69" s="349"/>
      <c r="GJH69" s="349"/>
      <c r="GJI69" s="349"/>
      <c r="GJJ69" s="349"/>
      <c r="GJK69" s="349"/>
      <c r="GJL69" s="349"/>
      <c r="GJM69" s="349"/>
      <c r="GJN69" s="349"/>
      <c r="GJO69" s="349"/>
      <c r="GJP69" s="349"/>
      <c r="GJQ69" s="349"/>
      <c r="GJR69" s="349"/>
      <c r="GJS69" s="349"/>
      <c r="GJT69" s="349"/>
      <c r="GJU69" s="349"/>
      <c r="GJV69" s="349"/>
      <c r="GJW69" s="349"/>
      <c r="GJX69" s="349"/>
      <c r="GJY69" s="349"/>
      <c r="GJZ69" s="349"/>
      <c r="GKA69" s="349"/>
      <c r="GKB69" s="349"/>
      <c r="GKC69" s="349"/>
      <c r="GKD69" s="349"/>
      <c r="GKE69" s="349"/>
      <c r="GKF69" s="349"/>
      <c r="GKG69" s="349"/>
      <c r="GKH69" s="349"/>
      <c r="GKI69" s="349"/>
      <c r="GKJ69" s="349"/>
      <c r="GKK69" s="349"/>
      <c r="GKL69" s="349"/>
      <c r="GKM69" s="349"/>
      <c r="GKN69" s="349"/>
      <c r="GKO69" s="349"/>
      <c r="GKP69" s="349"/>
      <c r="GKQ69" s="349"/>
      <c r="GKR69" s="349"/>
      <c r="GKS69" s="349"/>
      <c r="GKT69" s="349"/>
      <c r="GKU69" s="349"/>
      <c r="GKV69" s="349"/>
      <c r="GKW69" s="349"/>
      <c r="GKX69" s="349"/>
      <c r="GKY69" s="349"/>
      <c r="GKZ69" s="349"/>
      <c r="GLA69" s="349"/>
      <c r="GLB69" s="349"/>
      <c r="GLC69" s="349"/>
      <c r="GLD69" s="349"/>
      <c r="GLE69" s="349"/>
      <c r="GLF69" s="349"/>
      <c r="GLG69" s="349"/>
      <c r="GLH69" s="349"/>
      <c r="GLI69" s="349"/>
      <c r="GLJ69" s="349"/>
      <c r="GLK69" s="349"/>
      <c r="GLL69" s="349"/>
      <c r="GLM69" s="349"/>
      <c r="GLN69" s="349"/>
      <c r="GLO69" s="349"/>
      <c r="GLP69" s="349"/>
      <c r="GLQ69" s="349"/>
      <c r="GLR69" s="349"/>
      <c r="GLS69" s="349"/>
      <c r="GLT69" s="349"/>
      <c r="GLU69" s="349"/>
      <c r="GLV69" s="349"/>
      <c r="GLW69" s="349"/>
      <c r="GLX69" s="349"/>
      <c r="GLY69" s="349"/>
      <c r="GLZ69" s="349"/>
      <c r="GMA69" s="349"/>
      <c r="GMB69" s="349"/>
      <c r="GMC69" s="349"/>
      <c r="GMD69" s="349"/>
      <c r="GME69" s="349"/>
      <c r="GMF69" s="349"/>
      <c r="GMG69" s="349"/>
      <c r="GMH69" s="349"/>
      <c r="GMI69" s="349"/>
      <c r="GMJ69" s="349"/>
      <c r="GMK69" s="349"/>
      <c r="GML69" s="349"/>
      <c r="GMM69" s="349"/>
      <c r="GMN69" s="349"/>
      <c r="GMO69" s="349"/>
      <c r="GMP69" s="349"/>
      <c r="GMQ69" s="349"/>
      <c r="GMR69" s="349"/>
      <c r="GMS69" s="349"/>
      <c r="GMT69" s="349"/>
      <c r="GMU69" s="349"/>
      <c r="GMV69" s="349"/>
      <c r="GMW69" s="349"/>
      <c r="GMX69" s="349"/>
      <c r="GMY69" s="349"/>
      <c r="GMZ69" s="349"/>
      <c r="GNA69" s="349"/>
      <c r="GNB69" s="349"/>
      <c r="GNC69" s="349"/>
      <c r="GND69" s="349"/>
      <c r="GNE69" s="349"/>
      <c r="GNF69" s="349"/>
      <c r="GNG69" s="349"/>
      <c r="GNH69" s="349"/>
      <c r="GNI69" s="349"/>
      <c r="GNJ69" s="349"/>
      <c r="GNK69" s="349"/>
      <c r="GNL69" s="349"/>
      <c r="GNM69" s="349"/>
      <c r="GNN69" s="349"/>
      <c r="GNO69" s="349"/>
      <c r="GNP69" s="349"/>
      <c r="GNQ69" s="349"/>
      <c r="GNR69" s="349"/>
      <c r="GNS69" s="349"/>
      <c r="GNT69" s="349"/>
      <c r="GNU69" s="349"/>
      <c r="GNV69" s="349"/>
      <c r="GNW69" s="349"/>
      <c r="GNX69" s="349"/>
      <c r="GNY69" s="349"/>
      <c r="GNZ69" s="349"/>
      <c r="GOA69" s="349"/>
      <c r="GOB69" s="349"/>
      <c r="GOC69" s="349"/>
      <c r="GOD69" s="349"/>
      <c r="GOE69" s="349"/>
      <c r="GOF69" s="349"/>
      <c r="GOG69" s="349"/>
      <c r="GOH69" s="349"/>
      <c r="GOI69" s="349"/>
      <c r="GOJ69" s="349"/>
      <c r="GOK69" s="349"/>
      <c r="GOL69" s="349"/>
      <c r="GOM69" s="349"/>
      <c r="GON69" s="349"/>
      <c r="GOO69" s="349"/>
      <c r="GOP69" s="349"/>
      <c r="GOQ69" s="349"/>
      <c r="GOR69" s="349"/>
      <c r="GOS69" s="349"/>
      <c r="GOT69" s="349"/>
      <c r="GOU69" s="349"/>
      <c r="GOV69" s="349"/>
      <c r="GOW69" s="349"/>
      <c r="GOX69" s="349"/>
      <c r="GOY69" s="349"/>
      <c r="GOZ69" s="349"/>
      <c r="GPA69" s="349"/>
      <c r="GPB69" s="349"/>
      <c r="GPC69" s="349"/>
      <c r="GPD69" s="349"/>
      <c r="GPE69" s="349"/>
      <c r="GPF69" s="349"/>
      <c r="GPG69" s="349"/>
      <c r="GPH69" s="349"/>
      <c r="GPI69" s="349"/>
      <c r="GPJ69" s="349"/>
      <c r="GPK69" s="349"/>
      <c r="GPL69" s="349"/>
      <c r="GPM69" s="349"/>
      <c r="GPN69" s="349"/>
      <c r="GPO69" s="349"/>
      <c r="GPP69" s="349"/>
      <c r="GPQ69" s="349"/>
      <c r="GPR69" s="349"/>
      <c r="GPS69" s="349"/>
      <c r="GPT69" s="349"/>
      <c r="GPU69" s="349"/>
      <c r="GPV69" s="349"/>
      <c r="GPW69" s="349"/>
      <c r="GPX69" s="349"/>
      <c r="GPY69" s="349"/>
      <c r="GPZ69" s="349"/>
      <c r="GQA69" s="349"/>
      <c r="GQB69" s="349"/>
      <c r="GQC69" s="349"/>
      <c r="GQD69" s="349"/>
      <c r="GQE69" s="349"/>
      <c r="GQF69" s="349"/>
      <c r="GQG69" s="349"/>
      <c r="GQH69" s="349"/>
      <c r="GQI69" s="349"/>
      <c r="GQJ69" s="349"/>
      <c r="GQK69" s="349"/>
      <c r="GQL69" s="349"/>
      <c r="GQM69" s="349"/>
      <c r="GQN69" s="349"/>
      <c r="GQO69" s="349"/>
      <c r="GQP69" s="349"/>
      <c r="GQQ69" s="349"/>
      <c r="GQR69" s="349"/>
      <c r="GQS69" s="349"/>
      <c r="GQT69" s="349"/>
      <c r="GQU69" s="349"/>
      <c r="GQV69" s="349"/>
      <c r="GQW69" s="349"/>
      <c r="GQX69" s="349"/>
      <c r="GQY69" s="349"/>
      <c r="GQZ69" s="349"/>
      <c r="GRA69" s="349"/>
      <c r="GRB69" s="349"/>
      <c r="GRC69" s="349"/>
      <c r="GRD69" s="349"/>
      <c r="GRE69" s="349"/>
      <c r="GRF69" s="349"/>
      <c r="GRG69" s="349"/>
      <c r="GRH69" s="349"/>
      <c r="GRI69" s="349"/>
      <c r="GRJ69" s="349"/>
      <c r="GRK69" s="349"/>
      <c r="GRL69" s="349"/>
      <c r="GRM69" s="349"/>
      <c r="GRN69" s="349"/>
      <c r="GRO69" s="349"/>
      <c r="GRP69" s="349"/>
      <c r="GRQ69" s="349"/>
      <c r="GRR69" s="349"/>
      <c r="GRS69" s="349"/>
      <c r="GRT69" s="349"/>
      <c r="GRU69" s="349"/>
      <c r="GRV69" s="349"/>
      <c r="GRW69" s="349"/>
      <c r="GRX69" s="349"/>
      <c r="GRY69" s="349"/>
      <c r="GRZ69" s="349"/>
      <c r="GSA69" s="349"/>
      <c r="GSB69" s="349"/>
      <c r="GSC69" s="349"/>
      <c r="GSD69" s="349"/>
      <c r="GSE69" s="349"/>
      <c r="GSF69" s="349"/>
      <c r="GSG69" s="349"/>
      <c r="GSH69" s="349"/>
      <c r="GSI69" s="349"/>
      <c r="GSJ69" s="349"/>
      <c r="GSK69" s="349"/>
      <c r="GSL69" s="349"/>
      <c r="GSM69" s="349"/>
      <c r="GSN69" s="349"/>
      <c r="GSO69" s="349"/>
      <c r="GSP69" s="349"/>
      <c r="GSQ69" s="349"/>
      <c r="GSR69" s="349"/>
      <c r="GSS69" s="349"/>
      <c r="GST69" s="349"/>
      <c r="GSU69" s="349"/>
      <c r="GSV69" s="349"/>
      <c r="GSW69" s="349"/>
      <c r="GSX69" s="349"/>
      <c r="GSY69" s="349"/>
      <c r="GSZ69" s="349"/>
      <c r="GTA69" s="349"/>
      <c r="GTB69" s="349"/>
      <c r="GTC69" s="349"/>
      <c r="GTD69" s="349"/>
      <c r="GTE69" s="349"/>
      <c r="GTF69" s="349"/>
      <c r="GTG69" s="349"/>
      <c r="GTH69" s="349"/>
      <c r="GTI69" s="349"/>
      <c r="GTJ69" s="349"/>
      <c r="GTK69" s="349"/>
      <c r="GTL69" s="349"/>
      <c r="GTM69" s="349"/>
      <c r="GTN69" s="349"/>
      <c r="GTO69" s="349"/>
      <c r="GTP69" s="349"/>
      <c r="GTQ69" s="349"/>
      <c r="GTR69" s="349"/>
      <c r="GTS69" s="349"/>
      <c r="GTT69" s="349"/>
      <c r="GTU69" s="349"/>
      <c r="GTV69" s="349"/>
      <c r="GTW69" s="349"/>
      <c r="GTX69" s="349"/>
      <c r="GTY69" s="349"/>
      <c r="GTZ69" s="349"/>
      <c r="GUA69" s="349"/>
      <c r="GUB69" s="349"/>
      <c r="GUC69" s="349"/>
      <c r="GUD69" s="349"/>
      <c r="GUE69" s="349"/>
      <c r="GUF69" s="349"/>
      <c r="GUG69" s="349"/>
      <c r="GUH69" s="349"/>
      <c r="GUI69" s="349"/>
      <c r="GUJ69" s="349"/>
      <c r="GUK69" s="349"/>
      <c r="GUL69" s="349"/>
      <c r="GUM69" s="349"/>
      <c r="GUN69" s="349"/>
      <c r="GUO69" s="349"/>
      <c r="GUP69" s="349"/>
      <c r="GUQ69" s="349"/>
      <c r="GUR69" s="349"/>
      <c r="GUS69" s="349"/>
      <c r="GUT69" s="349"/>
      <c r="GUU69" s="349"/>
      <c r="GUV69" s="349"/>
      <c r="GUW69" s="349"/>
      <c r="GUX69" s="349"/>
      <c r="GUY69" s="349"/>
      <c r="GUZ69" s="349"/>
      <c r="GVA69" s="349"/>
      <c r="GVB69" s="349"/>
      <c r="GVC69" s="349"/>
      <c r="GVD69" s="349"/>
      <c r="GVE69" s="349"/>
      <c r="GVF69" s="349"/>
      <c r="GVG69" s="349"/>
      <c r="GVH69" s="349"/>
      <c r="GVI69" s="349"/>
      <c r="GVJ69" s="349"/>
      <c r="GVK69" s="349"/>
      <c r="GVL69" s="349"/>
      <c r="GVM69" s="349"/>
      <c r="GVN69" s="349"/>
      <c r="GVO69" s="349"/>
      <c r="GVP69" s="349"/>
      <c r="GVQ69" s="349"/>
      <c r="GVR69" s="349"/>
      <c r="GVS69" s="349"/>
      <c r="GVT69" s="349"/>
      <c r="GVU69" s="349"/>
      <c r="GVV69" s="349"/>
      <c r="GVW69" s="349"/>
      <c r="GVX69" s="349"/>
      <c r="GVY69" s="349"/>
      <c r="GVZ69" s="349"/>
      <c r="GWA69" s="349"/>
      <c r="GWB69" s="349"/>
      <c r="GWC69" s="349"/>
      <c r="GWD69" s="349"/>
      <c r="GWE69" s="349"/>
      <c r="GWF69" s="349"/>
      <c r="GWG69" s="349"/>
      <c r="GWH69" s="349"/>
      <c r="GWI69" s="349"/>
      <c r="GWJ69" s="349"/>
      <c r="GWK69" s="349"/>
      <c r="GWL69" s="349"/>
      <c r="GWM69" s="349"/>
      <c r="GWN69" s="349"/>
      <c r="GWO69" s="349"/>
      <c r="GWP69" s="349"/>
      <c r="GWQ69" s="349"/>
      <c r="GWR69" s="349"/>
      <c r="GWS69" s="349"/>
      <c r="GWT69" s="349"/>
      <c r="GWU69" s="349"/>
      <c r="GWV69" s="349"/>
      <c r="GWW69" s="349"/>
      <c r="GWX69" s="349"/>
      <c r="GWY69" s="349"/>
      <c r="GWZ69" s="349"/>
      <c r="GXA69" s="349"/>
      <c r="GXB69" s="349"/>
      <c r="GXC69" s="349"/>
      <c r="GXD69" s="349"/>
      <c r="GXE69" s="349"/>
      <c r="GXF69" s="349"/>
      <c r="GXG69" s="349"/>
      <c r="GXH69" s="349"/>
      <c r="GXI69" s="349"/>
      <c r="GXJ69" s="349"/>
      <c r="GXK69" s="349"/>
      <c r="GXL69" s="349"/>
      <c r="GXM69" s="349"/>
      <c r="GXN69" s="349"/>
      <c r="GXO69" s="349"/>
      <c r="GXP69" s="349"/>
      <c r="GXQ69" s="349"/>
      <c r="GXR69" s="349"/>
      <c r="GXS69" s="349"/>
      <c r="GXT69" s="349"/>
      <c r="GXU69" s="349"/>
      <c r="GXV69" s="349"/>
      <c r="GXW69" s="349"/>
      <c r="GXX69" s="349"/>
      <c r="GXY69" s="349"/>
      <c r="GXZ69" s="349"/>
      <c r="GYA69" s="349"/>
      <c r="GYB69" s="349"/>
      <c r="GYC69" s="349"/>
      <c r="GYD69" s="349"/>
      <c r="GYE69" s="349"/>
      <c r="GYF69" s="349"/>
      <c r="GYG69" s="349"/>
      <c r="GYH69" s="349"/>
      <c r="GYI69" s="349"/>
      <c r="GYJ69" s="349"/>
      <c r="GYK69" s="349"/>
      <c r="GYL69" s="349"/>
      <c r="GYM69" s="349"/>
      <c r="GYN69" s="349"/>
      <c r="GYO69" s="349"/>
      <c r="GYP69" s="349"/>
      <c r="GYQ69" s="349"/>
      <c r="GYR69" s="349"/>
      <c r="GYS69" s="349"/>
      <c r="GYT69" s="349"/>
      <c r="GYU69" s="349"/>
      <c r="GYV69" s="349"/>
      <c r="GYW69" s="349"/>
      <c r="GYX69" s="349"/>
      <c r="GYY69" s="349"/>
      <c r="GYZ69" s="349"/>
      <c r="GZA69" s="349"/>
      <c r="GZB69" s="349"/>
      <c r="GZC69" s="349"/>
      <c r="GZD69" s="349"/>
      <c r="GZE69" s="349"/>
      <c r="GZF69" s="349"/>
      <c r="GZG69" s="349"/>
      <c r="GZH69" s="349"/>
      <c r="GZI69" s="349"/>
      <c r="GZJ69" s="349"/>
      <c r="GZK69" s="349"/>
      <c r="GZL69" s="349"/>
      <c r="GZM69" s="349"/>
      <c r="GZN69" s="349"/>
      <c r="GZO69" s="349"/>
      <c r="GZP69" s="349"/>
      <c r="GZQ69" s="349"/>
      <c r="GZR69" s="349"/>
      <c r="GZS69" s="349"/>
      <c r="GZT69" s="349"/>
      <c r="GZU69" s="349"/>
      <c r="GZV69" s="349"/>
      <c r="GZW69" s="349"/>
      <c r="GZX69" s="349"/>
      <c r="GZY69" s="349"/>
      <c r="GZZ69" s="349"/>
      <c r="HAA69" s="349"/>
      <c r="HAB69" s="349"/>
      <c r="HAC69" s="349"/>
      <c r="HAD69" s="349"/>
      <c r="HAE69" s="349"/>
      <c r="HAF69" s="349"/>
      <c r="HAG69" s="349"/>
      <c r="HAH69" s="349"/>
      <c r="HAI69" s="349"/>
      <c r="HAJ69" s="349"/>
      <c r="HAK69" s="349"/>
      <c r="HAL69" s="349"/>
      <c r="HAM69" s="349"/>
      <c r="HAN69" s="349"/>
      <c r="HAO69" s="349"/>
      <c r="HAP69" s="349"/>
      <c r="HAQ69" s="349"/>
      <c r="HAR69" s="349"/>
      <c r="HAS69" s="349"/>
      <c r="HAT69" s="349"/>
      <c r="HAU69" s="349"/>
      <c r="HAV69" s="349"/>
      <c r="HAW69" s="349"/>
      <c r="HAX69" s="349"/>
      <c r="HAY69" s="349"/>
      <c r="HAZ69" s="349"/>
      <c r="HBA69" s="349"/>
      <c r="HBB69" s="349"/>
      <c r="HBC69" s="349"/>
      <c r="HBD69" s="349"/>
      <c r="HBE69" s="349"/>
      <c r="HBF69" s="349"/>
      <c r="HBG69" s="349"/>
      <c r="HBH69" s="349"/>
      <c r="HBI69" s="349"/>
      <c r="HBJ69" s="349"/>
      <c r="HBK69" s="349"/>
      <c r="HBL69" s="349"/>
      <c r="HBM69" s="349"/>
      <c r="HBN69" s="349"/>
      <c r="HBO69" s="349"/>
      <c r="HBP69" s="349"/>
      <c r="HBQ69" s="349"/>
      <c r="HBR69" s="349"/>
      <c r="HBS69" s="349"/>
      <c r="HBT69" s="349"/>
      <c r="HBU69" s="349"/>
      <c r="HBV69" s="349"/>
      <c r="HBW69" s="349"/>
      <c r="HBX69" s="349"/>
      <c r="HBY69" s="349"/>
      <c r="HBZ69" s="349"/>
      <c r="HCA69" s="349"/>
      <c r="HCB69" s="349"/>
      <c r="HCC69" s="349"/>
      <c r="HCD69" s="349"/>
      <c r="HCE69" s="349"/>
      <c r="HCF69" s="349"/>
      <c r="HCG69" s="349"/>
      <c r="HCH69" s="349"/>
      <c r="HCI69" s="349"/>
      <c r="HCJ69" s="349"/>
      <c r="HCK69" s="349"/>
      <c r="HCL69" s="349"/>
      <c r="HCM69" s="349"/>
      <c r="HCN69" s="349"/>
      <c r="HCO69" s="349"/>
      <c r="HCP69" s="349"/>
      <c r="HCQ69" s="349"/>
      <c r="HCR69" s="349"/>
      <c r="HCS69" s="349"/>
      <c r="HCT69" s="349"/>
      <c r="HCU69" s="349"/>
      <c r="HCV69" s="349"/>
      <c r="HCW69" s="349"/>
      <c r="HCX69" s="349"/>
      <c r="HCY69" s="349"/>
      <c r="HCZ69" s="349"/>
      <c r="HDA69" s="349"/>
      <c r="HDB69" s="349"/>
      <c r="HDC69" s="349"/>
      <c r="HDD69" s="349"/>
      <c r="HDE69" s="349"/>
      <c r="HDF69" s="349"/>
      <c r="HDG69" s="349"/>
      <c r="HDH69" s="349"/>
      <c r="HDI69" s="349"/>
      <c r="HDJ69" s="349"/>
      <c r="HDK69" s="349"/>
      <c r="HDL69" s="349"/>
      <c r="HDM69" s="349"/>
      <c r="HDN69" s="349"/>
      <c r="HDO69" s="349"/>
      <c r="HDP69" s="349"/>
      <c r="HDQ69" s="349"/>
      <c r="HDR69" s="349"/>
      <c r="HDS69" s="349"/>
      <c r="HDT69" s="349"/>
      <c r="HDU69" s="349"/>
      <c r="HDV69" s="349"/>
      <c r="HDW69" s="349"/>
      <c r="HDX69" s="349"/>
      <c r="HDY69" s="349"/>
      <c r="HDZ69" s="349"/>
      <c r="HEA69" s="349"/>
      <c r="HEB69" s="349"/>
      <c r="HEC69" s="349"/>
      <c r="HED69" s="349"/>
      <c r="HEE69" s="349"/>
      <c r="HEF69" s="349"/>
      <c r="HEG69" s="349"/>
      <c r="HEH69" s="349"/>
      <c r="HEI69" s="349"/>
      <c r="HEJ69" s="349"/>
      <c r="HEK69" s="349"/>
      <c r="HEL69" s="349"/>
      <c r="HEM69" s="349"/>
      <c r="HEN69" s="349"/>
      <c r="HEO69" s="349"/>
      <c r="HEP69" s="349"/>
      <c r="HEQ69" s="349"/>
      <c r="HER69" s="349"/>
      <c r="HES69" s="349"/>
      <c r="HET69" s="349"/>
      <c r="HEU69" s="349"/>
      <c r="HEV69" s="349"/>
      <c r="HEW69" s="349"/>
      <c r="HEX69" s="349"/>
      <c r="HEY69" s="349"/>
      <c r="HEZ69" s="349"/>
      <c r="HFA69" s="349"/>
      <c r="HFB69" s="349"/>
      <c r="HFC69" s="349"/>
      <c r="HFD69" s="349"/>
      <c r="HFE69" s="349"/>
      <c r="HFF69" s="349"/>
      <c r="HFG69" s="349"/>
      <c r="HFH69" s="349"/>
      <c r="HFI69" s="349"/>
      <c r="HFJ69" s="349"/>
      <c r="HFK69" s="349"/>
      <c r="HFL69" s="349"/>
      <c r="HFM69" s="349"/>
      <c r="HFN69" s="349"/>
      <c r="HFO69" s="349"/>
      <c r="HFP69" s="349"/>
      <c r="HFQ69" s="349"/>
      <c r="HFR69" s="349"/>
      <c r="HFS69" s="349"/>
      <c r="HFT69" s="349"/>
      <c r="HFU69" s="349"/>
      <c r="HFV69" s="349"/>
      <c r="HFW69" s="349"/>
      <c r="HFX69" s="349"/>
      <c r="HFY69" s="349"/>
      <c r="HFZ69" s="349"/>
      <c r="HGA69" s="349"/>
      <c r="HGB69" s="349"/>
      <c r="HGC69" s="349"/>
      <c r="HGD69" s="349"/>
      <c r="HGE69" s="349"/>
      <c r="HGF69" s="349"/>
      <c r="HGG69" s="349"/>
      <c r="HGH69" s="349"/>
      <c r="HGI69" s="349"/>
      <c r="HGJ69" s="349"/>
      <c r="HGK69" s="349"/>
      <c r="HGL69" s="349"/>
      <c r="HGM69" s="349"/>
      <c r="HGN69" s="349"/>
      <c r="HGO69" s="349"/>
      <c r="HGP69" s="349"/>
      <c r="HGQ69" s="349"/>
      <c r="HGR69" s="349"/>
      <c r="HGS69" s="349"/>
      <c r="HGT69" s="349"/>
      <c r="HGU69" s="349"/>
      <c r="HGV69" s="349"/>
      <c r="HGW69" s="349"/>
      <c r="HGX69" s="349"/>
      <c r="HGY69" s="349"/>
      <c r="HGZ69" s="349"/>
      <c r="HHA69" s="349"/>
      <c r="HHB69" s="349"/>
      <c r="HHC69" s="349"/>
      <c r="HHD69" s="349"/>
      <c r="HHE69" s="349"/>
      <c r="HHF69" s="349"/>
      <c r="HHG69" s="349"/>
      <c r="HHH69" s="349"/>
      <c r="HHI69" s="349"/>
      <c r="HHJ69" s="349"/>
      <c r="HHK69" s="349"/>
      <c r="HHL69" s="349"/>
      <c r="HHM69" s="349"/>
      <c r="HHN69" s="349"/>
      <c r="HHO69" s="349"/>
      <c r="HHP69" s="349"/>
      <c r="HHQ69" s="349"/>
      <c r="HHR69" s="349"/>
      <c r="HHS69" s="349"/>
      <c r="HHT69" s="349"/>
      <c r="HHU69" s="349"/>
      <c r="HHV69" s="349"/>
      <c r="HHW69" s="349"/>
      <c r="HHX69" s="349"/>
      <c r="HHY69" s="349"/>
      <c r="HHZ69" s="349"/>
      <c r="HIA69" s="349"/>
      <c r="HIB69" s="349"/>
      <c r="HIC69" s="349"/>
      <c r="HID69" s="349"/>
      <c r="HIE69" s="349"/>
      <c r="HIF69" s="349"/>
      <c r="HIG69" s="349"/>
      <c r="HIH69" s="349"/>
      <c r="HII69" s="349"/>
      <c r="HIJ69" s="349"/>
      <c r="HIK69" s="349"/>
      <c r="HIL69" s="349"/>
      <c r="HIM69" s="349"/>
      <c r="HIN69" s="349"/>
      <c r="HIO69" s="349"/>
      <c r="HIP69" s="349"/>
      <c r="HIQ69" s="349"/>
      <c r="HIR69" s="349"/>
      <c r="HIS69" s="349"/>
      <c r="HIT69" s="349"/>
      <c r="HIU69" s="349"/>
      <c r="HIV69" s="349"/>
      <c r="HIW69" s="349"/>
      <c r="HIX69" s="349"/>
      <c r="HIY69" s="349"/>
      <c r="HIZ69" s="349"/>
      <c r="HJA69" s="349"/>
      <c r="HJB69" s="349"/>
      <c r="HJC69" s="349"/>
      <c r="HJD69" s="349"/>
      <c r="HJE69" s="349"/>
      <c r="HJF69" s="349"/>
      <c r="HJG69" s="349"/>
      <c r="HJH69" s="349"/>
      <c r="HJI69" s="349"/>
      <c r="HJJ69" s="349"/>
      <c r="HJK69" s="349"/>
      <c r="HJL69" s="349"/>
      <c r="HJM69" s="349"/>
      <c r="HJN69" s="349"/>
      <c r="HJO69" s="349"/>
      <c r="HJP69" s="349"/>
      <c r="HJQ69" s="349"/>
      <c r="HJR69" s="349"/>
      <c r="HJS69" s="349"/>
      <c r="HJT69" s="349"/>
      <c r="HJU69" s="349"/>
      <c r="HJV69" s="349"/>
      <c r="HJW69" s="349"/>
      <c r="HJX69" s="349"/>
      <c r="HJY69" s="349"/>
      <c r="HJZ69" s="349"/>
      <c r="HKA69" s="349"/>
      <c r="HKB69" s="349"/>
      <c r="HKC69" s="349"/>
      <c r="HKD69" s="349"/>
      <c r="HKE69" s="349"/>
      <c r="HKF69" s="349"/>
      <c r="HKG69" s="349"/>
      <c r="HKH69" s="349"/>
      <c r="HKI69" s="349"/>
      <c r="HKJ69" s="349"/>
      <c r="HKK69" s="349"/>
      <c r="HKL69" s="349"/>
      <c r="HKM69" s="349"/>
      <c r="HKN69" s="349"/>
      <c r="HKO69" s="349"/>
      <c r="HKP69" s="349"/>
      <c r="HKQ69" s="349"/>
      <c r="HKR69" s="349"/>
      <c r="HKS69" s="349"/>
      <c r="HKT69" s="349"/>
      <c r="HKU69" s="349"/>
      <c r="HKV69" s="349"/>
      <c r="HKW69" s="349"/>
      <c r="HKX69" s="349"/>
      <c r="HKY69" s="349"/>
      <c r="HKZ69" s="349"/>
      <c r="HLA69" s="349"/>
      <c r="HLB69" s="349"/>
      <c r="HLC69" s="349"/>
      <c r="HLD69" s="349"/>
      <c r="HLE69" s="349"/>
      <c r="HLF69" s="349"/>
      <c r="HLG69" s="349"/>
      <c r="HLH69" s="349"/>
      <c r="HLI69" s="349"/>
      <c r="HLJ69" s="349"/>
      <c r="HLK69" s="349"/>
      <c r="HLL69" s="349"/>
      <c r="HLM69" s="349"/>
      <c r="HLN69" s="349"/>
      <c r="HLO69" s="349"/>
      <c r="HLP69" s="349"/>
      <c r="HLQ69" s="349"/>
      <c r="HLR69" s="349"/>
      <c r="HLS69" s="349"/>
      <c r="HLT69" s="349"/>
      <c r="HLU69" s="349"/>
      <c r="HLV69" s="349"/>
      <c r="HLW69" s="349"/>
      <c r="HLX69" s="349"/>
      <c r="HLY69" s="349"/>
      <c r="HLZ69" s="349"/>
      <c r="HMA69" s="349"/>
      <c r="HMB69" s="349"/>
      <c r="HMC69" s="349"/>
      <c r="HMD69" s="349"/>
      <c r="HME69" s="349"/>
      <c r="HMF69" s="349"/>
      <c r="HMG69" s="349"/>
      <c r="HMH69" s="349"/>
      <c r="HMI69" s="349"/>
      <c r="HMJ69" s="349"/>
      <c r="HMK69" s="349"/>
      <c r="HML69" s="349"/>
      <c r="HMM69" s="349"/>
      <c r="HMN69" s="349"/>
      <c r="HMO69" s="349"/>
      <c r="HMP69" s="349"/>
      <c r="HMQ69" s="349"/>
      <c r="HMR69" s="349"/>
      <c r="HMS69" s="349"/>
      <c r="HMT69" s="349"/>
      <c r="HMU69" s="349"/>
      <c r="HMV69" s="349"/>
      <c r="HMW69" s="349"/>
      <c r="HMX69" s="349"/>
      <c r="HMY69" s="349"/>
      <c r="HMZ69" s="349"/>
      <c r="HNA69" s="349"/>
      <c r="HNB69" s="349"/>
      <c r="HNC69" s="349"/>
      <c r="HND69" s="349"/>
      <c r="HNE69" s="349"/>
      <c r="HNF69" s="349"/>
      <c r="HNG69" s="349"/>
      <c r="HNH69" s="349"/>
      <c r="HNI69" s="349"/>
      <c r="HNJ69" s="349"/>
      <c r="HNK69" s="349"/>
      <c r="HNL69" s="349"/>
      <c r="HNM69" s="349"/>
      <c r="HNN69" s="349"/>
      <c r="HNO69" s="349"/>
      <c r="HNP69" s="349"/>
      <c r="HNQ69" s="349"/>
      <c r="HNR69" s="349"/>
      <c r="HNS69" s="349"/>
      <c r="HNT69" s="349"/>
      <c r="HNU69" s="349"/>
      <c r="HNV69" s="349"/>
      <c r="HNW69" s="349"/>
      <c r="HNX69" s="349"/>
      <c r="HNY69" s="349"/>
      <c r="HNZ69" s="349"/>
      <c r="HOA69" s="349"/>
      <c r="HOB69" s="349"/>
      <c r="HOC69" s="349"/>
      <c r="HOD69" s="349"/>
      <c r="HOE69" s="349"/>
      <c r="HOF69" s="349"/>
      <c r="HOG69" s="349"/>
      <c r="HOH69" s="349"/>
      <c r="HOI69" s="349"/>
      <c r="HOJ69" s="349"/>
      <c r="HOK69" s="349"/>
      <c r="HOL69" s="349"/>
      <c r="HOM69" s="349"/>
      <c r="HON69" s="349"/>
      <c r="HOO69" s="349"/>
      <c r="HOP69" s="349"/>
      <c r="HOQ69" s="349"/>
      <c r="HOR69" s="349"/>
      <c r="HOS69" s="349"/>
      <c r="HOT69" s="349"/>
      <c r="HOU69" s="349"/>
      <c r="HOV69" s="349"/>
      <c r="HOW69" s="349"/>
      <c r="HOX69" s="349"/>
      <c r="HOY69" s="349"/>
      <c r="HOZ69" s="349"/>
      <c r="HPA69" s="349"/>
      <c r="HPB69" s="349"/>
      <c r="HPC69" s="349"/>
      <c r="HPD69" s="349"/>
      <c r="HPE69" s="349"/>
      <c r="HPF69" s="349"/>
      <c r="HPG69" s="349"/>
      <c r="HPH69" s="349"/>
      <c r="HPI69" s="349"/>
      <c r="HPJ69" s="349"/>
      <c r="HPK69" s="349"/>
      <c r="HPL69" s="349"/>
      <c r="HPM69" s="349"/>
      <c r="HPN69" s="349"/>
      <c r="HPO69" s="349"/>
      <c r="HPP69" s="349"/>
      <c r="HPQ69" s="349"/>
      <c r="HPR69" s="349"/>
      <c r="HPS69" s="349"/>
      <c r="HPT69" s="349"/>
      <c r="HPU69" s="349"/>
      <c r="HPV69" s="349"/>
      <c r="HPW69" s="349"/>
      <c r="HPX69" s="349"/>
      <c r="HPY69" s="349"/>
      <c r="HPZ69" s="349"/>
      <c r="HQA69" s="349"/>
      <c r="HQB69" s="349"/>
      <c r="HQC69" s="349"/>
      <c r="HQD69" s="349"/>
      <c r="HQE69" s="349"/>
      <c r="HQF69" s="349"/>
      <c r="HQG69" s="349"/>
      <c r="HQH69" s="349"/>
      <c r="HQI69" s="349"/>
      <c r="HQJ69" s="349"/>
      <c r="HQK69" s="349"/>
      <c r="HQL69" s="349"/>
      <c r="HQM69" s="349"/>
      <c r="HQN69" s="349"/>
      <c r="HQO69" s="349"/>
      <c r="HQP69" s="349"/>
      <c r="HQQ69" s="349"/>
      <c r="HQR69" s="349"/>
      <c r="HQS69" s="349"/>
      <c r="HQT69" s="349"/>
      <c r="HQU69" s="349"/>
      <c r="HQV69" s="349"/>
      <c r="HQW69" s="349"/>
      <c r="HQX69" s="349"/>
      <c r="HQY69" s="349"/>
      <c r="HQZ69" s="349"/>
      <c r="HRA69" s="349"/>
      <c r="HRB69" s="349"/>
      <c r="HRC69" s="349"/>
      <c r="HRD69" s="349"/>
      <c r="HRE69" s="349"/>
      <c r="HRF69" s="349"/>
      <c r="HRG69" s="349"/>
      <c r="HRH69" s="349"/>
      <c r="HRI69" s="349"/>
      <c r="HRJ69" s="349"/>
      <c r="HRK69" s="349"/>
      <c r="HRL69" s="349"/>
      <c r="HRM69" s="349"/>
      <c r="HRN69" s="349"/>
      <c r="HRO69" s="349"/>
      <c r="HRP69" s="349"/>
      <c r="HRQ69" s="349"/>
      <c r="HRR69" s="349"/>
      <c r="HRS69" s="349"/>
      <c r="HRT69" s="349"/>
      <c r="HRU69" s="349"/>
      <c r="HRV69" s="349"/>
      <c r="HRW69" s="349"/>
      <c r="HRX69" s="349"/>
      <c r="HRY69" s="349"/>
      <c r="HRZ69" s="349"/>
      <c r="HSA69" s="349"/>
      <c r="HSB69" s="349"/>
      <c r="HSC69" s="349"/>
      <c r="HSD69" s="349"/>
      <c r="HSE69" s="349"/>
      <c r="HSF69" s="349"/>
      <c r="HSG69" s="349"/>
      <c r="HSH69" s="349"/>
      <c r="HSI69" s="349"/>
      <c r="HSJ69" s="349"/>
      <c r="HSK69" s="349"/>
      <c r="HSL69" s="349"/>
      <c r="HSM69" s="349"/>
      <c r="HSN69" s="349"/>
      <c r="HSO69" s="349"/>
      <c r="HSP69" s="349"/>
      <c r="HSQ69" s="349"/>
      <c r="HSR69" s="349"/>
      <c r="HSS69" s="349"/>
      <c r="HST69" s="349"/>
      <c r="HSU69" s="349"/>
      <c r="HSV69" s="349"/>
      <c r="HSW69" s="349"/>
      <c r="HSX69" s="349"/>
      <c r="HSY69" s="349"/>
      <c r="HSZ69" s="349"/>
      <c r="HTA69" s="349"/>
      <c r="HTB69" s="349"/>
      <c r="HTC69" s="349"/>
      <c r="HTD69" s="349"/>
      <c r="HTE69" s="349"/>
      <c r="HTF69" s="349"/>
      <c r="HTG69" s="349"/>
      <c r="HTH69" s="349"/>
      <c r="HTI69" s="349"/>
      <c r="HTJ69" s="349"/>
      <c r="HTK69" s="349"/>
      <c r="HTL69" s="349"/>
      <c r="HTM69" s="349"/>
      <c r="HTN69" s="349"/>
      <c r="HTO69" s="349"/>
      <c r="HTP69" s="349"/>
      <c r="HTQ69" s="349"/>
      <c r="HTR69" s="349"/>
      <c r="HTS69" s="349"/>
      <c r="HTT69" s="349"/>
      <c r="HTU69" s="349"/>
      <c r="HTV69" s="349"/>
      <c r="HTW69" s="349"/>
      <c r="HTX69" s="349"/>
      <c r="HTY69" s="349"/>
      <c r="HTZ69" s="349"/>
      <c r="HUA69" s="349"/>
      <c r="HUB69" s="349"/>
      <c r="HUC69" s="349"/>
      <c r="HUD69" s="349"/>
      <c r="HUE69" s="349"/>
      <c r="HUF69" s="349"/>
      <c r="HUG69" s="349"/>
      <c r="HUH69" s="349"/>
      <c r="HUI69" s="349"/>
      <c r="HUJ69" s="349"/>
      <c r="HUK69" s="349"/>
      <c r="HUL69" s="349"/>
      <c r="HUM69" s="349"/>
      <c r="HUN69" s="349"/>
      <c r="HUO69" s="349"/>
      <c r="HUP69" s="349"/>
      <c r="HUQ69" s="349"/>
      <c r="HUR69" s="349"/>
      <c r="HUS69" s="349"/>
      <c r="HUT69" s="349"/>
      <c r="HUU69" s="349"/>
      <c r="HUV69" s="349"/>
      <c r="HUW69" s="349"/>
      <c r="HUX69" s="349"/>
      <c r="HUY69" s="349"/>
      <c r="HUZ69" s="349"/>
      <c r="HVA69" s="349"/>
      <c r="HVB69" s="349"/>
      <c r="HVC69" s="349"/>
      <c r="HVD69" s="349"/>
      <c r="HVE69" s="349"/>
      <c r="HVF69" s="349"/>
      <c r="HVG69" s="349"/>
      <c r="HVH69" s="349"/>
      <c r="HVI69" s="349"/>
      <c r="HVJ69" s="349"/>
      <c r="HVK69" s="349"/>
      <c r="HVL69" s="349"/>
      <c r="HVM69" s="349"/>
      <c r="HVN69" s="349"/>
      <c r="HVO69" s="349"/>
      <c r="HVP69" s="349"/>
      <c r="HVQ69" s="349"/>
      <c r="HVR69" s="349"/>
      <c r="HVS69" s="349"/>
      <c r="HVT69" s="349"/>
      <c r="HVU69" s="349"/>
      <c r="HVV69" s="349"/>
      <c r="HVW69" s="349"/>
      <c r="HVX69" s="349"/>
      <c r="HVY69" s="349"/>
      <c r="HVZ69" s="349"/>
      <c r="HWA69" s="349"/>
      <c r="HWB69" s="349"/>
      <c r="HWC69" s="349"/>
      <c r="HWD69" s="349"/>
      <c r="HWE69" s="349"/>
      <c r="HWF69" s="349"/>
      <c r="HWG69" s="349"/>
      <c r="HWH69" s="349"/>
      <c r="HWI69" s="349"/>
      <c r="HWJ69" s="349"/>
      <c r="HWK69" s="349"/>
      <c r="HWL69" s="349"/>
      <c r="HWM69" s="349"/>
      <c r="HWN69" s="349"/>
      <c r="HWO69" s="349"/>
      <c r="HWP69" s="349"/>
      <c r="HWQ69" s="349"/>
      <c r="HWR69" s="349"/>
      <c r="HWS69" s="349"/>
      <c r="HWT69" s="349"/>
      <c r="HWU69" s="349"/>
      <c r="HWV69" s="349"/>
      <c r="HWW69" s="349"/>
      <c r="HWX69" s="349"/>
      <c r="HWY69" s="349"/>
      <c r="HWZ69" s="349"/>
      <c r="HXA69" s="349"/>
      <c r="HXB69" s="349"/>
      <c r="HXC69" s="349"/>
      <c r="HXD69" s="349"/>
      <c r="HXE69" s="349"/>
      <c r="HXF69" s="349"/>
      <c r="HXG69" s="349"/>
      <c r="HXH69" s="349"/>
      <c r="HXI69" s="349"/>
      <c r="HXJ69" s="349"/>
      <c r="HXK69" s="349"/>
      <c r="HXL69" s="349"/>
      <c r="HXM69" s="349"/>
      <c r="HXN69" s="349"/>
      <c r="HXO69" s="349"/>
      <c r="HXP69" s="349"/>
      <c r="HXQ69" s="349"/>
      <c r="HXR69" s="349"/>
      <c r="HXS69" s="349"/>
      <c r="HXT69" s="349"/>
      <c r="HXU69" s="349"/>
      <c r="HXV69" s="349"/>
      <c r="HXW69" s="349"/>
      <c r="HXX69" s="349"/>
      <c r="HXY69" s="349"/>
      <c r="HXZ69" s="349"/>
      <c r="HYA69" s="349"/>
      <c r="HYB69" s="349"/>
      <c r="HYC69" s="349"/>
      <c r="HYD69" s="349"/>
      <c r="HYE69" s="349"/>
      <c r="HYF69" s="349"/>
      <c r="HYG69" s="349"/>
      <c r="HYH69" s="349"/>
      <c r="HYI69" s="349"/>
      <c r="HYJ69" s="349"/>
      <c r="HYK69" s="349"/>
      <c r="HYL69" s="349"/>
      <c r="HYM69" s="349"/>
      <c r="HYN69" s="349"/>
      <c r="HYO69" s="349"/>
      <c r="HYP69" s="349"/>
      <c r="HYQ69" s="349"/>
      <c r="HYR69" s="349"/>
      <c r="HYS69" s="349"/>
      <c r="HYT69" s="349"/>
      <c r="HYU69" s="349"/>
      <c r="HYV69" s="349"/>
      <c r="HYW69" s="349"/>
      <c r="HYX69" s="349"/>
      <c r="HYY69" s="349"/>
      <c r="HYZ69" s="349"/>
      <c r="HZA69" s="349"/>
      <c r="HZB69" s="349"/>
      <c r="HZC69" s="349"/>
      <c r="HZD69" s="349"/>
      <c r="HZE69" s="349"/>
      <c r="HZF69" s="349"/>
      <c r="HZG69" s="349"/>
      <c r="HZH69" s="349"/>
      <c r="HZI69" s="349"/>
      <c r="HZJ69" s="349"/>
      <c r="HZK69" s="349"/>
      <c r="HZL69" s="349"/>
      <c r="HZM69" s="349"/>
      <c r="HZN69" s="349"/>
      <c r="HZO69" s="349"/>
      <c r="HZP69" s="349"/>
      <c r="HZQ69" s="349"/>
      <c r="HZR69" s="349"/>
      <c r="HZS69" s="349"/>
      <c r="HZT69" s="349"/>
      <c r="HZU69" s="349"/>
      <c r="HZV69" s="349"/>
      <c r="HZW69" s="349"/>
      <c r="HZX69" s="349"/>
      <c r="HZY69" s="349"/>
      <c r="HZZ69" s="349"/>
      <c r="IAA69" s="349"/>
      <c r="IAB69" s="349"/>
      <c r="IAC69" s="349"/>
      <c r="IAD69" s="349"/>
      <c r="IAE69" s="349"/>
      <c r="IAF69" s="349"/>
      <c r="IAG69" s="349"/>
      <c r="IAH69" s="349"/>
      <c r="IAI69" s="349"/>
      <c r="IAJ69" s="349"/>
      <c r="IAK69" s="349"/>
      <c r="IAL69" s="349"/>
      <c r="IAM69" s="349"/>
      <c r="IAN69" s="349"/>
      <c r="IAO69" s="349"/>
      <c r="IAP69" s="349"/>
      <c r="IAQ69" s="349"/>
      <c r="IAR69" s="349"/>
      <c r="IAS69" s="349"/>
      <c r="IAT69" s="349"/>
      <c r="IAU69" s="349"/>
      <c r="IAV69" s="349"/>
      <c r="IAW69" s="349"/>
      <c r="IAX69" s="349"/>
      <c r="IAY69" s="349"/>
      <c r="IAZ69" s="349"/>
      <c r="IBA69" s="349"/>
      <c r="IBB69" s="349"/>
      <c r="IBC69" s="349"/>
      <c r="IBD69" s="349"/>
      <c r="IBE69" s="349"/>
      <c r="IBF69" s="349"/>
      <c r="IBG69" s="349"/>
      <c r="IBH69" s="349"/>
      <c r="IBI69" s="349"/>
      <c r="IBJ69" s="349"/>
      <c r="IBK69" s="349"/>
      <c r="IBL69" s="349"/>
      <c r="IBM69" s="349"/>
      <c r="IBN69" s="349"/>
      <c r="IBO69" s="349"/>
      <c r="IBP69" s="349"/>
      <c r="IBQ69" s="349"/>
      <c r="IBR69" s="349"/>
      <c r="IBS69" s="349"/>
      <c r="IBT69" s="349"/>
      <c r="IBU69" s="349"/>
      <c r="IBV69" s="349"/>
      <c r="IBW69" s="349"/>
      <c r="IBX69" s="349"/>
      <c r="IBY69" s="349"/>
      <c r="IBZ69" s="349"/>
      <c r="ICA69" s="349"/>
      <c r="ICB69" s="349"/>
      <c r="ICC69" s="349"/>
      <c r="ICD69" s="349"/>
      <c r="ICE69" s="349"/>
      <c r="ICF69" s="349"/>
      <c r="ICG69" s="349"/>
      <c r="ICH69" s="349"/>
      <c r="ICI69" s="349"/>
      <c r="ICJ69" s="349"/>
      <c r="ICK69" s="349"/>
      <c r="ICL69" s="349"/>
      <c r="ICM69" s="349"/>
      <c r="ICN69" s="349"/>
      <c r="ICO69" s="349"/>
      <c r="ICP69" s="349"/>
      <c r="ICQ69" s="349"/>
      <c r="ICR69" s="349"/>
      <c r="ICS69" s="349"/>
      <c r="ICT69" s="349"/>
      <c r="ICU69" s="349"/>
      <c r="ICV69" s="349"/>
      <c r="ICW69" s="349"/>
      <c r="ICX69" s="349"/>
      <c r="ICY69" s="349"/>
      <c r="ICZ69" s="349"/>
      <c r="IDA69" s="349"/>
      <c r="IDB69" s="349"/>
      <c r="IDC69" s="349"/>
      <c r="IDD69" s="349"/>
      <c r="IDE69" s="349"/>
      <c r="IDF69" s="349"/>
      <c r="IDG69" s="349"/>
      <c r="IDH69" s="349"/>
      <c r="IDI69" s="349"/>
      <c r="IDJ69" s="349"/>
      <c r="IDK69" s="349"/>
      <c r="IDL69" s="349"/>
      <c r="IDM69" s="349"/>
      <c r="IDN69" s="349"/>
      <c r="IDO69" s="349"/>
      <c r="IDP69" s="349"/>
      <c r="IDQ69" s="349"/>
      <c r="IDR69" s="349"/>
      <c r="IDS69" s="349"/>
      <c r="IDT69" s="349"/>
      <c r="IDU69" s="349"/>
      <c r="IDV69" s="349"/>
      <c r="IDW69" s="349"/>
      <c r="IDX69" s="349"/>
      <c r="IDY69" s="349"/>
      <c r="IDZ69" s="349"/>
      <c r="IEA69" s="349"/>
      <c r="IEB69" s="349"/>
      <c r="IEC69" s="349"/>
      <c r="IED69" s="349"/>
      <c r="IEE69" s="349"/>
      <c r="IEF69" s="349"/>
      <c r="IEG69" s="349"/>
      <c r="IEH69" s="349"/>
      <c r="IEI69" s="349"/>
      <c r="IEJ69" s="349"/>
      <c r="IEK69" s="349"/>
      <c r="IEL69" s="349"/>
      <c r="IEM69" s="349"/>
      <c r="IEN69" s="349"/>
      <c r="IEO69" s="349"/>
      <c r="IEP69" s="349"/>
      <c r="IEQ69" s="349"/>
      <c r="IER69" s="349"/>
      <c r="IES69" s="349"/>
      <c r="IET69" s="349"/>
      <c r="IEU69" s="349"/>
      <c r="IEV69" s="349"/>
      <c r="IEW69" s="349"/>
      <c r="IEX69" s="349"/>
      <c r="IEY69" s="349"/>
      <c r="IEZ69" s="349"/>
      <c r="IFA69" s="349"/>
      <c r="IFB69" s="349"/>
      <c r="IFC69" s="349"/>
      <c r="IFD69" s="349"/>
      <c r="IFE69" s="349"/>
      <c r="IFF69" s="349"/>
      <c r="IFG69" s="349"/>
      <c r="IFH69" s="349"/>
      <c r="IFI69" s="349"/>
      <c r="IFJ69" s="349"/>
      <c r="IFK69" s="349"/>
      <c r="IFL69" s="349"/>
      <c r="IFM69" s="349"/>
      <c r="IFN69" s="349"/>
      <c r="IFO69" s="349"/>
      <c r="IFP69" s="349"/>
      <c r="IFQ69" s="349"/>
      <c r="IFR69" s="349"/>
      <c r="IFS69" s="349"/>
      <c r="IFT69" s="349"/>
      <c r="IFU69" s="349"/>
      <c r="IFV69" s="349"/>
      <c r="IFW69" s="349"/>
      <c r="IFX69" s="349"/>
      <c r="IFY69" s="349"/>
      <c r="IFZ69" s="349"/>
      <c r="IGA69" s="349"/>
      <c r="IGB69" s="349"/>
      <c r="IGC69" s="349"/>
      <c r="IGD69" s="349"/>
      <c r="IGE69" s="349"/>
      <c r="IGF69" s="349"/>
      <c r="IGG69" s="349"/>
      <c r="IGH69" s="349"/>
      <c r="IGI69" s="349"/>
      <c r="IGJ69" s="349"/>
      <c r="IGK69" s="349"/>
      <c r="IGL69" s="349"/>
      <c r="IGM69" s="349"/>
      <c r="IGN69" s="349"/>
      <c r="IGO69" s="349"/>
      <c r="IGP69" s="349"/>
      <c r="IGQ69" s="349"/>
      <c r="IGR69" s="349"/>
      <c r="IGS69" s="349"/>
      <c r="IGT69" s="349"/>
      <c r="IGU69" s="349"/>
      <c r="IGV69" s="349"/>
      <c r="IGW69" s="349"/>
      <c r="IGX69" s="349"/>
      <c r="IGY69" s="349"/>
      <c r="IGZ69" s="349"/>
      <c r="IHA69" s="349"/>
      <c r="IHB69" s="349"/>
      <c r="IHC69" s="349"/>
      <c r="IHD69" s="349"/>
      <c r="IHE69" s="349"/>
      <c r="IHF69" s="349"/>
      <c r="IHG69" s="349"/>
      <c r="IHH69" s="349"/>
      <c r="IHI69" s="349"/>
      <c r="IHJ69" s="349"/>
      <c r="IHK69" s="349"/>
      <c r="IHL69" s="349"/>
      <c r="IHM69" s="349"/>
      <c r="IHN69" s="349"/>
      <c r="IHO69" s="349"/>
      <c r="IHP69" s="349"/>
      <c r="IHQ69" s="349"/>
      <c r="IHR69" s="349"/>
      <c r="IHS69" s="349"/>
      <c r="IHT69" s="349"/>
      <c r="IHU69" s="349"/>
      <c r="IHV69" s="349"/>
      <c r="IHW69" s="349"/>
      <c r="IHX69" s="349"/>
      <c r="IHY69" s="349"/>
      <c r="IHZ69" s="349"/>
      <c r="IIA69" s="349"/>
      <c r="IIB69" s="349"/>
      <c r="IIC69" s="349"/>
      <c r="IID69" s="349"/>
      <c r="IIE69" s="349"/>
      <c r="IIF69" s="349"/>
      <c r="IIG69" s="349"/>
      <c r="IIH69" s="349"/>
      <c r="III69" s="349"/>
      <c r="IIJ69" s="349"/>
      <c r="IIK69" s="349"/>
      <c r="IIL69" s="349"/>
      <c r="IIM69" s="349"/>
      <c r="IIN69" s="349"/>
      <c r="IIO69" s="349"/>
      <c r="IIP69" s="349"/>
      <c r="IIQ69" s="349"/>
      <c r="IIR69" s="349"/>
      <c r="IIS69" s="349"/>
      <c r="IIT69" s="349"/>
      <c r="IIU69" s="349"/>
      <c r="IIV69" s="349"/>
      <c r="IIW69" s="349"/>
      <c r="IIX69" s="349"/>
      <c r="IIY69" s="349"/>
      <c r="IIZ69" s="349"/>
      <c r="IJA69" s="349"/>
      <c r="IJB69" s="349"/>
      <c r="IJC69" s="349"/>
      <c r="IJD69" s="349"/>
      <c r="IJE69" s="349"/>
      <c r="IJF69" s="349"/>
      <c r="IJG69" s="349"/>
      <c r="IJH69" s="349"/>
      <c r="IJI69" s="349"/>
      <c r="IJJ69" s="349"/>
      <c r="IJK69" s="349"/>
      <c r="IJL69" s="349"/>
      <c r="IJM69" s="349"/>
      <c r="IJN69" s="349"/>
      <c r="IJO69" s="349"/>
      <c r="IJP69" s="349"/>
      <c r="IJQ69" s="349"/>
      <c r="IJR69" s="349"/>
      <c r="IJS69" s="349"/>
      <c r="IJT69" s="349"/>
      <c r="IJU69" s="349"/>
      <c r="IJV69" s="349"/>
      <c r="IJW69" s="349"/>
      <c r="IJX69" s="349"/>
      <c r="IJY69" s="349"/>
      <c r="IJZ69" s="349"/>
      <c r="IKA69" s="349"/>
      <c r="IKB69" s="349"/>
      <c r="IKC69" s="349"/>
      <c r="IKD69" s="349"/>
      <c r="IKE69" s="349"/>
      <c r="IKF69" s="349"/>
      <c r="IKG69" s="349"/>
      <c r="IKH69" s="349"/>
      <c r="IKI69" s="349"/>
      <c r="IKJ69" s="349"/>
      <c r="IKK69" s="349"/>
      <c r="IKL69" s="349"/>
      <c r="IKM69" s="349"/>
      <c r="IKN69" s="349"/>
      <c r="IKO69" s="349"/>
      <c r="IKP69" s="349"/>
      <c r="IKQ69" s="349"/>
      <c r="IKR69" s="349"/>
      <c r="IKS69" s="349"/>
      <c r="IKT69" s="349"/>
      <c r="IKU69" s="349"/>
      <c r="IKV69" s="349"/>
      <c r="IKW69" s="349"/>
      <c r="IKX69" s="349"/>
      <c r="IKY69" s="349"/>
      <c r="IKZ69" s="349"/>
      <c r="ILA69" s="349"/>
      <c r="ILB69" s="349"/>
      <c r="ILC69" s="349"/>
      <c r="ILD69" s="349"/>
      <c r="ILE69" s="349"/>
      <c r="ILF69" s="349"/>
      <c r="ILG69" s="349"/>
      <c r="ILH69" s="349"/>
      <c r="ILI69" s="349"/>
      <c r="ILJ69" s="349"/>
      <c r="ILK69" s="349"/>
      <c r="ILL69" s="349"/>
      <c r="ILM69" s="349"/>
      <c r="ILN69" s="349"/>
      <c r="ILO69" s="349"/>
      <c r="ILP69" s="349"/>
      <c r="ILQ69" s="349"/>
      <c r="ILR69" s="349"/>
      <c r="ILS69" s="349"/>
      <c r="ILT69" s="349"/>
      <c r="ILU69" s="349"/>
      <c r="ILV69" s="349"/>
      <c r="ILW69" s="349"/>
      <c r="ILX69" s="349"/>
      <c r="ILY69" s="349"/>
      <c r="ILZ69" s="349"/>
      <c r="IMA69" s="349"/>
      <c r="IMB69" s="349"/>
      <c r="IMC69" s="349"/>
      <c r="IMD69" s="349"/>
      <c r="IME69" s="349"/>
      <c r="IMF69" s="349"/>
      <c r="IMG69" s="349"/>
      <c r="IMH69" s="349"/>
      <c r="IMI69" s="349"/>
      <c r="IMJ69" s="349"/>
      <c r="IMK69" s="349"/>
      <c r="IML69" s="349"/>
      <c r="IMM69" s="349"/>
      <c r="IMN69" s="349"/>
      <c r="IMO69" s="349"/>
      <c r="IMP69" s="349"/>
      <c r="IMQ69" s="349"/>
      <c r="IMR69" s="349"/>
      <c r="IMS69" s="349"/>
      <c r="IMT69" s="349"/>
      <c r="IMU69" s="349"/>
      <c r="IMV69" s="349"/>
      <c r="IMW69" s="349"/>
      <c r="IMX69" s="349"/>
      <c r="IMY69" s="349"/>
      <c r="IMZ69" s="349"/>
      <c r="INA69" s="349"/>
      <c r="INB69" s="349"/>
      <c r="INC69" s="349"/>
      <c r="IND69" s="349"/>
      <c r="INE69" s="349"/>
      <c r="INF69" s="349"/>
      <c r="ING69" s="349"/>
      <c r="INH69" s="349"/>
      <c r="INI69" s="349"/>
      <c r="INJ69" s="349"/>
      <c r="INK69" s="349"/>
      <c r="INL69" s="349"/>
      <c r="INM69" s="349"/>
      <c r="INN69" s="349"/>
      <c r="INO69" s="349"/>
      <c r="INP69" s="349"/>
      <c r="INQ69" s="349"/>
      <c r="INR69" s="349"/>
      <c r="INS69" s="349"/>
      <c r="INT69" s="349"/>
      <c r="INU69" s="349"/>
      <c r="INV69" s="349"/>
      <c r="INW69" s="349"/>
      <c r="INX69" s="349"/>
      <c r="INY69" s="349"/>
      <c r="INZ69" s="349"/>
      <c r="IOA69" s="349"/>
      <c r="IOB69" s="349"/>
      <c r="IOC69" s="349"/>
      <c r="IOD69" s="349"/>
      <c r="IOE69" s="349"/>
      <c r="IOF69" s="349"/>
      <c r="IOG69" s="349"/>
      <c r="IOH69" s="349"/>
      <c r="IOI69" s="349"/>
      <c r="IOJ69" s="349"/>
      <c r="IOK69" s="349"/>
      <c r="IOL69" s="349"/>
      <c r="IOM69" s="349"/>
      <c r="ION69" s="349"/>
      <c r="IOO69" s="349"/>
      <c r="IOP69" s="349"/>
      <c r="IOQ69" s="349"/>
      <c r="IOR69" s="349"/>
      <c r="IOS69" s="349"/>
      <c r="IOT69" s="349"/>
      <c r="IOU69" s="349"/>
      <c r="IOV69" s="349"/>
      <c r="IOW69" s="349"/>
      <c r="IOX69" s="349"/>
      <c r="IOY69" s="349"/>
      <c r="IOZ69" s="349"/>
      <c r="IPA69" s="349"/>
      <c r="IPB69" s="349"/>
      <c r="IPC69" s="349"/>
      <c r="IPD69" s="349"/>
      <c r="IPE69" s="349"/>
      <c r="IPF69" s="349"/>
      <c r="IPG69" s="349"/>
      <c r="IPH69" s="349"/>
      <c r="IPI69" s="349"/>
      <c r="IPJ69" s="349"/>
      <c r="IPK69" s="349"/>
      <c r="IPL69" s="349"/>
      <c r="IPM69" s="349"/>
      <c r="IPN69" s="349"/>
      <c r="IPO69" s="349"/>
      <c r="IPP69" s="349"/>
      <c r="IPQ69" s="349"/>
      <c r="IPR69" s="349"/>
      <c r="IPS69" s="349"/>
      <c r="IPT69" s="349"/>
      <c r="IPU69" s="349"/>
      <c r="IPV69" s="349"/>
      <c r="IPW69" s="349"/>
      <c r="IPX69" s="349"/>
      <c r="IPY69" s="349"/>
      <c r="IPZ69" s="349"/>
      <c r="IQA69" s="349"/>
      <c r="IQB69" s="349"/>
      <c r="IQC69" s="349"/>
      <c r="IQD69" s="349"/>
      <c r="IQE69" s="349"/>
      <c r="IQF69" s="349"/>
      <c r="IQG69" s="349"/>
      <c r="IQH69" s="349"/>
      <c r="IQI69" s="349"/>
      <c r="IQJ69" s="349"/>
      <c r="IQK69" s="349"/>
      <c r="IQL69" s="349"/>
      <c r="IQM69" s="349"/>
      <c r="IQN69" s="349"/>
      <c r="IQO69" s="349"/>
      <c r="IQP69" s="349"/>
      <c r="IQQ69" s="349"/>
      <c r="IQR69" s="349"/>
      <c r="IQS69" s="349"/>
      <c r="IQT69" s="349"/>
      <c r="IQU69" s="349"/>
      <c r="IQV69" s="349"/>
      <c r="IQW69" s="349"/>
      <c r="IQX69" s="349"/>
      <c r="IQY69" s="349"/>
      <c r="IQZ69" s="349"/>
      <c r="IRA69" s="349"/>
      <c r="IRB69" s="349"/>
      <c r="IRC69" s="349"/>
      <c r="IRD69" s="349"/>
      <c r="IRE69" s="349"/>
      <c r="IRF69" s="349"/>
      <c r="IRG69" s="349"/>
      <c r="IRH69" s="349"/>
      <c r="IRI69" s="349"/>
      <c r="IRJ69" s="349"/>
      <c r="IRK69" s="349"/>
      <c r="IRL69" s="349"/>
      <c r="IRM69" s="349"/>
      <c r="IRN69" s="349"/>
      <c r="IRO69" s="349"/>
      <c r="IRP69" s="349"/>
      <c r="IRQ69" s="349"/>
      <c r="IRR69" s="349"/>
      <c r="IRS69" s="349"/>
      <c r="IRT69" s="349"/>
      <c r="IRU69" s="349"/>
      <c r="IRV69" s="349"/>
      <c r="IRW69" s="349"/>
      <c r="IRX69" s="349"/>
      <c r="IRY69" s="349"/>
      <c r="IRZ69" s="349"/>
      <c r="ISA69" s="349"/>
      <c r="ISB69" s="349"/>
      <c r="ISC69" s="349"/>
      <c r="ISD69" s="349"/>
      <c r="ISE69" s="349"/>
      <c r="ISF69" s="349"/>
      <c r="ISG69" s="349"/>
      <c r="ISH69" s="349"/>
      <c r="ISI69" s="349"/>
      <c r="ISJ69" s="349"/>
      <c r="ISK69" s="349"/>
      <c r="ISL69" s="349"/>
      <c r="ISM69" s="349"/>
      <c r="ISN69" s="349"/>
      <c r="ISO69" s="349"/>
      <c r="ISP69" s="349"/>
      <c r="ISQ69" s="349"/>
      <c r="ISR69" s="349"/>
      <c r="ISS69" s="349"/>
      <c r="IST69" s="349"/>
      <c r="ISU69" s="349"/>
      <c r="ISV69" s="349"/>
      <c r="ISW69" s="349"/>
      <c r="ISX69" s="349"/>
      <c r="ISY69" s="349"/>
      <c r="ISZ69" s="349"/>
      <c r="ITA69" s="349"/>
      <c r="ITB69" s="349"/>
      <c r="ITC69" s="349"/>
      <c r="ITD69" s="349"/>
      <c r="ITE69" s="349"/>
      <c r="ITF69" s="349"/>
      <c r="ITG69" s="349"/>
      <c r="ITH69" s="349"/>
      <c r="ITI69" s="349"/>
      <c r="ITJ69" s="349"/>
      <c r="ITK69" s="349"/>
      <c r="ITL69" s="349"/>
      <c r="ITM69" s="349"/>
      <c r="ITN69" s="349"/>
      <c r="ITO69" s="349"/>
      <c r="ITP69" s="349"/>
      <c r="ITQ69" s="349"/>
      <c r="ITR69" s="349"/>
      <c r="ITS69" s="349"/>
      <c r="ITT69" s="349"/>
      <c r="ITU69" s="349"/>
      <c r="ITV69" s="349"/>
      <c r="ITW69" s="349"/>
      <c r="ITX69" s="349"/>
      <c r="ITY69" s="349"/>
      <c r="ITZ69" s="349"/>
      <c r="IUA69" s="349"/>
      <c r="IUB69" s="349"/>
      <c r="IUC69" s="349"/>
      <c r="IUD69" s="349"/>
      <c r="IUE69" s="349"/>
      <c r="IUF69" s="349"/>
      <c r="IUG69" s="349"/>
      <c r="IUH69" s="349"/>
      <c r="IUI69" s="349"/>
      <c r="IUJ69" s="349"/>
      <c r="IUK69" s="349"/>
      <c r="IUL69" s="349"/>
      <c r="IUM69" s="349"/>
      <c r="IUN69" s="349"/>
      <c r="IUO69" s="349"/>
      <c r="IUP69" s="349"/>
      <c r="IUQ69" s="349"/>
      <c r="IUR69" s="349"/>
      <c r="IUS69" s="349"/>
      <c r="IUT69" s="349"/>
      <c r="IUU69" s="349"/>
      <c r="IUV69" s="349"/>
      <c r="IUW69" s="349"/>
      <c r="IUX69" s="349"/>
      <c r="IUY69" s="349"/>
      <c r="IUZ69" s="349"/>
      <c r="IVA69" s="349"/>
      <c r="IVB69" s="349"/>
      <c r="IVC69" s="349"/>
      <c r="IVD69" s="349"/>
      <c r="IVE69" s="349"/>
      <c r="IVF69" s="349"/>
      <c r="IVG69" s="349"/>
      <c r="IVH69" s="349"/>
      <c r="IVI69" s="349"/>
      <c r="IVJ69" s="349"/>
      <c r="IVK69" s="349"/>
      <c r="IVL69" s="349"/>
      <c r="IVM69" s="349"/>
      <c r="IVN69" s="349"/>
      <c r="IVO69" s="349"/>
      <c r="IVP69" s="349"/>
      <c r="IVQ69" s="349"/>
      <c r="IVR69" s="349"/>
      <c r="IVS69" s="349"/>
      <c r="IVT69" s="349"/>
      <c r="IVU69" s="349"/>
      <c r="IVV69" s="349"/>
      <c r="IVW69" s="349"/>
      <c r="IVX69" s="349"/>
      <c r="IVY69" s="349"/>
      <c r="IVZ69" s="349"/>
      <c r="IWA69" s="349"/>
      <c r="IWB69" s="349"/>
      <c r="IWC69" s="349"/>
      <c r="IWD69" s="349"/>
      <c r="IWE69" s="349"/>
      <c r="IWF69" s="349"/>
      <c r="IWG69" s="349"/>
      <c r="IWH69" s="349"/>
      <c r="IWI69" s="349"/>
      <c r="IWJ69" s="349"/>
      <c r="IWK69" s="349"/>
      <c r="IWL69" s="349"/>
      <c r="IWM69" s="349"/>
      <c r="IWN69" s="349"/>
      <c r="IWO69" s="349"/>
      <c r="IWP69" s="349"/>
      <c r="IWQ69" s="349"/>
      <c r="IWR69" s="349"/>
      <c r="IWS69" s="349"/>
      <c r="IWT69" s="349"/>
      <c r="IWU69" s="349"/>
      <c r="IWV69" s="349"/>
      <c r="IWW69" s="349"/>
      <c r="IWX69" s="349"/>
      <c r="IWY69" s="349"/>
      <c r="IWZ69" s="349"/>
      <c r="IXA69" s="349"/>
      <c r="IXB69" s="349"/>
      <c r="IXC69" s="349"/>
      <c r="IXD69" s="349"/>
      <c r="IXE69" s="349"/>
      <c r="IXF69" s="349"/>
      <c r="IXG69" s="349"/>
      <c r="IXH69" s="349"/>
      <c r="IXI69" s="349"/>
      <c r="IXJ69" s="349"/>
      <c r="IXK69" s="349"/>
      <c r="IXL69" s="349"/>
      <c r="IXM69" s="349"/>
      <c r="IXN69" s="349"/>
      <c r="IXO69" s="349"/>
      <c r="IXP69" s="349"/>
      <c r="IXQ69" s="349"/>
      <c r="IXR69" s="349"/>
      <c r="IXS69" s="349"/>
      <c r="IXT69" s="349"/>
      <c r="IXU69" s="349"/>
      <c r="IXV69" s="349"/>
      <c r="IXW69" s="349"/>
      <c r="IXX69" s="349"/>
      <c r="IXY69" s="349"/>
      <c r="IXZ69" s="349"/>
      <c r="IYA69" s="349"/>
      <c r="IYB69" s="349"/>
      <c r="IYC69" s="349"/>
      <c r="IYD69" s="349"/>
      <c r="IYE69" s="349"/>
      <c r="IYF69" s="349"/>
      <c r="IYG69" s="349"/>
      <c r="IYH69" s="349"/>
      <c r="IYI69" s="349"/>
      <c r="IYJ69" s="349"/>
      <c r="IYK69" s="349"/>
      <c r="IYL69" s="349"/>
      <c r="IYM69" s="349"/>
      <c r="IYN69" s="349"/>
      <c r="IYO69" s="349"/>
      <c r="IYP69" s="349"/>
      <c r="IYQ69" s="349"/>
      <c r="IYR69" s="349"/>
      <c r="IYS69" s="349"/>
      <c r="IYT69" s="349"/>
      <c r="IYU69" s="349"/>
      <c r="IYV69" s="349"/>
      <c r="IYW69" s="349"/>
      <c r="IYX69" s="349"/>
      <c r="IYY69" s="349"/>
      <c r="IYZ69" s="349"/>
      <c r="IZA69" s="349"/>
      <c r="IZB69" s="349"/>
      <c r="IZC69" s="349"/>
      <c r="IZD69" s="349"/>
      <c r="IZE69" s="349"/>
      <c r="IZF69" s="349"/>
      <c r="IZG69" s="349"/>
      <c r="IZH69" s="349"/>
      <c r="IZI69" s="349"/>
      <c r="IZJ69" s="349"/>
      <c r="IZK69" s="349"/>
      <c r="IZL69" s="349"/>
      <c r="IZM69" s="349"/>
      <c r="IZN69" s="349"/>
      <c r="IZO69" s="349"/>
      <c r="IZP69" s="349"/>
      <c r="IZQ69" s="349"/>
      <c r="IZR69" s="349"/>
      <c r="IZS69" s="349"/>
      <c r="IZT69" s="349"/>
      <c r="IZU69" s="349"/>
      <c r="IZV69" s="349"/>
      <c r="IZW69" s="349"/>
      <c r="IZX69" s="349"/>
      <c r="IZY69" s="349"/>
      <c r="IZZ69" s="349"/>
      <c r="JAA69" s="349"/>
      <c r="JAB69" s="349"/>
      <c r="JAC69" s="349"/>
      <c r="JAD69" s="349"/>
      <c r="JAE69" s="349"/>
      <c r="JAF69" s="349"/>
      <c r="JAG69" s="349"/>
      <c r="JAH69" s="349"/>
      <c r="JAI69" s="349"/>
      <c r="JAJ69" s="349"/>
      <c r="JAK69" s="349"/>
      <c r="JAL69" s="349"/>
      <c r="JAM69" s="349"/>
      <c r="JAN69" s="349"/>
      <c r="JAO69" s="349"/>
      <c r="JAP69" s="349"/>
      <c r="JAQ69" s="349"/>
      <c r="JAR69" s="349"/>
      <c r="JAS69" s="349"/>
      <c r="JAT69" s="349"/>
      <c r="JAU69" s="349"/>
      <c r="JAV69" s="349"/>
      <c r="JAW69" s="349"/>
      <c r="JAX69" s="349"/>
      <c r="JAY69" s="349"/>
      <c r="JAZ69" s="349"/>
      <c r="JBA69" s="349"/>
      <c r="JBB69" s="349"/>
      <c r="JBC69" s="349"/>
      <c r="JBD69" s="349"/>
      <c r="JBE69" s="349"/>
      <c r="JBF69" s="349"/>
      <c r="JBG69" s="349"/>
      <c r="JBH69" s="349"/>
      <c r="JBI69" s="349"/>
      <c r="JBJ69" s="349"/>
      <c r="JBK69" s="349"/>
      <c r="JBL69" s="349"/>
      <c r="JBM69" s="349"/>
      <c r="JBN69" s="349"/>
      <c r="JBO69" s="349"/>
      <c r="JBP69" s="349"/>
      <c r="JBQ69" s="349"/>
      <c r="JBR69" s="349"/>
      <c r="JBS69" s="349"/>
      <c r="JBT69" s="349"/>
      <c r="JBU69" s="349"/>
      <c r="JBV69" s="349"/>
      <c r="JBW69" s="349"/>
      <c r="JBX69" s="349"/>
      <c r="JBY69" s="349"/>
      <c r="JBZ69" s="349"/>
      <c r="JCA69" s="349"/>
      <c r="JCB69" s="349"/>
      <c r="JCC69" s="349"/>
      <c r="JCD69" s="349"/>
      <c r="JCE69" s="349"/>
      <c r="JCF69" s="349"/>
      <c r="JCG69" s="349"/>
      <c r="JCH69" s="349"/>
      <c r="JCI69" s="349"/>
      <c r="JCJ69" s="349"/>
      <c r="JCK69" s="349"/>
      <c r="JCL69" s="349"/>
      <c r="JCM69" s="349"/>
      <c r="JCN69" s="349"/>
      <c r="JCO69" s="349"/>
      <c r="JCP69" s="349"/>
      <c r="JCQ69" s="349"/>
      <c r="JCR69" s="349"/>
      <c r="JCS69" s="349"/>
      <c r="JCT69" s="349"/>
      <c r="JCU69" s="349"/>
      <c r="JCV69" s="349"/>
      <c r="JCW69" s="349"/>
      <c r="JCX69" s="349"/>
      <c r="JCY69" s="349"/>
      <c r="JCZ69" s="349"/>
      <c r="JDA69" s="349"/>
      <c r="JDB69" s="349"/>
      <c r="JDC69" s="349"/>
      <c r="JDD69" s="349"/>
      <c r="JDE69" s="349"/>
      <c r="JDF69" s="349"/>
      <c r="JDG69" s="349"/>
      <c r="JDH69" s="349"/>
      <c r="JDI69" s="349"/>
      <c r="JDJ69" s="349"/>
      <c r="JDK69" s="349"/>
      <c r="JDL69" s="349"/>
      <c r="JDM69" s="349"/>
      <c r="JDN69" s="349"/>
      <c r="JDO69" s="349"/>
      <c r="JDP69" s="349"/>
      <c r="JDQ69" s="349"/>
      <c r="JDR69" s="349"/>
      <c r="JDS69" s="349"/>
      <c r="JDT69" s="349"/>
      <c r="JDU69" s="349"/>
      <c r="JDV69" s="349"/>
      <c r="JDW69" s="349"/>
      <c r="JDX69" s="349"/>
      <c r="JDY69" s="349"/>
      <c r="JDZ69" s="349"/>
      <c r="JEA69" s="349"/>
      <c r="JEB69" s="349"/>
      <c r="JEC69" s="349"/>
      <c r="JED69" s="349"/>
      <c r="JEE69" s="349"/>
      <c r="JEF69" s="349"/>
      <c r="JEG69" s="349"/>
      <c r="JEH69" s="349"/>
      <c r="JEI69" s="349"/>
      <c r="JEJ69" s="349"/>
      <c r="JEK69" s="349"/>
      <c r="JEL69" s="349"/>
      <c r="JEM69" s="349"/>
      <c r="JEN69" s="349"/>
      <c r="JEO69" s="349"/>
      <c r="JEP69" s="349"/>
      <c r="JEQ69" s="349"/>
      <c r="JER69" s="349"/>
      <c r="JES69" s="349"/>
      <c r="JET69" s="349"/>
      <c r="JEU69" s="349"/>
      <c r="JEV69" s="349"/>
      <c r="JEW69" s="349"/>
      <c r="JEX69" s="349"/>
      <c r="JEY69" s="349"/>
      <c r="JEZ69" s="349"/>
      <c r="JFA69" s="349"/>
      <c r="JFB69" s="349"/>
      <c r="JFC69" s="349"/>
      <c r="JFD69" s="349"/>
      <c r="JFE69" s="349"/>
      <c r="JFF69" s="349"/>
      <c r="JFG69" s="349"/>
      <c r="JFH69" s="349"/>
      <c r="JFI69" s="349"/>
      <c r="JFJ69" s="349"/>
      <c r="JFK69" s="349"/>
      <c r="JFL69" s="349"/>
      <c r="JFM69" s="349"/>
      <c r="JFN69" s="349"/>
      <c r="JFO69" s="349"/>
      <c r="JFP69" s="349"/>
      <c r="JFQ69" s="349"/>
      <c r="JFR69" s="349"/>
      <c r="JFS69" s="349"/>
      <c r="JFT69" s="349"/>
      <c r="JFU69" s="349"/>
      <c r="JFV69" s="349"/>
      <c r="JFW69" s="349"/>
      <c r="JFX69" s="349"/>
      <c r="JFY69" s="349"/>
      <c r="JFZ69" s="349"/>
      <c r="JGA69" s="349"/>
      <c r="JGB69" s="349"/>
      <c r="JGC69" s="349"/>
      <c r="JGD69" s="349"/>
      <c r="JGE69" s="349"/>
      <c r="JGF69" s="349"/>
      <c r="JGG69" s="349"/>
      <c r="JGH69" s="349"/>
      <c r="JGI69" s="349"/>
      <c r="JGJ69" s="349"/>
      <c r="JGK69" s="349"/>
      <c r="JGL69" s="349"/>
      <c r="JGM69" s="349"/>
      <c r="JGN69" s="349"/>
      <c r="JGO69" s="349"/>
      <c r="JGP69" s="349"/>
      <c r="JGQ69" s="349"/>
      <c r="JGR69" s="349"/>
      <c r="JGS69" s="349"/>
      <c r="JGT69" s="349"/>
      <c r="JGU69" s="349"/>
      <c r="JGV69" s="349"/>
      <c r="JGW69" s="349"/>
      <c r="JGX69" s="349"/>
      <c r="JGY69" s="349"/>
      <c r="JGZ69" s="349"/>
      <c r="JHA69" s="349"/>
      <c r="JHB69" s="349"/>
      <c r="JHC69" s="349"/>
      <c r="JHD69" s="349"/>
      <c r="JHE69" s="349"/>
      <c r="JHF69" s="349"/>
      <c r="JHG69" s="349"/>
      <c r="JHH69" s="349"/>
      <c r="JHI69" s="349"/>
      <c r="JHJ69" s="349"/>
      <c r="JHK69" s="349"/>
      <c r="JHL69" s="349"/>
      <c r="JHM69" s="349"/>
      <c r="JHN69" s="349"/>
      <c r="JHO69" s="349"/>
      <c r="JHP69" s="349"/>
      <c r="JHQ69" s="349"/>
      <c r="JHR69" s="349"/>
      <c r="JHS69" s="349"/>
      <c r="JHT69" s="349"/>
      <c r="JHU69" s="349"/>
      <c r="JHV69" s="349"/>
      <c r="JHW69" s="349"/>
      <c r="JHX69" s="349"/>
      <c r="JHY69" s="349"/>
      <c r="JHZ69" s="349"/>
      <c r="JIA69" s="349"/>
      <c r="JIB69" s="349"/>
      <c r="JIC69" s="349"/>
      <c r="JID69" s="349"/>
      <c r="JIE69" s="349"/>
      <c r="JIF69" s="349"/>
      <c r="JIG69" s="349"/>
      <c r="JIH69" s="349"/>
      <c r="JII69" s="349"/>
      <c r="JIJ69" s="349"/>
      <c r="JIK69" s="349"/>
      <c r="JIL69" s="349"/>
      <c r="JIM69" s="349"/>
      <c r="JIN69" s="349"/>
      <c r="JIO69" s="349"/>
      <c r="JIP69" s="349"/>
      <c r="JIQ69" s="349"/>
      <c r="JIR69" s="349"/>
      <c r="JIS69" s="349"/>
      <c r="JIT69" s="349"/>
      <c r="JIU69" s="349"/>
      <c r="JIV69" s="349"/>
      <c r="JIW69" s="349"/>
      <c r="JIX69" s="349"/>
      <c r="JIY69" s="349"/>
      <c r="JIZ69" s="349"/>
      <c r="JJA69" s="349"/>
      <c r="JJB69" s="349"/>
      <c r="JJC69" s="349"/>
      <c r="JJD69" s="349"/>
      <c r="JJE69" s="349"/>
      <c r="JJF69" s="349"/>
      <c r="JJG69" s="349"/>
      <c r="JJH69" s="349"/>
      <c r="JJI69" s="349"/>
      <c r="JJJ69" s="349"/>
      <c r="JJK69" s="349"/>
      <c r="JJL69" s="349"/>
      <c r="JJM69" s="349"/>
      <c r="JJN69" s="349"/>
      <c r="JJO69" s="349"/>
      <c r="JJP69" s="349"/>
      <c r="JJQ69" s="349"/>
      <c r="JJR69" s="349"/>
      <c r="JJS69" s="349"/>
      <c r="JJT69" s="349"/>
      <c r="JJU69" s="349"/>
      <c r="JJV69" s="349"/>
      <c r="JJW69" s="349"/>
      <c r="JJX69" s="349"/>
      <c r="JJY69" s="349"/>
      <c r="JJZ69" s="349"/>
      <c r="JKA69" s="349"/>
      <c r="JKB69" s="349"/>
      <c r="JKC69" s="349"/>
      <c r="JKD69" s="349"/>
      <c r="JKE69" s="349"/>
      <c r="JKF69" s="349"/>
      <c r="JKG69" s="349"/>
      <c r="JKH69" s="349"/>
      <c r="JKI69" s="349"/>
      <c r="JKJ69" s="349"/>
      <c r="JKK69" s="349"/>
      <c r="JKL69" s="349"/>
      <c r="JKM69" s="349"/>
      <c r="JKN69" s="349"/>
      <c r="JKO69" s="349"/>
      <c r="JKP69" s="349"/>
      <c r="JKQ69" s="349"/>
      <c r="JKR69" s="349"/>
      <c r="JKS69" s="349"/>
      <c r="JKT69" s="349"/>
      <c r="JKU69" s="349"/>
      <c r="JKV69" s="349"/>
      <c r="JKW69" s="349"/>
      <c r="JKX69" s="349"/>
      <c r="JKY69" s="349"/>
      <c r="JKZ69" s="349"/>
      <c r="JLA69" s="349"/>
      <c r="JLB69" s="349"/>
      <c r="JLC69" s="349"/>
      <c r="JLD69" s="349"/>
      <c r="JLE69" s="349"/>
      <c r="JLF69" s="349"/>
      <c r="JLG69" s="349"/>
      <c r="JLH69" s="349"/>
      <c r="JLI69" s="349"/>
      <c r="JLJ69" s="349"/>
      <c r="JLK69" s="349"/>
      <c r="JLL69" s="349"/>
      <c r="JLM69" s="349"/>
      <c r="JLN69" s="349"/>
      <c r="JLO69" s="349"/>
      <c r="JLP69" s="349"/>
      <c r="JLQ69" s="349"/>
      <c r="JLR69" s="349"/>
      <c r="JLS69" s="349"/>
      <c r="JLT69" s="349"/>
      <c r="JLU69" s="349"/>
      <c r="JLV69" s="349"/>
      <c r="JLW69" s="349"/>
      <c r="JLX69" s="349"/>
      <c r="JLY69" s="349"/>
      <c r="JLZ69" s="349"/>
      <c r="JMA69" s="349"/>
      <c r="JMB69" s="349"/>
      <c r="JMC69" s="349"/>
      <c r="JMD69" s="349"/>
      <c r="JME69" s="349"/>
      <c r="JMF69" s="349"/>
      <c r="JMG69" s="349"/>
      <c r="JMH69" s="349"/>
      <c r="JMI69" s="349"/>
      <c r="JMJ69" s="349"/>
      <c r="JMK69" s="349"/>
      <c r="JML69" s="349"/>
      <c r="JMM69" s="349"/>
      <c r="JMN69" s="349"/>
      <c r="JMO69" s="349"/>
      <c r="JMP69" s="349"/>
      <c r="JMQ69" s="349"/>
      <c r="JMR69" s="349"/>
      <c r="JMS69" s="349"/>
      <c r="JMT69" s="349"/>
      <c r="JMU69" s="349"/>
      <c r="JMV69" s="349"/>
      <c r="JMW69" s="349"/>
      <c r="JMX69" s="349"/>
      <c r="JMY69" s="349"/>
      <c r="JMZ69" s="349"/>
      <c r="JNA69" s="349"/>
      <c r="JNB69" s="349"/>
      <c r="JNC69" s="349"/>
      <c r="JND69" s="349"/>
      <c r="JNE69" s="349"/>
      <c r="JNF69" s="349"/>
      <c r="JNG69" s="349"/>
      <c r="JNH69" s="349"/>
      <c r="JNI69" s="349"/>
      <c r="JNJ69" s="349"/>
      <c r="JNK69" s="349"/>
      <c r="JNL69" s="349"/>
      <c r="JNM69" s="349"/>
      <c r="JNN69" s="349"/>
      <c r="JNO69" s="349"/>
      <c r="JNP69" s="349"/>
      <c r="JNQ69" s="349"/>
      <c r="JNR69" s="349"/>
      <c r="JNS69" s="349"/>
      <c r="JNT69" s="349"/>
      <c r="JNU69" s="349"/>
      <c r="JNV69" s="349"/>
      <c r="JNW69" s="349"/>
      <c r="JNX69" s="349"/>
      <c r="JNY69" s="349"/>
      <c r="JNZ69" s="349"/>
      <c r="JOA69" s="349"/>
      <c r="JOB69" s="349"/>
      <c r="JOC69" s="349"/>
      <c r="JOD69" s="349"/>
      <c r="JOE69" s="349"/>
      <c r="JOF69" s="349"/>
      <c r="JOG69" s="349"/>
      <c r="JOH69" s="349"/>
      <c r="JOI69" s="349"/>
      <c r="JOJ69" s="349"/>
      <c r="JOK69" s="349"/>
      <c r="JOL69" s="349"/>
      <c r="JOM69" s="349"/>
      <c r="JON69" s="349"/>
      <c r="JOO69" s="349"/>
      <c r="JOP69" s="349"/>
      <c r="JOQ69" s="349"/>
      <c r="JOR69" s="349"/>
      <c r="JOS69" s="349"/>
      <c r="JOT69" s="349"/>
      <c r="JOU69" s="349"/>
      <c r="JOV69" s="349"/>
      <c r="JOW69" s="349"/>
      <c r="JOX69" s="349"/>
      <c r="JOY69" s="349"/>
      <c r="JOZ69" s="349"/>
      <c r="JPA69" s="349"/>
      <c r="JPB69" s="349"/>
      <c r="JPC69" s="349"/>
      <c r="JPD69" s="349"/>
      <c r="JPE69" s="349"/>
      <c r="JPF69" s="349"/>
      <c r="JPG69" s="349"/>
      <c r="JPH69" s="349"/>
      <c r="JPI69" s="349"/>
      <c r="JPJ69" s="349"/>
      <c r="JPK69" s="349"/>
      <c r="JPL69" s="349"/>
      <c r="JPM69" s="349"/>
      <c r="JPN69" s="349"/>
      <c r="JPO69" s="349"/>
      <c r="JPP69" s="349"/>
      <c r="JPQ69" s="349"/>
      <c r="JPR69" s="349"/>
      <c r="JPS69" s="349"/>
      <c r="JPT69" s="349"/>
      <c r="JPU69" s="349"/>
      <c r="JPV69" s="349"/>
      <c r="JPW69" s="349"/>
      <c r="JPX69" s="349"/>
      <c r="JPY69" s="349"/>
      <c r="JPZ69" s="349"/>
      <c r="JQA69" s="349"/>
      <c r="JQB69" s="349"/>
      <c r="JQC69" s="349"/>
      <c r="JQD69" s="349"/>
      <c r="JQE69" s="349"/>
      <c r="JQF69" s="349"/>
      <c r="JQG69" s="349"/>
      <c r="JQH69" s="349"/>
      <c r="JQI69" s="349"/>
      <c r="JQJ69" s="349"/>
      <c r="JQK69" s="349"/>
      <c r="JQL69" s="349"/>
      <c r="JQM69" s="349"/>
      <c r="JQN69" s="349"/>
      <c r="JQO69" s="349"/>
      <c r="JQP69" s="349"/>
      <c r="JQQ69" s="349"/>
      <c r="JQR69" s="349"/>
      <c r="JQS69" s="349"/>
      <c r="JQT69" s="349"/>
      <c r="JQU69" s="349"/>
      <c r="JQV69" s="349"/>
      <c r="JQW69" s="349"/>
      <c r="JQX69" s="349"/>
      <c r="JQY69" s="349"/>
      <c r="JQZ69" s="349"/>
      <c r="JRA69" s="349"/>
      <c r="JRB69" s="349"/>
      <c r="JRC69" s="349"/>
      <c r="JRD69" s="349"/>
      <c r="JRE69" s="349"/>
      <c r="JRF69" s="349"/>
      <c r="JRG69" s="349"/>
      <c r="JRH69" s="349"/>
      <c r="JRI69" s="349"/>
      <c r="JRJ69" s="349"/>
      <c r="JRK69" s="349"/>
      <c r="JRL69" s="349"/>
      <c r="JRM69" s="349"/>
      <c r="JRN69" s="349"/>
      <c r="JRO69" s="349"/>
      <c r="JRP69" s="349"/>
      <c r="JRQ69" s="349"/>
      <c r="JRR69" s="349"/>
      <c r="JRS69" s="349"/>
      <c r="JRT69" s="349"/>
      <c r="JRU69" s="349"/>
      <c r="JRV69" s="349"/>
      <c r="JRW69" s="349"/>
      <c r="JRX69" s="349"/>
      <c r="JRY69" s="349"/>
      <c r="JRZ69" s="349"/>
      <c r="JSA69" s="349"/>
      <c r="JSB69" s="349"/>
      <c r="JSC69" s="349"/>
      <c r="JSD69" s="349"/>
      <c r="JSE69" s="349"/>
      <c r="JSF69" s="349"/>
      <c r="JSG69" s="349"/>
      <c r="JSH69" s="349"/>
      <c r="JSI69" s="349"/>
      <c r="JSJ69" s="349"/>
      <c r="JSK69" s="349"/>
      <c r="JSL69" s="349"/>
      <c r="JSM69" s="349"/>
      <c r="JSN69" s="349"/>
      <c r="JSO69" s="349"/>
      <c r="JSP69" s="349"/>
      <c r="JSQ69" s="349"/>
      <c r="JSR69" s="349"/>
      <c r="JSS69" s="349"/>
      <c r="JST69" s="349"/>
      <c r="JSU69" s="349"/>
      <c r="JSV69" s="349"/>
      <c r="JSW69" s="349"/>
      <c r="JSX69" s="349"/>
      <c r="JSY69" s="349"/>
      <c r="JSZ69" s="349"/>
      <c r="JTA69" s="349"/>
      <c r="JTB69" s="349"/>
      <c r="JTC69" s="349"/>
      <c r="JTD69" s="349"/>
      <c r="JTE69" s="349"/>
      <c r="JTF69" s="349"/>
      <c r="JTG69" s="349"/>
      <c r="JTH69" s="349"/>
      <c r="JTI69" s="349"/>
      <c r="JTJ69" s="349"/>
      <c r="JTK69" s="349"/>
      <c r="JTL69" s="349"/>
      <c r="JTM69" s="349"/>
      <c r="JTN69" s="349"/>
      <c r="JTO69" s="349"/>
      <c r="JTP69" s="349"/>
      <c r="JTQ69" s="349"/>
      <c r="JTR69" s="349"/>
      <c r="JTS69" s="349"/>
      <c r="JTT69" s="349"/>
      <c r="JTU69" s="349"/>
      <c r="JTV69" s="349"/>
      <c r="JTW69" s="349"/>
      <c r="JTX69" s="349"/>
      <c r="JTY69" s="349"/>
      <c r="JTZ69" s="349"/>
      <c r="JUA69" s="349"/>
      <c r="JUB69" s="349"/>
      <c r="JUC69" s="349"/>
      <c r="JUD69" s="349"/>
      <c r="JUE69" s="349"/>
      <c r="JUF69" s="349"/>
      <c r="JUG69" s="349"/>
      <c r="JUH69" s="349"/>
      <c r="JUI69" s="349"/>
      <c r="JUJ69" s="349"/>
      <c r="JUK69" s="349"/>
      <c r="JUL69" s="349"/>
      <c r="JUM69" s="349"/>
      <c r="JUN69" s="349"/>
      <c r="JUO69" s="349"/>
      <c r="JUP69" s="349"/>
      <c r="JUQ69" s="349"/>
      <c r="JUR69" s="349"/>
      <c r="JUS69" s="349"/>
      <c r="JUT69" s="349"/>
      <c r="JUU69" s="349"/>
      <c r="JUV69" s="349"/>
      <c r="JUW69" s="349"/>
      <c r="JUX69" s="349"/>
      <c r="JUY69" s="349"/>
      <c r="JUZ69" s="349"/>
      <c r="JVA69" s="349"/>
      <c r="JVB69" s="349"/>
      <c r="JVC69" s="349"/>
      <c r="JVD69" s="349"/>
      <c r="JVE69" s="349"/>
      <c r="JVF69" s="349"/>
      <c r="JVG69" s="349"/>
      <c r="JVH69" s="349"/>
      <c r="JVI69" s="349"/>
      <c r="JVJ69" s="349"/>
      <c r="JVK69" s="349"/>
      <c r="JVL69" s="349"/>
      <c r="JVM69" s="349"/>
      <c r="JVN69" s="349"/>
      <c r="JVO69" s="349"/>
      <c r="JVP69" s="349"/>
      <c r="JVQ69" s="349"/>
      <c r="JVR69" s="349"/>
      <c r="JVS69" s="349"/>
      <c r="JVT69" s="349"/>
      <c r="JVU69" s="349"/>
      <c r="JVV69" s="349"/>
      <c r="JVW69" s="349"/>
      <c r="JVX69" s="349"/>
      <c r="JVY69" s="349"/>
      <c r="JVZ69" s="349"/>
      <c r="JWA69" s="349"/>
      <c r="JWB69" s="349"/>
      <c r="JWC69" s="349"/>
      <c r="JWD69" s="349"/>
      <c r="JWE69" s="349"/>
      <c r="JWF69" s="349"/>
      <c r="JWG69" s="349"/>
      <c r="JWH69" s="349"/>
      <c r="JWI69" s="349"/>
      <c r="JWJ69" s="349"/>
      <c r="JWK69" s="349"/>
      <c r="JWL69" s="349"/>
      <c r="JWM69" s="349"/>
      <c r="JWN69" s="349"/>
      <c r="JWO69" s="349"/>
      <c r="JWP69" s="349"/>
      <c r="JWQ69" s="349"/>
      <c r="JWR69" s="349"/>
      <c r="JWS69" s="349"/>
      <c r="JWT69" s="349"/>
      <c r="JWU69" s="349"/>
      <c r="JWV69" s="349"/>
      <c r="JWW69" s="349"/>
      <c r="JWX69" s="349"/>
      <c r="JWY69" s="349"/>
      <c r="JWZ69" s="349"/>
      <c r="JXA69" s="349"/>
      <c r="JXB69" s="349"/>
      <c r="JXC69" s="349"/>
      <c r="JXD69" s="349"/>
      <c r="JXE69" s="349"/>
      <c r="JXF69" s="349"/>
      <c r="JXG69" s="349"/>
      <c r="JXH69" s="349"/>
      <c r="JXI69" s="349"/>
      <c r="JXJ69" s="349"/>
      <c r="JXK69" s="349"/>
      <c r="JXL69" s="349"/>
      <c r="JXM69" s="349"/>
      <c r="JXN69" s="349"/>
      <c r="JXO69" s="349"/>
      <c r="JXP69" s="349"/>
      <c r="JXQ69" s="349"/>
      <c r="JXR69" s="349"/>
      <c r="JXS69" s="349"/>
      <c r="JXT69" s="349"/>
      <c r="JXU69" s="349"/>
      <c r="JXV69" s="349"/>
      <c r="JXW69" s="349"/>
      <c r="JXX69" s="349"/>
      <c r="JXY69" s="349"/>
      <c r="JXZ69" s="349"/>
      <c r="JYA69" s="349"/>
      <c r="JYB69" s="349"/>
      <c r="JYC69" s="349"/>
      <c r="JYD69" s="349"/>
      <c r="JYE69" s="349"/>
      <c r="JYF69" s="349"/>
      <c r="JYG69" s="349"/>
      <c r="JYH69" s="349"/>
      <c r="JYI69" s="349"/>
      <c r="JYJ69" s="349"/>
      <c r="JYK69" s="349"/>
      <c r="JYL69" s="349"/>
      <c r="JYM69" s="349"/>
      <c r="JYN69" s="349"/>
      <c r="JYO69" s="349"/>
      <c r="JYP69" s="349"/>
      <c r="JYQ69" s="349"/>
      <c r="JYR69" s="349"/>
      <c r="JYS69" s="349"/>
      <c r="JYT69" s="349"/>
      <c r="JYU69" s="349"/>
      <c r="JYV69" s="349"/>
      <c r="JYW69" s="349"/>
      <c r="JYX69" s="349"/>
      <c r="JYY69" s="349"/>
      <c r="JYZ69" s="349"/>
      <c r="JZA69" s="349"/>
      <c r="JZB69" s="349"/>
      <c r="JZC69" s="349"/>
      <c r="JZD69" s="349"/>
      <c r="JZE69" s="349"/>
      <c r="JZF69" s="349"/>
      <c r="JZG69" s="349"/>
      <c r="JZH69" s="349"/>
      <c r="JZI69" s="349"/>
      <c r="JZJ69" s="349"/>
      <c r="JZK69" s="349"/>
      <c r="JZL69" s="349"/>
      <c r="JZM69" s="349"/>
      <c r="JZN69" s="349"/>
      <c r="JZO69" s="349"/>
      <c r="JZP69" s="349"/>
      <c r="JZQ69" s="349"/>
      <c r="JZR69" s="349"/>
      <c r="JZS69" s="349"/>
      <c r="JZT69" s="349"/>
      <c r="JZU69" s="349"/>
      <c r="JZV69" s="349"/>
      <c r="JZW69" s="349"/>
      <c r="JZX69" s="349"/>
      <c r="JZY69" s="349"/>
      <c r="JZZ69" s="349"/>
      <c r="KAA69" s="349"/>
      <c r="KAB69" s="349"/>
      <c r="KAC69" s="349"/>
      <c r="KAD69" s="349"/>
      <c r="KAE69" s="349"/>
      <c r="KAF69" s="349"/>
      <c r="KAG69" s="349"/>
      <c r="KAH69" s="349"/>
      <c r="KAI69" s="349"/>
      <c r="KAJ69" s="349"/>
      <c r="KAK69" s="349"/>
      <c r="KAL69" s="349"/>
      <c r="KAM69" s="349"/>
      <c r="KAN69" s="349"/>
      <c r="KAO69" s="349"/>
      <c r="KAP69" s="349"/>
      <c r="KAQ69" s="349"/>
      <c r="KAR69" s="349"/>
      <c r="KAS69" s="349"/>
      <c r="KAT69" s="349"/>
      <c r="KAU69" s="349"/>
      <c r="KAV69" s="349"/>
      <c r="KAW69" s="349"/>
      <c r="KAX69" s="349"/>
      <c r="KAY69" s="349"/>
      <c r="KAZ69" s="349"/>
      <c r="KBA69" s="349"/>
      <c r="KBB69" s="349"/>
      <c r="KBC69" s="349"/>
      <c r="KBD69" s="349"/>
      <c r="KBE69" s="349"/>
      <c r="KBF69" s="349"/>
      <c r="KBG69" s="349"/>
      <c r="KBH69" s="349"/>
      <c r="KBI69" s="349"/>
      <c r="KBJ69" s="349"/>
      <c r="KBK69" s="349"/>
      <c r="KBL69" s="349"/>
      <c r="KBM69" s="349"/>
      <c r="KBN69" s="349"/>
      <c r="KBO69" s="349"/>
      <c r="KBP69" s="349"/>
      <c r="KBQ69" s="349"/>
      <c r="KBR69" s="349"/>
      <c r="KBS69" s="349"/>
      <c r="KBT69" s="349"/>
      <c r="KBU69" s="349"/>
      <c r="KBV69" s="349"/>
      <c r="KBW69" s="349"/>
      <c r="KBX69" s="349"/>
      <c r="KBY69" s="349"/>
      <c r="KBZ69" s="349"/>
      <c r="KCA69" s="349"/>
      <c r="KCB69" s="349"/>
      <c r="KCC69" s="349"/>
      <c r="KCD69" s="349"/>
      <c r="KCE69" s="349"/>
      <c r="KCF69" s="349"/>
      <c r="KCG69" s="349"/>
      <c r="KCH69" s="349"/>
      <c r="KCI69" s="349"/>
      <c r="KCJ69" s="349"/>
      <c r="KCK69" s="349"/>
      <c r="KCL69" s="349"/>
      <c r="KCM69" s="349"/>
      <c r="KCN69" s="349"/>
      <c r="KCO69" s="349"/>
      <c r="KCP69" s="349"/>
      <c r="KCQ69" s="349"/>
      <c r="KCR69" s="349"/>
      <c r="KCS69" s="349"/>
      <c r="KCT69" s="349"/>
      <c r="KCU69" s="349"/>
      <c r="KCV69" s="349"/>
      <c r="KCW69" s="349"/>
      <c r="KCX69" s="349"/>
      <c r="KCY69" s="349"/>
      <c r="KCZ69" s="349"/>
      <c r="KDA69" s="349"/>
      <c r="KDB69" s="349"/>
      <c r="KDC69" s="349"/>
      <c r="KDD69" s="349"/>
      <c r="KDE69" s="349"/>
      <c r="KDF69" s="349"/>
      <c r="KDG69" s="349"/>
      <c r="KDH69" s="349"/>
      <c r="KDI69" s="349"/>
      <c r="KDJ69" s="349"/>
      <c r="KDK69" s="349"/>
      <c r="KDL69" s="349"/>
      <c r="KDM69" s="349"/>
      <c r="KDN69" s="349"/>
      <c r="KDO69" s="349"/>
      <c r="KDP69" s="349"/>
      <c r="KDQ69" s="349"/>
      <c r="KDR69" s="349"/>
      <c r="KDS69" s="349"/>
      <c r="KDT69" s="349"/>
      <c r="KDU69" s="349"/>
      <c r="KDV69" s="349"/>
      <c r="KDW69" s="349"/>
      <c r="KDX69" s="349"/>
      <c r="KDY69" s="349"/>
      <c r="KDZ69" s="349"/>
      <c r="KEA69" s="349"/>
      <c r="KEB69" s="349"/>
      <c r="KEC69" s="349"/>
      <c r="KED69" s="349"/>
      <c r="KEE69" s="349"/>
      <c r="KEF69" s="349"/>
      <c r="KEG69" s="349"/>
      <c r="KEH69" s="349"/>
      <c r="KEI69" s="349"/>
      <c r="KEJ69" s="349"/>
      <c r="KEK69" s="349"/>
      <c r="KEL69" s="349"/>
      <c r="KEM69" s="349"/>
      <c r="KEN69" s="349"/>
      <c r="KEO69" s="349"/>
      <c r="KEP69" s="349"/>
      <c r="KEQ69" s="349"/>
      <c r="KER69" s="349"/>
      <c r="KES69" s="349"/>
      <c r="KET69" s="349"/>
      <c r="KEU69" s="349"/>
      <c r="KEV69" s="349"/>
      <c r="KEW69" s="349"/>
      <c r="KEX69" s="349"/>
      <c r="KEY69" s="349"/>
      <c r="KEZ69" s="349"/>
      <c r="KFA69" s="349"/>
      <c r="KFB69" s="349"/>
      <c r="KFC69" s="349"/>
      <c r="KFD69" s="349"/>
      <c r="KFE69" s="349"/>
      <c r="KFF69" s="349"/>
      <c r="KFG69" s="349"/>
      <c r="KFH69" s="349"/>
      <c r="KFI69" s="349"/>
      <c r="KFJ69" s="349"/>
      <c r="KFK69" s="349"/>
      <c r="KFL69" s="349"/>
      <c r="KFM69" s="349"/>
      <c r="KFN69" s="349"/>
      <c r="KFO69" s="349"/>
      <c r="KFP69" s="349"/>
      <c r="KFQ69" s="349"/>
      <c r="KFR69" s="349"/>
      <c r="KFS69" s="349"/>
      <c r="KFT69" s="349"/>
      <c r="KFU69" s="349"/>
      <c r="KFV69" s="349"/>
      <c r="KFW69" s="349"/>
      <c r="KFX69" s="349"/>
      <c r="KFY69" s="349"/>
      <c r="KFZ69" s="349"/>
      <c r="KGA69" s="349"/>
      <c r="KGB69" s="349"/>
      <c r="KGC69" s="349"/>
      <c r="KGD69" s="349"/>
      <c r="KGE69" s="349"/>
      <c r="KGF69" s="349"/>
      <c r="KGG69" s="349"/>
      <c r="KGH69" s="349"/>
      <c r="KGI69" s="349"/>
      <c r="KGJ69" s="349"/>
      <c r="KGK69" s="349"/>
      <c r="KGL69" s="349"/>
      <c r="KGM69" s="349"/>
      <c r="KGN69" s="349"/>
      <c r="KGO69" s="349"/>
      <c r="KGP69" s="349"/>
      <c r="KGQ69" s="349"/>
      <c r="KGR69" s="349"/>
      <c r="KGS69" s="349"/>
      <c r="KGT69" s="349"/>
      <c r="KGU69" s="349"/>
      <c r="KGV69" s="349"/>
      <c r="KGW69" s="349"/>
      <c r="KGX69" s="349"/>
      <c r="KGY69" s="349"/>
      <c r="KGZ69" s="349"/>
      <c r="KHA69" s="349"/>
      <c r="KHB69" s="349"/>
      <c r="KHC69" s="349"/>
      <c r="KHD69" s="349"/>
      <c r="KHE69" s="349"/>
      <c r="KHF69" s="349"/>
      <c r="KHG69" s="349"/>
      <c r="KHH69" s="349"/>
      <c r="KHI69" s="349"/>
      <c r="KHJ69" s="349"/>
      <c r="KHK69" s="349"/>
      <c r="KHL69" s="349"/>
      <c r="KHM69" s="349"/>
      <c r="KHN69" s="349"/>
      <c r="KHO69" s="349"/>
      <c r="KHP69" s="349"/>
      <c r="KHQ69" s="349"/>
      <c r="KHR69" s="349"/>
      <c r="KHS69" s="349"/>
      <c r="KHT69" s="349"/>
      <c r="KHU69" s="349"/>
      <c r="KHV69" s="349"/>
      <c r="KHW69" s="349"/>
      <c r="KHX69" s="349"/>
      <c r="KHY69" s="349"/>
      <c r="KHZ69" s="349"/>
      <c r="KIA69" s="349"/>
      <c r="KIB69" s="349"/>
      <c r="KIC69" s="349"/>
      <c r="KID69" s="349"/>
      <c r="KIE69" s="349"/>
      <c r="KIF69" s="349"/>
      <c r="KIG69" s="349"/>
      <c r="KIH69" s="349"/>
      <c r="KII69" s="349"/>
      <c r="KIJ69" s="349"/>
      <c r="KIK69" s="349"/>
      <c r="KIL69" s="349"/>
      <c r="KIM69" s="349"/>
      <c r="KIN69" s="349"/>
      <c r="KIO69" s="349"/>
      <c r="KIP69" s="349"/>
      <c r="KIQ69" s="349"/>
      <c r="KIR69" s="349"/>
      <c r="KIS69" s="349"/>
      <c r="KIT69" s="349"/>
      <c r="KIU69" s="349"/>
      <c r="KIV69" s="349"/>
      <c r="KIW69" s="349"/>
      <c r="KIX69" s="349"/>
      <c r="KIY69" s="349"/>
      <c r="KIZ69" s="349"/>
      <c r="KJA69" s="349"/>
      <c r="KJB69" s="349"/>
      <c r="KJC69" s="349"/>
      <c r="KJD69" s="349"/>
      <c r="KJE69" s="349"/>
      <c r="KJF69" s="349"/>
      <c r="KJG69" s="349"/>
      <c r="KJH69" s="349"/>
      <c r="KJI69" s="349"/>
      <c r="KJJ69" s="349"/>
      <c r="KJK69" s="349"/>
      <c r="KJL69" s="349"/>
      <c r="KJM69" s="349"/>
      <c r="KJN69" s="349"/>
      <c r="KJO69" s="349"/>
      <c r="KJP69" s="349"/>
      <c r="KJQ69" s="349"/>
      <c r="KJR69" s="349"/>
      <c r="KJS69" s="349"/>
      <c r="KJT69" s="349"/>
      <c r="KJU69" s="349"/>
      <c r="KJV69" s="349"/>
      <c r="KJW69" s="349"/>
      <c r="KJX69" s="349"/>
      <c r="KJY69" s="349"/>
      <c r="KJZ69" s="349"/>
      <c r="KKA69" s="349"/>
      <c r="KKB69" s="349"/>
      <c r="KKC69" s="349"/>
      <c r="KKD69" s="349"/>
      <c r="KKE69" s="349"/>
      <c r="KKF69" s="349"/>
      <c r="KKG69" s="349"/>
      <c r="KKH69" s="349"/>
      <c r="KKI69" s="349"/>
      <c r="KKJ69" s="349"/>
      <c r="KKK69" s="349"/>
      <c r="KKL69" s="349"/>
      <c r="KKM69" s="349"/>
      <c r="KKN69" s="349"/>
      <c r="KKO69" s="349"/>
      <c r="KKP69" s="349"/>
      <c r="KKQ69" s="349"/>
      <c r="KKR69" s="349"/>
      <c r="KKS69" s="349"/>
      <c r="KKT69" s="349"/>
      <c r="KKU69" s="349"/>
      <c r="KKV69" s="349"/>
      <c r="KKW69" s="349"/>
      <c r="KKX69" s="349"/>
      <c r="KKY69" s="349"/>
      <c r="KKZ69" s="349"/>
      <c r="KLA69" s="349"/>
      <c r="KLB69" s="349"/>
      <c r="KLC69" s="349"/>
      <c r="KLD69" s="349"/>
      <c r="KLE69" s="349"/>
      <c r="KLF69" s="349"/>
      <c r="KLG69" s="349"/>
      <c r="KLH69" s="349"/>
      <c r="KLI69" s="349"/>
      <c r="KLJ69" s="349"/>
      <c r="KLK69" s="349"/>
      <c r="KLL69" s="349"/>
      <c r="KLM69" s="349"/>
      <c r="KLN69" s="349"/>
      <c r="KLO69" s="349"/>
      <c r="KLP69" s="349"/>
      <c r="KLQ69" s="349"/>
      <c r="KLR69" s="349"/>
      <c r="KLS69" s="349"/>
      <c r="KLT69" s="349"/>
      <c r="KLU69" s="349"/>
      <c r="KLV69" s="349"/>
      <c r="KLW69" s="349"/>
      <c r="KLX69" s="349"/>
      <c r="KLY69" s="349"/>
      <c r="KLZ69" s="349"/>
      <c r="KMA69" s="349"/>
      <c r="KMB69" s="349"/>
      <c r="KMC69" s="349"/>
      <c r="KMD69" s="349"/>
      <c r="KME69" s="349"/>
      <c r="KMF69" s="349"/>
      <c r="KMG69" s="349"/>
      <c r="KMH69" s="349"/>
      <c r="KMI69" s="349"/>
      <c r="KMJ69" s="349"/>
      <c r="KMK69" s="349"/>
      <c r="KML69" s="349"/>
      <c r="KMM69" s="349"/>
      <c r="KMN69" s="349"/>
      <c r="KMO69" s="349"/>
      <c r="KMP69" s="349"/>
      <c r="KMQ69" s="349"/>
      <c r="KMR69" s="349"/>
      <c r="KMS69" s="349"/>
      <c r="KMT69" s="349"/>
      <c r="KMU69" s="349"/>
      <c r="KMV69" s="349"/>
      <c r="KMW69" s="349"/>
      <c r="KMX69" s="349"/>
      <c r="KMY69" s="349"/>
      <c r="KMZ69" s="349"/>
      <c r="KNA69" s="349"/>
      <c r="KNB69" s="349"/>
      <c r="KNC69" s="349"/>
      <c r="KND69" s="349"/>
      <c r="KNE69" s="349"/>
      <c r="KNF69" s="349"/>
      <c r="KNG69" s="349"/>
      <c r="KNH69" s="349"/>
      <c r="KNI69" s="349"/>
      <c r="KNJ69" s="349"/>
      <c r="KNK69" s="349"/>
      <c r="KNL69" s="349"/>
      <c r="KNM69" s="349"/>
      <c r="KNN69" s="349"/>
      <c r="KNO69" s="349"/>
      <c r="KNP69" s="349"/>
      <c r="KNQ69" s="349"/>
      <c r="KNR69" s="349"/>
      <c r="KNS69" s="349"/>
      <c r="KNT69" s="349"/>
      <c r="KNU69" s="349"/>
      <c r="KNV69" s="349"/>
      <c r="KNW69" s="349"/>
      <c r="KNX69" s="349"/>
      <c r="KNY69" s="349"/>
      <c r="KNZ69" s="349"/>
      <c r="KOA69" s="349"/>
      <c r="KOB69" s="349"/>
      <c r="KOC69" s="349"/>
      <c r="KOD69" s="349"/>
      <c r="KOE69" s="349"/>
      <c r="KOF69" s="349"/>
      <c r="KOG69" s="349"/>
      <c r="KOH69" s="349"/>
      <c r="KOI69" s="349"/>
      <c r="KOJ69" s="349"/>
      <c r="KOK69" s="349"/>
      <c r="KOL69" s="349"/>
      <c r="KOM69" s="349"/>
      <c r="KON69" s="349"/>
      <c r="KOO69" s="349"/>
      <c r="KOP69" s="349"/>
      <c r="KOQ69" s="349"/>
      <c r="KOR69" s="349"/>
      <c r="KOS69" s="349"/>
      <c r="KOT69" s="349"/>
      <c r="KOU69" s="349"/>
      <c r="KOV69" s="349"/>
      <c r="KOW69" s="349"/>
      <c r="KOX69" s="349"/>
      <c r="KOY69" s="349"/>
      <c r="KOZ69" s="349"/>
      <c r="KPA69" s="349"/>
      <c r="KPB69" s="349"/>
      <c r="KPC69" s="349"/>
      <c r="KPD69" s="349"/>
      <c r="KPE69" s="349"/>
      <c r="KPF69" s="349"/>
      <c r="KPG69" s="349"/>
      <c r="KPH69" s="349"/>
      <c r="KPI69" s="349"/>
      <c r="KPJ69" s="349"/>
      <c r="KPK69" s="349"/>
      <c r="KPL69" s="349"/>
      <c r="KPM69" s="349"/>
      <c r="KPN69" s="349"/>
      <c r="KPO69" s="349"/>
      <c r="KPP69" s="349"/>
      <c r="KPQ69" s="349"/>
      <c r="KPR69" s="349"/>
      <c r="KPS69" s="349"/>
      <c r="KPT69" s="349"/>
      <c r="KPU69" s="349"/>
      <c r="KPV69" s="349"/>
      <c r="KPW69" s="349"/>
      <c r="KPX69" s="349"/>
      <c r="KPY69" s="349"/>
      <c r="KPZ69" s="349"/>
      <c r="KQA69" s="349"/>
      <c r="KQB69" s="349"/>
      <c r="KQC69" s="349"/>
      <c r="KQD69" s="349"/>
      <c r="KQE69" s="349"/>
      <c r="KQF69" s="349"/>
      <c r="KQG69" s="349"/>
      <c r="KQH69" s="349"/>
      <c r="KQI69" s="349"/>
      <c r="KQJ69" s="349"/>
      <c r="KQK69" s="349"/>
      <c r="KQL69" s="349"/>
      <c r="KQM69" s="349"/>
      <c r="KQN69" s="349"/>
      <c r="KQO69" s="349"/>
      <c r="KQP69" s="349"/>
      <c r="KQQ69" s="349"/>
      <c r="KQR69" s="349"/>
      <c r="KQS69" s="349"/>
      <c r="KQT69" s="349"/>
      <c r="KQU69" s="349"/>
      <c r="KQV69" s="349"/>
      <c r="KQW69" s="349"/>
      <c r="KQX69" s="349"/>
      <c r="KQY69" s="349"/>
      <c r="KQZ69" s="349"/>
      <c r="KRA69" s="349"/>
      <c r="KRB69" s="349"/>
      <c r="KRC69" s="349"/>
      <c r="KRD69" s="349"/>
      <c r="KRE69" s="349"/>
      <c r="KRF69" s="349"/>
      <c r="KRG69" s="349"/>
      <c r="KRH69" s="349"/>
      <c r="KRI69" s="349"/>
      <c r="KRJ69" s="349"/>
      <c r="KRK69" s="349"/>
      <c r="KRL69" s="349"/>
      <c r="KRM69" s="349"/>
      <c r="KRN69" s="349"/>
      <c r="KRO69" s="349"/>
      <c r="KRP69" s="349"/>
      <c r="KRQ69" s="349"/>
      <c r="KRR69" s="349"/>
      <c r="KRS69" s="349"/>
      <c r="KRT69" s="349"/>
      <c r="KRU69" s="349"/>
      <c r="KRV69" s="349"/>
      <c r="KRW69" s="349"/>
      <c r="KRX69" s="349"/>
      <c r="KRY69" s="349"/>
      <c r="KRZ69" s="349"/>
      <c r="KSA69" s="349"/>
      <c r="KSB69" s="349"/>
      <c r="KSC69" s="349"/>
      <c r="KSD69" s="349"/>
      <c r="KSE69" s="349"/>
      <c r="KSF69" s="349"/>
      <c r="KSG69" s="349"/>
      <c r="KSH69" s="349"/>
      <c r="KSI69" s="349"/>
      <c r="KSJ69" s="349"/>
      <c r="KSK69" s="349"/>
      <c r="KSL69" s="349"/>
      <c r="KSM69" s="349"/>
      <c r="KSN69" s="349"/>
      <c r="KSO69" s="349"/>
      <c r="KSP69" s="349"/>
      <c r="KSQ69" s="349"/>
      <c r="KSR69" s="349"/>
      <c r="KSS69" s="349"/>
      <c r="KST69" s="349"/>
      <c r="KSU69" s="349"/>
      <c r="KSV69" s="349"/>
      <c r="KSW69" s="349"/>
      <c r="KSX69" s="349"/>
      <c r="KSY69" s="349"/>
      <c r="KSZ69" s="349"/>
      <c r="KTA69" s="349"/>
      <c r="KTB69" s="349"/>
      <c r="KTC69" s="349"/>
      <c r="KTD69" s="349"/>
      <c r="KTE69" s="349"/>
      <c r="KTF69" s="349"/>
      <c r="KTG69" s="349"/>
      <c r="KTH69" s="349"/>
      <c r="KTI69" s="349"/>
      <c r="KTJ69" s="349"/>
      <c r="KTK69" s="349"/>
      <c r="KTL69" s="349"/>
      <c r="KTM69" s="349"/>
      <c r="KTN69" s="349"/>
      <c r="KTO69" s="349"/>
      <c r="KTP69" s="349"/>
      <c r="KTQ69" s="349"/>
      <c r="KTR69" s="349"/>
      <c r="KTS69" s="349"/>
      <c r="KTT69" s="349"/>
      <c r="KTU69" s="349"/>
      <c r="KTV69" s="349"/>
      <c r="KTW69" s="349"/>
      <c r="KTX69" s="349"/>
      <c r="KTY69" s="349"/>
      <c r="KTZ69" s="349"/>
      <c r="KUA69" s="349"/>
      <c r="KUB69" s="349"/>
      <c r="KUC69" s="349"/>
      <c r="KUD69" s="349"/>
      <c r="KUE69" s="349"/>
      <c r="KUF69" s="349"/>
      <c r="KUG69" s="349"/>
      <c r="KUH69" s="349"/>
      <c r="KUI69" s="349"/>
      <c r="KUJ69" s="349"/>
      <c r="KUK69" s="349"/>
      <c r="KUL69" s="349"/>
      <c r="KUM69" s="349"/>
      <c r="KUN69" s="349"/>
      <c r="KUO69" s="349"/>
      <c r="KUP69" s="349"/>
      <c r="KUQ69" s="349"/>
      <c r="KUR69" s="349"/>
      <c r="KUS69" s="349"/>
      <c r="KUT69" s="349"/>
      <c r="KUU69" s="349"/>
      <c r="KUV69" s="349"/>
      <c r="KUW69" s="349"/>
      <c r="KUX69" s="349"/>
      <c r="KUY69" s="349"/>
      <c r="KUZ69" s="349"/>
      <c r="KVA69" s="349"/>
      <c r="KVB69" s="349"/>
      <c r="KVC69" s="349"/>
      <c r="KVD69" s="349"/>
      <c r="KVE69" s="349"/>
      <c r="KVF69" s="349"/>
      <c r="KVG69" s="349"/>
      <c r="KVH69" s="349"/>
      <c r="KVI69" s="349"/>
      <c r="KVJ69" s="349"/>
      <c r="KVK69" s="349"/>
      <c r="KVL69" s="349"/>
      <c r="KVM69" s="349"/>
      <c r="KVN69" s="349"/>
      <c r="KVO69" s="349"/>
      <c r="KVP69" s="349"/>
      <c r="KVQ69" s="349"/>
      <c r="KVR69" s="349"/>
      <c r="KVS69" s="349"/>
      <c r="KVT69" s="349"/>
      <c r="KVU69" s="349"/>
      <c r="KVV69" s="349"/>
      <c r="KVW69" s="349"/>
      <c r="KVX69" s="349"/>
      <c r="KVY69" s="349"/>
      <c r="KVZ69" s="349"/>
      <c r="KWA69" s="349"/>
      <c r="KWB69" s="349"/>
      <c r="KWC69" s="349"/>
      <c r="KWD69" s="349"/>
      <c r="KWE69" s="349"/>
      <c r="KWF69" s="349"/>
      <c r="KWG69" s="349"/>
      <c r="KWH69" s="349"/>
      <c r="KWI69" s="349"/>
      <c r="KWJ69" s="349"/>
      <c r="KWK69" s="349"/>
      <c r="KWL69" s="349"/>
      <c r="KWM69" s="349"/>
      <c r="KWN69" s="349"/>
      <c r="KWO69" s="349"/>
      <c r="KWP69" s="349"/>
      <c r="KWQ69" s="349"/>
      <c r="KWR69" s="349"/>
      <c r="KWS69" s="349"/>
      <c r="KWT69" s="349"/>
      <c r="KWU69" s="349"/>
      <c r="KWV69" s="349"/>
      <c r="KWW69" s="349"/>
      <c r="KWX69" s="349"/>
      <c r="KWY69" s="349"/>
      <c r="KWZ69" s="349"/>
      <c r="KXA69" s="349"/>
      <c r="KXB69" s="349"/>
      <c r="KXC69" s="349"/>
      <c r="KXD69" s="349"/>
      <c r="KXE69" s="349"/>
      <c r="KXF69" s="349"/>
      <c r="KXG69" s="349"/>
      <c r="KXH69" s="349"/>
      <c r="KXI69" s="349"/>
      <c r="KXJ69" s="349"/>
      <c r="KXK69" s="349"/>
      <c r="KXL69" s="349"/>
      <c r="KXM69" s="349"/>
      <c r="KXN69" s="349"/>
      <c r="KXO69" s="349"/>
      <c r="KXP69" s="349"/>
      <c r="KXQ69" s="349"/>
      <c r="KXR69" s="349"/>
      <c r="KXS69" s="349"/>
      <c r="KXT69" s="349"/>
      <c r="KXU69" s="349"/>
      <c r="KXV69" s="349"/>
      <c r="KXW69" s="349"/>
      <c r="KXX69" s="349"/>
      <c r="KXY69" s="349"/>
      <c r="KXZ69" s="349"/>
      <c r="KYA69" s="349"/>
      <c r="KYB69" s="349"/>
      <c r="KYC69" s="349"/>
      <c r="KYD69" s="349"/>
      <c r="KYE69" s="349"/>
      <c r="KYF69" s="349"/>
      <c r="KYG69" s="349"/>
      <c r="KYH69" s="349"/>
      <c r="KYI69" s="349"/>
      <c r="KYJ69" s="349"/>
      <c r="KYK69" s="349"/>
      <c r="KYL69" s="349"/>
      <c r="KYM69" s="349"/>
      <c r="KYN69" s="349"/>
      <c r="KYO69" s="349"/>
      <c r="KYP69" s="349"/>
      <c r="KYQ69" s="349"/>
      <c r="KYR69" s="349"/>
      <c r="KYS69" s="349"/>
      <c r="KYT69" s="349"/>
      <c r="KYU69" s="349"/>
      <c r="KYV69" s="349"/>
      <c r="KYW69" s="349"/>
      <c r="KYX69" s="349"/>
      <c r="KYY69" s="349"/>
      <c r="KYZ69" s="349"/>
      <c r="KZA69" s="349"/>
      <c r="KZB69" s="349"/>
      <c r="KZC69" s="349"/>
      <c r="KZD69" s="349"/>
      <c r="KZE69" s="349"/>
      <c r="KZF69" s="349"/>
      <c r="KZG69" s="349"/>
      <c r="KZH69" s="349"/>
      <c r="KZI69" s="349"/>
      <c r="KZJ69" s="349"/>
      <c r="KZK69" s="349"/>
      <c r="KZL69" s="349"/>
      <c r="KZM69" s="349"/>
      <c r="KZN69" s="349"/>
      <c r="KZO69" s="349"/>
      <c r="KZP69" s="349"/>
      <c r="KZQ69" s="349"/>
      <c r="KZR69" s="349"/>
      <c r="KZS69" s="349"/>
      <c r="KZT69" s="349"/>
      <c r="KZU69" s="349"/>
      <c r="KZV69" s="349"/>
      <c r="KZW69" s="349"/>
      <c r="KZX69" s="349"/>
      <c r="KZY69" s="349"/>
      <c r="KZZ69" s="349"/>
      <c r="LAA69" s="349"/>
      <c r="LAB69" s="349"/>
      <c r="LAC69" s="349"/>
      <c r="LAD69" s="349"/>
      <c r="LAE69" s="349"/>
      <c r="LAF69" s="349"/>
      <c r="LAG69" s="349"/>
      <c r="LAH69" s="349"/>
      <c r="LAI69" s="349"/>
      <c r="LAJ69" s="349"/>
      <c r="LAK69" s="349"/>
      <c r="LAL69" s="349"/>
      <c r="LAM69" s="349"/>
      <c r="LAN69" s="349"/>
      <c r="LAO69" s="349"/>
      <c r="LAP69" s="349"/>
      <c r="LAQ69" s="349"/>
      <c r="LAR69" s="349"/>
      <c r="LAS69" s="349"/>
      <c r="LAT69" s="349"/>
      <c r="LAU69" s="349"/>
      <c r="LAV69" s="349"/>
      <c r="LAW69" s="349"/>
      <c r="LAX69" s="349"/>
      <c r="LAY69" s="349"/>
      <c r="LAZ69" s="349"/>
      <c r="LBA69" s="349"/>
      <c r="LBB69" s="349"/>
      <c r="LBC69" s="349"/>
      <c r="LBD69" s="349"/>
      <c r="LBE69" s="349"/>
      <c r="LBF69" s="349"/>
      <c r="LBG69" s="349"/>
      <c r="LBH69" s="349"/>
      <c r="LBI69" s="349"/>
      <c r="LBJ69" s="349"/>
      <c r="LBK69" s="349"/>
      <c r="LBL69" s="349"/>
      <c r="LBM69" s="349"/>
      <c r="LBN69" s="349"/>
      <c r="LBO69" s="349"/>
      <c r="LBP69" s="349"/>
      <c r="LBQ69" s="349"/>
      <c r="LBR69" s="349"/>
      <c r="LBS69" s="349"/>
      <c r="LBT69" s="349"/>
      <c r="LBU69" s="349"/>
      <c r="LBV69" s="349"/>
      <c r="LBW69" s="349"/>
      <c r="LBX69" s="349"/>
      <c r="LBY69" s="349"/>
      <c r="LBZ69" s="349"/>
      <c r="LCA69" s="349"/>
      <c r="LCB69" s="349"/>
      <c r="LCC69" s="349"/>
      <c r="LCD69" s="349"/>
      <c r="LCE69" s="349"/>
      <c r="LCF69" s="349"/>
      <c r="LCG69" s="349"/>
      <c r="LCH69" s="349"/>
      <c r="LCI69" s="349"/>
      <c r="LCJ69" s="349"/>
      <c r="LCK69" s="349"/>
      <c r="LCL69" s="349"/>
      <c r="LCM69" s="349"/>
      <c r="LCN69" s="349"/>
      <c r="LCO69" s="349"/>
      <c r="LCP69" s="349"/>
      <c r="LCQ69" s="349"/>
      <c r="LCR69" s="349"/>
      <c r="LCS69" s="349"/>
      <c r="LCT69" s="349"/>
      <c r="LCU69" s="349"/>
      <c r="LCV69" s="349"/>
      <c r="LCW69" s="349"/>
      <c r="LCX69" s="349"/>
      <c r="LCY69" s="349"/>
      <c r="LCZ69" s="349"/>
      <c r="LDA69" s="349"/>
      <c r="LDB69" s="349"/>
      <c r="LDC69" s="349"/>
      <c r="LDD69" s="349"/>
      <c r="LDE69" s="349"/>
      <c r="LDF69" s="349"/>
      <c r="LDG69" s="349"/>
      <c r="LDH69" s="349"/>
      <c r="LDI69" s="349"/>
      <c r="LDJ69" s="349"/>
      <c r="LDK69" s="349"/>
      <c r="LDL69" s="349"/>
      <c r="LDM69" s="349"/>
      <c r="LDN69" s="349"/>
      <c r="LDO69" s="349"/>
      <c r="LDP69" s="349"/>
      <c r="LDQ69" s="349"/>
      <c r="LDR69" s="349"/>
      <c r="LDS69" s="349"/>
      <c r="LDT69" s="349"/>
      <c r="LDU69" s="349"/>
      <c r="LDV69" s="349"/>
      <c r="LDW69" s="349"/>
      <c r="LDX69" s="349"/>
      <c r="LDY69" s="349"/>
      <c r="LDZ69" s="349"/>
      <c r="LEA69" s="349"/>
      <c r="LEB69" s="349"/>
      <c r="LEC69" s="349"/>
      <c r="LED69" s="349"/>
      <c r="LEE69" s="349"/>
      <c r="LEF69" s="349"/>
      <c r="LEG69" s="349"/>
      <c r="LEH69" s="349"/>
      <c r="LEI69" s="349"/>
      <c r="LEJ69" s="349"/>
      <c r="LEK69" s="349"/>
      <c r="LEL69" s="349"/>
      <c r="LEM69" s="349"/>
      <c r="LEN69" s="349"/>
      <c r="LEO69" s="349"/>
      <c r="LEP69" s="349"/>
      <c r="LEQ69" s="349"/>
      <c r="LER69" s="349"/>
      <c r="LES69" s="349"/>
      <c r="LET69" s="349"/>
      <c r="LEU69" s="349"/>
      <c r="LEV69" s="349"/>
      <c r="LEW69" s="349"/>
      <c r="LEX69" s="349"/>
      <c r="LEY69" s="349"/>
      <c r="LEZ69" s="349"/>
      <c r="LFA69" s="349"/>
      <c r="LFB69" s="349"/>
      <c r="LFC69" s="349"/>
      <c r="LFD69" s="349"/>
      <c r="LFE69" s="349"/>
      <c r="LFF69" s="349"/>
      <c r="LFG69" s="349"/>
      <c r="LFH69" s="349"/>
      <c r="LFI69" s="349"/>
      <c r="LFJ69" s="349"/>
      <c r="LFK69" s="349"/>
      <c r="LFL69" s="349"/>
      <c r="LFM69" s="349"/>
      <c r="LFN69" s="349"/>
      <c r="LFO69" s="349"/>
      <c r="LFP69" s="349"/>
      <c r="LFQ69" s="349"/>
      <c r="LFR69" s="349"/>
      <c r="LFS69" s="349"/>
      <c r="LFT69" s="349"/>
      <c r="LFU69" s="349"/>
      <c r="LFV69" s="349"/>
      <c r="LFW69" s="349"/>
      <c r="LFX69" s="349"/>
      <c r="LFY69" s="349"/>
      <c r="LFZ69" s="349"/>
      <c r="LGA69" s="349"/>
      <c r="LGB69" s="349"/>
      <c r="LGC69" s="349"/>
      <c r="LGD69" s="349"/>
      <c r="LGE69" s="349"/>
      <c r="LGF69" s="349"/>
      <c r="LGG69" s="349"/>
      <c r="LGH69" s="349"/>
      <c r="LGI69" s="349"/>
      <c r="LGJ69" s="349"/>
      <c r="LGK69" s="349"/>
      <c r="LGL69" s="349"/>
      <c r="LGM69" s="349"/>
      <c r="LGN69" s="349"/>
      <c r="LGO69" s="349"/>
      <c r="LGP69" s="349"/>
      <c r="LGQ69" s="349"/>
      <c r="LGR69" s="349"/>
      <c r="LGS69" s="349"/>
      <c r="LGT69" s="349"/>
      <c r="LGU69" s="349"/>
      <c r="LGV69" s="349"/>
      <c r="LGW69" s="349"/>
      <c r="LGX69" s="349"/>
      <c r="LGY69" s="349"/>
      <c r="LGZ69" s="349"/>
      <c r="LHA69" s="349"/>
      <c r="LHB69" s="349"/>
      <c r="LHC69" s="349"/>
      <c r="LHD69" s="349"/>
      <c r="LHE69" s="349"/>
      <c r="LHF69" s="349"/>
      <c r="LHG69" s="349"/>
      <c r="LHH69" s="349"/>
      <c r="LHI69" s="349"/>
      <c r="LHJ69" s="349"/>
      <c r="LHK69" s="349"/>
      <c r="LHL69" s="349"/>
      <c r="LHM69" s="349"/>
      <c r="LHN69" s="349"/>
      <c r="LHO69" s="349"/>
      <c r="LHP69" s="349"/>
      <c r="LHQ69" s="349"/>
      <c r="LHR69" s="349"/>
      <c r="LHS69" s="349"/>
      <c r="LHT69" s="349"/>
      <c r="LHU69" s="349"/>
      <c r="LHV69" s="349"/>
      <c r="LHW69" s="349"/>
      <c r="LHX69" s="349"/>
      <c r="LHY69" s="349"/>
      <c r="LHZ69" s="349"/>
      <c r="LIA69" s="349"/>
      <c r="LIB69" s="349"/>
      <c r="LIC69" s="349"/>
      <c r="LID69" s="349"/>
      <c r="LIE69" s="349"/>
      <c r="LIF69" s="349"/>
      <c r="LIG69" s="349"/>
      <c r="LIH69" s="349"/>
      <c r="LII69" s="349"/>
      <c r="LIJ69" s="349"/>
      <c r="LIK69" s="349"/>
      <c r="LIL69" s="349"/>
      <c r="LIM69" s="349"/>
      <c r="LIN69" s="349"/>
      <c r="LIO69" s="349"/>
      <c r="LIP69" s="349"/>
      <c r="LIQ69" s="349"/>
      <c r="LIR69" s="349"/>
      <c r="LIS69" s="349"/>
      <c r="LIT69" s="349"/>
      <c r="LIU69" s="349"/>
      <c r="LIV69" s="349"/>
      <c r="LIW69" s="349"/>
      <c r="LIX69" s="349"/>
      <c r="LIY69" s="349"/>
      <c r="LIZ69" s="349"/>
      <c r="LJA69" s="349"/>
      <c r="LJB69" s="349"/>
      <c r="LJC69" s="349"/>
      <c r="LJD69" s="349"/>
      <c r="LJE69" s="349"/>
      <c r="LJF69" s="349"/>
      <c r="LJG69" s="349"/>
      <c r="LJH69" s="349"/>
      <c r="LJI69" s="349"/>
      <c r="LJJ69" s="349"/>
      <c r="LJK69" s="349"/>
      <c r="LJL69" s="349"/>
      <c r="LJM69" s="349"/>
      <c r="LJN69" s="349"/>
      <c r="LJO69" s="349"/>
      <c r="LJP69" s="349"/>
      <c r="LJQ69" s="349"/>
      <c r="LJR69" s="349"/>
      <c r="LJS69" s="349"/>
      <c r="LJT69" s="349"/>
      <c r="LJU69" s="349"/>
      <c r="LJV69" s="349"/>
      <c r="LJW69" s="349"/>
      <c r="LJX69" s="349"/>
      <c r="LJY69" s="349"/>
      <c r="LJZ69" s="349"/>
      <c r="LKA69" s="349"/>
      <c r="LKB69" s="349"/>
      <c r="LKC69" s="349"/>
      <c r="LKD69" s="349"/>
      <c r="LKE69" s="349"/>
      <c r="LKF69" s="349"/>
      <c r="LKG69" s="349"/>
      <c r="LKH69" s="349"/>
      <c r="LKI69" s="349"/>
      <c r="LKJ69" s="349"/>
      <c r="LKK69" s="349"/>
      <c r="LKL69" s="349"/>
      <c r="LKM69" s="349"/>
      <c r="LKN69" s="349"/>
      <c r="LKO69" s="349"/>
      <c r="LKP69" s="349"/>
      <c r="LKQ69" s="349"/>
      <c r="LKR69" s="349"/>
      <c r="LKS69" s="349"/>
      <c r="LKT69" s="349"/>
      <c r="LKU69" s="349"/>
      <c r="LKV69" s="349"/>
      <c r="LKW69" s="349"/>
      <c r="LKX69" s="349"/>
      <c r="LKY69" s="349"/>
      <c r="LKZ69" s="349"/>
      <c r="LLA69" s="349"/>
      <c r="LLB69" s="349"/>
      <c r="LLC69" s="349"/>
      <c r="LLD69" s="349"/>
      <c r="LLE69" s="349"/>
      <c r="LLF69" s="349"/>
      <c r="LLG69" s="349"/>
      <c r="LLH69" s="349"/>
      <c r="LLI69" s="349"/>
      <c r="LLJ69" s="349"/>
      <c r="LLK69" s="349"/>
      <c r="LLL69" s="349"/>
      <c r="LLM69" s="349"/>
      <c r="LLN69" s="349"/>
      <c r="LLO69" s="349"/>
      <c r="LLP69" s="349"/>
      <c r="LLQ69" s="349"/>
      <c r="LLR69" s="349"/>
      <c r="LLS69" s="349"/>
      <c r="LLT69" s="349"/>
      <c r="LLU69" s="349"/>
      <c r="LLV69" s="349"/>
      <c r="LLW69" s="349"/>
      <c r="LLX69" s="349"/>
      <c r="LLY69" s="349"/>
      <c r="LLZ69" s="349"/>
      <c r="LMA69" s="349"/>
      <c r="LMB69" s="349"/>
      <c r="LMC69" s="349"/>
      <c r="LMD69" s="349"/>
      <c r="LME69" s="349"/>
      <c r="LMF69" s="349"/>
      <c r="LMG69" s="349"/>
      <c r="LMH69" s="349"/>
      <c r="LMI69" s="349"/>
      <c r="LMJ69" s="349"/>
      <c r="LMK69" s="349"/>
      <c r="LML69" s="349"/>
      <c r="LMM69" s="349"/>
      <c r="LMN69" s="349"/>
      <c r="LMO69" s="349"/>
      <c r="LMP69" s="349"/>
      <c r="LMQ69" s="349"/>
      <c r="LMR69" s="349"/>
      <c r="LMS69" s="349"/>
      <c r="LMT69" s="349"/>
      <c r="LMU69" s="349"/>
      <c r="LMV69" s="349"/>
      <c r="LMW69" s="349"/>
      <c r="LMX69" s="349"/>
      <c r="LMY69" s="349"/>
      <c r="LMZ69" s="349"/>
      <c r="LNA69" s="349"/>
      <c r="LNB69" s="349"/>
      <c r="LNC69" s="349"/>
      <c r="LND69" s="349"/>
      <c r="LNE69" s="349"/>
      <c r="LNF69" s="349"/>
      <c r="LNG69" s="349"/>
      <c r="LNH69" s="349"/>
      <c r="LNI69" s="349"/>
      <c r="LNJ69" s="349"/>
      <c r="LNK69" s="349"/>
      <c r="LNL69" s="349"/>
      <c r="LNM69" s="349"/>
      <c r="LNN69" s="349"/>
      <c r="LNO69" s="349"/>
      <c r="LNP69" s="349"/>
      <c r="LNQ69" s="349"/>
      <c r="LNR69" s="349"/>
      <c r="LNS69" s="349"/>
      <c r="LNT69" s="349"/>
      <c r="LNU69" s="349"/>
      <c r="LNV69" s="349"/>
      <c r="LNW69" s="349"/>
      <c r="LNX69" s="349"/>
      <c r="LNY69" s="349"/>
      <c r="LNZ69" s="349"/>
      <c r="LOA69" s="349"/>
      <c r="LOB69" s="349"/>
      <c r="LOC69" s="349"/>
      <c r="LOD69" s="349"/>
      <c r="LOE69" s="349"/>
      <c r="LOF69" s="349"/>
      <c r="LOG69" s="349"/>
      <c r="LOH69" s="349"/>
      <c r="LOI69" s="349"/>
      <c r="LOJ69" s="349"/>
      <c r="LOK69" s="349"/>
      <c r="LOL69" s="349"/>
      <c r="LOM69" s="349"/>
      <c r="LON69" s="349"/>
      <c r="LOO69" s="349"/>
      <c r="LOP69" s="349"/>
      <c r="LOQ69" s="349"/>
      <c r="LOR69" s="349"/>
      <c r="LOS69" s="349"/>
      <c r="LOT69" s="349"/>
      <c r="LOU69" s="349"/>
      <c r="LOV69" s="349"/>
      <c r="LOW69" s="349"/>
      <c r="LOX69" s="349"/>
      <c r="LOY69" s="349"/>
      <c r="LOZ69" s="349"/>
      <c r="LPA69" s="349"/>
      <c r="LPB69" s="349"/>
      <c r="LPC69" s="349"/>
      <c r="LPD69" s="349"/>
      <c r="LPE69" s="349"/>
      <c r="LPF69" s="349"/>
      <c r="LPG69" s="349"/>
      <c r="LPH69" s="349"/>
      <c r="LPI69" s="349"/>
      <c r="LPJ69" s="349"/>
      <c r="LPK69" s="349"/>
      <c r="LPL69" s="349"/>
      <c r="LPM69" s="349"/>
      <c r="LPN69" s="349"/>
      <c r="LPO69" s="349"/>
      <c r="LPP69" s="349"/>
      <c r="LPQ69" s="349"/>
      <c r="LPR69" s="349"/>
      <c r="LPS69" s="349"/>
      <c r="LPT69" s="349"/>
      <c r="LPU69" s="349"/>
      <c r="LPV69" s="349"/>
      <c r="LPW69" s="349"/>
      <c r="LPX69" s="349"/>
      <c r="LPY69" s="349"/>
      <c r="LPZ69" s="349"/>
      <c r="LQA69" s="349"/>
      <c r="LQB69" s="349"/>
      <c r="LQC69" s="349"/>
      <c r="LQD69" s="349"/>
      <c r="LQE69" s="349"/>
      <c r="LQF69" s="349"/>
      <c r="LQG69" s="349"/>
      <c r="LQH69" s="349"/>
      <c r="LQI69" s="349"/>
      <c r="LQJ69" s="349"/>
      <c r="LQK69" s="349"/>
      <c r="LQL69" s="349"/>
      <c r="LQM69" s="349"/>
      <c r="LQN69" s="349"/>
      <c r="LQO69" s="349"/>
      <c r="LQP69" s="349"/>
      <c r="LQQ69" s="349"/>
      <c r="LQR69" s="349"/>
      <c r="LQS69" s="349"/>
      <c r="LQT69" s="349"/>
      <c r="LQU69" s="349"/>
      <c r="LQV69" s="349"/>
      <c r="LQW69" s="349"/>
      <c r="LQX69" s="349"/>
      <c r="LQY69" s="349"/>
      <c r="LQZ69" s="349"/>
      <c r="LRA69" s="349"/>
      <c r="LRB69" s="349"/>
      <c r="LRC69" s="349"/>
      <c r="LRD69" s="349"/>
      <c r="LRE69" s="349"/>
      <c r="LRF69" s="349"/>
      <c r="LRG69" s="349"/>
      <c r="LRH69" s="349"/>
      <c r="LRI69" s="349"/>
      <c r="LRJ69" s="349"/>
      <c r="LRK69" s="349"/>
      <c r="LRL69" s="349"/>
      <c r="LRM69" s="349"/>
      <c r="LRN69" s="349"/>
      <c r="LRO69" s="349"/>
      <c r="LRP69" s="349"/>
      <c r="LRQ69" s="349"/>
      <c r="LRR69" s="349"/>
      <c r="LRS69" s="349"/>
      <c r="LRT69" s="349"/>
      <c r="LRU69" s="349"/>
      <c r="LRV69" s="349"/>
      <c r="LRW69" s="349"/>
      <c r="LRX69" s="349"/>
      <c r="LRY69" s="349"/>
      <c r="LRZ69" s="349"/>
      <c r="LSA69" s="349"/>
      <c r="LSB69" s="349"/>
      <c r="LSC69" s="349"/>
      <c r="LSD69" s="349"/>
      <c r="LSE69" s="349"/>
      <c r="LSF69" s="349"/>
      <c r="LSG69" s="349"/>
      <c r="LSH69" s="349"/>
      <c r="LSI69" s="349"/>
      <c r="LSJ69" s="349"/>
      <c r="LSK69" s="349"/>
      <c r="LSL69" s="349"/>
      <c r="LSM69" s="349"/>
      <c r="LSN69" s="349"/>
      <c r="LSO69" s="349"/>
      <c r="LSP69" s="349"/>
      <c r="LSQ69" s="349"/>
      <c r="LSR69" s="349"/>
      <c r="LSS69" s="349"/>
      <c r="LST69" s="349"/>
      <c r="LSU69" s="349"/>
      <c r="LSV69" s="349"/>
      <c r="LSW69" s="349"/>
      <c r="LSX69" s="349"/>
      <c r="LSY69" s="349"/>
      <c r="LSZ69" s="349"/>
      <c r="LTA69" s="349"/>
      <c r="LTB69" s="349"/>
      <c r="LTC69" s="349"/>
      <c r="LTD69" s="349"/>
      <c r="LTE69" s="349"/>
      <c r="LTF69" s="349"/>
      <c r="LTG69" s="349"/>
      <c r="LTH69" s="349"/>
      <c r="LTI69" s="349"/>
      <c r="LTJ69" s="349"/>
      <c r="LTK69" s="349"/>
      <c r="LTL69" s="349"/>
      <c r="LTM69" s="349"/>
      <c r="LTN69" s="349"/>
      <c r="LTO69" s="349"/>
      <c r="LTP69" s="349"/>
      <c r="LTQ69" s="349"/>
      <c r="LTR69" s="349"/>
      <c r="LTS69" s="349"/>
      <c r="LTT69" s="349"/>
      <c r="LTU69" s="349"/>
      <c r="LTV69" s="349"/>
      <c r="LTW69" s="349"/>
      <c r="LTX69" s="349"/>
      <c r="LTY69" s="349"/>
      <c r="LTZ69" s="349"/>
      <c r="LUA69" s="349"/>
      <c r="LUB69" s="349"/>
      <c r="LUC69" s="349"/>
      <c r="LUD69" s="349"/>
      <c r="LUE69" s="349"/>
      <c r="LUF69" s="349"/>
      <c r="LUG69" s="349"/>
      <c r="LUH69" s="349"/>
      <c r="LUI69" s="349"/>
      <c r="LUJ69" s="349"/>
      <c r="LUK69" s="349"/>
      <c r="LUL69" s="349"/>
      <c r="LUM69" s="349"/>
      <c r="LUN69" s="349"/>
      <c r="LUO69" s="349"/>
      <c r="LUP69" s="349"/>
      <c r="LUQ69" s="349"/>
      <c r="LUR69" s="349"/>
      <c r="LUS69" s="349"/>
      <c r="LUT69" s="349"/>
      <c r="LUU69" s="349"/>
      <c r="LUV69" s="349"/>
      <c r="LUW69" s="349"/>
      <c r="LUX69" s="349"/>
      <c r="LUY69" s="349"/>
      <c r="LUZ69" s="349"/>
      <c r="LVA69" s="349"/>
      <c r="LVB69" s="349"/>
      <c r="LVC69" s="349"/>
      <c r="LVD69" s="349"/>
      <c r="LVE69" s="349"/>
      <c r="LVF69" s="349"/>
      <c r="LVG69" s="349"/>
      <c r="LVH69" s="349"/>
      <c r="LVI69" s="349"/>
      <c r="LVJ69" s="349"/>
      <c r="LVK69" s="349"/>
      <c r="LVL69" s="349"/>
      <c r="LVM69" s="349"/>
      <c r="LVN69" s="349"/>
      <c r="LVO69" s="349"/>
      <c r="LVP69" s="349"/>
      <c r="LVQ69" s="349"/>
      <c r="LVR69" s="349"/>
      <c r="LVS69" s="349"/>
      <c r="LVT69" s="349"/>
      <c r="LVU69" s="349"/>
      <c r="LVV69" s="349"/>
      <c r="LVW69" s="349"/>
      <c r="LVX69" s="349"/>
      <c r="LVY69" s="349"/>
      <c r="LVZ69" s="349"/>
      <c r="LWA69" s="349"/>
      <c r="LWB69" s="349"/>
      <c r="LWC69" s="349"/>
      <c r="LWD69" s="349"/>
      <c r="LWE69" s="349"/>
      <c r="LWF69" s="349"/>
      <c r="LWG69" s="349"/>
      <c r="LWH69" s="349"/>
      <c r="LWI69" s="349"/>
      <c r="LWJ69" s="349"/>
      <c r="LWK69" s="349"/>
      <c r="LWL69" s="349"/>
      <c r="LWM69" s="349"/>
      <c r="LWN69" s="349"/>
      <c r="LWO69" s="349"/>
      <c r="LWP69" s="349"/>
      <c r="LWQ69" s="349"/>
      <c r="LWR69" s="349"/>
      <c r="LWS69" s="349"/>
      <c r="LWT69" s="349"/>
      <c r="LWU69" s="349"/>
      <c r="LWV69" s="349"/>
      <c r="LWW69" s="349"/>
      <c r="LWX69" s="349"/>
      <c r="LWY69" s="349"/>
      <c r="LWZ69" s="349"/>
      <c r="LXA69" s="349"/>
      <c r="LXB69" s="349"/>
      <c r="LXC69" s="349"/>
      <c r="LXD69" s="349"/>
      <c r="LXE69" s="349"/>
      <c r="LXF69" s="349"/>
      <c r="LXG69" s="349"/>
      <c r="LXH69" s="349"/>
      <c r="LXI69" s="349"/>
      <c r="LXJ69" s="349"/>
      <c r="LXK69" s="349"/>
      <c r="LXL69" s="349"/>
      <c r="LXM69" s="349"/>
      <c r="LXN69" s="349"/>
      <c r="LXO69" s="349"/>
      <c r="LXP69" s="349"/>
      <c r="LXQ69" s="349"/>
      <c r="LXR69" s="349"/>
      <c r="LXS69" s="349"/>
      <c r="LXT69" s="349"/>
      <c r="LXU69" s="349"/>
      <c r="LXV69" s="349"/>
      <c r="LXW69" s="349"/>
      <c r="LXX69" s="349"/>
      <c r="LXY69" s="349"/>
      <c r="LXZ69" s="349"/>
      <c r="LYA69" s="349"/>
      <c r="LYB69" s="349"/>
      <c r="LYC69" s="349"/>
      <c r="LYD69" s="349"/>
      <c r="LYE69" s="349"/>
      <c r="LYF69" s="349"/>
      <c r="LYG69" s="349"/>
      <c r="LYH69" s="349"/>
      <c r="LYI69" s="349"/>
      <c r="LYJ69" s="349"/>
      <c r="LYK69" s="349"/>
      <c r="LYL69" s="349"/>
      <c r="LYM69" s="349"/>
      <c r="LYN69" s="349"/>
      <c r="LYO69" s="349"/>
      <c r="LYP69" s="349"/>
      <c r="LYQ69" s="349"/>
      <c r="LYR69" s="349"/>
      <c r="LYS69" s="349"/>
      <c r="LYT69" s="349"/>
      <c r="LYU69" s="349"/>
      <c r="LYV69" s="349"/>
      <c r="LYW69" s="349"/>
      <c r="LYX69" s="349"/>
      <c r="LYY69" s="349"/>
      <c r="LYZ69" s="349"/>
      <c r="LZA69" s="349"/>
      <c r="LZB69" s="349"/>
      <c r="LZC69" s="349"/>
      <c r="LZD69" s="349"/>
      <c r="LZE69" s="349"/>
      <c r="LZF69" s="349"/>
      <c r="LZG69" s="349"/>
      <c r="LZH69" s="349"/>
      <c r="LZI69" s="349"/>
      <c r="LZJ69" s="349"/>
      <c r="LZK69" s="349"/>
      <c r="LZL69" s="349"/>
      <c r="LZM69" s="349"/>
      <c r="LZN69" s="349"/>
      <c r="LZO69" s="349"/>
      <c r="LZP69" s="349"/>
      <c r="LZQ69" s="349"/>
      <c r="LZR69" s="349"/>
      <c r="LZS69" s="349"/>
      <c r="LZT69" s="349"/>
      <c r="LZU69" s="349"/>
      <c r="LZV69" s="349"/>
      <c r="LZW69" s="349"/>
      <c r="LZX69" s="349"/>
      <c r="LZY69" s="349"/>
      <c r="LZZ69" s="349"/>
      <c r="MAA69" s="349"/>
      <c r="MAB69" s="349"/>
      <c r="MAC69" s="349"/>
      <c r="MAD69" s="349"/>
      <c r="MAE69" s="349"/>
      <c r="MAF69" s="349"/>
      <c r="MAG69" s="349"/>
      <c r="MAH69" s="349"/>
      <c r="MAI69" s="349"/>
      <c r="MAJ69" s="349"/>
      <c r="MAK69" s="349"/>
      <c r="MAL69" s="349"/>
      <c r="MAM69" s="349"/>
      <c r="MAN69" s="349"/>
      <c r="MAO69" s="349"/>
      <c r="MAP69" s="349"/>
      <c r="MAQ69" s="349"/>
      <c r="MAR69" s="349"/>
      <c r="MAS69" s="349"/>
      <c r="MAT69" s="349"/>
      <c r="MAU69" s="349"/>
      <c r="MAV69" s="349"/>
      <c r="MAW69" s="349"/>
      <c r="MAX69" s="349"/>
      <c r="MAY69" s="349"/>
      <c r="MAZ69" s="349"/>
      <c r="MBA69" s="349"/>
      <c r="MBB69" s="349"/>
      <c r="MBC69" s="349"/>
      <c r="MBD69" s="349"/>
      <c r="MBE69" s="349"/>
      <c r="MBF69" s="349"/>
      <c r="MBG69" s="349"/>
      <c r="MBH69" s="349"/>
      <c r="MBI69" s="349"/>
      <c r="MBJ69" s="349"/>
      <c r="MBK69" s="349"/>
      <c r="MBL69" s="349"/>
      <c r="MBM69" s="349"/>
      <c r="MBN69" s="349"/>
      <c r="MBO69" s="349"/>
      <c r="MBP69" s="349"/>
      <c r="MBQ69" s="349"/>
      <c r="MBR69" s="349"/>
      <c r="MBS69" s="349"/>
      <c r="MBT69" s="349"/>
      <c r="MBU69" s="349"/>
      <c r="MBV69" s="349"/>
      <c r="MBW69" s="349"/>
      <c r="MBX69" s="349"/>
      <c r="MBY69" s="349"/>
      <c r="MBZ69" s="349"/>
      <c r="MCA69" s="349"/>
      <c r="MCB69" s="349"/>
      <c r="MCC69" s="349"/>
      <c r="MCD69" s="349"/>
      <c r="MCE69" s="349"/>
      <c r="MCF69" s="349"/>
      <c r="MCG69" s="349"/>
      <c r="MCH69" s="349"/>
      <c r="MCI69" s="349"/>
      <c r="MCJ69" s="349"/>
      <c r="MCK69" s="349"/>
      <c r="MCL69" s="349"/>
      <c r="MCM69" s="349"/>
      <c r="MCN69" s="349"/>
      <c r="MCO69" s="349"/>
      <c r="MCP69" s="349"/>
      <c r="MCQ69" s="349"/>
      <c r="MCR69" s="349"/>
      <c r="MCS69" s="349"/>
      <c r="MCT69" s="349"/>
      <c r="MCU69" s="349"/>
      <c r="MCV69" s="349"/>
      <c r="MCW69" s="349"/>
      <c r="MCX69" s="349"/>
      <c r="MCY69" s="349"/>
      <c r="MCZ69" s="349"/>
      <c r="MDA69" s="349"/>
      <c r="MDB69" s="349"/>
      <c r="MDC69" s="349"/>
      <c r="MDD69" s="349"/>
      <c r="MDE69" s="349"/>
      <c r="MDF69" s="349"/>
      <c r="MDG69" s="349"/>
      <c r="MDH69" s="349"/>
      <c r="MDI69" s="349"/>
      <c r="MDJ69" s="349"/>
      <c r="MDK69" s="349"/>
      <c r="MDL69" s="349"/>
      <c r="MDM69" s="349"/>
      <c r="MDN69" s="349"/>
      <c r="MDO69" s="349"/>
      <c r="MDP69" s="349"/>
      <c r="MDQ69" s="349"/>
      <c r="MDR69" s="349"/>
      <c r="MDS69" s="349"/>
      <c r="MDT69" s="349"/>
      <c r="MDU69" s="349"/>
      <c r="MDV69" s="349"/>
      <c r="MDW69" s="349"/>
      <c r="MDX69" s="349"/>
      <c r="MDY69" s="349"/>
      <c r="MDZ69" s="349"/>
      <c r="MEA69" s="349"/>
      <c r="MEB69" s="349"/>
      <c r="MEC69" s="349"/>
      <c r="MED69" s="349"/>
      <c r="MEE69" s="349"/>
      <c r="MEF69" s="349"/>
      <c r="MEG69" s="349"/>
      <c r="MEH69" s="349"/>
      <c r="MEI69" s="349"/>
      <c r="MEJ69" s="349"/>
      <c r="MEK69" s="349"/>
      <c r="MEL69" s="349"/>
      <c r="MEM69" s="349"/>
      <c r="MEN69" s="349"/>
      <c r="MEO69" s="349"/>
      <c r="MEP69" s="349"/>
      <c r="MEQ69" s="349"/>
      <c r="MER69" s="349"/>
      <c r="MES69" s="349"/>
      <c r="MET69" s="349"/>
      <c r="MEU69" s="349"/>
      <c r="MEV69" s="349"/>
      <c r="MEW69" s="349"/>
      <c r="MEX69" s="349"/>
      <c r="MEY69" s="349"/>
      <c r="MEZ69" s="349"/>
      <c r="MFA69" s="349"/>
      <c r="MFB69" s="349"/>
      <c r="MFC69" s="349"/>
      <c r="MFD69" s="349"/>
      <c r="MFE69" s="349"/>
      <c r="MFF69" s="349"/>
      <c r="MFG69" s="349"/>
      <c r="MFH69" s="349"/>
      <c r="MFI69" s="349"/>
      <c r="MFJ69" s="349"/>
      <c r="MFK69" s="349"/>
      <c r="MFL69" s="349"/>
      <c r="MFM69" s="349"/>
      <c r="MFN69" s="349"/>
      <c r="MFO69" s="349"/>
      <c r="MFP69" s="349"/>
      <c r="MFQ69" s="349"/>
      <c r="MFR69" s="349"/>
      <c r="MFS69" s="349"/>
      <c r="MFT69" s="349"/>
      <c r="MFU69" s="349"/>
      <c r="MFV69" s="349"/>
      <c r="MFW69" s="349"/>
      <c r="MFX69" s="349"/>
      <c r="MFY69" s="349"/>
      <c r="MFZ69" s="349"/>
      <c r="MGA69" s="349"/>
      <c r="MGB69" s="349"/>
      <c r="MGC69" s="349"/>
      <c r="MGD69" s="349"/>
      <c r="MGE69" s="349"/>
      <c r="MGF69" s="349"/>
      <c r="MGG69" s="349"/>
      <c r="MGH69" s="349"/>
      <c r="MGI69" s="349"/>
      <c r="MGJ69" s="349"/>
      <c r="MGK69" s="349"/>
      <c r="MGL69" s="349"/>
      <c r="MGM69" s="349"/>
      <c r="MGN69" s="349"/>
      <c r="MGO69" s="349"/>
      <c r="MGP69" s="349"/>
      <c r="MGQ69" s="349"/>
      <c r="MGR69" s="349"/>
      <c r="MGS69" s="349"/>
      <c r="MGT69" s="349"/>
      <c r="MGU69" s="349"/>
      <c r="MGV69" s="349"/>
      <c r="MGW69" s="349"/>
      <c r="MGX69" s="349"/>
      <c r="MGY69" s="349"/>
      <c r="MGZ69" s="349"/>
      <c r="MHA69" s="349"/>
      <c r="MHB69" s="349"/>
      <c r="MHC69" s="349"/>
      <c r="MHD69" s="349"/>
      <c r="MHE69" s="349"/>
      <c r="MHF69" s="349"/>
      <c r="MHG69" s="349"/>
      <c r="MHH69" s="349"/>
      <c r="MHI69" s="349"/>
      <c r="MHJ69" s="349"/>
      <c r="MHK69" s="349"/>
      <c r="MHL69" s="349"/>
      <c r="MHM69" s="349"/>
      <c r="MHN69" s="349"/>
      <c r="MHO69" s="349"/>
      <c r="MHP69" s="349"/>
      <c r="MHQ69" s="349"/>
      <c r="MHR69" s="349"/>
      <c r="MHS69" s="349"/>
      <c r="MHT69" s="349"/>
      <c r="MHU69" s="349"/>
      <c r="MHV69" s="349"/>
      <c r="MHW69" s="349"/>
      <c r="MHX69" s="349"/>
      <c r="MHY69" s="349"/>
      <c r="MHZ69" s="349"/>
      <c r="MIA69" s="349"/>
      <c r="MIB69" s="349"/>
      <c r="MIC69" s="349"/>
      <c r="MID69" s="349"/>
      <c r="MIE69" s="349"/>
      <c r="MIF69" s="349"/>
      <c r="MIG69" s="349"/>
      <c r="MIH69" s="349"/>
      <c r="MII69" s="349"/>
      <c r="MIJ69" s="349"/>
      <c r="MIK69" s="349"/>
      <c r="MIL69" s="349"/>
      <c r="MIM69" s="349"/>
      <c r="MIN69" s="349"/>
      <c r="MIO69" s="349"/>
      <c r="MIP69" s="349"/>
      <c r="MIQ69" s="349"/>
      <c r="MIR69" s="349"/>
      <c r="MIS69" s="349"/>
      <c r="MIT69" s="349"/>
      <c r="MIU69" s="349"/>
      <c r="MIV69" s="349"/>
      <c r="MIW69" s="349"/>
      <c r="MIX69" s="349"/>
      <c r="MIY69" s="349"/>
      <c r="MIZ69" s="349"/>
      <c r="MJA69" s="349"/>
      <c r="MJB69" s="349"/>
      <c r="MJC69" s="349"/>
      <c r="MJD69" s="349"/>
      <c r="MJE69" s="349"/>
      <c r="MJF69" s="349"/>
      <c r="MJG69" s="349"/>
      <c r="MJH69" s="349"/>
      <c r="MJI69" s="349"/>
      <c r="MJJ69" s="349"/>
      <c r="MJK69" s="349"/>
      <c r="MJL69" s="349"/>
      <c r="MJM69" s="349"/>
      <c r="MJN69" s="349"/>
      <c r="MJO69" s="349"/>
      <c r="MJP69" s="349"/>
      <c r="MJQ69" s="349"/>
      <c r="MJR69" s="349"/>
      <c r="MJS69" s="349"/>
      <c r="MJT69" s="349"/>
      <c r="MJU69" s="349"/>
      <c r="MJV69" s="349"/>
      <c r="MJW69" s="349"/>
      <c r="MJX69" s="349"/>
      <c r="MJY69" s="349"/>
      <c r="MJZ69" s="349"/>
      <c r="MKA69" s="349"/>
      <c r="MKB69" s="349"/>
      <c r="MKC69" s="349"/>
      <c r="MKD69" s="349"/>
      <c r="MKE69" s="349"/>
      <c r="MKF69" s="349"/>
      <c r="MKG69" s="349"/>
      <c r="MKH69" s="349"/>
      <c r="MKI69" s="349"/>
      <c r="MKJ69" s="349"/>
      <c r="MKK69" s="349"/>
      <c r="MKL69" s="349"/>
      <c r="MKM69" s="349"/>
      <c r="MKN69" s="349"/>
      <c r="MKO69" s="349"/>
      <c r="MKP69" s="349"/>
      <c r="MKQ69" s="349"/>
      <c r="MKR69" s="349"/>
      <c r="MKS69" s="349"/>
      <c r="MKT69" s="349"/>
      <c r="MKU69" s="349"/>
      <c r="MKV69" s="349"/>
      <c r="MKW69" s="349"/>
      <c r="MKX69" s="349"/>
      <c r="MKY69" s="349"/>
      <c r="MKZ69" s="349"/>
      <c r="MLA69" s="349"/>
      <c r="MLB69" s="349"/>
      <c r="MLC69" s="349"/>
      <c r="MLD69" s="349"/>
      <c r="MLE69" s="349"/>
      <c r="MLF69" s="349"/>
      <c r="MLG69" s="349"/>
      <c r="MLH69" s="349"/>
      <c r="MLI69" s="349"/>
      <c r="MLJ69" s="349"/>
      <c r="MLK69" s="349"/>
      <c r="MLL69" s="349"/>
      <c r="MLM69" s="349"/>
      <c r="MLN69" s="349"/>
      <c r="MLO69" s="349"/>
      <c r="MLP69" s="349"/>
      <c r="MLQ69" s="349"/>
      <c r="MLR69" s="349"/>
      <c r="MLS69" s="349"/>
      <c r="MLT69" s="349"/>
      <c r="MLU69" s="349"/>
      <c r="MLV69" s="349"/>
      <c r="MLW69" s="349"/>
      <c r="MLX69" s="349"/>
      <c r="MLY69" s="349"/>
      <c r="MLZ69" s="349"/>
      <c r="MMA69" s="349"/>
      <c r="MMB69" s="349"/>
      <c r="MMC69" s="349"/>
      <c r="MMD69" s="349"/>
      <c r="MME69" s="349"/>
      <c r="MMF69" s="349"/>
      <c r="MMG69" s="349"/>
      <c r="MMH69" s="349"/>
      <c r="MMI69" s="349"/>
      <c r="MMJ69" s="349"/>
      <c r="MMK69" s="349"/>
      <c r="MML69" s="349"/>
      <c r="MMM69" s="349"/>
      <c r="MMN69" s="349"/>
      <c r="MMO69" s="349"/>
      <c r="MMP69" s="349"/>
      <c r="MMQ69" s="349"/>
      <c r="MMR69" s="349"/>
      <c r="MMS69" s="349"/>
      <c r="MMT69" s="349"/>
      <c r="MMU69" s="349"/>
      <c r="MMV69" s="349"/>
      <c r="MMW69" s="349"/>
      <c r="MMX69" s="349"/>
      <c r="MMY69" s="349"/>
      <c r="MMZ69" s="349"/>
      <c r="MNA69" s="349"/>
      <c r="MNB69" s="349"/>
      <c r="MNC69" s="349"/>
      <c r="MND69" s="349"/>
      <c r="MNE69" s="349"/>
      <c r="MNF69" s="349"/>
      <c r="MNG69" s="349"/>
      <c r="MNH69" s="349"/>
      <c r="MNI69" s="349"/>
      <c r="MNJ69" s="349"/>
      <c r="MNK69" s="349"/>
      <c r="MNL69" s="349"/>
      <c r="MNM69" s="349"/>
      <c r="MNN69" s="349"/>
      <c r="MNO69" s="349"/>
      <c r="MNP69" s="349"/>
      <c r="MNQ69" s="349"/>
      <c r="MNR69" s="349"/>
      <c r="MNS69" s="349"/>
      <c r="MNT69" s="349"/>
      <c r="MNU69" s="349"/>
      <c r="MNV69" s="349"/>
      <c r="MNW69" s="349"/>
      <c r="MNX69" s="349"/>
      <c r="MNY69" s="349"/>
      <c r="MNZ69" s="349"/>
      <c r="MOA69" s="349"/>
      <c r="MOB69" s="349"/>
      <c r="MOC69" s="349"/>
      <c r="MOD69" s="349"/>
      <c r="MOE69" s="349"/>
      <c r="MOF69" s="349"/>
      <c r="MOG69" s="349"/>
      <c r="MOH69" s="349"/>
      <c r="MOI69" s="349"/>
      <c r="MOJ69" s="349"/>
      <c r="MOK69" s="349"/>
      <c r="MOL69" s="349"/>
      <c r="MOM69" s="349"/>
      <c r="MON69" s="349"/>
      <c r="MOO69" s="349"/>
      <c r="MOP69" s="349"/>
      <c r="MOQ69" s="349"/>
      <c r="MOR69" s="349"/>
      <c r="MOS69" s="349"/>
      <c r="MOT69" s="349"/>
      <c r="MOU69" s="349"/>
      <c r="MOV69" s="349"/>
      <c r="MOW69" s="349"/>
      <c r="MOX69" s="349"/>
      <c r="MOY69" s="349"/>
      <c r="MOZ69" s="349"/>
      <c r="MPA69" s="349"/>
      <c r="MPB69" s="349"/>
      <c r="MPC69" s="349"/>
      <c r="MPD69" s="349"/>
      <c r="MPE69" s="349"/>
      <c r="MPF69" s="349"/>
      <c r="MPG69" s="349"/>
      <c r="MPH69" s="349"/>
      <c r="MPI69" s="349"/>
      <c r="MPJ69" s="349"/>
      <c r="MPK69" s="349"/>
      <c r="MPL69" s="349"/>
      <c r="MPM69" s="349"/>
      <c r="MPN69" s="349"/>
      <c r="MPO69" s="349"/>
      <c r="MPP69" s="349"/>
      <c r="MPQ69" s="349"/>
      <c r="MPR69" s="349"/>
      <c r="MPS69" s="349"/>
      <c r="MPT69" s="349"/>
      <c r="MPU69" s="349"/>
      <c r="MPV69" s="349"/>
      <c r="MPW69" s="349"/>
      <c r="MPX69" s="349"/>
      <c r="MPY69" s="349"/>
      <c r="MPZ69" s="349"/>
      <c r="MQA69" s="349"/>
      <c r="MQB69" s="349"/>
      <c r="MQC69" s="349"/>
      <c r="MQD69" s="349"/>
      <c r="MQE69" s="349"/>
      <c r="MQF69" s="349"/>
      <c r="MQG69" s="349"/>
      <c r="MQH69" s="349"/>
      <c r="MQI69" s="349"/>
      <c r="MQJ69" s="349"/>
      <c r="MQK69" s="349"/>
      <c r="MQL69" s="349"/>
      <c r="MQM69" s="349"/>
      <c r="MQN69" s="349"/>
      <c r="MQO69" s="349"/>
      <c r="MQP69" s="349"/>
      <c r="MQQ69" s="349"/>
      <c r="MQR69" s="349"/>
      <c r="MQS69" s="349"/>
      <c r="MQT69" s="349"/>
      <c r="MQU69" s="349"/>
      <c r="MQV69" s="349"/>
      <c r="MQW69" s="349"/>
      <c r="MQX69" s="349"/>
      <c r="MQY69" s="349"/>
      <c r="MQZ69" s="349"/>
      <c r="MRA69" s="349"/>
      <c r="MRB69" s="349"/>
      <c r="MRC69" s="349"/>
      <c r="MRD69" s="349"/>
      <c r="MRE69" s="349"/>
      <c r="MRF69" s="349"/>
      <c r="MRG69" s="349"/>
      <c r="MRH69" s="349"/>
      <c r="MRI69" s="349"/>
      <c r="MRJ69" s="349"/>
      <c r="MRK69" s="349"/>
      <c r="MRL69" s="349"/>
      <c r="MRM69" s="349"/>
      <c r="MRN69" s="349"/>
      <c r="MRO69" s="349"/>
      <c r="MRP69" s="349"/>
      <c r="MRQ69" s="349"/>
      <c r="MRR69" s="349"/>
      <c r="MRS69" s="349"/>
      <c r="MRT69" s="349"/>
      <c r="MRU69" s="349"/>
      <c r="MRV69" s="349"/>
      <c r="MRW69" s="349"/>
      <c r="MRX69" s="349"/>
      <c r="MRY69" s="349"/>
      <c r="MRZ69" s="349"/>
      <c r="MSA69" s="349"/>
      <c r="MSB69" s="349"/>
      <c r="MSC69" s="349"/>
      <c r="MSD69" s="349"/>
      <c r="MSE69" s="349"/>
      <c r="MSF69" s="349"/>
      <c r="MSG69" s="349"/>
      <c r="MSH69" s="349"/>
      <c r="MSI69" s="349"/>
      <c r="MSJ69" s="349"/>
      <c r="MSK69" s="349"/>
      <c r="MSL69" s="349"/>
      <c r="MSM69" s="349"/>
      <c r="MSN69" s="349"/>
      <c r="MSO69" s="349"/>
      <c r="MSP69" s="349"/>
      <c r="MSQ69" s="349"/>
      <c r="MSR69" s="349"/>
      <c r="MSS69" s="349"/>
      <c r="MST69" s="349"/>
      <c r="MSU69" s="349"/>
      <c r="MSV69" s="349"/>
      <c r="MSW69" s="349"/>
      <c r="MSX69" s="349"/>
      <c r="MSY69" s="349"/>
      <c r="MSZ69" s="349"/>
      <c r="MTA69" s="349"/>
      <c r="MTB69" s="349"/>
      <c r="MTC69" s="349"/>
      <c r="MTD69" s="349"/>
      <c r="MTE69" s="349"/>
      <c r="MTF69" s="349"/>
      <c r="MTG69" s="349"/>
      <c r="MTH69" s="349"/>
      <c r="MTI69" s="349"/>
      <c r="MTJ69" s="349"/>
      <c r="MTK69" s="349"/>
      <c r="MTL69" s="349"/>
      <c r="MTM69" s="349"/>
      <c r="MTN69" s="349"/>
      <c r="MTO69" s="349"/>
      <c r="MTP69" s="349"/>
      <c r="MTQ69" s="349"/>
      <c r="MTR69" s="349"/>
      <c r="MTS69" s="349"/>
      <c r="MTT69" s="349"/>
      <c r="MTU69" s="349"/>
      <c r="MTV69" s="349"/>
      <c r="MTW69" s="349"/>
      <c r="MTX69" s="349"/>
      <c r="MTY69" s="349"/>
      <c r="MTZ69" s="349"/>
      <c r="MUA69" s="349"/>
      <c r="MUB69" s="349"/>
      <c r="MUC69" s="349"/>
      <c r="MUD69" s="349"/>
      <c r="MUE69" s="349"/>
      <c r="MUF69" s="349"/>
      <c r="MUG69" s="349"/>
      <c r="MUH69" s="349"/>
      <c r="MUI69" s="349"/>
      <c r="MUJ69" s="349"/>
      <c r="MUK69" s="349"/>
      <c r="MUL69" s="349"/>
      <c r="MUM69" s="349"/>
      <c r="MUN69" s="349"/>
      <c r="MUO69" s="349"/>
      <c r="MUP69" s="349"/>
      <c r="MUQ69" s="349"/>
      <c r="MUR69" s="349"/>
      <c r="MUS69" s="349"/>
      <c r="MUT69" s="349"/>
      <c r="MUU69" s="349"/>
      <c r="MUV69" s="349"/>
      <c r="MUW69" s="349"/>
      <c r="MUX69" s="349"/>
      <c r="MUY69" s="349"/>
      <c r="MUZ69" s="349"/>
      <c r="MVA69" s="349"/>
      <c r="MVB69" s="349"/>
      <c r="MVC69" s="349"/>
      <c r="MVD69" s="349"/>
      <c r="MVE69" s="349"/>
      <c r="MVF69" s="349"/>
      <c r="MVG69" s="349"/>
      <c r="MVH69" s="349"/>
      <c r="MVI69" s="349"/>
      <c r="MVJ69" s="349"/>
      <c r="MVK69" s="349"/>
      <c r="MVL69" s="349"/>
      <c r="MVM69" s="349"/>
      <c r="MVN69" s="349"/>
      <c r="MVO69" s="349"/>
      <c r="MVP69" s="349"/>
      <c r="MVQ69" s="349"/>
      <c r="MVR69" s="349"/>
      <c r="MVS69" s="349"/>
      <c r="MVT69" s="349"/>
      <c r="MVU69" s="349"/>
      <c r="MVV69" s="349"/>
      <c r="MVW69" s="349"/>
      <c r="MVX69" s="349"/>
      <c r="MVY69" s="349"/>
      <c r="MVZ69" s="349"/>
      <c r="MWA69" s="349"/>
      <c r="MWB69" s="349"/>
      <c r="MWC69" s="349"/>
      <c r="MWD69" s="349"/>
      <c r="MWE69" s="349"/>
      <c r="MWF69" s="349"/>
      <c r="MWG69" s="349"/>
      <c r="MWH69" s="349"/>
      <c r="MWI69" s="349"/>
      <c r="MWJ69" s="349"/>
      <c r="MWK69" s="349"/>
      <c r="MWL69" s="349"/>
      <c r="MWM69" s="349"/>
      <c r="MWN69" s="349"/>
      <c r="MWO69" s="349"/>
      <c r="MWP69" s="349"/>
      <c r="MWQ69" s="349"/>
      <c r="MWR69" s="349"/>
      <c r="MWS69" s="349"/>
      <c r="MWT69" s="349"/>
      <c r="MWU69" s="349"/>
      <c r="MWV69" s="349"/>
      <c r="MWW69" s="349"/>
      <c r="MWX69" s="349"/>
      <c r="MWY69" s="349"/>
      <c r="MWZ69" s="349"/>
      <c r="MXA69" s="349"/>
      <c r="MXB69" s="349"/>
      <c r="MXC69" s="349"/>
      <c r="MXD69" s="349"/>
      <c r="MXE69" s="349"/>
      <c r="MXF69" s="349"/>
      <c r="MXG69" s="349"/>
      <c r="MXH69" s="349"/>
      <c r="MXI69" s="349"/>
      <c r="MXJ69" s="349"/>
      <c r="MXK69" s="349"/>
      <c r="MXL69" s="349"/>
      <c r="MXM69" s="349"/>
      <c r="MXN69" s="349"/>
      <c r="MXO69" s="349"/>
      <c r="MXP69" s="349"/>
      <c r="MXQ69" s="349"/>
      <c r="MXR69" s="349"/>
      <c r="MXS69" s="349"/>
      <c r="MXT69" s="349"/>
      <c r="MXU69" s="349"/>
      <c r="MXV69" s="349"/>
      <c r="MXW69" s="349"/>
      <c r="MXX69" s="349"/>
      <c r="MXY69" s="349"/>
      <c r="MXZ69" s="349"/>
      <c r="MYA69" s="349"/>
      <c r="MYB69" s="349"/>
      <c r="MYC69" s="349"/>
      <c r="MYD69" s="349"/>
      <c r="MYE69" s="349"/>
      <c r="MYF69" s="349"/>
      <c r="MYG69" s="349"/>
      <c r="MYH69" s="349"/>
      <c r="MYI69" s="349"/>
      <c r="MYJ69" s="349"/>
      <c r="MYK69" s="349"/>
      <c r="MYL69" s="349"/>
      <c r="MYM69" s="349"/>
      <c r="MYN69" s="349"/>
      <c r="MYO69" s="349"/>
      <c r="MYP69" s="349"/>
      <c r="MYQ69" s="349"/>
      <c r="MYR69" s="349"/>
      <c r="MYS69" s="349"/>
      <c r="MYT69" s="349"/>
      <c r="MYU69" s="349"/>
      <c r="MYV69" s="349"/>
      <c r="MYW69" s="349"/>
      <c r="MYX69" s="349"/>
      <c r="MYY69" s="349"/>
      <c r="MYZ69" s="349"/>
      <c r="MZA69" s="349"/>
      <c r="MZB69" s="349"/>
      <c r="MZC69" s="349"/>
      <c r="MZD69" s="349"/>
      <c r="MZE69" s="349"/>
      <c r="MZF69" s="349"/>
      <c r="MZG69" s="349"/>
      <c r="MZH69" s="349"/>
      <c r="MZI69" s="349"/>
      <c r="MZJ69" s="349"/>
      <c r="MZK69" s="349"/>
      <c r="MZL69" s="349"/>
      <c r="MZM69" s="349"/>
      <c r="MZN69" s="349"/>
      <c r="MZO69" s="349"/>
      <c r="MZP69" s="349"/>
      <c r="MZQ69" s="349"/>
      <c r="MZR69" s="349"/>
      <c r="MZS69" s="349"/>
      <c r="MZT69" s="349"/>
      <c r="MZU69" s="349"/>
      <c r="MZV69" s="349"/>
      <c r="MZW69" s="349"/>
      <c r="MZX69" s="349"/>
      <c r="MZY69" s="349"/>
      <c r="MZZ69" s="349"/>
      <c r="NAA69" s="349"/>
      <c r="NAB69" s="349"/>
      <c r="NAC69" s="349"/>
      <c r="NAD69" s="349"/>
      <c r="NAE69" s="349"/>
      <c r="NAF69" s="349"/>
      <c r="NAG69" s="349"/>
      <c r="NAH69" s="349"/>
      <c r="NAI69" s="349"/>
      <c r="NAJ69" s="349"/>
      <c r="NAK69" s="349"/>
      <c r="NAL69" s="349"/>
      <c r="NAM69" s="349"/>
      <c r="NAN69" s="349"/>
      <c r="NAO69" s="349"/>
      <c r="NAP69" s="349"/>
      <c r="NAQ69" s="349"/>
      <c r="NAR69" s="349"/>
      <c r="NAS69" s="349"/>
      <c r="NAT69" s="349"/>
      <c r="NAU69" s="349"/>
      <c r="NAV69" s="349"/>
      <c r="NAW69" s="349"/>
      <c r="NAX69" s="349"/>
      <c r="NAY69" s="349"/>
      <c r="NAZ69" s="349"/>
      <c r="NBA69" s="349"/>
      <c r="NBB69" s="349"/>
      <c r="NBC69" s="349"/>
      <c r="NBD69" s="349"/>
      <c r="NBE69" s="349"/>
      <c r="NBF69" s="349"/>
      <c r="NBG69" s="349"/>
      <c r="NBH69" s="349"/>
      <c r="NBI69" s="349"/>
      <c r="NBJ69" s="349"/>
      <c r="NBK69" s="349"/>
      <c r="NBL69" s="349"/>
      <c r="NBM69" s="349"/>
      <c r="NBN69" s="349"/>
      <c r="NBO69" s="349"/>
      <c r="NBP69" s="349"/>
      <c r="NBQ69" s="349"/>
      <c r="NBR69" s="349"/>
      <c r="NBS69" s="349"/>
      <c r="NBT69" s="349"/>
      <c r="NBU69" s="349"/>
      <c r="NBV69" s="349"/>
      <c r="NBW69" s="349"/>
      <c r="NBX69" s="349"/>
      <c r="NBY69" s="349"/>
      <c r="NBZ69" s="349"/>
      <c r="NCA69" s="349"/>
      <c r="NCB69" s="349"/>
      <c r="NCC69" s="349"/>
      <c r="NCD69" s="349"/>
      <c r="NCE69" s="349"/>
      <c r="NCF69" s="349"/>
      <c r="NCG69" s="349"/>
      <c r="NCH69" s="349"/>
      <c r="NCI69" s="349"/>
      <c r="NCJ69" s="349"/>
      <c r="NCK69" s="349"/>
      <c r="NCL69" s="349"/>
      <c r="NCM69" s="349"/>
      <c r="NCN69" s="349"/>
      <c r="NCO69" s="349"/>
      <c r="NCP69" s="349"/>
      <c r="NCQ69" s="349"/>
      <c r="NCR69" s="349"/>
      <c r="NCS69" s="349"/>
      <c r="NCT69" s="349"/>
      <c r="NCU69" s="349"/>
      <c r="NCV69" s="349"/>
      <c r="NCW69" s="349"/>
      <c r="NCX69" s="349"/>
      <c r="NCY69" s="349"/>
      <c r="NCZ69" s="349"/>
      <c r="NDA69" s="349"/>
      <c r="NDB69" s="349"/>
      <c r="NDC69" s="349"/>
      <c r="NDD69" s="349"/>
      <c r="NDE69" s="349"/>
      <c r="NDF69" s="349"/>
      <c r="NDG69" s="349"/>
      <c r="NDH69" s="349"/>
      <c r="NDI69" s="349"/>
      <c r="NDJ69" s="349"/>
      <c r="NDK69" s="349"/>
      <c r="NDL69" s="349"/>
      <c r="NDM69" s="349"/>
      <c r="NDN69" s="349"/>
      <c r="NDO69" s="349"/>
      <c r="NDP69" s="349"/>
      <c r="NDQ69" s="349"/>
      <c r="NDR69" s="349"/>
      <c r="NDS69" s="349"/>
      <c r="NDT69" s="349"/>
      <c r="NDU69" s="349"/>
      <c r="NDV69" s="349"/>
      <c r="NDW69" s="349"/>
      <c r="NDX69" s="349"/>
      <c r="NDY69" s="349"/>
      <c r="NDZ69" s="349"/>
      <c r="NEA69" s="349"/>
      <c r="NEB69" s="349"/>
      <c r="NEC69" s="349"/>
      <c r="NED69" s="349"/>
      <c r="NEE69" s="349"/>
      <c r="NEF69" s="349"/>
      <c r="NEG69" s="349"/>
      <c r="NEH69" s="349"/>
      <c r="NEI69" s="349"/>
      <c r="NEJ69" s="349"/>
      <c r="NEK69" s="349"/>
      <c r="NEL69" s="349"/>
      <c r="NEM69" s="349"/>
      <c r="NEN69" s="349"/>
      <c r="NEO69" s="349"/>
      <c r="NEP69" s="349"/>
      <c r="NEQ69" s="349"/>
      <c r="NER69" s="349"/>
      <c r="NES69" s="349"/>
      <c r="NET69" s="349"/>
      <c r="NEU69" s="349"/>
      <c r="NEV69" s="349"/>
      <c r="NEW69" s="349"/>
      <c r="NEX69" s="349"/>
      <c r="NEY69" s="349"/>
      <c r="NEZ69" s="349"/>
      <c r="NFA69" s="349"/>
      <c r="NFB69" s="349"/>
      <c r="NFC69" s="349"/>
      <c r="NFD69" s="349"/>
      <c r="NFE69" s="349"/>
      <c r="NFF69" s="349"/>
      <c r="NFG69" s="349"/>
      <c r="NFH69" s="349"/>
      <c r="NFI69" s="349"/>
      <c r="NFJ69" s="349"/>
      <c r="NFK69" s="349"/>
      <c r="NFL69" s="349"/>
      <c r="NFM69" s="349"/>
      <c r="NFN69" s="349"/>
      <c r="NFO69" s="349"/>
      <c r="NFP69" s="349"/>
      <c r="NFQ69" s="349"/>
      <c r="NFR69" s="349"/>
      <c r="NFS69" s="349"/>
      <c r="NFT69" s="349"/>
      <c r="NFU69" s="349"/>
      <c r="NFV69" s="349"/>
      <c r="NFW69" s="349"/>
      <c r="NFX69" s="349"/>
      <c r="NFY69" s="349"/>
      <c r="NFZ69" s="349"/>
      <c r="NGA69" s="349"/>
      <c r="NGB69" s="349"/>
      <c r="NGC69" s="349"/>
      <c r="NGD69" s="349"/>
      <c r="NGE69" s="349"/>
      <c r="NGF69" s="349"/>
      <c r="NGG69" s="349"/>
      <c r="NGH69" s="349"/>
      <c r="NGI69" s="349"/>
      <c r="NGJ69" s="349"/>
      <c r="NGK69" s="349"/>
      <c r="NGL69" s="349"/>
      <c r="NGM69" s="349"/>
      <c r="NGN69" s="349"/>
      <c r="NGO69" s="349"/>
      <c r="NGP69" s="349"/>
      <c r="NGQ69" s="349"/>
      <c r="NGR69" s="349"/>
      <c r="NGS69" s="349"/>
      <c r="NGT69" s="349"/>
      <c r="NGU69" s="349"/>
      <c r="NGV69" s="349"/>
      <c r="NGW69" s="349"/>
      <c r="NGX69" s="349"/>
      <c r="NGY69" s="349"/>
      <c r="NGZ69" s="349"/>
      <c r="NHA69" s="349"/>
      <c r="NHB69" s="349"/>
      <c r="NHC69" s="349"/>
      <c r="NHD69" s="349"/>
      <c r="NHE69" s="349"/>
      <c r="NHF69" s="349"/>
      <c r="NHG69" s="349"/>
      <c r="NHH69" s="349"/>
      <c r="NHI69" s="349"/>
      <c r="NHJ69" s="349"/>
      <c r="NHK69" s="349"/>
      <c r="NHL69" s="349"/>
      <c r="NHM69" s="349"/>
      <c r="NHN69" s="349"/>
      <c r="NHO69" s="349"/>
      <c r="NHP69" s="349"/>
      <c r="NHQ69" s="349"/>
      <c r="NHR69" s="349"/>
      <c r="NHS69" s="349"/>
      <c r="NHT69" s="349"/>
      <c r="NHU69" s="349"/>
      <c r="NHV69" s="349"/>
      <c r="NHW69" s="349"/>
      <c r="NHX69" s="349"/>
      <c r="NHY69" s="349"/>
      <c r="NHZ69" s="349"/>
      <c r="NIA69" s="349"/>
      <c r="NIB69" s="349"/>
      <c r="NIC69" s="349"/>
      <c r="NID69" s="349"/>
      <c r="NIE69" s="349"/>
      <c r="NIF69" s="349"/>
      <c r="NIG69" s="349"/>
      <c r="NIH69" s="349"/>
      <c r="NII69" s="349"/>
      <c r="NIJ69" s="349"/>
      <c r="NIK69" s="349"/>
      <c r="NIL69" s="349"/>
      <c r="NIM69" s="349"/>
      <c r="NIN69" s="349"/>
      <c r="NIO69" s="349"/>
      <c r="NIP69" s="349"/>
      <c r="NIQ69" s="349"/>
      <c r="NIR69" s="349"/>
      <c r="NIS69" s="349"/>
      <c r="NIT69" s="349"/>
      <c r="NIU69" s="349"/>
      <c r="NIV69" s="349"/>
      <c r="NIW69" s="349"/>
      <c r="NIX69" s="349"/>
      <c r="NIY69" s="349"/>
      <c r="NIZ69" s="349"/>
      <c r="NJA69" s="349"/>
      <c r="NJB69" s="349"/>
      <c r="NJC69" s="349"/>
      <c r="NJD69" s="349"/>
      <c r="NJE69" s="349"/>
      <c r="NJF69" s="349"/>
      <c r="NJG69" s="349"/>
      <c r="NJH69" s="349"/>
      <c r="NJI69" s="349"/>
      <c r="NJJ69" s="349"/>
      <c r="NJK69" s="349"/>
      <c r="NJL69" s="349"/>
      <c r="NJM69" s="349"/>
      <c r="NJN69" s="349"/>
      <c r="NJO69" s="349"/>
      <c r="NJP69" s="349"/>
      <c r="NJQ69" s="349"/>
      <c r="NJR69" s="349"/>
      <c r="NJS69" s="349"/>
      <c r="NJT69" s="349"/>
      <c r="NJU69" s="349"/>
      <c r="NJV69" s="349"/>
      <c r="NJW69" s="349"/>
      <c r="NJX69" s="349"/>
      <c r="NJY69" s="349"/>
      <c r="NJZ69" s="349"/>
      <c r="NKA69" s="349"/>
      <c r="NKB69" s="349"/>
      <c r="NKC69" s="349"/>
      <c r="NKD69" s="349"/>
      <c r="NKE69" s="349"/>
      <c r="NKF69" s="349"/>
      <c r="NKG69" s="349"/>
      <c r="NKH69" s="349"/>
      <c r="NKI69" s="349"/>
      <c r="NKJ69" s="349"/>
      <c r="NKK69" s="349"/>
      <c r="NKL69" s="349"/>
      <c r="NKM69" s="349"/>
      <c r="NKN69" s="349"/>
      <c r="NKO69" s="349"/>
      <c r="NKP69" s="349"/>
      <c r="NKQ69" s="349"/>
      <c r="NKR69" s="349"/>
      <c r="NKS69" s="349"/>
      <c r="NKT69" s="349"/>
      <c r="NKU69" s="349"/>
      <c r="NKV69" s="349"/>
      <c r="NKW69" s="349"/>
      <c r="NKX69" s="349"/>
      <c r="NKY69" s="349"/>
      <c r="NKZ69" s="349"/>
      <c r="NLA69" s="349"/>
      <c r="NLB69" s="349"/>
      <c r="NLC69" s="349"/>
      <c r="NLD69" s="349"/>
      <c r="NLE69" s="349"/>
      <c r="NLF69" s="349"/>
      <c r="NLG69" s="349"/>
      <c r="NLH69" s="349"/>
      <c r="NLI69" s="349"/>
      <c r="NLJ69" s="349"/>
      <c r="NLK69" s="349"/>
      <c r="NLL69" s="349"/>
      <c r="NLM69" s="349"/>
      <c r="NLN69" s="349"/>
      <c r="NLO69" s="349"/>
      <c r="NLP69" s="349"/>
      <c r="NLQ69" s="349"/>
      <c r="NLR69" s="349"/>
      <c r="NLS69" s="349"/>
      <c r="NLT69" s="349"/>
      <c r="NLU69" s="349"/>
      <c r="NLV69" s="349"/>
      <c r="NLW69" s="349"/>
      <c r="NLX69" s="349"/>
      <c r="NLY69" s="349"/>
      <c r="NLZ69" s="349"/>
      <c r="NMA69" s="349"/>
      <c r="NMB69" s="349"/>
      <c r="NMC69" s="349"/>
      <c r="NMD69" s="349"/>
      <c r="NME69" s="349"/>
      <c r="NMF69" s="349"/>
      <c r="NMG69" s="349"/>
      <c r="NMH69" s="349"/>
      <c r="NMI69" s="349"/>
      <c r="NMJ69" s="349"/>
      <c r="NMK69" s="349"/>
      <c r="NML69" s="349"/>
      <c r="NMM69" s="349"/>
      <c r="NMN69" s="349"/>
      <c r="NMO69" s="349"/>
      <c r="NMP69" s="349"/>
      <c r="NMQ69" s="349"/>
      <c r="NMR69" s="349"/>
      <c r="NMS69" s="349"/>
      <c r="NMT69" s="349"/>
      <c r="NMU69" s="349"/>
      <c r="NMV69" s="349"/>
      <c r="NMW69" s="349"/>
      <c r="NMX69" s="349"/>
      <c r="NMY69" s="349"/>
      <c r="NMZ69" s="349"/>
      <c r="NNA69" s="349"/>
      <c r="NNB69" s="349"/>
      <c r="NNC69" s="349"/>
      <c r="NND69" s="349"/>
      <c r="NNE69" s="349"/>
      <c r="NNF69" s="349"/>
      <c r="NNG69" s="349"/>
      <c r="NNH69" s="349"/>
      <c r="NNI69" s="349"/>
      <c r="NNJ69" s="349"/>
      <c r="NNK69" s="349"/>
      <c r="NNL69" s="349"/>
      <c r="NNM69" s="349"/>
      <c r="NNN69" s="349"/>
      <c r="NNO69" s="349"/>
      <c r="NNP69" s="349"/>
      <c r="NNQ69" s="349"/>
      <c r="NNR69" s="349"/>
      <c r="NNS69" s="349"/>
      <c r="NNT69" s="349"/>
      <c r="NNU69" s="349"/>
      <c r="NNV69" s="349"/>
      <c r="NNW69" s="349"/>
      <c r="NNX69" s="349"/>
      <c r="NNY69" s="349"/>
      <c r="NNZ69" s="349"/>
      <c r="NOA69" s="349"/>
      <c r="NOB69" s="349"/>
      <c r="NOC69" s="349"/>
      <c r="NOD69" s="349"/>
      <c r="NOE69" s="349"/>
      <c r="NOF69" s="349"/>
      <c r="NOG69" s="349"/>
      <c r="NOH69" s="349"/>
      <c r="NOI69" s="349"/>
      <c r="NOJ69" s="349"/>
      <c r="NOK69" s="349"/>
      <c r="NOL69" s="349"/>
      <c r="NOM69" s="349"/>
      <c r="NON69" s="349"/>
      <c r="NOO69" s="349"/>
      <c r="NOP69" s="349"/>
      <c r="NOQ69" s="349"/>
      <c r="NOR69" s="349"/>
      <c r="NOS69" s="349"/>
      <c r="NOT69" s="349"/>
      <c r="NOU69" s="349"/>
      <c r="NOV69" s="349"/>
      <c r="NOW69" s="349"/>
      <c r="NOX69" s="349"/>
      <c r="NOY69" s="349"/>
      <c r="NOZ69" s="349"/>
      <c r="NPA69" s="349"/>
      <c r="NPB69" s="349"/>
      <c r="NPC69" s="349"/>
      <c r="NPD69" s="349"/>
      <c r="NPE69" s="349"/>
      <c r="NPF69" s="349"/>
      <c r="NPG69" s="349"/>
      <c r="NPH69" s="349"/>
      <c r="NPI69" s="349"/>
      <c r="NPJ69" s="349"/>
      <c r="NPK69" s="349"/>
      <c r="NPL69" s="349"/>
      <c r="NPM69" s="349"/>
      <c r="NPN69" s="349"/>
      <c r="NPO69" s="349"/>
      <c r="NPP69" s="349"/>
      <c r="NPQ69" s="349"/>
      <c r="NPR69" s="349"/>
      <c r="NPS69" s="349"/>
      <c r="NPT69" s="349"/>
      <c r="NPU69" s="349"/>
      <c r="NPV69" s="349"/>
      <c r="NPW69" s="349"/>
      <c r="NPX69" s="349"/>
      <c r="NPY69" s="349"/>
      <c r="NPZ69" s="349"/>
      <c r="NQA69" s="349"/>
      <c r="NQB69" s="349"/>
      <c r="NQC69" s="349"/>
      <c r="NQD69" s="349"/>
      <c r="NQE69" s="349"/>
      <c r="NQF69" s="349"/>
      <c r="NQG69" s="349"/>
      <c r="NQH69" s="349"/>
      <c r="NQI69" s="349"/>
      <c r="NQJ69" s="349"/>
      <c r="NQK69" s="349"/>
      <c r="NQL69" s="349"/>
      <c r="NQM69" s="349"/>
      <c r="NQN69" s="349"/>
      <c r="NQO69" s="349"/>
      <c r="NQP69" s="349"/>
      <c r="NQQ69" s="349"/>
      <c r="NQR69" s="349"/>
      <c r="NQS69" s="349"/>
      <c r="NQT69" s="349"/>
      <c r="NQU69" s="349"/>
      <c r="NQV69" s="349"/>
      <c r="NQW69" s="349"/>
      <c r="NQX69" s="349"/>
      <c r="NQY69" s="349"/>
      <c r="NQZ69" s="349"/>
      <c r="NRA69" s="349"/>
      <c r="NRB69" s="349"/>
      <c r="NRC69" s="349"/>
      <c r="NRD69" s="349"/>
      <c r="NRE69" s="349"/>
      <c r="NRF69" s="349"/>
      <c r="NRG69" s="349"/>
      <c r="NRH69" s="349"/>
      <c r="NRI69" s="349"/>
      <c r="NRJ69" s="349"/>
      <c r="NRK69" s="349"/>
      <c r="NRL69" s="349"/>
      <c r="NRM69" s="349"/>
      <c r="NRN69" s="349"/>
      <c r="NRO69" s="349"/>
      <c r="NRP69" s="349"/>
      <c r="NRQ69" s="349"/>
      <c r="NRR69" s="349"/>
      <c r="NRS69" s="349"/>
      <c r="NRT69" s="349"/>
      <c r="NRU69" s="349"/>
      <c r="NRV69" s="349"/>
      <c r="NRW69" s="349"/>
      <c r="NRX69" s="349"/>
      <c r="NRY69" s="349"/>
      <c r="NRZ69" s="349"/>
      <c r="NSA69" s="349"/>
      <c r="NSB69" s="349"/>
      <c r="NSC69" s="349"/>
      <c r="NSD69" s="349"/>
      <c r="NSE69" s="349"/>
      <c r="NSF69" s="349"/>
      <c r="NSG69" s="349"/>
      <c r="NSH69" s="349"/>
      <c r="NSI69" s="349"/>
      <c r="NSJ69" s="349"/>
      <c r="NSK69" s="349"/>
      <c r="NSL69" s="349"/>
      <c r="NSM69" s="349"/>
      <c r="NSN69" s="349"/>
      <c r="NSO69" s="349"/>
      <c r="NSP69" s="349"/>
      <c r="NSQ69" s="349"/>
      <c r="NSR69" s="349"/>
      <c r="NSS69" s="349"/>
      <c r="NST69" s="349"/>
      <c r="NSU69" s="349"/>
      <c r="NSV69" s="349"/>
      <c r="NSW69" s="349"/>
      <c r="NSX69" s="349"/>
      <c r="NSY69" s="349"/>
      <c r="NSZ69" s="349"/>
      <c r="NTA69" s="349"/>
      <c r="NTB69" s="349"/>
      <c r="NTC69" s="349"/>
      <c r="NTD69" s="349"/>
      <c r="NTE69" s="349"/>
      <c r="NTF69" s="349"/>
      <c r="NTG69" s="349"/>
      <c r="NTH69" s="349"/>
      <c r="NTI69" s="349"/>
      <c r="NTJ69" s="349"/>
      <c r="NTK69" s="349"/>
      <c r="NTL69" s="349"/>
      <c r="NTM69" s="349"/>
      <c r="NTN69" s="349"/>
      <c r="NTO69" s="349"/>
      <c r="NTP69" s="349"/>
      <c r="NTQ69" s="349"/>
      <c r="NTR69" s="349"/>
      <c r="NTS69" s="349"/>
      <c r="NTT69" s="349"/>
      <c r="NTU69" s="349"/>
      <c r="NTV69" s="349"/>
      <c r="NTW69" s="349"/>
      <c r="NTX69" s="349"/>
      <c r="NTY69" s="349"/>
      <c r="NTZ69" s="349"/>
      <c r="NUA69" s="349"/>
      <c r="NUB69" s="349"/>
      <c r="NUC69" s="349"/>
      <c r="NUD69" s="349"/>
      <c r="NUE69" s="349"/>
      <c r="NUF69" s="349"/>
      <c r="NUG69" s="349"/>
      <c r="NUH69" s="349"/>
      <c r="NUI69" s="349"/>
      <c r="NUJ69" s="349"/>
      <c r="NUK69" s="349"/>
      <c r="NUL69" s="349"/>
      <c r="NUM69" s="349"/>
      <c r="NUN69" s="349"/>
      <c r="NUO69" s="349"/>
      <c r="NUP69" s="349"/>
      <c r="NUQ69" s="349"/>
      <c r="NUR69" s="349"/>
      <c r="NUS69" s="349"/>
      <c r="NUT69" s="349"/>
      <c r="NUU69" s="349"/>
      <c r="NUV69" s="349"/>
      <c r="NUW69" s="349"/>
      <c r="NUX69" s="349"/>
      <c r="NUY69" s="349"/>
      <c r="NUZ69" s="349"/>
      <c r="NVA69" s="349"/>
      <c r="NVB69" s="349"/>
      <c r="NVC69" s="349"/>
      <c r="NVD69" s="349"/>
      <c r="NVE69" s="349"/>
      <c r="NVF69" s="349"/>
      <c r="NVG69" s="349"/>
      <c r="NVH69" s="349"/>
      <c r="NVI69" s="349"/>
      <c r="NVJ69" s="349"/>
      <c r="NVK69" s="349"/>
      <c r="NVL69" s="349"/>
      <c r="NVM69" s="349"/>
      <c r="NVN69" s="349"/>
      <c r="NVO69" s="349"/>
      <c r="NVP69" s="349"/>
      <c r="NVQ69" s="349"/>
      <c r="NVR69" s="349"/>
      <c r="NVS69" s="349"/>
      <c r="NVT69" s="349"/>
      <c r="NVU69" s="349"/>
      <c r="NVV69" s="349"/>
      <c r="NVW69" s="349"/>
      <c r="NVX69" s="349"/>
      <c r="NVY69" s="349"/>
      <c r="NVZ69" s="349"/>
      <c r="NWA69" s="349"/>
      <c r="NWB69" s="349"/>
      <c r="NWC69" s="349"/>
      <c r="NWD69" s="349"/>
      <c r="NWE69" s="349"/>
      <c r="NWF69" s="349"/>
      <c r="NWG69" s="349"/>
      <c r="NWH69" s="349"/>
      <c r="NWI69" s="349"/>
      <c r="NWJ69" s="349"/>
      <c r="NWK69" s="349"/>
      <c r="NWL69" s="349"/>
      <c r="NWM69" s="349"/>
      <c r="NWN69" s="349"/>
      <c r="NWO69" s="349"/>
      <c r="NWP69" s="349"/>
      <c r="NWQ69" s="349"/>
      <c r="NWR69" s="349"/>
      <c r="NWS69" s="349"/>
      <c r="NWT69" s="349"/>
      <c r="NWU69" s="349"/>
      <c r="NWV69" s="349"/>
      <c r="NWW69" s="349"/>
      <c r="NWX69" s="349"/>
      <c r="NWY69" s="349"/>
      <c r="NWZ69" s="349"/>
      <c r="NXA69" s="349"/>
      <c r="NXB69" s="349"/>
      <c r="NXC69" s="349"/>
      <c r="NXD69" s="349"/>
      <c r="NXE69" s="349"/>
      <c r="NXF69" s="349"/>
      <c r="NXG69" s="349"/>
      <c r="NXH69" s="349"/>
      <c r="NXI69" s="349"/>
      <c r="NXJ69" s="349"/>
      <c r="NXK69" s="349"/>
      <c r="NXL69" s="349"/>
      <c r="NXM69" s="349"/>
      <c r="NXN69" s="349"/>
      <c r="NXO69" s="349"/>
      <c r="NXP69" s="349"/>
      <c r="NXQ69" s="349"/>
      <c r="NXR69" s="349"/>
      <c r="NXS69" s="349"/>
      <c r="NXT69" s="349"/>
      <c r="NXU69" s="349"/>
      <c r="NXV69" s="349"/>
      <c r="NXW69" s="349"/>
      <c r="NXX69" s="349"/>
      <c r="NXY69" s="349"/>
      <c r="NXZ69" s="349"/>
      <c r="NYA69" s="349"/>
      <c r="NYB69" s="349"/>
      <c r="NYC69" s="349"/>
      <c r="NYD69" s="349"/>
      <c r="NYE69" s="349"/>
      <c r="NYF69" s="349"/>
      <c r="NYG69" s="349"/>
      <c r="NYH69" s="349"/>
      <c r="NYI69" s="349"/>
      <c r="NYJ69" s="349"/>
      <c r="NYK69" s="349"/>
      <c r="NYL69" s="349"/>
      <c r="NYM69" s="349"/>
      <c r="NYN69" s="349"/>
      <c r="NYO69" s="349"/>
      <c r="NYP69" s="349"/>
      <c r="NYQ69" s="349"/>
      <c r="NYR69" s="349"/>
      <c r="NYS69" s="349"/>
      <c r="NYT69" s="349"/>
      <c r="NYU69" s="349"/>
      <c r="NYV69" s="349"/>
      <c r="NYW69" s="349"/>
      <c r="NYX69" s="349"/>
      <c r="NYY69" s="349"/>
      <c r="NYZ69" s="349"/>
      <c r="NZA69" s="349"/>
      <c r="NZB69" s="349"/>
      <c r="NZC69" s="349"/>
      <c r="NZD69" s="349"/>
      <c r="NZE69" s="349"/>
      <c r="NZF69" s="349"/>
      <c r="NZG69" s="349"/>
      <c r="NZH69" s="349"/>
      <c r="NZI69" s="349"/>
      <c r="NZJ69" s="349"/>
      <c r="NZK69" s="349"/>
      <c r="NZL69" s="349"/>
      <c r="NZM69" s="349"/>
      <c r="NZN69" s="349"/>
      <c r="NZO69" s="349"/>
      <c r="NZP69" s="349"/>
      <c r="NZQ69" s="349"/>
      <c r="NZR69" s="349"/>
      <c r="NZS69" s="349"/>
      <c r="NZT69" s="349"/>
      <c r="NZU69" s="349"/>
      <c r="NZV69" s="349"/>
      <c r="NZW69" s="349"/>
      <c r="NZX69" s="349"/>
      <c r="NZY69" s="349"/>
      <c r="NZZ69" s="349"/>
      <c r="OAA69" s="349"/>
      <c r="OAB69" s="349"/>
      <c r="OAC69" s="349"/>
      <c r="OAD69" s="349"/>
      <c r="OAE69" s="349"/>
      <c r="OAF69" s="349"/>
      <c r="OAG69" s="349"/>
      <c r="OAH69" s="349"/>
      <c r="OAI69" s="349"/>
      <c r="OAJ69" s="349"/>
      <c r="OAK69" s="349"/>
      <c r="OAL69" s="349"/>
      <c r="OAM69" s="349"/>
      <c r="OAN69" s="349"/>
      <c r="OAO69" s="349"/>
      <c r="OAP69" s="349"/>
      <c r="OAQ69" s="349"/>
      <c r="OAR69" s="349"/>
      <c r="OAS69" s="349"/>
      <c r="OAT69" s="349"/>
      <c r="OAU69" s="349"/>
      <c r="OAV69" s="349"/>
      <c r="OAW69" s="349"/>
      <c r="OAX69" s="349"/>
      <c r="OAY69" s="349"/>
      <c r="OAZ69" s="349"/>
      <c r="OBA69" s="349"/>
      <c r="OBB69" s="349"/>
      <c r="OBC69" s="349"/>
      <c r="OBD69" s="349"/>
      <c r="OBE69" s="349"/>
      <c r="OBF69" s="349"/>
      <c r="OBG69" s="349"/>
      <c r="OBH69" s="349"/>
      <c r="OBI69" s="349"/>
      <c r="OBJ69" s="349"/>
      <c r="OBK69" s="349"/>
      <c r="OBL69" s="349"/>
      <c r="OBM69" s="349"/>
      <c r="OBN69" s="349"/>
      <c r="OBO69" s="349"/>
      <c r="OBP69" s="349"/>
      <c r="OBQ69" s="349"/>
      <c r="OBR69" s="349"/>
      <c r="OBS69" s="349"/>
      <c r="OBT69" s="349"/>
      <c r="OBU69" s="349"/>
      <c r="OBV69" s="349"/>
      <c r="OBW69" s="349"/>
      <c r="OBX69" s="349"/>
      <c r="OBY69" s="349"/>
      <c r="OBZ69" s="349"/>
      <c r="OCA69" s="349"/>
      <c r="OCB69" s="349"/>
      <c r="OCC69" s="349"/>
      <c r="OCD69" s="349"/>
      <c r="OCE69" s="349"/>
      <c r="OCF69" s="349"/>
      <c r="OCG69" s="349"/>
      <c r="OCH69" s="349"/>
      <c r="OCI69" s="349"/>
      <c r="OCJ69" s="349"/>
      <c r="OCK69" s="349"/>
      <c r="OCL69" s="349"/>
      <c r="OCM69" s="349"/>
      <c r="OCN69" s="349"/>
      <c r="OCO69" s="349"/>
      <c r="OCP69" s="349"/>
      <c r="OCQ69" s="349"/>
      <c r="OCR69" s="349"/>
      <c r="OCS69" s="349"/>
      <c r="OCT69" s="349"/>
      <c r="OCU69" s="349"/>
      <c r="OCV69" s="349"/>
      <c r="OCW69" s="349"/>
      <c r="OCX69" s="349"/>
      <c r="OCY69" s="349"/>
      <c r="OCZ69" s="349"/>
      <c r="ODA69" s="349"/>
      <c r="ODB69" s="349"/>
      <c r="ODC69" s="349"/>
      <c r="ODD69" s="349"/>
      <c r="ODE69" s="349"/>
      <c r="ODF69" s="349"/>
      <c r="ODG69" s="349"/>
      <c r="ODH69" s="349"/>
      <c r="ODI69" s="349"/>
      <c r="ODJ69" s="349"/>
      <c r="ODK69" s="349"/>
      <c r="ODL69" s="349"/>
      <c r="ODM69" s="349"/>
      <c r="ODN69" s="349"/>
      <c r="ODO69" s="349"/>
      <c r="ODP69" s="349"/>
      <c r="ODQ69" s="349"/>
      <c r="ODR69" s="349"/>
      <c r="ODS69" s="349"/>
      <c r="ODT69" s="349"/>
      <c r="ODU69" s="349"/>
      <c r="ODV69" s="349"/>
      <c r="ODW69" s="349"/>
      <c r="ODX69" s="349"/>
      <c r="ODY69" s="349"/>
      <c r="ODZ69" s="349"/>
      <c r="OEA69" s="349"/>
      <c r="OEB69" s="349"/>
      <c r="OEC69" s="349"/>
      <c r="OED69" s="349"/>
      <c r="OEE69" s="349"/>
      <c r="OEF69" s="349"/>
      <c r="OEG69" s="349"/>
      <c r="OEH69" s="349"/>
      <c r="OEI69" s="349"/>
      <c r="OEJ69" s="349"/>
      <c r="OEK69" s="349"/>
      <c r="OEL69" s="349"/>
      <c r="OEM69" s="349"/>
      <c r="OEN69" s="349"/>
      <c r="OEO69" s="349"/>
      <c r="OEP69" s="349"/>
      <c r="OEQ69" s="349"/>
      <c r="OER69" s="349"/>
      <c r="OES69" s="349"/>
      <c r="OET69" s="349"/>
      <c r="OEU69" s="349"/>
      <c r="OEV69" s="349"/>
      <c r="OEW69" s="349"/>
      <c r="OEX69" s="349"/>
      <c r="OEY69" s="349"/>
      <c r="OEZ69" s="349"/>
      <c r="OFA69" s="349"/>
      <c r="OFB69" s="349"/>
      <c r="OFC69" s="349"/>
      <c r="OFD69" s="349"/>
      <c r="OFE69" s="349"/>
      <c r="OFF69" s="349"/>
      <c r="OFG69" s="349"/>
      <c r="OFH69" s="349"/>
      <c r="OFI69" s="349"/>
      <c r="OFJ69" s="349"/>
      <c r="OFK69" s="349"/>
      <c r="OFL69" s="349"/>
      <c r="OFM69" s="349"/>
      <c r="OFN69" s="349"/>
      <c r="OFO69" s="349"/>
      <c r="OFP69" s="349"/>
      <c r="OFQ69" s="349"/>
      <c r="OFR69" s="349"/>
      <c r="OFS69" s="349"/>
      <c r="OFT69" s="349"/>
      <c r="OFU69" s="349"/>
      <c r="OFV69" s="349"/>
      <c r="OFW69" s="349"/>
      <c r="OFX69" s="349"/>
      <c r="OFY69" s="349"/>
      <c r="OFZ69" s="349"/>
      <c r="OGA69" s="349"/>
      <c r="OGB69" s="349"/>
      <c r="OGC69" s="349"/>
      <c r="OGD69" s="349"/>
      <c r="OGE69" s="349"/>
      <c r="OGF69" s="349"/>
      <c r="OGG69" s="349"/>
      <c r="OGH69" s="349"/>
      <c r="OGI69" s="349"/>
      <c r="OGJ69" s="349"/>
      <c r="OGK69" s="349"/>
      <c r="OGL69" s="349"/>
      <c r="OGM69" s="349"/>
      <c r="OGN69" s="349"/>
      <c r="OGO69" s="349"/>
      <c r="OGP69" s="349"/>
      <c r="OGQ69" s="349"/>
      <c r="OGR69" s="349"/>
      <c r="OGS69" s="349"/>
      <c r="OGT69" s="349"/>
      <c r="OGU69" s="349"/>
      <c r="OGV69" s="349"/>
      <c r="OGW69" s="349"/>
      <c r="OGX69" s="349"/>
      <c r="OGY69" s="349"/>
      <c r="OGZ69" s="349"/>
      <c r="OHA69" s="349"/>
      <c r="OHB69" s="349"/>
      <c r="OHC69" s="349"/>
      <c r="OHD69" s="349"/>
      <c r="OHE69" s="349"/>
      <c r="OHF69" s="349"/>
      <c r="OHG69" s="349"/>
      <c r="OHH69" s="349"/>
      <c r="OHI69" s="349"/>
      <c r="OHJ69" s="349"/>
      <c r="OHK69" s="349"/>
      <c r="OHL69" s="349"/>
      <c r="OHM69" s="349"/>
      <c r="OHN69" s="349"/>
      <c r="OHO69" s="349"/>
      <c r="OHP69" s="349"/>
      <c r="OHQ69" s="349"/>
      <c r="OHR69" s="349"/>
      <c r="OHS69" s="349"/>
      <c r="OHT69" s="349"/>
      <c r="OHU69" s="349"/>
      <c r="OHV69" s="349"/>
      <c r="OHW69" s="349"/>
      <c r="OHX69" s="349"/>
      <c r="OHY69" s="349"/>
      <c r="OHZ69" s="349"/>
      <c r="OIA69" s="349"/>
      <c r="OIB69" s="349"/>
      <c r="OIC69" s="349"/>
      <c r="OID69" s="349"/>
      <c r="OIE69" s="349"/>
      <c r="OIF69" s="349"/>
      <c r="OIG69" s="349"/>
      <c r="OIH69" s="349"/>
      <c r="OII69" s="349"/>
      <c r="OIJ69" s="349"/>
      <c r="OIK69" s="349"/>
      <c r="OIL69" s="349"/>
      <c r="OIM69" s="349"/>
      <c r="OIN69" s="349"/>
      <c r="OIO69" s="349"/>
      <c r="OIP69" s="349"/>
      <c r="OIQ69" s="349"/>
      <c r="OIR69" s="349"/>
      <c r="OIS69" s="349"/>
      <c r="OIT69" s="349"/>
      <c r="OIU69" s="349"/>
      <c r="OIV69" s="349"/>
      <c r="OIW69" s="349"/>
      <c r="OIX69" s="349"/>
      <c r="OIY69" s="349"/>
      <c r="OIZ69" s="349"/>
      <c r="OJA69" s="349"/>
      <c r="OJB69" s="349"/>
      <c r="OJC69" s="349"/>
      <c r="OJD69" s="349"/>
      <c r="OJE69" s="349"/>
      <c r="OJF69" s="349"/>
      <c r="OJG69" s="349"/>
      <c r="OJH69" s="349"/>
      <c r="OJI69" s="349"/>
      <c r="OJJ69" s="349"/>
      <c r="OJK69" s="349"/>
      <c r="OJL69" s="349"/>
      <c r="OJM69" s="349"/>
      <c r="OJN69" s="349"/>
      <c r="OJO69" s="349"/>
      <c r="OJP69" s="349"/>
      <c r="OJQ69" s="349"/>
      <c r="OJR69" s="349"/>
      <c r="OJS69" s="349"/>
      <c r="OJT69" s="349"/>
      <c r="OJU69" s="349"/>
      <c r="OJV69" s="349"/>
      <c r="OJW69" s="349"/>
      <c r="OJX69" s="349"/>
      <c r="OJY69" s="349"/>
      <c r="OJZ69" s="349"/>
      <c r="OKA69" s="349"/>
      <c r="OKB69" s="349"/>
      <c r="OKC69" s="349"/>
      <c r="OKD69" s="349"/>
      <c r="OKE69" s="349"/>
      <c r="OKF69" s="349"/>
      <c r="OKG69" s="349"/>
      <c r="OKH69" s="349"/>
      <c r="OKI69" s="349"/>
      <c r="OKJ69" s="349"/>
      <c r="OKK69" s="349"/>
      <c r="OKL69" s="349"/>
      <c r="OKM69" s="349"/>
      <c r="OKN69" s="349"/>
      <c r="OKO69" s="349"/>
      <c r="OKP69" s="349"/>
      <c r="OKQ69" s="349"/>
      <c r="OKR69" s="349"/>
      <c r="OKS69" s="349"/>
      <c r="OKT69" s="349"/>
      <c r="OKU69" s="349"/>
      <c r="OKV69" s="349"/>
      <c r="OKW69" s="349"/>
      <c r="OKX69" s="349"/>
      <c r="OKY69" s="349"/>
      <c r="OKZ69" s="349"/>
      <c r="OLA69" s="349"/>
      <c r="OLB69" s="349"/>
      <c r="OLC69" s="349"/>
      <c r="OLD69" s="349"/>
      <c r="OLE69" s="349"/>
      <c r="OLF69" s="349"/>
      <c r="OLG69" s="349"/>
      <c r="OLH69" s="349"/>
      <c r="OLI69" s="349"/>
      <c r="OLJ69" s="349"/>
      <c r="OLK69" s="349"/>
      <c r="OLL69" s="349"/>
      <c r="OLM69" s="349"/>
      <c r="OLN69" s="349"/>
      <c r="OLO69" s="349"/>
      <c r="OLP69" s="349"/>
      <c r="OLQ69" s="349"/>
      <c r="OLR69" s="349"/>
      <c r="OLS69" s="349"/>
      <c r="OLT69" s="349"/>
      <c r="OLU69" s="349"/>
      <c r="OLV69" s="349"/>
      <c r="OLW69" s="349"/>
      <c r="OLX69" s="349"/>
      <c r="OLY69" s="349"/>
      <c r="OLZ69" s="349"/>
      <c r="OMA69" s="349"/>
      <c r="OMB69" s="349"/>
      <c r="OMC69" s="349"/>
      <c r="OMD69" s="349"/>
      <c r="OME69" s="349"/>
      <c r="OMF69" s="349"/>
      <c r="OMG69" s="349"/>
      <c r="OMH69" s="349"/>
      <c r="OMI69" s="349"/>
      <c r="OMJ69" s="349"/>
      <c r="OMK69" s="349"/>
      <c r="OML69" s="349"/>
      <c r="OMM69" s="349"/>
      <c r="OMN69" s="349"/>
      <c r="OMO69" s="349"/>
      <c r="OMP69" s="349"/>
      <c r="OMQ69" s="349"/>
      <c r="OMR69" s="349"/>
      <c r="OMS69" s="349"/>
      <c r="OMT69" s="349"/>
      <c r="OMU69" s="349"/>
      <c r="OMV69" s="349"/>
      <c r="OMW69" s="349"/>
      <c r="OMX69" s="349"/>
      <c r="OMY69" s="349"/>
      <c r="OMZ69" s="349"/>
      <c r="ONA69" s="349"/>
      <c r="ONB69" s="349"/>
      <c r="ONC69" s="349"/>
      <c r="OND69" s="349"/>
      <c r="ONE69" s="349"/>
      <c r="ONF69" s="349"/>
      <c r="ONG69" s="349"/>
      <c r="ONH69" s="349"/>
      <c r="ONI69" s="349"/>
      <c r="ONJ69" s="349"/>
      <c r="ONK69" s="349"/>
      <c r="ONL69" s="349"/>
      <c r="ONM69" s="349"/>
      <c r="ONN69" s="349"/>
      <c r="ONO69" s="349"/>
      <c r="ONP69" s="349"/>
      <c r="ONQ69" s="349"/>
      <c r="ONR69" s="349"/>
      <c r="ONS69" s="349"/>
      <c r="ONT69" s="349"/>
      <c r="ONU69" s="349"/>
      <c r="ONV69" s="349"/>
      <c r="ONW69" s="349"/>
      <c r="ONX69" s="349"/>
      <c r="ONY69" s="349"/>
      <c r="ONZ69" s="349"/>
      <c r="OOA69" s="349"/>
      <c r="OOB69" s="349"/>
      <c r="OOC69" s="349"/>
      <c r="OOD69" s="349"/>
      <c r="OOE69" s="349"/>
      <c r="OOF69" s="349"/>
      <c r="OOG69" s="349"/>
      <c r="OOH69" s="349"/>
      <c r="OOI69" s="349"/>
      <c r="OOJ69" s="349"/>
      <c r="OOK69" s="349"/>
      <c r="OOL69" s="349"/>
      <c r="OOM69" s="349"/>
      <c r="OON69" s="349"/>
      <c r="OOO69" s="349"/>
      <c r="OOP69" s="349"/>
      <c r="OOQ69" s="349"/>
      <c r="OOR69" s="349"/>
      <c r="OOS69" s="349"/>
      <c r="OOT69" s="349"/>
      <c r="OOU69" s="349"/>
      <c r="OOV69" s="349"/>
      <c r="OOW69" s="349"/>
      <c r="OOX69" s="349"/>
      <c r="OOY69" s="349"/>
      <c r="OOZ69" s="349"/>
      <c r="OPA69" s="349"/>
      <c r="OPB69" s="349"/>
      <c r="OPC69" s="349"/>
      <c r="OPD69" s="349"/>
      <c r="OPE69" s="349"/>
      <c r="OPF69" s="349"/>
      <c r="OPG69" s="349"/>
      <c r="OPH69" s="349"/>
      <c r="OPI69" s="349"/>
      <c r="OPJ69" s="349"/>
      <c r="OPK69" s="349"/>
      <c r="OPL69" s="349"/>
      <c r="OPM69" s="349"/>
      <c r="OPN69" s="349"/>
      <c r="OPO69" s="349"/>
      <c r="OPP69" s="349"/>
      <c r="OPQ69" s="349"/>
      <c r="OPR69" s="349"/>
      <c r="OPS69" s="349"/>
      <c r="OPT69" s="349"/>
      <c r="OPU69" s="349"/>
      <c r="OPV69" s="349"/>
      <c r="OPW69" s="349"/>
      <c r="OPX69" s="349"/>
      <c r="OPY69" s="349"/>
      <c r="OPZ69" s="349"/>
      <c r="OQA69" s="349"/>
      <c r="OQB69" s="349"/>
      <c r="OQC69" s="349"/>
      <c r="OQD69" s="349"/>
      <c r="OQE69" s="349"/>
      <c r="OQF69" s="349"/>
      <c r="OQG69" s="349"/>
      <c r="OQH69" s="349"/>
      <c r="OQI69" s="349"/>
      <c r="OQJ69" s="349"/>
      <c r="OQK69" s="349"/>
      <c r="OQL69" s="349"/>
      <c r="OQM69" s="349"/>
      <c r="OQN69" s="349"/>
      <c r="OQO69" s="349"/>
      <c r="OQP69" s="349"/>
      <c r="OQQ69" s="349"/>
      <c r="OQR69" s="349"/>
      <c r="OQS69" s="349"/>
      <c r="OQT69" s="349"/>
      <c r="OQU69" s="349"/>
      <c r="OQV69" s="349"/>
      <c r="OQW69" s="349"/>
      <c r="OQX69" s="349"/>
      <c r="OQY69" s="349"/>
      <c r="OQZ69" s="349"/>
      <c r="ORA69" s="349"/>
      <c r="ORB69" s="349"/>
      <c r="ORC69" s="349"/>
      <c r="ORD69" s="349"/>
      <c r="ORE69" s="349"/>
      <c r="ORF69" s="349"/>
      <c r="ORG69" s="349"/>
      <c r="ORH69" s="349"/>
      <c r="ORI69" s="349"/>
      <c r="ORJ69" s="349"/>
      <c r="ORK69" s="349"/>
      <c r="ORL69" s="349"/>
      <c r="ORM69" s="349"/>
      <c r="ORN69" s="349"/>
      <c r="ORO69" s="349"/>
      <c r="ORP69" s="349"/>
      <c r="ORQ69" s="349"/>
      <c r="ORR69" s="349"/>
      <c r="ORS69" s="349"/>
      <c r="ORT69" s="349"/>
      <c r="ORU69" s="349"/>
      <c r="ORV69" s="349"/>
      <c r="ORW69" s="349"/>
      <c r="ORX69" s="349"/>
      <c r="ORY69" s="349"/>
      <c r="ORZ69" s="349"/>
      <c r="OSA69" s="349"/>
      <c r="OSB69" s="349"/>
      <c r="OSC69" s="349"/>
      <c r="OSD69" s="349"/>
      <c r="OSE69" s="349"/>
      <c r="OSF69" s="349"/>
      <c r="OSG69" s="349"/>
      <c r="OSH69" s="349"/>
      <c r="OSI69" s="349"/>
      <c r="OSJ69" s="349"/>
      <c r="OSK69" s="349"/>
      <c r="OSL69" s="349"/>
      <c r="OSM69" s="349"/>
      <c r="OSN69" s="349"/>
      <c r="OSO69" s="349"/>
      <c r="OSP69" s="349"/>
      <c r="OSQ69" s="349"/>
      <c r="OSR69" s="349"/>
      <c r="OSS69" s="349"/>
      <c r="OST69" s="349"/>
      <c r="OSU69" s="349"/>
      <c r="OSV69" s="349"/>
      <c r="OSW69" s="349"/>
      <c r="OSX69" s="349"/>
      <c r="OSY69" s="349"/>
      <c r="OSZ69" s="349"/>
      <c r="OTA69" s="349"/>
      <c r="OTB69" s="349"/>
      <c r="OTC69" s="349"/>
      <c r="OTD69" s="349"/>
      <c r="OTE69" s="349"/>
      <c r="OTF69" s="349"/>
      <c r="OTG69" s="349"/>
      <c r="OTH69" s="349"/>
      <c r="OTI69" s="349"/>
      <c r="OTJ69" s="349"/>
      <c r="OTK69" s="349"/>
      <c r="OTL69" s="349"/>
      <c r="OTM69" s="349"/>
      <c r="OTN69" s="349"/>
      <c r="OTO69" s="349"/>
      <c r="OTP69" s="349"/>
      <c r="OTQ69" s="349"/>
      <c r="OTR69" s="349"/>
      <c r="OTS69" s="349"/>
      <c r="OTT69" s="349"/>
      <c r="OTU69" s="349"/>
      <c r="OTV69" s="349"/>
      <c r="OTW69" s="349"/>
      <c r="OTX69" s="349"/>
      <c r="OTY69" s="349"/>
      <c r="OTZ69" s="349"/>
      <c r="OUA69" s="349"/>
      <c r="OUB69" s="349"/>
      <c r="OUC69" s="349"/>
      <c r="OUD69" s="349"/>
      <c r="OUE69" s="349"/>
      <c r="OUF69" s="349"/>
      <c r="OUG69" s="349"/>
      <c r="OUH69" s="349"/>
      <c r="OUI69" s="349"/>
      <c r="OUJ69" s="349"/>
      <c r="OUK69" s="349"/>
      <c r="OUL69" s="349"/>
      <c r="OUM69" s="349"/>
      <c r="OUN69" s="349"/>
      <c r="OUO69" s="349"/>
      <c r="OUP69" s="349"/>
      <c r="OUQ69" s="349"/>
      <c r="OUR69" s="349"/>
      <c r="OUS69" s="349"/>
      <c r="OUT69" s="349"/>
      <c r="OUU69" s="349"/>
      <c r="OUV69" s="349"/>
      <c r="OUW69" s="349"/>
      <c r="OUX69" s="349"/>
      <c r="OUY69" s="349"/>
      <c r="OUZ69" s="349"/>
      <c r="OVA69" s="349"/>
      <c r="OVB69" s="349"/>
      <c r="OVC69" s="349"/>
      <c r="OVD69" s="349"/>
      <c r="OVE69" s="349"/>
      <c r="OVF69" s="349"/>
      <c r="OVG69" s="349"/>
      <c r="OVH69" s="349"/>
      <c r="OVI69" s="349"/>
      <c r="OVJ69" s="349"/>
      <c r="OVK69" s="349"/>
      <c r="OVL69" s="349"/>
      <c r="OVM69" s="349"/>
      <c r="OVN69" s="349"/>
      <c r="OVO69" s="349"/>
      <c r="OVP69" s="349"/>
      <c r="OVQ69" s="349"/>
      <c r="OVR69" s="349"/>
      <c r="OVS69" s="349"/>
      <c r="OVT69" s="349"/>
      <c r="OVU69" s="349"/>
      <c r="OVV69" s="349"/>
      <c r="OVW69" s="349"/>
      <c r="OVX69" s="349"/>
      <c r="OVY69" s="349"/>
      <c r="OVZ69" s="349"/>
      <c r="OWA69" s="349"/>
      <c r="OWB69" s="349"/>
      <c r="OWC69" s="349"/>
      <c r="OWD69" s="349"/>
      <c r="OWE69" s="349"/>
      <c r="OWF69" s="349"/>
      <c r="OWG69" s="349"/>
      <c r="OWH69" s="349"/>
      <c r="OWI69" s="349"/>
      <c r="OWJ69" s="349"/>
      <c r="OWK69" s="349"/>
      <c r="OWL69" s="349"/>
      <c r="OWM69" s="349"/>
      <c r="OWN69" s="349"/>
      <c r="OWO69" s="349"/>
      <c r="OWP69" s="349"/>
      <c r="OWQ69" s="349"/>
      <c r="OWR69" s="349"/>
      <c r="OWS69" s="349"/>
      <c r="OWT69" s="349"/>
      <c r="OWU69" s="349"/>
      <c r="OWV69" s="349"/>
      <c r="OWW69" s="349"/>
      <c r="OWX69" s="349"/>
      <c r="OWY69" s="349"/>
      <c r="OWZ69" s="349"/>
      <c r="OXA69" s="349"/>
      <c r="OXB69" s="349"/>
      <c r="OXC69" s="349"/>
      <c r="OXD69" s="349"/>
      <c r="OXE69" s="349"/>
      <c r="OXF69" s="349"/>
      <c r="OXG69" s="349"/>
      <c r="OXH69" s="349"/>
      <c r="OXI69" s="349"/>
      <c r="OXJ69" s="349"/>
      <c r="OXK69" s="349"/>
      <c r="OXL69" s="349"/>
      <c r="OXM69" s="349"/>
      <c r="OXN69" s="349"/>
      <c r="OXO69" s="349"/>
      <c r="OXP69" s="349"/>
      <c r="OXQ69" s="349"/>
      <c r="OXR69" s="349"/>
      <c r="OXS69" s="349"/>
      <c r="OXT69" s="349"/>
      <c r="OXU69" s="349"/>
      <c r="OXV69" s="349"/>
      <c r="OXW69" s="349"/>
      <c r="OXX69" s="349"/>
      <c r="OXY69" s="349"/>
      <c r="OXZ69" s="349"/>
      <c r="OYA69" s="349"/>
      <c r="OYB69" s="349"/>
      <c r="OYC69" s="349"/>
      <c r="OYD69" s="349"/>
      <c r="OYE69" s="349"/>
      <c r="OYF69" s="349"/>
      <c r="OYG69" s="349"/>
      <c r="OYH69" s="349"/>
      <c r="OYI69" s="349"/>
      <c r="OYJ69" s="349"/>
      <c r="OYK69" s="349"/>
      <c r="OYL69" s="349"/>
      <c r="OYM69" s="349"/>
      <c r="OYN69" s="349"/>
      <c r="OYO69" s="349"/>
      <c r="OYP69" s="349"/>
      <c r="OYQ69" s="349"/>
      <c r="OYR69" s="349"/>
      <c r="OYS69" s="349"/>
      <c r="OYT69" s="349"/>
      <c r="OYU69" s="349"/>
      <c r="OYV69" s="349"/>
      <c r="OYW69" s="349"/>
      <c r="OYX69" s="349"/>
      <c r="OYY69" s="349"/>
      <c r="OYZ69" s="349"/>
      <c r="OZA69" s="349"/>
      <c r="OZB69" s="349"/>
      <c r="OZC69" s="349"/>
      <c r="OZD69" s="349"/>
      <c r="OZE69" s="349"/>
      <c r="OZF69" s="349"/>
      <c r="OZG69" s="349"/>
      <c r="OZH69" s="349"/>
      <c r="OZI69" s="349"/>
      <c r="OZJ69" s="349"/>
      <c r="OZK69" s="349"/>
      <c r="OZL69" s="349"/>
      <c r="OZM69" s="349"/>
      <c r="OZN69" s="349"/>
      <c r="OZO69" s="349"/>
      <c r="OZP69" s="349"/>
      <c r="OZQ69" s="349"/>
      <c r="OZR69" s="349"/>
      <c r="OZS69" s="349"/>
      <c r="OZT69" s="349"/>
      <c r="OZU69" s="349"/>
      <c r="OZV69" s="349"/>
      <c r="OZW69" s="349"/>
      <c r="OZX69" s="349"/>
      <c r="OZY69" s="349"/>
      <c r="OZZ69" s="349"/>
      <c r="PAA69" s="349"/>
      <c r="PAB69" s="349"/>
      <c r="PAC69" s="349"/>
      <c r="PAD69" s="349"/>
      <c r="PAE69" s="349"/>
      <c r="PAF69" s="349"/>
      <c r="PAG69" s="349"/>
      <c r="PAH69" s="349"/>
      <c r="PAI69" s="349"/>
      <c r="PAJ69" s="349"/>
      <c r="PAK69" s="349"/>
      <c r="PAL69" s="349"/>
      <c r="PAM69" s="349"/>
      <c r="PAN69" s="349"/>
      <c r="PAO69" s="349"/>
      <c r="PAP69" s="349"/>
      <c r="PAQ69" s="349"/>
      <c r="PAR69" s="349"/>
      <c r="PAS69" s="349"/>
      <c r="PAT69" s="349"/>
      <c r="PAU69" s="349"/>
      <c r="PAV69" s="349"/>
      <c r="PAW69" s="349"/>
      <c r="PAX69" s="349"/>
      <c r="PAY69" s="349"/>
      <c r="PAZ69" s="349"/>
      <c r="PBA69" s="349"/>
      <c r="PBB69" s="349"/>
      <c r="PBC69" s="349"/>
      <c r="PBD69" s="349"/>
      <c r="PBE69" s="349"/>
      <c r="PBF69" s="349"/>
      <c r="PBG69" s="349"/>
      <c r="PBH69" s="349"/>
      <c r="PBI69" s="349"/>
      <c r="PBJ69" s="349"/>
      <c r="PBK69" s="349"/>
      <c r="PBL69" s="349"/>
      <c r="PBM69" s="349"/>
      <c r="PBN69" s="349"/>
      <c r="PBO69" s="349"/>
      <c r="PBP69" s="349"/>
      <c r="PBQ69" s="349"/>
      <c r="PBR69" s="349"/>
      <c r="PBS69" s="349"/>
      <c r="PBT69" s="349"/>
      <c r="PBU69" s="349"/>
      <c r="PBV69" s="349"/>
      <c r="PBW69" s="349"/>
      <c r="PBX69" s="349"/>
      <c r="PBY69" s="349"/>
      <c r="PBZ69" s="349"/>
      <c r="PCA69" s="349"/>
      <c r="PCB69" s="349"/>
      <c r="PCC69" s="349"/>
      <c r="PCD69" s="349"/>
      <c r="PCE69" s="349"/>
      <c r="PCF69" s="349"/>
      <c r="PCG69" s="349"/>
      <c r="PCH69" s="349"/>
      <c r="PCI69" s="349"/>
      <c r="PCJ69" s="349"/>
      <c r="PCK69" s="349"/>
      <c r="PCL69" s="349"/>
      <c r="PCM69" s="349"/>
      <c r="PCN69" s="349"/>
      <c r="PCO69" s="349"/>
      <c r="PCP69" s="349"/>
      <c r="PCQ69" s="349"/>
      <c r="PCR69" s="349"/>
      <c r="PCS69" s="349"/>
      <c r="PCT69" s="349"/>
      <c r="PCU69" s="349"/>
      <c r="PCV69" s="349"/>
      <c r="PCW69" s="349"/>
      <c r="PCX69" s="349"/>
      <c r="PCY69" s="349"/>
      <c r="PCZ69" s="349"/>
      <c r="PDA69" s="349"/>
      <c r="PDB69" s="349"/>
      <c r="PDC69" s="349"/>
      <c r="PDD69" s="349"/>
      <c r="PDE69" s="349"/>
      <c r="PDF69" s="349"/>
      <c r="PDG69" s="349"/>
      <c r="PDH69" s="349"/>
      <c r="PDI69" s="349"/>
      <c r="PDJ69" s="349"/>
      <c r="PDK69" s="349"/>
      <c r="PDL69" s="349"/>
      <c r="PDM69" s="349"/>
      <c r="PDN69" s="349"/>
      <c r="PDO69" s="349"/>
      <c r="PDP69" s="349"/>
      <c r="PDQ69" s="349"/>
      <c r="PDR69" s="349"/>
      <c r="PDS69" s="349"/>
      <c r="PDT69" s="349"/>
      <c r="PDU69" s="349"/>
      <c r="PDV69" s="349"/>
      <c r="PDW69" s="349"/>
      <c r="PDX69" s="349"/>
      <c r="PDY69" s="349"/>
      <c r="PDZ69" s="349"/>
      <c r="PEA69" s="349"/>
      <c r="PEB69" s="349"/>
      <c r="PEC69" s="349"/>
      <c r="PED69" s="349"/>
      <c r="PEE69" s="349"/>
      <c r="PEF69" s="349"/>
      <c r="PEG69" s="349"/>
      <c r="PEH69" s="349"/>
      <c r="PEI69" s="349"/>
      <c r="PEJ69" s="349"/>
      <c r="PEK69" s="349"/>
      <c r="PEL69" s="349"/>
      <c r="PEM69" s="349"/>
      <c r="PEN69" s="349"/>
      <c r="PEO69" s="349"/>
      <c r="PEP69" s="349"/>
      <c r="PEQ69" s="349"/>
      <c r="PER69" s="349"/>
      <c r="PES69" s="349"/>
      <c r="PET69" s="349"/>
      <c r="PEU69" s="349"/>
      <c r="PEV69" s="349"/>
      <c r="PEW69" s="349"/>
      <c r="PEX69" s="349"/>
      <c r="PEY69" s="349"/>
      <c r="PEZ69" s="349"/>
      <c r="PFA69" s="349"/>
      <c r="PFB69" s="349"/>
      <c r="PFC69" s="349"/>
      <c r="PFD69" s="349"/>
      <c r="PFE69" s="349"/>
      <c r="PFF69" s="349"/>
      <c r="PFG69" s="349"/>
      <c r="PFH69" s="349"/>
      <c r="PFI69" s="349"/>
      <c r="PFJ69" s="349"/>
      <c r="PFK69" s="349"/>
      <c r="PFL69" s="349"/>
      <c r="PFM69" s="349"/>
      <c r="PFN69" s="349"/>
      <c r="PFO69" s="349"/>
      <c r="PFP69" s="349"/>
      <c r="PFQ69" s="349"/>
      <c r="PFR69" s="349"/>
      <c r="PFS69" s="349"/>
      <c r="PFT69" s="349"/>
      <c r="PFU69" s="349"/>
      <c r="PFV69" s="349"/>
      <c r="PFW69" s="349"/>
      <c r="PFX69" s="349"/>
      <c r="PFY69" s="349"/>
      <c r="PFZ69" s="349"/>
      <c r="PGA69" s="349"/>
      <c r="PGB69" s="349"/>
      <c r="PGC69" s="349"/>
      <c r="PGD69" s="349"/>
      <c r="PGE69" s="349"/>
      <c r="PGF69" s="349"/>
      <c r="PGG69" s="349"/>
      <c r="PGH69" s="349"/>
      <c r="PGI69" s="349"/>
      <c r="PGJ69" s="349"/>
      <c r="PGK69" s="349"/>
      <c r="PGL69" s="349"/>
      <c r="PGM69" s="349"/>
      <c r="PGN69" s="349"/>
      <c r="PGO69" s="349"/>
      <c r="PGP69" s="349"/>
      <c r="PGQ69" s="349"/>
      <c r="PGR69" s="349"/>
      <c r="PGS69" s="349"/>
      <c r="PGT69" s="349"/>
      <c r="PGU69" s="349"/>
      <c r="PGV69" s="349"/>
      <c r="PGW69" s="349"/>
      <c r="PGX69" s="349"/>
      <c r="PGY69" s="349"/>
      <c r="PGZ69" s="349"/>
      <c r="PHA69" s="349"/>
      <c r="PHB69" s="349"/>
      <c r="PHC69" s="349"/>
      <c r="PHD69" s="349"/>
      <c r="PHE69" s="349"/>
      <c r="PHF69" s="349"/>
      <c r="PHG69" s="349"/>
      <c r="PHH69" s="349"/>
      <c r="PHI69" s="349"/>
      <c r="PHJ69" s="349"/>
      <c r="PHK69" s="349"/>
      <c r="PHL69" s="349"/>
      <c r="PHM69" s="349"/>
      <c r="PHN69" s="349"/>
      <c r="PHO69" s="349"/>
      <c r="PHP69" s="349"/>
      <c r="PHQ69" s="349"/>
      <c r="PHR69" s="349"/>
      <c r="PHS69" s="349"/>
      <c r="PHT69" s="349"/>
      <c r="PHU69" s="349"/>
      <c r="PHV69" s="349"/>
      <c r="PHW69" s="349"/>
      <c r="PHX69" s="349"/>
      <c r="PHY69" s="349"/>
      <c r="PHZ69" s="349"/>
      <c r="PIA69" s="349"/>
      <c r="PIB69" s="349"/>
      <c r="PIC69" s="349"/>
      <c r="PID69" s="349"/>
      <c r="PIE69" s="349"/>
      <c r="PIF69" s="349"/>
      <c r="PIG69" s="349"/>
      <c r="PIH69" s="349"/>
      <c r="PII69" s="349"/>
      <c r="PIJ69" s="349"/>
      <c r="PIK69" s="349"/>
      <c r="PIL69" s="349"/>
      <c r="PIM69" s="349"/>
      <c r="PIN69" s="349"/>
      <c r="PIO69" s="349"/>
      <c r="PIP69" s="349"/>
      <c r="PIQ69" s="349"/>
      <c r="PIR69" s="349"/>
      <c r="PIS69" s="349"/>
      <c r="PIT69" s="349"/>
      <c r="PIU69" s="349"/>
      <c r="PIV69" s="349"/>
      <c r="PIW69" s="349"/>
      <c r="PIX69" s="349"/>
      <c r="PIY69" s="349"/>
      <c r="PIZ69" s="349"/>
      <c r="PJA69" s="349"/>
      <c r="PJB69" s="349"/>
      <c r="PJC69" s="349"/>
      <c r="PJD69" s="349"/>
      <c r="PJE69" s="349"/>
      <c r="PJF69" s="349"/>
      <c r="PJG69" s="349"/>
      <c r="PJH69" s="349"/>
      <c r="PJI69" s="349"/>
      <c r="PJJ69" s="349"/>
      <c r="PJK69" s="349"/>
      <c r="PJL69" s="349"/>
      <c r="PJM69" s="349"/>
      <c r="PJN69" s="349"/>
      <c r="PJO69" s="349"/>
      <c r="PJP69" s="349"/>
      <c r="PJQ69" s="349"/>
      <c r="PJR69" s="349"/>
      <c r="PJS69" s="349"/>
      <c r="PJT69" s="349"/>
      <c r="PJU69" s="349"/>
      <c r="PJV69" s="349"/>
      <c r="PJW69" s="349"/>
      <c r="PJX69" s="349"/>
      <c r="PJY69" s="349"/>
      <c r="PJZ69" s="349"/>
      <c r="PKA69" s="349"/>
      <c r="PKB69" s="349"/>
      <c r="PKC69" s="349"/>
      <c r="PKD69" s="349"/>
      <c r="PKE69" s="349"/>
      <c r="PKF69" s="349"/>
      <c r="PKG69" s="349"/>
      <c r="PKH69" s="349"/>
      <c r="PKI69" s="349"/>
      <c r="PKJ69" s="349"/>
      <c r="PKK69" s="349"/>
      <c r="PKL69" s="349"/>
      <c r="PKM69" s="349"/>
      <c r="PKN69" s="349"/>
      <c r="PKO69" s="349"/>
      <c r="PKP69" s="349"/>
      <c r="PKQ69" s="349"/>
      <c r="PKR69" s="349"/>
      <c r="PKS69" s="349"/>
      <c r="PKT69" s="349"/>
      <c r="PKU69" s="349"/>
      <c r="PKV69" s="349"/>
      <c r="PKW69" s="349"/>
      <c r="PKX69" s="349"/>
      <c r="PKY69" s="349"/>
      <c r="PKZ69" s="349"/>
      <c r="PLA69" s="349"/>
      <c r="PLB69" s="349"/>
      <c r="PLC69" s="349"/>
      <c r="PLD69" s="349"/>
      <c r="PLE69" s="349"/>
      <c r="PLF69" s="349"/>
      <c r="PLG69" s="349"/>
      <c r="PLH69" s="349"/>
      <c r="PLI69" s="349"/>
      <c r="PLJ69" s="349"/>
      <c r="PLK69" s="349"/>
      <c r="PLL69" s="349"/>
      <c r="PLM69" s="349"/>
      <c r="PLN69" s="349"/>
      <c r="PLO69" s="349"/>
      <c r="PLP69" s="349"/>
      <c r="PLQ69" s="349"/>
      <c r="PLR69" s="349"/>
      <c r="PLS69" s="349"/>
      <c r="PLT69" s="349"/>
      <c r="PLU69" s="349"/>
      <c r="PLV69" s="349"/>
      <c r="PLW69" s="349"/>
      <c r="PLX69" s="349"/>
      <c r="PLY69" s="349"/>
      <c r="PLZ69" s="349"/>
      <c r="PMA69" s="349"/>
      <c r="PMB69" s="349"/>
      <c r="PMC69" s="349"/>
      <c r="PMD69" s="349"/>
      <c r="PME69" s="349"/>
      <c r="PMF69" s="349"/>
      <c r="PMG69" s="349"/>
      <c r="PMH69" s="349"/>
      <c r="PMI69" s="349"/>
      <c r="PMJ69" s="349"/>
      <c r="PMK69" s="349"/>
      <c r="PML69" s="349"/>
      <c r="PMM69" s="349"/>
      <c r="PMN69" s="349"/>
      <c r="PMO69" s="349"/>
      <c r="PMP69" s="349"/>
      <c r="PMQ69" s="349"/>
      <c r="PMR69" s="349"/>
      <c r="PMS69" s="349"/>
      <c r="PMT69" s="349"/>
      <c r="PMU69" s="349"/>
      <c r="PMV69" s="349"/>
      <c r="PMW69" s="349"/>
      <c r="PMX69" s="349"/>
      <c r="PMY69" s="349"/>
      <c r="PMZ69" s="349"/>
      <c r="PNA69" s="349"/>
      <c r="PNB69" s="349"/>
      <c r="PNC69" s="349"/>
      <c r="PND69" s="349"/>
      <c r="PNE69" s="349"/>
      <c r="PNF69" s="349"/>
      <c r="PNG69" s="349"/>
      <c r="PNH69" s="349"/>
      <c r="PNI69" s="349"/>
      <c r="PNJ69" s="349"/>
      <c r="PNK69" s="349"/>
      <c r="PNL69" s="349"/>
      <c r="PNM69" s="349"/>
      <c r="PNN69" s="349"/>
      <c r="PNO69" s="349"/>
      <c r="PNP69" s="349"/>
      <c r="PNQ69" s="349"/>
      <c r="PNR69" s="349"/>
      <c r="PNS69" s="349"/>
      <c r="PNT69" s="349"/>
      <c r="PNU69" s="349"/>
      <c r="PNV69" s="349"/>
      <c r="PNW69" s="349"/>
      <c r="PNX69" s="349"/>
      <c r="PNY69" s="349"/>
      <c r="PNZ69" s="349"/>
      <c r="POA69" s="349"/>
      <c r="POB69" s="349"/>
      <c r="POC69" s="349"/>
      <c r="POD69" s="349"/>
      <c r="POE69" s="349"/>
      <c r="POF69" s="349"/>
      <c r="POG69" s="349"/>
      <c r="POH69" s="349"/>
      <c r="POI69" s="349"/>
      <c r="POJ69" s="349"/>
      <c r="POK69" s="349"/>
      <c r="POL69" s="349"/>
      <c r="POM69" s="349"/>
      <c r="PON69" s="349"/>
      <c r="POO69" s="349"/>
      <c r="POP69" s="349"/>
      <c r="POQ69" s="349"/>
      <c r="POR69" s="349"/>
      <c r="POS69" s="349"/>
      <c r="POT69" s="349"/>
      <c r="POU69" s="349"/>
      <c r="POV69" s="349"/>
      <c r="POW69" s="349"/>
      <c r="POX69" s="349"/>
      <c r="POY69" s="349"/>
      <c r="POZ69" s="349"/>
      <c r="PPA69" s="349"/>
      <c r="PPB69" s="349"/>
      <c r="PPC69" s="349"/>
      <c r="PPD69" s="349"/>
      <c r="PPE69" s="349"/>
      <c r="PPF69" s="349"/>
      <c r="PPG69" s="349"/>
      <c r="PPH69" s="349"/>
      <c r="PPI69" s="349"/>
      <c r="PPJ69" s="349"/>
      <c r="PPK69" s="349"/>
      <c r="PPL69" s="349"/>
      <c r="PPM69" s="349"/>
      <c r="PPN69" s="349"/>
      <c r="PPO69" s="349"/>
      <c r="PPP69" s="349"/>
      <c r="PPQ69" s="349"/>
      <c r="PPR69" s="349"/>
      <c r="PPS69" s="349"/>
      <c r="PPT69" s="349"/>
      <c r="PPU69" s="349"/>
      <c r="PPV69" s="349"/>
      <c r="PPW69" s="349"/>
      <c r="PPX69" s="349"/>
      <c r="PPY69" s="349"/>
      <c r="PPZ69" s="349"/>
      <c r="PQA69" s="349"/>
      <c r="PQB69" s="349"/>
      <c r="PQC69" s="349"/>
      <c r="PQD69" s="349"/>
      <c r="PQE69" s="349"/>
      <c r="PQF69" s="349"/>
      <c r="PQG69" s="349"/>
      <c r="PQH69" s="349"/>
      <c r="PQI69" s="349"/>
      <c r="PQJ69" s="349"/>
      <c r="PQK69" s="349"/>
      <c r="PQL69" s="349"/>
      <c r="PQM69" s="349"/>
      <c r="PQN69" s="349"/>
      <c r="PQO69" s="349"/>
      <c r="PQP69" s="349"/>
      <c r="PQQ69" s="349"/>
      <c r="PQR69" s="349"/>
      <c r="PQS69" s="349"/>
      <c r="PQT69" s="349"/>
      <c r="PQU69" s="349"/>
      <c r="PQV69" s="349"/>
      <c r="PQW69" s="349"/>
      <c r="PQX69" s="349"/>
      <c r="PQY69" s="349"/>
      <c r="PQZ69" s="349"/>
      <c r="PRA69" s="349"/>
      <c r="PRB69" s="349"/>
      <c r="PRC69" s="349"/>
      <c r="PRD69" s="349"/>
      <c r="PRE69" s="349"/>
      <c r="PRF69" s="349"/>
      <c r="PRG69" s="349"/>
      <c r="PRH69" s="349"/>
      <c r="PRI69" s="349"/>
      <c r="PRJ69" s="349"/>
      <c r="PRK69" s="349"/>
      <c r="PRL69" s="349"/>
      <c r="PRM69" s="349"/>
      <c r="PRN69" s="349"/>
      <c r="PRO69" s="349"/>
      <c r="PRP69" s="349"/>
      <c r="PRQ69" s="349"/>
      <c r="PRR69" s="349"/>
      <c r="PRS69" s="349"/>
      <c r="PRT69" s="349"/>
      <c r="PRU69" s="349"/>
      <c r="PRV69" s="349"/>
      <c r="PRW69" s="349"/>
      <c r="PRX69" s="349"/>
      <c r="PRY69" s="349"/>
      <c r="PRZ69" s="349"/>
      <c r="PSA69" s="349"/>
      <c r="PSB69" s="349"/>
      <c r="PSC69" s="349"/>
      <c r="PSD69" s="349"/>
      <c r="PSE69" s="349"/>
      <c r="PSF69" s="349"/>
      <c r="PSG69" s="349"/>
      <c r="PSH69" s="349"/>
      <c r="PSI69" s="349"/>
      <c r="PSJ69" s="349"/>
      <c r="PSK69" s="349"/>
      <c r="PSL69" s="349"/>
      <c r="PSM69" s="349"/>
      <c r="PSN69" s="349"/>
      <c r="PSO69" s="349"/>
      <c r="PSP69" s="349"/>
      <c r="PSQ69" s="349"/>
      <c r="PSR69" s="349"/>
      <c r="PSS69" s="349"/>
      <c r="PST69" s="349"/>
      <c r="PSU69" s="349"/>
      <c r="PSV69" s="349"/>
      <c r="PSW69" s="349"/>
      <c r="PSX69" s="349"/>
      <c r="PSY69" s="349"/>
      <c r="PSZ69" s="349"/>
      <c r="PTA69" s="349"/>
      <c r="PTB69" s="349"/>
      <c r="PTC69" s="349"/>
      <c r="PTD69" s="349"/>
      <c r="PTE69" s="349"/>
      <c r="PTF69" s="349"/>
      <c r="PTG69" s="349"/>
      <c r="PTH69" s="349"/>
      <c r="PTI69" s="349"/>
      <c r="PTJ69" s="349"/>
      <c r="PTK69" s="349"/>
      <c r="PTL69" s="349"/>
      <c r="PTM69" s="349"/>
      <c r="PTN69" s="349"/>
      <c r="PTO69" s="349"/>
      <c r="PTP69" s="349"/>
      <c r="PTQ69" s="349"/>
      <c r="PTR69" s="349"/>
      <c r="PTS69" s="349"/>
      <c r="PTT69" s="349"/>
      <c r="PTU69" s="349"/>
      <c r="PTV69" s="349"/>
      <c r="PTW69" s="349"/>
      <c r="PTX69" s="349"/>
      <c r="PTY69" s="349"/>
      <c r="PTZ69" s="349"/>
      <c r="PUA69" s="349"/>
      <c r="PUB69" s="349"/>
      <c r="PUC69" s="349"/>
      <c r="PUD69" s="349"/>
      <c r="PUE69" s="349"/>
      <c r="PUF69" s="349"/>
      <c r="PUG69" s="349"/>
      <c r="PUH69" s="349"/>
      <c r="PUI69" s="349"/>
      <c r="PUJ69" s="349"/>
      <c r="PUK69" s="349"/>
      <c r="PUL69" s="349"/>
      <c r="PUM69" s="349"/>
      <c r="PUN69" s="349"/>
      <c r="PUO69" s="349"/>
      <c r="PUP69" s="349"/>
      <c r="PUQ69" s="349"/>
      <c r="PUR69" s="349"/>
      <c r="PUS69" s="349"/>
      <c r="PUT69" s="349"/>
      <c r="PUU69" s="349"/>
      <c r="PUV69" s="349"/>
      <c r="PUW69" s="349"/>
      <c r="PUX69" s="349"/>
      <c r="PUY69" s="349"/>
      <c r="PUZ69" s="349"/>
      <c r="PVA69" s="349"/>
      <c r="PVB69" s="349"/>
      <c r="PVC69" s="349"/>
      <c r="PVD69" s="349"/>
      <c r="PVE69" s="349"/>
      <c r="PVF69" s="349"/>
      <c r="PVG69" s="349"/>
      <c r="PVH69" s="349"/>
      <c r="PVI69" s="349"/>
      <c r="PVJ69" s="349"/>
      <c r="PVK69" s="349"/>
      <c r="PVL69" s="349"/>
      <c r="PVM69" s="349"/>
      <c r="PVN69" s="349"/>
      <c r="PVO69" s="349"/>
      <c r="PVP69" s="349"/>
      <c r="PVQ69" s="349"/>
      <c r="PVR69" s="349"/>
      <c r="PVS69" s="349"/>
      <c r="PVT69" s="349"/>
      <c r="PVU69" s="349"/>
      <c r="PVV69" s="349"/>
      <c r="PVW69" s="349"/>
      <c r="PVX69" s="349"/>
      <c r="PVY69" s="349"/>
      <c r="PVZ69" s="349"/>
      <c r="PWA69" s="349"/>
      <c r="PWB69" s="349"/>
      <c r="PWC69" s="349"/>
      <c r="PWD69" s="349"/>
      <c r="PWE69" s="349"/>
      <c r="PWF69" s="349"/>
      <c r="PWG69" s="349"/>
      <c r="PWH69" s="349"/>
      <c r="PWI69" s="349"/>
      <c r="PWJ69" s="349"/>
      <c r="PWK69" s="349"/>
      <c r="PWL69" s="349"/>
      <c r="PWM69" s="349"/>
      <c r="PWN69" s="349"/>
      <c r="PWO69" s="349"/>
      <c r="PWP69" s="349"/>
      <c r="PWQ69" s="349"/>
      <c r="PWR69" s="349"/>
      <c r="PWS69" s="349"/>
      <c r="PWT69" s="349"/>
      <c r="PWU69" s="349"/>
      <c r="PWV69" s="349"/>
      <c r="PWW69" s="349"/>
      <c r="PWX69" s="349"/>
      <c r="PWY69" s="349"/>
      <c r="PWZ69" s="349"/>
      <c r="PXA69" s="349"/>
      <c r="PXB69" s="349"/>
      <c r="PXC69" s="349"/>
      <c r="PXD69" s="349"/>
      <c r="PXE69" s="349"/>
      <c r="PXF69" s="349"/>
      <c r="PXG69" s="349"/>
      <c r="PXH69" s="349"/>
      <c r="PXI69" s="349"/>
      <c r="PXJ69" s="349"/>
      <c r="PXK69" s="349"/>
      <c r="PXL69" s="349"/>
      <c r="PXM69" s="349"/>
      <c r="PXN69" s="349"/>
      <c r="PXO69" s="349"/>
      <c r="PXP69" s="349"/>
      <c r="PXQ69" s="349"/>
      <c r="PXR69" s="349"/>
      <c r="PXS69" s="349"/>
      <c r="PXT69" s="349"/>
      <c r="PXU69" s="349"/>
      <c r="PXV69" s="349"/>
      <c r="PXW69" s="349"/>
      <c r="PXX69" s="349"/>
      <c r="PXY69" s="349"/>
      <c r="PXZ69" s="349"/>
      <c r="PYA69" s="349"/>
      <c r="PYB69" s="349"/>
      <c r="PYC69" s="349"/>
      <c r="PYD69" s="349"/>
      <c r="PYE69" s="349"/>
      <c r="PYF69" s="349"/>
      <c r="PYG69" s="349"/>
      <c r="PYH69" s="349"/>
      <c r="PYI69" s="349"/>
      <c r="PYJ69" s="349"/>
      <c r="PYK69" s="349"/>
      <c r="PYL69" s="349"/>
      <c r="PYM69" s="349"/>
      <c r="PYN69" s="349"/>
      <c r="PYO69" s="349"/>
      <c r="PYP69" s="349"/>
      <c r="PYQ69" s="349"/>
      <c r="PYR69" s="349"/>
      <c r="PYS69" s="349"/>
      <c r="PYT69" s="349"/>
      <c r="PYU69" s="349"/>
      <c r="PYV69" s="349"/>
      <c r="PYW69" s="349"/>
      <c r="PYX69" s="349"/>
      <c r="PYY69" s="349"/>
      <c r="PYZ69" s="349"/>
      <c r="PZA69" s="349"/>
      <c r="PZB69" s="349"/>
      <c r="PZC69" s="349"/>
      <c r="PZD69" s="349"/>
      <c r="PZE69" s="349"/>
      <c r="PZF69" s="349"/>
      <c r="PZG69" s="349"/>
      <c r="PZH69" s="349"/>
      <c r="PZI69" s="349"/>
      <c r="PZJ69" s="349"/>
      <c r="PZK69" s="349"/>
      <c r="PZL69" s="349"/>
      <c r="PZM69" s="349"/>
      <c r="PZN69" s="349"/>
      <c r="PZO69" s="349"/>
      <c r="PZP69" s="349"/>
      <c r="PZQ69" s="349"/>
      <c r="PZR69" s="349"/>
      <c r="PZS69" s="349"/>
      <c r="PZT69" s="349"/>
      <c r="PZU69" s="349"/>
      <c r="PZV69" s="349"/>
      <c r="PZW69" s="349"/>
      <c r="PZX69" s="349"/>
      <c r="PZY69" s="349"/>
      <c r="PZZ69" s="349"/>
      <c r="QAA69" s="349"/>
      <c r="QAB69" s="349"/>
      <c r="QAC69" s="349"/>
      <c r="QAD69" s="349"/>
      <c r="QAE69" s="349"/>
      <c r="QAF69" s="349"/>
      <c r="QAG69" s="349"/>
      <c r="QAH69" s="349"/>
      <c r="QAI69" s="349"/>
      <c r="QAJ69" s="349"/>
      <c r="QAK69" s="349"/>
      <c r="QAL69" s="349"/>
      <c r="QAM69" s="349"/>
      <c r="QAN69" s="349"/>
      <c r="QAO69" s="349"/>
      <c r="QAP69" s="349"/>
      <c r="QAQ69" s="349"/>
      <c r="QAR69" s="349"/>
      <c r="QAS69" s="349"/>
      <c r="QAT69" s="349"/>
      <c r="QAU69" s="349"/>
      <c r="QAV69" s="349"/>
      <c r="QAW69" s="349"/>
      <c r="QAX69" s="349"/>
      <c r="QAY69" s="349"/>
      <c r="QAZ69" s="349"/>
      <c r="QBA69" s="349"/>
      <c r="QBB69" s="349"/>
      <c r="QBC69" s="349"/>
      <c r="QBD69" s="349"/>
      <c r="QBE69" s="349"/>
      <c r="QBF69" s="349"/>
      <c r="QBG69" s="349"/>
      <c r="QBH69" s="349"/>
      <c r="QBI69" s="349"/>
      <c r="QBJ69" s="349"/>
      <c r="QBK69" s="349"/>
      <c r="QBL69" s="349"/>
      <c r="QBM69" s="349"/>
      <c r="QBN69" s="349"/>
      <c r="QBO69" s="349"/>
      <c r="QBP69" s="349"/>
      <c r="QBQ69" s="349"/>
      <c r="QBR69" s="349"/>
      <c r="QBS69" s="349"/>
      <c r="QBT69" s="349"/>
      <c r="QBU69" s="349"/>
      <c r="QBV69" s="349"/>
      <c r="QBW69" s="349"/>
      <c r="QBX69" s="349"/>
      <c r="QBY69" s="349"/>
      <c r="QBZ69" s="349"/>
      <c r="QCA69" s="349"/>
      <c r="QCB69" s="349"/>
      <c r="QCC69" s="349"/>
      <c r="QCD69" s="349"/>
      <c r="QCE69" s="349"/>
      <c r="QCF69" s="349"/>
      <c r="QCG69" s="349"/>
      <c r="QCH69" s="349"/>
      <c r="QCI69" s="349"/>
      <c r="QCJ69" s="349"/>
      <c r="QCK69" s="349"/>
      <c r="QCL69" s="349"/>
      <c r="QCM69" s="349"/>
      <c r="QCN69" s="349"/>
      <c r="QCO69" s="349"/>
      <c r="QCP69" s="349"/>
      <c r="QCQ69" s="349"/>
      <c r="QCR69" s="349"/>
      <c r="QCS69" s="349"/>
      <c r="QCT69" s="349"/>
      <c r="QCU69" s="349"/>
      <c r="QCV69" s="349"/>
      <c r="QCW69" s="349"/>
      <c r="QCX69" s="349"/>
      <c r="QCY69" s="349"/>
      <c r="QCZ69" s="349"/>
      <c r="QDA69" s="349"/>
      <c r="QDB69" s="349"/>
      <c r="QDC69" s="349"/>
      <c r="QDD69" s="349"/>
      <c r="QDE69" s="349"/>
      <c r="QDF69" s="349"/>
      <c r="QDG69" s="349"/>
      <c r="QDH69" s="349"/>
      <c r="QDI69" s="349"/>
      <c r="QDJ69" s="349"/>
      <c r="QDK69" s="349"/>
      <c r="QDL69" s="349"/>
      <c r="QDM69" s="349"/>
      <c r="QDN69" s="349"/>
      <c r="QDO69" s="349"/>
      <c r="QDP69" s="349"/>
      <c r="QDQ69" s="349"/>
      <c r="QDR69" s="349"/>
      <c r="QDS69" s="349"/>
      <c r="QDT69" s="349"/>
      <c r="QDU69" s="349"/>
      <c r="QDV69" s="349"/>
      <c r="QDW69" s="349"/>
      <c r="QDX69" s="349"/>
      <c r="QDY69" s="349"/>
      <c r="QDZ69" s="349"/>
      <c r="QEA69" s="349"/>
      <c r="QEB69" s="349"/>
      <c r="QEC69" s="349"/>
      <c r="QED69" s="349"/>
      <c r="QEE69" s="349"/>
      <c r="QEF69" s="349"/>
      <c r="QEG69" s="349"/>
      <c r="QEH69" s="349"/>
      <c r="QEI69" s="349"/>
      <c r="QEJ69" s="349"/>
      <c r="QEK69" s="349"/>
      <c r="QEL69" s="349"/>
      <c r="QEM69" s="349"/>
      <c r="QEN69" s="349"/>
      <c r="QEO69" s="349"/>
      <c r="QEP69" s="349"/>
      <c r="QEQ69" s="349"/>
      <c r="QER69" s="349"/>
      <c r="QES69" s="349"/>
      <c r="QET69" s="349"/>
      <c r="QEU69" s="349"/>
      <c r="QEV69" s="349"/>
      <c r="QEW69" s="349"/>
      <c r="QEX69" s="349"/>
      <c r="QEY69" s="349"/>
      <c r="QEZ69" s="349"/>
      <c r="QFA69" s="349"/>
      <c r="QFB69" s="349"/>
      <c r="QFC69" s="349"/>
      <c r="QFD69" s="349"/>
      <c r="QFE69" s="349"/>
      <c r="QFF69" s="349"/>
      <c r="QFG69" s="349"/>
      <c r="QFH69" s="349"/>
      <c r="QFI69" s="349"/>
      <c r="QFJ69" s="349"/>
      <c r="QFK69" s="349"/>
      <c r="QFL69" s="349"/>
      <c r="QFM69" s="349"/>
      <c r="QFN69" s="349"/>
      <c r="QFO69" s="349"/>
      <c r="QFP69" s="349"/>
      <c r="QFQ69" s="349"/>
      <c r="QFR69" s="349"/>
      <c r="QFS69" s="349"/>
      <c r="QFT69" s="349"/>
      <c r="QFU69" s="349"/>
      <c r="QFV69" s="349"/>
      <c r="QFW69" s="349"/>
      <c r="QFX69" s="349"/>
      <c r="QFY69" s="349"/>
      <c r="QFZ69" s="349"/>
      <c r="QGA69" s="349"/>
      <c r="QGB69" s="349"/>
      <c r="QGC69" s="349"/>
      <c r="QGD69" s="349"/>
      <c r="QGE69" s="349"/>
      <c r="QGF69" s="349"/>
      <c r="QGG69" s="349"/>
      <c r="QGH69" s="349"/>
      <c r="QGI69" s="349"/>
      <c r="QGJ69" s="349"/>
      <c r="QGK69" s="349"/>
      <c r="QGL69" s="349"/>
      <c r="QGM69" s="349"/>
      <c r="QGN69" s="349"/>
      <c r="QGO69" s="349"/>
      <c r="QGP69" s="349"/>
      <c r="QGQ69" s="349"/>
      <c r="QGR69" s="349"/>
      <c r="QGS69" s="349"/>
      <c r="QGT69" s="349"/>
      <c r="QGU69" s="349"/>
      <c r="QGV69" s="349"/>
      <c r="QGW69" s="349"/>
      <c r="QGX69" s="349"/>
      <c r="QGY69" s="349"/>
      <c r="QGZ69" s="349"/>
      <c r="QHA69" s="349"/>
      <c r="QHB69" s="349"/>
      <c r="QHC69" s="349"/>
      <c r="QHD69" s="349"/>
      <c r="QHE69" s="349"/>
      <c r="QHF69" s="349"/>
      <c r="QHG69" s="349"/>
      <c r="QHH69" s="349"/>
      <c r="QHI69" s="349"/>
      <c r="QHJ69" s="349"/>
      <c r="QHK69" s="349"/>
      <c r="QHL69" s="349"/>
      <c r="QHM69" s="349"/>
      <c r="QHN69" s="349"/>
      <c r="QHO69" s="349"/>
      <c r="QHP69" s="349"/>
      <c r="QHQ69" s="349"/>
      <c r="QHR69" s="349"/>
      <c r="QHS69" s="349"/>
      <c r="QHT69" s="349"/>
      <c r="QHU69" s="349"/>
      <c r="QHV69" s="349"/>
      <c r="QHW69" s="349"/>
      <c r="QHX69" s="349"/>
      <c r="QHY69" s="349"/>
      <c r="QHZ69" s="349"/>
      <c r="QIA69" s="349"/>
      <c r="QIB69" s="349"/>
      <c r="QIC69" s="349"/>
      <c r="QID69" s="349"/>
      <c r="QIE69" s="349"/>
      <c r="QIF69" s="349"/>
      <c r="QIG69" s="349"/>
      <c r="QIH69" s="349"/>
      <c r="QII69" s="349"/>
      <c r="QIJ69" s="349"/>
      <c r="QIK69" s="349"/>
      <c r="QIL69" s="349"/>
      <c r="QIM69" s="349"/>
      <c r="QIN69" s="349"/>
      <c r="QIO69" s="349"/>
      <c r="QIP69" s="349"/>
      <c r="QIQ69" s="349"/>
      <c r="QIR69" s="349"/>
      <c r="QIS69" s="349"/>
      <c r="QIT69" s="349"/>
      <c r="QIU69" s="349"/>
      <c r="QIV69" s="349"/>
      <c r="QIW69" s="349"/>
      <c r="QIX69" s="349"/>
      <c r="QIY69" s="349"/>
      <c r="QIZ69" s="349"/>
      <c r="QJA69" s="349"/>
      <c r="QJB69" s="349"/>
      <c r="QJC69" s="349"/>
      <c r="QJD69" s="349"/>
      <c r="QJE69" s="349"/>
      <c r="QJF69" s="349"/>
      <c r="QJG69" s="349"/>
      <c r="QJH69" s="349"/>
      <c r="QJI69" s="349"/>
      <c r="QJJ69" s="349"/>
      <c r="QJK69" s="349"/>
      <c r="QJL69" s="349"/>
      <c r="QJM69" s="349"/>
      <c r="QJN69" s="349"/>
      <c r="QJO69" s="349"/>
      <c r="QJP69" s="349"/>
      <c r="QJQ69" s="349"/>
      <c r="QJR69" s="349"/>
      <c r="QJS69" s="349"/>
      <c r="QJT69" s="349"/>
      <c r="QJU69" s="349"/>
      <c r="QJV69" s="349"/>
      <c r="QJW69" s="349"/>
      <c r="QJX69" s="349"/>
      <c r="QJY69" s="349"/>
      <c r="QJZ69" s="349"/>
      <c r="QKA69" s="349"/>
      <c r="QKB69" s="349"/>
      <c r="QKC69" s="349"/>
      <c r="QKD69" s="349"/>
      <c r="QKE69" s="349"/>
      <c r="QKF69" s="349"/>
      <c r="QKG69" s="349"/>
      <c r="QKH69" s="349"/>
      <c r="QKI69" s="349"/>
      <c r="QKJ69" s="349"/>
      <c r="QKK69" s="349"/>
      <c r="QKL69" s="349"/>
      <c r="QKM69" s="349"/>
      <c r="QKN69" s="349"/>
      <c r="QKO69" s="349"/>
      <c r="QKP69" s="349"/>
      <c r="QKQ69" s="349"/>
      <c r="QKR69" s="349"/>
      <c r="QKS69" s="349"/>
      <c r="QKT69" s="349"/>
      <c r="QKU69" s="349"/>
      <c r="QKV69" s="349"/>
      <c r="QKW69" s="349"/>
      <c r="QKX69" s="349"/>
      <c r="QKY69" s="349"/>
      <c r="QKZ69" s="349"/>
      <c r="QLA69" s="349"/>
      <c r="QLB69" s="349"/>
      <c r="QLC69" s="349"/>
      <c r="QLD69" s="349"/>
      <c r="QLE69" s="349"/>
      <c r="QLF69" s="349"/>
      <c r="QLG69" s="349"/>
      <c r="QLH69" s="349"/>
      <c r="QLI69" s="349"/>
      <c r="QLJ69" s="349"/>
      <c r="QLK69" s="349"/>
      <c r="QLL69" s="349"/>
      <c r="QLM69" s="349"/>
      <c r="QLN69" s="349"/>
      <c r="QLO69" s="349"/>
      <c r="QLP69" s="349"/>
      <c r="QLQ69" s="349"/>
      <c r="QLR69" s="349"/>
      <c r="QLS69" s="349"/>
      <c r="QLT69" s="349"/>
      <c r="QLU69" s="349"/>
      <c r="QLV69" s="349"/>
      <c r="QLW69" s="349"/>
      <c r="QLX69" s="349"/>
      <c r="QLY69" s="349"/>
      <c r="QLZ69" s="349"/>
      <c r="QMA69" s="349"/>
      <c r="QMB69" s="349"/>
      <c r="QMC69" s="349"/>
      <c r="QMD69" s="349"/>
      <c r="QME69" s="349"/>
      <c r="QMF69" s="349"/>
      <c r="QMG69" s="349"/>
      <c r="QMH69" s="349"/>
      <c r="QMI69" s="349"/>
      <c r="QMJ69" s="349"/>
      <c r="QMK69" s="349"/>
      <c r="QML69" s="349"/>
      <c r="QMM69" s="349"/>
      <c r="QMN69" s="349"/>
      <c r="QMO69" s="349"/>
      <c r="QMP69" s="349"/>
      <c r="QMQ69" s="349"/>
      <c r="QMR69" s="349"/>
      <c r="QMS69" s="349"/>
      <c r="QMT69" s="349"/>
      <c r="QMU69" s="349"/>
      <c r="QMV69" s="349"/>
      <c r="QMW69" s="349"/>
      <c r="QMX69" s="349"/>
      <c r="QMY69" s="349"/>
      <c r="QMZ69" s="349"/>
      <c r="QNA69" s="349"/>
      <c r="QNB69" s="349"/>
      <c r="QNC69" s="349"/>
      <c r="QND69" s="349"/>
      <c r="QNE69" s="349"/>
      <c r="QNF69" s="349"/>
      <c r="QNG69" s="349"/>
      <c r="QNH69" s="349"/>
      <c r="QNI69" s="349"/>
      <c r="QNJ69" s="349"/>
      <c r="QNK69" s="349"/>
      <c r="QNL69" s="349"/>
      <c r="QNM69" s="349"/>
      <c r="QNN69" s="349"/>
      <c r="QNO69" s="349"/>
      <c r="QNP69" s="349"/>
      <c r="QNQ69" s="349"/>
      <c r="QNR69" s="349"/>
      <c r="QNS69" s="349"/>
      <c r="QNT69" s="349"/>
      <c r="QNU69" s="349"/>
      <c r="QNV69" s="349"/>
      <c r="QNW69" s="349"/>
      <c r="QNX69" s="349"/>
      <c r="QNY69" s="349"/>
      <c r="QNZ69" s="349"/>
      <c r="QOA69" s="349"/>
      <c r="QOB69" s="349"/>
      <c r="QOC69" s="349"/>
      <c r="QOD69" s="349"/>
      <c r="QOE69" s="349"/>
      <c r="QOF69" s="349"/>
      <c r="QOG69" s="349"/>
      <c r="QOH69" s="349"/>
      <c r="QOI69" s="349"/>
      <c r="QOJ69" s="349"/>
      <c r="QOK69" s="349"/>
      <c r="QOL69" s="349"/>
      <c r="QOM69" s="349"/>
      <c r="QON69" s="349"/>
      <c r="QOO69" s="349"/>
      <c r="QOP69" s="349"/>
      <c r="QOQ69" s="349"/>
      <c r="QOR69" s="349"/>
      <c r="QOS69" s="349"/>
      <c r="QOT69" s="349"/>
      <c r="QOU69" s="349"/>
      <c r="QOV69" s="349"/>
      <c r="QOW69" s="349"/>
      <c r="QOX69" s="349"/>
      <c r="QOY69" s="349"/>
      <c r="QOZ69" s="349"/>
      <c r="QPA69" s="349"/>
      <c r="QPB69" s="349"/>
      <c r="QPC69" s="349"/>
      <c r="QPD69" s="349"/>
      <c r="QPE69" s="349"/>
      <c r="QPF69" s="349"/>
      <c r="QPG69" s="349"/>
      <c r="QPH69" s="349"/>
      <c r="QPI69" s="349"/>
      <c r="QPJ69" s="349"/>
      <c r="QPK69" s="349"/>
      <c r="QPL69" s="349"/>
      <c r="QPM69" s="349"/>
      <c r="QPN69" s="349"/>
      <c r="QPO69" s="349"/>
      <c r="QPP69" s="349"/>
      <c r="QPQ69" s="349"/>
      <c r="QPR69" s="349"/>
      <c r="QPS69" s="349"/>
      <c r="QPT69" s="349"/>
      <c r="QPU69" s="349"/>
      <c r="QPV69" s="349"/>
      <c r="QPW69" s="349"/>
      <c r="QPX69" s="349"/>
      <c r="QPY69" s="349"/>
      <c r="QPZ69" s="349"/>
      <c r="QQA69" s="349"/>
      <c r="QQB69" s="349"/>
      <c r="QQC69" s="349"/>
      <c r="QQD69" s="349"/>
      <c r="QQE69" s="349"/>
      <c r="QQF69" s="349"/>
      <c r="QQG69" s="349"/>
      <c r="QQH69" s="349"/>
      <c r="QQI69" s="349"/>
      <c r="QQJ69" s="349"/>
      <c r="QQK69" s="349"/>
      <c r="QQL69" s="349"/>
      <c r="QQM69" s="349"/>
      <c r="QQN69" s="349"/>
      <c r="QQO69" s="349"/>
      <c r="QQP69" s="349"/>
      <c r="QQQ69" s="349"/>
      <c r="QQR69" s="349"/>
      <c r="QQS69" s="349"/>
      <c r="QQT69" s="349"/>
      <c r="QQU69" s="349"/>
      <c r="QQV69" s="349"/>
      <c r="QQW69" s="349"/>
      <c r="QQX69" s="349"/>
      <c r="QQY69" s="349"/>
      <c r="QQZ69" s="349"/>
      <c r="QRA69" s="349"/>
      <c r="QRB69" s="349"/>
      <c r="QRC69" s="349"/>
      <c r="QRD69" s="349"/>
      <c r="QRE69" s="349"/>
      <c r="QRF69" s="349"/>
      <c r="QRG69" s="349"/>
      <c r="QRH69" s="349"/>
      <c r="QRI69" s="349"/>
      <c r="QRJ69" s="349"/>
      <c r="QRK69" s="349"/>
      <c r="QRL69" s="349"/>
      <c r="QRM69" s="349"/>
      <c r="QRN69" s="349"/>
      <c r="QRO69" s="349"/>
      <c r="QRP69" s="349"/>
      <c r="QRQ69" s="349"/>
      <c r="QRR69" s="349"/>
      <c r="QRS69" s="349"/>
      <c r="QRT69" s="349"/>
      <c r="QRU69" s="349"/>
      <c r="QRV69" s="349"/>
      <c r="QRW69" s="349"/>
      <c r="QRX69" s="349"/>
      <c r="QRY69" s="349"/>
      <c r="QRZ69" s="349"/>
      <c r="QSA69" s="349"/>
      <c r="QSB69" s="349"/>
      <c r="QSC69" s="349"/>
      <c r="QSD69" s="349"/>
      <c r="QSE69" s="349"/>
      <c r="QSF69" s="349"/>
      <c r="QSG69" s="349"/>
      <c r="QSH69" s="349"/>
      <c r="QSI69" s="349"/>
      <c r="QSJ69" s="349"/>
      <c r="QSK69" s="349"/>
      <c r="QSL69" s="349"/>
      <c r="QSM69" s="349"/>
      <c r="QSN69" s="349"/>
      <c r="QSO69" s="349"/>
      <c r="QSP69" s="349"/>
      <c r="QSQ69" s="349"/>
      <c r="QSR69" s="349"/>
      <c r="QSS69" s="349"/>
      <c r="QST69" s="349"/>
      <c r="QSU69" s="349"/>
      <c r="QSV69" s="349"/>
      <c r="QSW69" s="349"/>
      <c r="QSX69" s="349"/>
      <c r="QSY69" s="349"/>
      <c r="QSZ69" s="349"/>
      <c r="QTA69" s="349"/>
      <c r="QTB69" s="349"/>
      <c r="QTC69" s="349"/>
      <c r="QTD69" s="349"/>
      <c r="QTE69" s="349"/>
      <c r="QTF69" s="349"/>
      <c r="QTG69" s="349"/>
      <c r="QTH69" s="349"/>
      <c r="QTI69" s="349"/>
      <c r="QTJ69" s="349"/>
      <c r="QTK69" s="349"/>
      <c r="QTL69" s="349"/>
      <c r="QTM69" s="349"/>
      <c r="QTN69" s="349"/>
      <c r="QTO69" s="349"/>
      <c r="QTP69" s="349"/>
      <c r="QTQ69" s="349"/>
      <c r="QTR69" s="349"/>
      <c r="QTS69" s="349"/>
      <c r="QTT69" s="349"/>
      <c r="QTU69" s="349"/>
      <c r="QTV69" s="349"/>
      <c r="QTW69" s="349"/>
      <c r="QTX69" s="349"/>
      <c r="QTY69" s="349"/>
      <c r="QTZ69" s="349"/>
      <c r="QUA69" s="349"/>
      <c r="QUB69" s="349"/>
      <c r="QUC69" s="349"/>
      <c r="QUD69" s="349"/>
      <c r="QUE69" s="349"/>
      <c r="QUF69" s="349"/>
      <c r="QUG69" s="349"/>
      <c r="QUH69" s="349"/>
      <c r="QUI69" s="349"/>
      <c r="QUJ69" s="349"/>
      <c r="QUK69" s="349"/>
      <c r="QUL69" s="349"/>
      <c r="QUM69" s="349"/>
      <c r="QUN69" s="349"/>
      <c r="QUO69" s="349"/>
      <c r="QUP69" s="349"/>
      <c r="QUQ69" s="349"/>
      <c r="QUR69" s="349"/>
      <c r="QUS69" s="349"/>
      <c r="QUT69" s="349"/>
      <c r="QUU69" s="349"/>
      <c r="QUV69" s="349"/>
      <c r="QUW69" s="349"/>
      <c r="QUX69" s="349"/>
      <c r="QUY69" s="349"/>
      <c r="QUZ69" s="349"/>
      <c r="QVA69" s="349"/>
      <c r="QVB69" s="349"/>
      <c r="QVC69" s="349"/>
      <c r="QVD69" s="349"/>
      <c r="QVE69" s="349"/>
      <c r="QVF69" s="349"/>
      <c r="QVG69" s="349"/>
      <c r="QVH69" s="349"/>
      <c r="QVI69" s="349"/>
      <c r="QVJ69" s="349"/>
      <c r="QVK69" s="349"/>
      <c r="QVL69" s="349"/>
      <c r="QVM69" s="349"/>
      <c r="QVN69" s="349"/>
      <c r="QVO69" s="349"/>
      <c r="QVP69" s="349"/>
      <c r="QVQ69" s="349"/>
      <c r="QVR69" s="349"/>
      <c r="QVS69" s="349"/>
      <c r="QVT69" s="349"/>
      <c r="QVU69" s="349"/>
      <c r="QVV69" s="349"/>
      <c r="QVW69" s="349"/>
      <c r="QVX69" s="349"/>
      <c r="QVY69" s="349"/>
      <c r="QVZ69" s="349"/>
      <c r="QWA69" s="349"/>
      <c r="QWB69" s="349"/>
      <c r="QWC69" s="349"/>
      <c r="QWD69" s="349"/>
      <c r="QWE69" s="349"/>
      <c r="QWF69" s="349"/>
      <c r="QWG69" s="349"/>
      <c r="QWH69" s="349"/>
      <c r="QWI69" s="349"/>
      <c r="QWJ69" s="349"/>
      <c r="QWK69" s="349"/>
      <c r="QWL69" s="349"/>
      <c r="QWM69" s="349"/>
      <c r="QWN69" s="349"/>
      <c r="QWO69" s="349"/>
      <c r="QWP69" s="349"/>
      <c r="QWQ69" s="349"/>
      <c r="QWR69" s="349"/>
      <c r="QWS69" s="349"/>
      <c r="QWT69" s="349"/>
      <c r="QWU69" s="349"/>
      <c r="QWV69" s="349"/>
      <c r="QWW69" s="349"/>
      <c r="QWX69" s="349"/>
      <c r="QWY69" s="349"/>
      <c r="QWZ69" s="349"/>
      <c r="QXA69" s="349"/>
      <c r="QXB69" s="349"/>
      <c r="QXC69" s="349"/>
      <c r="QXD69" s="349"/>
      <c r="QXE69" s="349"/>
      <c r="QXF69" s="349"/>
      <c r="QXG69" s="349"/>
      <c r="QXH69" s="349"/>
      <c r="QXI69" s="349"/>
      <c r="QXJ69" s="349"/>
      <c r="QXK69" s="349"/>
      <c r="QXL69" s="349"/>
      <c r="QXM69" s="349"/>
      <c r="QXN69" s="349"/>
      <c r="QXO69" s="349"/>
      <c r="QXP69" s="349"/>
      <c r="QXQ69" s="349"/>
      <c r="QXR69" s="349"/>
      <c r="QXS69" s="349"/>
      <c r="QXT69" s="349"/>
      <c r="QXU69" s="349"/>
      <c r="QXV69" s="349"/>
      <c r="QXW69" s="349"/>
      <c r="QXX69" s="349"/>
      <c r="QXY69" s="349"/>
      <c r="QXZ69" s="349"/>
      <c r="QYA69" s="349"/>
      <c r="QYB69" s="349"/>
      <c r="QYC69" s="349"/>
      <c r="QYD69" s="349"/>
      <c r="QYE69" s="349"/>
      <c r="QYF69" s="349"/>
      <c r="QYG69" s="349"/>
      <c r="QYH69" s="349"/>
      <c r="QYI69" s="349"/>
      <c r="QYJ69" s="349"/>
      <c r="QYK69" s="349"/>
      <c r="QYL69" s="349"/>
      <c r="QYM69" s="349"/>
      <c r="QYN69" s="349"/>
      <c r="QYO69" s="349"/>
      <c r="QYP69" s="349"/>
      <c r="QYQ69" s="349"/>
      <c r="QYR69" s="349"/>
      <c r="QYS69" s="349"/>
      <c r="QYT69" s="349"/>
      <c r="QYU69" s="349"/>
      <c r="QYV69" s="349"/>
      <c r="QYW69" s="349"/>
      <c r="QYX69" s="349"/>
      <c r="QYY69" s="349"/>
      <c r="QYZ69" s="349"/>
      <c r="QZA69" s="349"/>
      <c r="QZB69" s="349"/>
      <c r="QZC69" s="349"/>
      <c r="QZD69" s="349"/>
      <c r="QZE69" s="349"/>
      <c r="QZF69" s="349"/>
      <c r="QZG69" s="349"/>
      <c r="QZH69" s="349"/>
      <c r="QZI69" s="349"/>
      <c r="QZJ69" s="349"/>
      <c r="QZK69" s="349"/>
      <c r="QZL69" s="349"/>
      <c r="QZM69" s="349"/>
      <c r="QZN69" s="349"/>
      <c r="QZO69" s="349"/>
      <c r="QZP69" s="349"/>
      <c r="QZQ69" s="349"/>
      <c r="QZR69" s="349"/>
      <c r="QZS69" s="349"/>
      <c r="QZT69" s="349"/>
      <c r="QZU69" s="349"/>
      <c r="QZV69" s="349"/>
      <c r="QZW69" s="349"/>
      <c r="QZX69" s="349"/>
      <c r="QZY69" s="349"/>
      <c r="QZZ69" s="349"/>
      <c r="RAA69" s="349"/>
      <c r="RAB69" s="349"/>
      <c r="RAC69" s="349"/>
      <c r="RAD69" s="349"/>
      <c r="RAE69" s="349"/>
      <c r="RAF69" s="349"/>
      <c r="RAG69" s="349"/>
      <c r="RAH69" s="349"/>
      <c r="RAI69" s="349"/>
      <c r="RAJ69" s="349"/>
      <c r="RAK69" s="349"/>
      <c r="RAL69" s="349"/>
      <c r="RAM69" s="349"/>
      <c r="RAN69" s="349"/>
      <c r="RAO69" s="349"/>
      <c r="RAP69" s="349"/>
      <c r="RAQ69" s="349"/>
      <c r="RAR69" s="349"/>
      <c r="RAS69" s="349"/>
      <c r="RAT69" s="349"/>
      <c r="RAU69" s="349"/>
      <c r="RAV69" s="349"/>
      <c r="RAW69" s="349"/>
      <c r="RAX69" s="349"/>
      <c r="RAY69" s="349"/>
      <c r="RAZ69" s="349"/>
      <c r="RBA69" s="349"/>
      <c r="RBB69" s="349"/>
      <c r="RBC69" s="349"/>
      <c r="RBD69" s="349"/>
      <c r="RBE69" s="349"/>
      <c r="RBF69" s="349"/>
      <c r="RBG69" s="349"/>
      <c r="RBH69" s="349"/>
      <c r="RBI69" s="349"/>
      <c r="RBJ69" s="349"/>
      <c r="RBK69" s="349"/>
      <c r="RBL69" s="349"/>
      <c r="RBM69" s="349"/>
      <c r="RBN69" s="349"/>
      <c r="RBO69" s="349"/>
      <c r="RBP69" s="349"/>
      <c r="RBQ69" s="349"/>
      <c r="RBR69" s="349"/>
      <c r="RBS69" s="349"/>
      <c r="RBT69" s="349"/>
      <c r="RBU69" s="349"/>
      <c r="RBV69" s="349"/>
      <c r="RBW69" s="349"/>
      <c r="RBX69" s="349"/>
      <c r="RBY69" s="349"/>
      <c r="RBZ69" s="349"/>
      <c r="RCA69" s="349"/>
      <c r="RCB69" s="349"/>
      <c r="RCC69" s="349"/>
      <c r="RCD69" s="349"/>
      <c r="RCE69" s="349"/>
      <c r="RCF69" s="349"/>
      <c r="RCG69" s="349"/>
      <c r="RCH69" s="349"/>
      <c r="RCI69" s="349"/>
      <c r="RCJ69" s="349"/>
      <c r="RCK69" s="349"/>
      <c r="RCL69" s="349"/>
      <c r="RCM69" s="349"/>
      <c r="RCN69" s="349"/>
      <c r="RCO69" s="349"/>
      <c r="RCP69" s="349"/>
      <c r="RCQ69" s="349"/>
      <c r="RCR69" s="349"/>
      <c r="RCS69" s="349"/>
      <c r="RCT69" s="349"/>
      <c r="RCU69" s="349"/>
      <c r="RCV69" s="349"/>
      <c r="RCW69" s="349"/>
      <c r="RCX69" s="349"/>
      <c r="RCY69" s="349"/>
      <c r="RCZ69" s="349"/>
      <c r="RDA69" s="349"/>
      <c r="RDB69" s="349"/>
      <c r="RDC69" s="349"/>
      <c r="RDD69" s="349"/>
      <c r="RDE69" s="349"/>
      <c r="RDF69" s="349"/>
      <c r="RDG69" s="349"/>
      <c r="RDH69" s="349"/>
      <c r="RDI69" s="349"/>
      <c r="RDJ69" s="349"/>
      <c r="RDK69" s="349"/>
      <c r="RDL69" s="349"/>
      <c r="RDM69" s="349"/>
      <c r="RDN69" s="349"/>
      <c r="RDO69" s="349"/>
      <c r="RDP69" s="349"/>
      <c r="RDQ69" s="349"/>
      <c r="RDR69" s="349"/>
      <c r="RDS69" s="349"/>
      <c r="RDT69" s="349"/>
      <c r="RDU69" s="349"/>
      <c r="RDV69" s="349"/>
      <c r="RDW69" s="349"/>
      <c r="RDX69" s="349"/>
      <c r="RDY69" s="349"/>
      <c r="RDZ69" s="349"/>
      <c r="REA69" s="349"/>
      <c r="REB69" s="349"/>
      <c r="REC69" s="349"/>
      <c r="RED69" s="349"/>
      <c r="REE69" s="349"/>
      <c r="REF69" s="349"/>
      <c r="REG69" s="349"/>
      <c r="REH69" s="349"/>
      <c r="REI69" s="349"/>
      <c r="REJ69" s="349"/>
      <c r="REK69" s="349"/>
      <c r="REL69" s="349"/>
      <c r="REM69" s="349"/>
      <c r="REN69" s="349"/>
      <c r="REO69" s="349"/>
      <c r="REP69" s="349"/>
      <c r="REQ69" s="349"/>
      <c r="RER69" s="349"/>
      <c r="RES69" s="349"/>
      <c r="RET69" s="349"/>
      <c r="REU69" s="349"/>
      <c r="REV69" s="349"/>
      <c r="REW69" s="349"/>
      <c r="REX69" s="349"/>
      <c r="REY69" s="349"/>
      <c r="REZ69" s="349"/>
      <c r="RFA69" s="349"/>
      <c r="RFB69" s="349"/>
      <c r="RFC69" s="349"/>
      <c r="RFD69" s="349"/>
      <c r="RFE69" s="349"/>
      <c r="RFF69" s="349"/>
      <c r="RFG69" s="349"/>
      <c r="RFH69" s="349"/>
      <c r="RFI69" s="349"/>
      <c r="RFJ69" s="349"/>
      <c r="RFK69" s="349"/>
      <c r="RFL69" s="349"/>
      <c r="RFM69" s="349"/>
      <c r="RFN69" s="349"/>
      <c r="RFO69" s="349"/>
      <c r="RFP69" s="349"/>
      <c r="RFQ69" s="349"/>
      <c r="RFR69" s="349"/>
      <c r="RFS69" s="349"/>
      <c r="RFT69" s="349"/>
      <c r="RFU69" s="349"/>
      <c r="RFV69" s="349"/>
      <c r="RFW69" s="349"/>
      <c r="RFX69" s="349"/>
      <c r="RFY69" s="349"/>
      <c r="RFZ69" s="349"/>
      <c r="RGA69" s="349"/>
      <c r="RGB69" s="349"/>
      <c r="RGC69" s="349"/>
      <c r="RGD69" s="349"/>
      <c r="RGE69" s="349"/>
      <c r="RGF69" s="349"/>
      <c r="RGG69" s="349"/>
      <c r="RGH69" s="349"/>
      <c r="RGI69" s="349"/>
      <c r="RGJ69" s="349"/>
      <c r="RGK69" s="349"/>
      <c r="RGL69" s="349"/>
      <c r="RGM69" s="349"/>
      <c r="RGN69" s="349"/>
      <c r="RGO69" s="349"/>
      <c r="RGP69" s="349"/>
      <c r="RGQ69" s="349"/>
      <c r="RGR69" s="349"/>
      <c r="RGS69" s="349"/>
      <c r="RGT69" s="349"/>
      <c r="RGU69" s="349"/>
      <c r="RGV69" s="349"/>
      <c r="RGW69" s="349"/>
      <c r="RGX69" s="349"/>
      <c r="RGY69" s="349"/>
      <c r="RGZ69" s="349"/>
      <c r="RHA69" s="349"/>
      <c r="RHB69" s="349"/>
      <c r="RHC69" s="349"/>
      <c r="RHD69" s="349"/>
      <c r="RHE69" s="349"/>
      <c r="RHF69" s="349"/>
      <c r="RHG69" s="349"/>
      <c r="RHH69" s="349"/>
      <c r="RHI69" s="349"/>
      <c r="RHJ69" s="349"/>
      <c r="RHK69" s="349"/>
      <c r="RHL69" s="349"/>
      <c r="RHM69" s="349"/>
      <c r="RHN69" s="349"/>
      <c r="RHO69" s="349"/>
      <c r="RHP69" s="349"/>
      <c r="RHQ69" s="349"/>
      <c r="RHR69" s="349"/>
      <c r="RHS69" s="349"/>
      <c r="RHT69" s="349"/>
      <c r="RHU69" s="349"/>
      <c r="RHV69" s="349"/>
      <c r="RHW69" s="349"/>
      <c r="RHX69" s="349"/>
      <c r="RHY69" s="349"/>
      <c r="RHZ69" s="349"/>
      <c r="RIA69" s="349"/>
      <c r="RIB69" s="349"/>
      <c r="RIC69" s="349"/>
      <c r="RID69" s="349"/>
      <c r="RIE69" s="349"/>
      <c r="RIF69" s="349"/>
      <c r="RIG69" s="349"/>
      <c r="RIH69" s="349"/>
      <c r="RII69" s="349"/>
      <c r="RIJ69" s="349"/>
      <c r="RIK69" s="349"/>
      <c r="RIL69" s="349"/>
      <c r="RIM69" s="349"/>
      <c r="RIN69" s="349"/>
      <c r="RIO69" s="349"/>
      <c r="RIP69" s="349"/>
      <c r="RIQ69" s="349"/>
      <c r="RIR69" s="349"/>
      <c r="RIS69" s="349"/>
      <c r="RIT69" s="349"/>
      <c r="RIU69" s="349"/>
      <c r="RIV69" s="349"/>
      <c r="RIW69" s="349"/>
      <c r="RIX69" s="349"/>
      <c r="RIY69" s="349"/>
      <c r="RIZ69" s="349"/>
      <c r="RJA69" s="349"/>
      <c r="RJB69" s="349"/>
      <c r="RJC69" s="349"/>
      <c r="RJD69" s="349"/>
      <c r="RJE69" s="349"/>
      <c r="RJF69" s="349"/>
      <c r="RJG69" s="349"/>
      <c r="RJH69" s="349"/>
      <c r="RJI69" s="349"/>
      <c r="RJJ69" s="349"/>
      <c r="RJK69" s="349"/>
      <c r="RJL69" s="349"/>
      <c r="RJM69" s="349"/>
      <c r="RJN69" s="349"/>
      <c r="RJO69" s="349"/>
      <c r="RJP69" s="349"/>
      <c r="RJQ69" s="349"/>
      <c r="RJR69" s="349"/>
      <c r="RJS69" s="349"/>
      <c r="RJT69" s="349"/>
      <c r="RJU69" s="349"/>
      <c r="RJV69" s="349"/>
      <c r="RJW69" s="349"/>
      <c r="RJX69" s="349"/>
      <c r="RJY69" s="349"/>
      <c r="RJZ69" s="349"/>
      <c r="RKA69" s="349"/>
      <c r="RKB69" s="349"/>
      <c r="RKC69" s="349"/>
      <c r="RKD69" s="349"/>
      <c r="RKE69" s="349"/>
      <c r="RKF69" s="349"/>
      <c r="RKG69" s="349"/>
      <c r="RKH69" s="349"/>
      <c r="RKI69" s="349"/>
      <c r="RKJ69" s="349"/>
      <c r="RKK69" s="349"/>
      <c r="RKL69" s="349"/>
      <c r="RKM69" s="349"/>
      <c r="RKN69" s="349"/>
      <c r="RKO69" s="349"/>
      <c r="RKP69" s="349"/>
      <c r="RKQ69" s="349"/>
      <c r="RKR69" s="349"/>
      <c r="RKS69" s="349"/>
      <c r="RKT69" s="349"/>
      <c r="RKU69" s="349"/>
      <c r="RKV69" s="349"/>
      <c r="RKW69" s="349"/>
      <c r="RKX69" s="349"/>
      <c r="RKY69" s="349"/>
      <c r="RKZ69" s="349"/>
      <c r="RLA69" s="349"/>
      <c r="RLB69" s="349"/>
      <c r="RLC69" s="349"/>
      <c r="RLD69" s="349"/>
      <c r="RLE69" s="349"/>
      <c r="RLF69" s="349"/>
      <c r="RLG69" s="349"/>
      <c r="RLH69" s="349"/>
      <c r="RLI69" s="349"/>
      <c r="RLJ69" s="349"/>
      <c r="RLK69" s="349"/>
      <c r="RLL69" s="349"/>
      <c r="RLM69" s="349"/>
      <c r="RLN69" s="349"/>
      <c r="RLO69" s="349"/>
      <c r="RLP69" s="349"/>
      <c r="RLQ69" s="349"/>
      <c r="RLR69" s="349"/>
      <c r="RLS69" s="349"/>
      <c r="RLT69" s="349"/>
      <c r="RLU69" s="349"/>
      <c r="RLV69" s="349"/>
      <c r="RLW69" s="349"/>
      <c r="RLX69" s="349"/>
      <c r="RLY69" s="349"/>
      <c r="RLZ69" s="349"/>
      <c r="RMA69" s="349"/>
      <c r="RMB69" s="349"/>
      <c r="RMC69" s="349"/>
      <c r="RMD69" s="349"/>
      <c r="RME69" s="349"/>
      <c r="RMF69" s="349"/>
      <c r="RMG69" s="349"/>
      <c r="RMH69" s="349"/>
      <c r="RMI69" s="349"/>
      <c r="RMJ69" s="349"/>
      <c r="RMK69" s="349"/>
      <c r="RML69" s="349"/>
      <c r="RMM69" s="349"/>
      <c r="RMN69" s="349"/>
      <c r="RMO69" s="349"/>
      <c r="RMP69" s="349"/>
      <c r="RMQ69" s="349"/>
      <c r="RMR69" s="349"/>
      <c r="RMS69" s="349"/>
      <c r="RMT69" s="349"/>
      <c r="RMU69" s="349"/>
      <c r="RMV69" s="349"/>
      <c r="RMW69" s="349"/>
      <c r="RMX69" s="349"/>
      <c r="RMY69" s="349"/>
      <c r="RMZ69" s="349"/>
      <c r="RNA69" s="349"/>
      <c r="RNB69" s="349"/>
      <c r="RNC69" s="349"/>
      <c r="RND69" s="349"/>
      <c r="RNE69" s="349"/>
      <c r="RNF69" s="349"/>
      <c r="RNG69" s="349"/>
      <c r="RNH69" s="349"/>
      <c r="RNI69" s="349"/>
      <c r="RNJ69" s="349"/>
      <c r="RNK69" s="349"/>
      <c r="RNL69" s="349"/>
      <c r="RNM69" s="349"/>
      <c r="RNN69" s="349"/>
      <c r="RNO69" s="349"/>
      <c r="RNP69" s="349"/>
      <c r="RNQ69" s="349"/>
      <c r="RNR69" s="349"/>
      <c r="RNS69" s="349"/>
      <c r="RNT69" s="349"/>
      <c r="RNU69" s="349"/>
      <c r="RNV69" s="349"/>
      <c r="RNW69" s="349"/>
      <c r="RNX69" s="349"/>
      <c r="RNY69" s="349"/>
      <c r="RNZ69" s="349"/>
      <c r="ROA69" s="349"/>
      <c r="ROB69" s="349"/>
      <c r="ROC69" s="349"/>
      <c r="ROD69" s="349"/>
      <c r="ROE69" s="349"/>
      <c r="ROF69" s="349"/>
      <c r="ROG69" s="349"/>
      <c r="ROH69" s="349"/>
      <c r="ROI69" s="349"/>
      <c r="ROJ69" s="349"/>
      <c r="ROK69" s="349"/>
      <c r="ROL69" s="349"/>
      <c r="ROM69" s="349"/>
      <c r="RON69" s="349"/>
      <c r="ROO69" s="349"/>
      <c r="ROP69" s="349"/>
      <c r="ROQ69" s="349"/>
      <c r="ROR69" s="349"/>
      <c r="ROS69" s="349"/>
      <c r="ROT69" s="349"/>
      <c r="ROU69" s="349"/>
      <c r="ROV69" s="349"/>
      <c r="ROW69" s="349"/>
      <c r="ROX69" s="349"/>
      <c r="ROY69" s="349"/>
      <c r="ROZ69" s="349"/>
      <c r="RPA69" s="349"/>
      <c r="RPB69" s="349"/>
      <c r="RPC69" s="349"/>
      <c r="RPD69" s="349"/>
      <c r="RPE69" s="349"/>
      <c r="RPF69" s="349"/>
      <c r="RPG69" s="349"/>
      <c r="RPH69" s="349"/>
      <c r="RPI69" s="349"/>
      <c r="RPJ69" s="349"/>
      <c r="RPK69" s="349"/>
      <c r="RPL69" s="349"/>
      <c r="RPM69" s="349"/>
      <c r="RPN69" s="349"/>
      <c r="RPO69" s="349"/>
      <c r="RPP69" s="349"/>
      <c r="RPQ69" s="349"/>
      <c r="RPR69" s="349"/>
      <c r="RPS69" s="349"/>
      <c r="RPT69" s="349"/>
      <c r="RPU69" s="349"/>
      <c r="RPV69" s="349"/>
      <c r="RPW69" s="349"/>
      <c r="RPX69" s="349"/>
      <c r="RPY69" s="349"/>
      <c r="RPZ69" s="349"/>
      <c r="RQA69" s="349"/>
      <c r="RQB69" s="349"/>
      <c r="RQC69" s="349"/>
      <c r="RQD69" s="349"/>
      <c r="RQE69" s="349"/>
      <c r="RQF69" s="349"/>
      <c r="RQG69" s="349"/>
      <c r="RQH69" s="349"/>
      <c r="RQI69" s="349"/>
      <c r="RQJ69" s="349"/>
      <c r="RQK69" s="349"/>
      <c r="RQL69" s="349"/>
      <c r="RQM69" s="349"/>
      <c r="RQN69" s="349"/>
      <c r="RQO69" s="349"/>
      <c r="RQP69" s="349"/>
      <c r="RQQ69" s="349"/>
      <c r="RQR69" s="349"/>
      <c r="RQS69" s="349"/>
      <c r="RQT69" s="349"/>
      <c r="RQU69" s="349"/>
      <c r="RQV69" s="349"/>
      <c r="RQW69" s="349"/>
      <c r="RQX69" s="349"/>
      <c r="RQY69" s="349"/>
      <c r="RQZ69" s="349"/>
      <c r="RRA69" s="349"/>
      <c r="RRB69" s="349"/>
      <c r="RRC69" s="349"/>
      <c r="RRD69" s="349"/>
      <c r="RRE69" s="349"/>
      <c r="RRF69" s="349"/>
      <c r="RRG69" s="349"/>
      <c r="RRH69" s="349"/>
      <c r="RRI69" s="349"/>
      <c r="RRJ69" s="349"/>
      <c r="RRK69" s="349"/>
      <c r="RRL69" s="349"/>
      <c r="RRM69" s="349"/>
      <c r="RRN69" s="349"/>
      <c r="RRO69" s="349"/>
      <c r="RRP69" s="349"/>
      <c r="RRQ69" s="349"/>
      <c r="RRR69" s="349"/>
      <c r="RRS69" s="349"/>
      <c r="RRT69" s="349"/>
      <c r="RRU69" s="349"/>
      <c r="RRV69" s="349"/>
      <c r="RRW69" s="349"/>
      <c r="RRX69" s="349"/>
      <c r="RRY69" s="349"/>
      <c r="RRZ69" s="349"/>
      <c r="RSA69" s="349"/>
      <c r="RSB69" s="349"/>
      <c r="RSC69" s="349"/>
      <c r="RSD69" s="349"/>
      <c r="RSE69" s="349"/>
      <c r="RSF69" s="349"/>
      <c r="RSG69" s="349"/>
      <c r="RSH69" s="349"/>
      <c r="RSI69" s="349"/>
      <c r="RSJ69" s="349"/>
      <c r="RSK69" s="349"/>
      <c r="RSL69" s="349"/>
      <c r="RSM69" s="349"/>
      <c r="RSN69" s="349"/>
      <c r="RSO69" s="349"/>
      <c r="RSP69" s="349"/>
      <c r="RSQ69" s="349"/>
      <c r="RSR69" s="349"/>
      <c r="RSS69" s="349"/>
      <c r="RST69" s="349"/>
      <c r="RSU69" s="349"/>
      <c r="RSV69" s="349"/>
      <c r="RSW69" s="349"/>
      <c r="RSX69" s="349"/>
      <c r="RSY69" s="349"/>
      <c r="RSZ69" s="349"/>
      <c r="RTA69" s="349"/>
      <c r="RTB69" s="349"/>
      <c r="RTC69" s="349"/>
      <c r="RTD69" s="349"/>
      <c r="RTE69" s="349"/>
      <c r="RTF69" s="349"/>
      <c r="RTG69" s="349"/>
      <c r="RTH69" s="349"/>
      <c r="RTI69" s="349"/>
      <c r="RTJ69" s="349"/>
      <c r="RTK69" s="349"/>
      <c r="RTL69" s="349"/>
      <c r="RTM69" s="349"/>
      <c r="RTN69" s="349"/>
      <c r="RTO69" s="349"/>
      <c r="RTP69" s="349"/>
      <c r="RTQ69" s="349"/>
      <c r="RTR69" s="349"/>
      <c r="RTS69" s="349"/>
      <c r="RTT69" s="349"/>
      <c r="RTU69" s="349"/>
      <c r="RTV69" s="349"/>
      <c r="RTW69" s="349"/>
      <c r="RTX69" s="349"/>
      <c r="RTY69" s="349"/>
      <c r="RTZ69" s="349"/>
      <c r="RUA69" s="349"/>
      <c r="RUB69" s="349"/>
      <c r="RUC69" s="349"/>
      <c r="RUD69" s="349"/>
      <c r="RUE69" s="349"/>
      <c r="RUF69" s="349"/>
      <c r="RUG69" s="349"/>
      <c r="RUH69" s="349"/>
      <c r="RUI69" s="349"/>
      <c r="RUJ69" s="349"/>
      <c r="RUK69" s="349"/>
      <c r="RUL69" s="349"/>
      <c r="RUM69" s="349"/>
      <c r="RUN69" s="349"/>
      <c r="RUO69" s="349"/>
      <c r="RUP69" s="349"/>
      <c r="RUQ69" s="349"/>
      <c r="RUR69" s="349"/>
      <c r="RUS69" s="349"/>
      <c r="RUT69" s="349"/>
      <c r="RUU69" s="349"/>
      <c r="RUV69" s="349"/>
      <c r="RUW69" s="349"/>
      <c r="RUX69" s="349"/>
      <c r="RUY69" s="349"/>
      <c r="RUZ69" s="349"/>
      <c r="RVA69" s="349"/>
      <c r="RVB69" s="349"/>
      <c r="RVC69" s="349"/>
      <c r="RVD69" s="349"/>
      <c r="RVE69" s="349"/>
      <c r="RVF69" s="349"/>
      <c r="RVG69" s="349"/>
      <c r="RVH69" s="349"/>
      <c r="RVI69" s="349"/>
      <c r="RVJ69" s="349"/>
      <c r="RVK69" s="349"/>
      <c r="RVL69" s="349"/>
      <c r="RVM69" s="349"/>
      <c r="RVN69" s="349"/>
      <c r="RVO69" s="349"/>
      <c r="RVP69" s="349"/>
      <c r="RVQ69" s="349"/>
      <c r="RVR69" s="349"/>
      <c r="RVS69" s="349"/>
      <c r="RVT69" s="349"/>
      <c r="RVU69" s="349"/>
      <c r="RVV69" s="349"/>
      <c r="RVW69" s="349"/>
      <c r="RVX69" s="349"/>
      <c r="RVY69" s="349"/>
      <c r="RVZ69" s="349"/>
      <c r="RWA69" s="349"/>
      <c r="RWB69" s="349"/>
      <c r="RWC69" s="349"/>
      <c r="RWD69" s="349"/>
      <c r="RWE69" s="349"/>
      <c r="RWF69" s="349"/>
      <c r="RWG69" s="349"/>
      <c r="RWH69" s="349"/>
      <c r="RWI69" s="349"/>
      <c r="RWJ69" s="349"/>
      <c r="RWK69" s="349"/>
      <c r="RWL69" s="349"/>
      <c r="RWM69" s="349"/>
      <c r="RWN69" s="349"/>
      <c r="RWO69" s="349"/>
      <c r="RWP69" s="349"/>
      <c r="RWQ69" s="349"/>
      <c r="RWR69" s="349"/>
      <c r="RWS69" s="349"/>
      <c r="RWT69" s="349"/>
      <c r="RWU69" s="349"/>
      <c r="RWV69" s="349"/>
      <c r="RWW69" s="349"/>
      <c r="RWX69" s="349"/>
      <c r="RWY69" s="349"/>
      <c r="RWZ69" s="349"/>
      <c r="RXA69" s="349"/>
      <c r="RXB69" s="349"/>
      <c r="RXC69" s="349"/>
      <c r="RXD69" s="349"/>
      <c r="RXE69" s="349"/>
      <c r="RXF69" s="349"/>
      <c r="RXG69" s="349"/>
      <c r="RXH69" s="349"/>
      <c r="RXI69" s="349"/>
      <c r="RXJ69" s="349"/>
      <c r="RXK69" s="349"/>
      <c r="RXL69" s="349"/>
      <c r="RXM69" s="349"/>
      <c r="RXN69" s="349"/>
      <c r="RXO69" s="349"/>
      <c r="RXP69" s="349"/>
      <c r="RXQ69" s="349"/>
      <c r="RXR69" s="349"/>
      <c r="RXS69" s="349"/>
      <c r="RXT69" s="349"/>
      <c r="RXU69" s="349"/>
      <c r="RXV69" s="349"/>
      <c r="RXW69" s="349"/>
      <c r="RXX69" s="349"/>
      <c r="RXY69" s="349"/>
      <c r="RXZ69" s="349"/>
      <c r="RYA69" s="349"/>
      <c r="RYB69" s="349"/>
      <c r="RYC69" s="349"/>
      <c r="RYD69" s="349"/>
      <c r="RYE69" s="349"/>
      <c r="RYF69" s="349"/>
      <c r="RYG69" s="349"/>
      <c r="RYH69" s="349"/>
      <c r="RYI69" s="349"/>
      <c r="RYJ69" s="349"/>
      <c r="RYK69" s="349"/>
      <c r="RYL69" s="349"/>
      <c r="RYM69" s="349"/>
      <c r="RYN69" s="349"/>
      <c r="RYO69" s="349"/>
      <c r="RYP69" s="349"/>
      <c r="RYQ69" s="349"/>
      <c r="RYR69" s="349"/>
      <c r="RYS69" s="349"/>
      <c r="RYT69" s="349"/>
      <c r="RYU69" s="349"/>
      <c r="RYV69" s="349"/>
      <c r="RYW69" s="349"/>
      <c r="RYX69" s="349"/>
      <c r="RYY69" s="349"/>
      <c r="RYZ69" s="349"/>
      <c r="RZA69" s="349"/>
      <c r="RZB69" s="349"/>
      <c r="RZC69" s="349"/>
      <c r="RZD69" s="349"/>
      <c r="RZE69" s="349"/>
      <c r="RZF69" s="349"/>
      <c r="RZG69" s="349"/>
      <c r="RZH69" s="349"/>
      <c r="RZI69" s="349"/>
      <c r="RZJ69" s="349"/>
      <c r="RZK69" s="349"/>
      <c r="RZL69" s="349"/>
      <c r="RZM69" s="349"/>
      <c r="RZN69" s="349"/>
      <c r="RZO69" s="349"/>
      <c r="RZP69" s="349"/>
      <c r="RZQ69" s="349"/>
      <c r="RZR69" s="349"/>
      <c r="RZS69" s="349"/>
      <c r="RZT69" s="349"/>
      <c r="RZU69" s="349"/>
      <c r="RZV69" s="349"/>
      <c r="RZW69" s="349"/>
      <c r="RZX69" s="349"/>
      <c r="RZY69" s="349"/>
      <c r="RZZ69" s="349"/>
      <c r="SAA69" s="349"/>
      <c r="SAB69" s="349"/>
      <c r="SAC69" s="349"/>
      <c r="SAD69" s="349"/>
      <c r="SAE69" s="349"/>
      <c r="SAF69" s="349"/>
      <c r="SAG69" s="349"/>
      <c r="SAH69" s="349"/>
      <c r="SAI69" s="349"/>
      <c r="SAJ69" s="349"/>
      <c r="SAK69" s="349"/>
      <c r="SAL69" s="349"/>
      <c r="SAM69" s="349"/>
      <c r="SAN69" s="349"/>
      <c r="SAO69" s="349"/>
      <c r="SAP69" s="349"/>
      <c r="SAQ69" s="349"/>
      <c r="SAR69" s="349"/>
      <c r="SAS69" s="349"/>
      <c r="SAT69" s="349"/>
      <c r="SAU69" s="349"/>
      <c r="SAV69" s="349"/>
      <c r="SAW69" s="349"/>
      <c r="SAX69" s="349"/>
      <c r="SAY69" s="349"/>
      <c r="SAZ69" s="349"/>
      <c r="SBA69" s="349"/>
      <c r="SBB69" s="349"/>
      <c r="SBC69" s="349"/>
      <c r="SBD69" s="349"/>
      <c r="SBE69" s="349"/>
      <c r="SBF69" s="349"/>
      <c r="SBG69" s="349"/>
      <c r="SBH69" s="349"/>
      <c r="SBI69" s="349"/>
      <c r="SBJ69" s="349"/>
      <c r="SBK69" s="349"/>
      <c r="SBL69" s="349"/>
      <c r="SBM69" s="349"/>
      <c r="SBN69" s="349"/>
      <c r="SBO69" s="349"/>
      <c r="SBP69" s="349"/>
      <c r="SBQ69" s="349"/>
      <c r="SBR69" s="349"/>
      <c r="SBS69" s="349"/>
      <c r="SBT69" s="349"/>
      <c r="SBU69" s="349"/>
      <c r="SBV69" s="349"/>
      <c r="SBW69" s="349"/>
      <c r="SBX69" s="349"/>
      <c r="SBY69" s="349"/>
      <c r="SBZ69" s="349"/>
      <c r="SCA69" s="349"/>
      <c r="SCB69" s="349"/>
      <c r="SCC69" s="349"/>
      <c r="SCD69" s="349"/>
      <c r="SCE69" s="349"/>
      <c r="SCF69" s="349"/>
      <c r="SCG69" s="349"/>
      <c r="SCH69" s="349"/>
      <c r="SCI69" s="349"/>
      <c r="SCJ69" s="349"/>
      <c r="SCK69" s="349"/>
      <c r="SCL69" s="349"/>
      <c r="SCM69" s="349"/>
      <c r="SCN69" s="349"/>
      <c r="SCO69" s="349"/>
      <c r="SCP69" s="349"/>
      <c r="SCQ69" s="349"/>
      <c r="SCR69" s="349"/>
      <c r="SCS69" s="349"/>
      <c r="SCT69" s="349"/>
      <c r="SCU69" s="349"/>
      <c r="SCV69" s="349"/>
      <c r="SCW69" s="349"/>
      <c r="SCX69" s="349"/>
      <c r="SCY69" s="349"/>
      <c r="SCZ69" s="349"/>
      <c r="SDA69" s="349"/>
      <c r="SDB69" s="349"/>
      <c r="SDC69" s="349"/>
      <c r="SDD69" s="349"/>
      <c r="SDE69" s="349"/>
      <c r="SDF69" s="349"/>
      <c r="SDG69" s="349"/>
      <c r="SDH69" s="349"/>
      <c r="SDI69" s="349"/>
      <c r="SDJ69" s="349"/>
      <c r="SDK69" s="349"/>
      <c r="SDL69" s="349"/>
      <c r="SDM69" s="349"/>
      <c r="SDN69" s="349"/>
      <c r="SDO69" s="349"/>
      <c r="SDP69" s="349"/>
      <c r="SDQ69" s="349"/>
      <c r="SDR69" s="349"/>
      <c r="SDS69" s="349"/>
      <c r="SDT69" s="349"/>
      <c r="SDU69" s="349"/>
      <c r="SDV69" s="349"/>
      <c r="SDW69" s="349"/>
      <c r="SDX69" s="349"/>
      <c r="SDY69" s="349"/>
      <c r="SDZ69" s="349"/>
      <c r="SEA69" s="349"/>
      <c r="SEB69" s="349"/>
      <c r="SEC69" s="349"/>
      <c r="SED69" s="349"/>
      <c r="SEE69" s="349"/>
      <c r="SEF69" s="349"/>
      <c r="SEG69" s="349"/>
      <c r="SEH69" s="349"/>
      <c r="SEI69" s="349"/>
      <c r="SEJ69" s="349"/>
      <c r="SEK69" s="349"/>
      <c r="SEL69" s="349"/>
      <c r="SEM69" s="349"/>
      <c r="SEN69" s="349"/>
      <c r="SEO69" s="349"/>
      <c r="SEP69" s="349"/>
      <c r="SEQ69" s="349"/>
      <c r="SER69" s="349"/>
      <c r="SES69" s="349"/>
      <c r="SET69" s="349"/>
      <c r="SEU69" s="349"/>
      <c r="SEV69" s="349"/>
      <c r="SEW69" s="349"/>
      <c r="SEX69" s="349"/>
      <c r="SEY69" s="349"/>
      <c r="SEZ69" s="349"/>
      <c r="SFA69" s="349"/>
      <c r="SFB69" s="349"/>
      <c r="SFC69" s="349"/>
      <c r="SFD69" s="349"/>
      <c r="SFE69" s="349"/>
      <c r="SFF69" s="349"/>
      <c r="SFG69" s="349"/>
      <c r="SFH69" s="349"/>
      <c r="SFI69" s="349"/>
      <c r="SFJ69" s="349"/>
      <c r="SFK69" s="349"/>
      <c r="SFL69" s="349"/>
      <c r="SFM69" s="349"/>
      <c r="SFN69" s="349"/>
      <c r="SFO69" s="349"/>
      <c r="SFP69" s="349"/>
      <c r="SFQ69" s="349"/>
      <c r="SFR69" s="349"/>
      <c r="SFS69" s="349"/>
      <c r="SFT69" s="349"/>
      <c r="SFU69" s="349"/>
      <c r="SFV69" s="349"/>
      <c r="SFW69" s="349"/>
      <c r="SFX69" s="349"/>
      <c r="SFY69" s="349"/>
      <c r="SFZ69" s="349"/>
      <c r="SGA69" s="349"/>
      <c r="SGB69" s="349"/>
      <c r="SGC69" s="349"/>
      <c r="SGD69" s="349"/>
      <c r="SGE69" s="349"/>
      <c r="SGF69" s="349"/>
      <c r="SGG69" s="349"/>
      <c r="SGH69" s="349"/>
      <c r="SGI69" s="349"/>
      <c r="SGJ69" s="349"/>
      <c r="SGK69" s="349"/>
      <c r="SGL69" s="349"/>
      <c r="SGM69" s="349"/>
      <c r="SGN69" s="349"/>
      <c r="SGO69" s="349"/>
      <c r="SGP69" s="349"/>
      <c r="SGQ69" s="349"/>
      <c r="SGR69" s="349"/>
      <c r="SGS69" s="349"/>
      <c r="SGT69" s="349"/>
      <c r="SGU69" s="349"/>
      <c r="SGV69" s="349"/>
      <c r="SGW69" s="349"/>
      <c r="SGX69" s="349"/>
      <c r="SGY69" s="349"/>
      <c r="SGZ69" s="349"/>
      <c r="SHA69" s="349"/>
      <c r="SHB69" s="349"/>
      <c r="SHC69" s="349"/>
      <c r="SHD69" s="349"/>
      <c r="SHE69" s="349"/>
      <c r="SHF69" s="349"/>
      <c r="SHG69" s="349"/>
      <c r="SHH69" s="349"/>
      <c r="SHI69" s="349"/>
      <c r="SHJ69" s="349"/>
      <c r="SHK69" s="349"/>
      <c r="SHL69" s="349"/>
      <c r="SHM69" s="349"/>
      <c r="SHN69" s="349"/>
      <c r="SHO69" s="349"/>
      <c r="SHP69" s="349"/>
      <c r="SHQ69" s="349"/>
      <c r="SHR69" s="349"/>
      <c r="SHS69" s="349"/>
      <c r="SHT69" s="349"/>
      <c r="SHU69" s="349"/>
      <c r="SHV69" s="349"/>
      <c r="SHW69" s="349"/>
      <c r="SHX69" s="349"/>
      <c r="SHY69" s="349"/>
      <c r="SHZ69" s="349"/>
      <c r="SIA69" s="349"/>
      <c r="SIB69" s="349"/>
      <c r="SIC69" s="349"/>
      <c r="SID69" s="349"/>
      <c r="SIE69" s="349"/>
      <c r="SIF69" s="349"/>
      <c r="SIG69" s="349"/>
      <c r="SIH69" s="349"/>
      <c r="SII69" s="349"/>
      <c r="SIJ69" s="349"/>
      <c r="SIK69" s="349"/>
      <c r="SIL69" s="349"/>
      <c r="SIM69" s="349"/>
      <c r="SIN69" s="349"/>
      <c r="SIO69" s="349"/>
      <c r="SIP69" s="349"/>
      <c r="SIQ69" s="349"/>
      <c r="SIR69" s="349"/>
      <c r="SIS69" s="349"/>
      <c r="SIT69" s="349"/>
      <c r="SIU69" s="349"/>
      <c r="SIV69" s="349"/>
      <c r="SIW69" s="349"/>
      <c r="SIX69" s="349"/>
      <c r="SIY69" s="349"/>
      <c r="SIZ69" s="349"/>
      <c r="SJA69" s="349"/>
      <c r="SJB69" s="349"/>
      <c r="SJC69" s="349"/>
      <c r="SJD69" s="349"/>
      <c r="SJE69" s="349"/>
      <c r="SJF69" s="349"/>
      <c r="SJG69" s="349"/>
      <c r="SJH69" s="349"/>
      <c r="SJI69" s="349"/>
      <c r="SJJ69" s="349"/>
      <c r="SJK69" s="349"/>
      <c r="SJL69" s="349"/>
      <c r="SJM69" s="349"/>
      <c r="SJN69" s="349"/>
      <c r="SJO69" s="349"/>
      <c r="SJP69" s="349"/>
      <c r="SJQ69" s="349"/>
      <c r="SJR69" s="349"/>
      <c r="SJS69" s="349"/>
      <c r="SJT69" s="349"/>
      <c r="SJU69" s="349"/>
      <c r="SJV69" s="349"/>
      <c r="SJW69" s="349"/>
      <c r="SJX69" s="349"/>
      <c r="SJY69" s="349"/>
      <c r="SJZ69" s="349"/>
      <c r="SKA69" s="349"/>
      <c r="SKB69" s="349"/>
      <c r="SKC69" s="349"/>
      <c r="SKD69" s="349"/>
      <c r="SKE69" s="349"/>
      <c r="SKF69" s="349"/>
      <c r="SKG69" s="349"/>
      <c r="SKH69" s="349"/>
      <c r="SKI69" s="349"/>
      <c r="SKJ69" s="349"/>
      <c r="SKK69" s="349"/>
      <c r="SKL69" s="349"/>
      <c r="SKM69" s="349"/>
      <c r="SKN69" s="349"/>
      <c r="SKO69" s="349"/>
      <c r="SKP69" s="349"/>
      <c r="SKQ69" s="349"/>
      <c r="SKR69" s="349"/>
      <c r="SKS69" s="349"/>
      <c r="SKT69" s="349"/>
      <c r="SKU69" s="349"/>
      <c r="SKV69" s="349"/>
      <c r="SKW69" s="349"/>
      <c r="SKX69" s="349"/>
      <c r="SKY69" s="349"/>
      <c r="SKZ69" s="349"/>
      <c r="SLA69" s="349"/>
      <c r="SLB69" s="349"/>
      <c r="SLC69" s="349"/>
      <c r="SLD69" s="349"/>
      <c r="SLE69" s="349"/>
      <c r="SLF69" s="349"/>
      <c r="SLG69" s="349"/>
      <c r="SLH69" s="349"/>
      <c r="SLI69" s="349"/>
      <c r="SLJ69" s="349"/>
      <c r="SLK69" s="349"/>
      <c r="SLL69" s="349"/>
      <c r="SLM69" s="349"/>
      <c r="SLN69" s="349"/>
      <c r="SLO69" s="349"/>
      <c r="SLP69" s="349"/>
      <c r="SLQ69" s="349"/>
      <c r="SLR69" s="349"/>
      <c r="SLS69" s="349"/>
      <c r="SLT69" s="349"/>
      <c r="SLU69" s="349"/>
      <c r="SLV69" s="349"/>
      <c r="SLW69" s="349"/>
      <c r="SLX69" s="349"/>
      <c r="SLY69" s="349"/>
      <c r="SLZ69" s="349"/>
      <c r="SMA69" s="349"/>
      <c r="SMB69" s="349"/>
      <c r="SMC69" s="349"/>
      <c r="SMD69" s="349"/>
      <c r="SME69" s="349"/>
      <c r="SMF69" s="349"/>
      <c r="SMG69" s="349"/>
      <c r="SMH69" s="349"/>
      <c r="SMI69" s="349"/>
      <c r="SMJ69" s="349"/>
      <c r="SMK69" s="349"/>
      <c r="SML69" s="349"/>
      <c r="SMM69" s="349"/>
      <c r="SMN69" s="349"/>
      <c r="SMO69" s="349"/>
      <c r="SMP69" s="349"/>
      <c r="SMQ69" s="349"/>
      <c r="SMR69" s="349"/>
      <c r="SMS69" s="349"/>
      <c r="SMT69" s="349"/>
      <c r="SMU69" s="349"/>
      <c r="SMV69" s="349"/>
      <c r="SMW69" s="349"/>
      <c r="SMX69" s="349"/>
      <c r="SMY69" s="349"/>
      <c r="SMZ69" s="349"/>
      <c r="SNA69" s="349"/>
      <c r="SNB69" s="349"/>
      <c r="SNC69" s="349"/>
      <c r="SND69" s="349"/>
      <c r="SNE69" s="349"/>
      <c r="SNF69" s="349"/>
      <c r="SNG69" s="349"/>
      <c r="SNH69" s="349"/>
      <c r="SNI69" s="349"/>
      <c r="SNJ69" s="349"/>
      <c r="SNK69" s="349"/>
      <c r="SNL69" s="349"/>
      <c r="SNM69" s="349"/>
      <c r="SNN69" s="349"/>
      <c r="SNO69" s="349"/>
      <c r="SNP69" s="349"/>
      <c r="SNQ69" s="349"/>
      <c r="SNR69" s="349"/>
      <c r="SNS69" s="349"/>
      <c r="SNT69" s="349"/>
      <c r="SNU69" s="349"/>
      <c r="SNV69" s="349"/>
      <c r="SNW69" s="349"/>
      <c r="SNX69" s="349"/>
      <c r="SNY69" s="349"/>
      <c r="SNZ69" s="349"/>
      <c r="SOA69" s="349"/>
      <c r="SOB69" s="349"/>
      <c r="SOC69" s="349"/>
      <c r="SOD69" s="349"/>
      <c r="SOE69" s="349"/>
      <c r="SOF69" s="349"/>
      <c r="SOG69" s="349"/>
      <c r="SOH69" s="349"/>
      <c r="SOI69" s="349"/>
      <c r="SOJ69" s="349"/>
      <c r="SOK69" s="349"/>
      <c r="SOL69" s="349"/>
      <c r="SOM69" s="349"/>
      <c r="SON69" s="349"/>
      <c r="SOO69" s="349"/>
      <c r="SOP69" s="349"/>
      <c r="SOQ69" s="349"/>
      <c r="SOR69" s="349"/>
      <c r="SOS69" s="349"/>
      <c r="SOT69" s="349"/>
      <c r="SOU69" s="349"/>
      <c r="SOV69" s="349"/>
      <c r="SOW69" s="349"/>
      <c r="SOX69" s="349"/>
      <c r="SOY69" s="349"/>
      <c r="SOZ69" s="349"/>
      <c r="SPA69" s="349"/>
      <c r="SPB69" s="349"/>
      <c r="SPC69" s="349"/>
      <c r="SPD69" s="349"/>
      <c r="SPE69" s="349"/>
      <c r="SPF69" s="349"/>
      <c r="SPG69" s="349"/>
      <c r="SPH69" s="349"/>
      <c r="SPI69" s="349"/>
      <c r="SPJ69" s="349"/>
      <c r="SPK69" s="349"/>
      <c r="SPL69" s="349"/>
      <c r="SPM69" s="349"/>
      <c r="SPN69" s="349"/>
      <c r="SPO69" s="349"/>
      <c r="SPP69" s="349"/>
      <c r="SPQ69" s="349"/>
      <c r="SPR69" s="349"/>
      <c r="SPS69" s="349"/>
      <c r="SPT69" s="349"/>
      <c r="SPU69" s="349"/>
      <c r="SPV69" s="349"/>
      <c r="SPW69" s="349"/>
      <c r="SPX69" s="349"/>
      <c r="SPY69" s="349"/>
      <c r="SPZ69" s="349"/>
      <c r="SQA69" s="349"/>
      <c r="SQB69" s="349"/>
      <c r="SQC69" s="349"/>
      <c r="SQD69" s="349"/>
      <c r="SQE69" s="349"/>
      <c r="SQF69" s="349"/>
      <c r="SQG69" s="349"/>
      <c r="SQH69" s="349"/>
      <c r="SQI69" s="349"/>
      <c r="SQJ69" s="349"/>
      <c r="SQK69" s="349"/>
      <c r="SQL69" s="349"/>
      <c r="SQM69" s="349"/>
      <c r="SQN69" s="349"/>
      <c r="SQO69" s="349"/>
      <c r="SQP69" s="349"/>
      <c r="SQQ69" s="349"/>
      <c r="SQR69" s="349"/>
      <c r="SQS69" s="349"/>
      <c r="SQT69" s="349"/>
      <c r="SQU69" s="349"/>
      <c r="SQV69" s="349"/>
      <c r="SQW69" s="349"/>
      <c r="SQX69" s="349"/>
      <c r="SQY69" s="349"/>
      <c r="SQZ69" s="349"/>
      <c r="SRA69" s="349"/>
      <c r="SRB69" s="349"/>
      <c r="SRC69" s="349"/>
      <c r="SRD69" s="349"/>
      <c r="SRE69" s="349"/>
      <c r="SRF69" s="349"/>
      <c r="SRG69" s="349"/>
      <c r="SRH69" s="349"/>
      <c r="SRI69" s="349"/>
      <c r="SRJ69" s="349"/>
      <c r="SRK69" s="349"/>
      <c r="SRL69" s="349"/>
      <c r="SRM69" s="349"/>
      <c r="SRN69" s="349"/>
      <c r="SRO69" s="349"/>
      <c r="SRP69" s="349"/>
      <c r="SRQ69" s="349"/>
      <c r="SRR69" s="349"/>
      <c r="SRS69" s="349"/>
      <c r="SRT69" s="349"/>
      <c r="SRU69" s="349"/>
      <c r="SRV69" s="349"/>
      <c r="SRW69" s="349"/>
      <c r="SRX69" s="349"/>
      <c r="SRY69" s="349"/>
      <c r="SRZ69" s="349"/>
      <c r="SSA69" s="349"/>
      <c r="SSB69" s="349"/>
      <c r="SSC69" s="349"/>
      <c r="SSD69" s="349"/>
      <c r="SSE69" s="349"/>
      <c r="SSF69" s="349"/>
      <c r="SSG69" s="349"/>
      <c r="SSH69" s="349"/>
      <c r="SSI69" s="349"/>
      <c r="SSJ69" s="349"/>
      <c r="SSK69" s="349"/>
      <c r="SSL69" s="349"/>
      <c r="SSM69" s="349"/>
      <c r="SSN69" s="349"/>
      <c r="SSO69" s="349"/>
      <c r="SSP69" s="349"/>
      <c r="SSQ69" s="349"/>
      <c r="SSR69" s="349"/>
      <c r="SSS69" s="349"/>
      <c r="SST69" s="349"/>
      <c r="SSU69" s="349"/>
      <c r="SSV69" s="349"/>
      <c r="SSW69" s="349"/>
      <c r="SSX69" s="349"/>
      <c r="SSY69" s="349"/>
      <c r="SSZ69" s="349"/>
      <c r="STA69" s="349"/>
      <c r="STB69" s="349"/>
      <c r="STC69" s="349"/>
      <c r="STD69" s="349"/>
      <c r="STE69" s="349"/>
      <c r="STF69" s="349"/>
      <c r="STG69" s="349"/>
      <c r="STH69" s="349"/>
      <c r="STI69" s="349"/>
      <c r="STJ69" s="349"/>
      <c r="STK69" s="349"/>
      <c r="STL69" s="349"/>
      <c r="STM69" s="349"/>
      <c r="STN69" s="349"/>
      <c r="STO69" s="349"/>
      <c r="STP69" s="349"/>
      <c r="STQ69" s="349"/>
      <c r="STR69" s="349"/>
      <c r="STS69" s="349"/>
      <c r="STT69" s="349"/>
      <c r="STU69" s="349"/>
      <c r="STV69" s="349"/>
      <c r="STW69" s="349"/>
      <c r="STX69" s="349"/>
      <c r="STY69" s="349"/>
      <c r="STZ69" s="349"/>
      <c r="SUA69" s="349"/>
      <c r="SUB69" s="349"/>
      <c r="SUC69" s="349"/>
      <c r="SUD69" s="349"/>
      <c r="SUE69" s="349"/>
      <c r="SUF69" s="349"/>
      <c r="SUG69" s="349"/>
      <c r="SUH69" s="349"/>
      <c r="SUI69" s="349"/>
      <c r="SUJ69" s="349"/>
      <c r="SUK69" s="349"/>
      <c r="SUL69" s="349"/>
      <c r="SUM69" s="349"/>
      <c r="SUN69" s="349"/>
      <c r="SUO69" s="349"/>
      <c r="SUP69" s="349"/>
      <c r="SUQ69" s="349"/>
      <c r="SUR69" s="349"/>
      <c r="SUS69" s="349"/>
      <c r="SUT69" s="349"/>
      <c r="SUU69" s="349"/>
      <c r="SUV69" s="349"/>
      <c r="SUW69" s="349"/>
      <c r="SUX69" s="349"/>
      <c r="SUY69" s="349"/>
      <c r="SUZ69" s="349"/>
      <c r="SVA69" s="349"/>
      <c r="SVB69" s="349"/>
      <c r="SVC69" s="349"/>
      <c r="SVD69" s="349"/>
      <c r="SVE69" s="349"/>
      <c r="SVF69" s="349"/>
      <c r="SVG69" s="349"/>
      <c r="SVH69" s="349"/>
      <c r="SVI69" s="349"/>
      <c r="SVJ69" s="349"/>
      <c r="SVK69" s="349"/>
      <c r="SVL69" s="349"/>
      <c r="SVM69" s="349"/>
      <c r="SVN69" s="349"/>
      <c r="SVO69" s="349"/>
      <c r="SVP69" s="349"/>
      <c r="SVQ69" s="349"/>
      <c r="SVR69" s="349"/>
      <c r="SVS69" s="349"/>
      <c r="SVT69" s="349"/>
      <c r="SVU69" s="349"/>
      <c r="SVV69" s="349"/>
      <c r="SVW69" s="349"/>
      <c r="SVX69" s="349"/>
      <c r="SVY69" s="349"/>
      <c r="SVZ69" s="349"/>
      <c r="SWA69" s="349"/>
      <c r="SWB69" s="349"/>
      <c r="SWC69" s="349"/>
      <c r="SWD69" s="349"/>
      <c r="SWE69" s="349"/>
      <c r="SWF69" s="349"/>
      <c r="SWG69" s="349"/>
      <c r="SWH69" s="349"/>
      <c r="SWI69" s="349"/>
      <c r="SWJ69" s="349"/>
      <c r="SWK69" s="349"/>
      <c r="SWL69" s="349"/>
      <c r="SWM69" s="349"/>
      <c r="SWN69" s="349"/>
      <c r="SWO69" s="349"/>
      <c r="SWP69" s="349"/>
      <c r="SWQ69" s="349"/>
      <c r="SWR69" s="349"/>
      <c r="SWS69" s="349"/>
      <c r="SWT69" s="349"/>
      <c r="SWU69" s="349"/>
      <c r="SWV69" s="349"/>
      <c r="SWW69" s="349"/>
      <c r="SWX69" s="349"/>
      <c r="SWY69" s="349"/>
      <c r="SWZ69" s="349"/>
      <c r="SXA69" s="349"/>
      <c r="SXB69" s="349"/>
      <c r="SXC69" s="349"/>
      <c r="SXD69" s="349"/>
      <c r="SXE69" s="349"/>
      <c r="SXF69" s="349"/>
      <c r="SXG69" s="349"/>
      <c r="SXH69" s="349"/>
      <c r="SXI69" s="349"/>
      <c r="SXJ69" s="349"/>
      <c r="SXK69" s="349"/>
      <c r="SXL69" s="349"/>
      <c r="SXM69" s="349"/>
      <c r="SXN69" s="349"/>
      <c r="SXO69" s="349"/>
      <c r="SXP69" s="349"/>
      <c r="SXQ69" s="349"/>
      <c r="SXR69" s="349"/>
      <c r="SXS69" s="349"/>
      <c r="SXT69" s="349"/>
      <c r="SXU69" s="349"/>
      <c r="SXV69" s="349"/>
      <c r="SXW69" s="349"/>
      <c r="SXX69" s="349"/>
      <c r="SXY69" s="349"/>
      <c r="SXZ69" s="349"/>
      <c r="SYA69" s="349"/>
      <c r="SYB69" s="349"/>
      <c r="SYC69" s="349"/>
      <c r="SYD69" s="349"/>
      <c r="SYE69" s="349"/>
      <c r="SYF69" s="349"/>
      <c r="SYG69" s="349"/>
      <c r="SYH69" s="349"/>
      <c r="SYI69" s="349"/>
      <c r="SYJ69" s="349"/>
      <c r="SYK69" s="349"/>
      <c r="SYL69" s="349"/>
      <c r="SYM69" s="349"/>
      <c r="SYN69" s="349"/>
      <c r="SYO69" s="349"/>
      <c r="SYP69" s="349"/>
      <c r="SYQ69" s="349"/>
      <c r="SYR69" s="349"/>
      <c r="SYS69" s="349"/>
      <c r="SYT69" s="349"/>
      <c r="SYU69" s="349"/>
      <c r="SYV69" s="349"/>
      <c r="SYW69" s="349"/>
      <c r="SYX69" s="349"/>
      <c r="SYY69" s="349"/>
      <c r="SYZ69" s="349"/>
      <c r="SZA69" s="349"/>
      <c r="SZB69" s="349"/>
      <c r="SZC69" s="349"/>
      <c r="SZD69" s="349"/>
      <c r="SZE69" s="349"/>
      <c r="SZF69" s="349"/>
      <c r="SZG69" s="349"/>
      <c r="SZH69" s="349"/>
      <c r="SZI69" s="349"/>
      <c r="SZJ69" s="349"/>
      <c r="SZK69" s="349"/>
      <c r="SZL69" s="349"/>
      <c r="SZM69" s="349"/>
      <c r="SZN69" s="349"/>
      <c r="SZO69" s="349"/>
      <c r="SZP69" s="349"/>
      <c r="SZQ69" s="349"/>
      <c r="SZR69" s="349"/>
      <c r="SZS69" s="349"/>
      <c r="SZT69" s="349"/>
      <c r="SZU69" s="349"/>
      <c r="SZV69" s="349"/>
      <c r="SZW69" s="349"/>
      <c r="SZX69" s="349"/>
      <c r="SZY69" s="349"/>
      <c r="SZZ69" s="349"/>
      <c r="TAA69" s="349"/>
      <c r="TAB69" s="349"/>
      <c r="TAC69" s="349"/>
      <c r="TAD69" s="349"/>
      <c r="TAE69" s="349"/>
      <c r="TAF69" s="349"/>
      <c r="TAG69" s="349"/>
      <c r="TAH69" s="349"/>
      <c r="TAI69" s="349"/>
      <c r="TAJ69" s="349"/>
      <c r="TAK69" s="349"/>
      <c r="TAL69" s="349"/>
      <c r="TAM69" s="349"/>
      <c r="TAN69" s="349"/>
      <c r="TAO69" s="349"/>
      <c r="TAP69" s="349"/>
      <c r="TAQ69" s="349"/>
      <c r="TAR69" s="349"/>
      <c r="TAS69" s="349"/>
      <c r="TAT69" s="349"/>
      <c r="TAU69" s="349"/>
      <c r="TAV69" s="349"/>
      <c r="TAW69" s="349"/>
      <c r="TAX69" s="349"/>
      <c r="TAY69" s="349"/>
      <c r="TAZ69" s="349"/>
      <c r="TBA69" s="349"/>
      <c r="TBB69" s="349"/>
      <c r="TBC69" s="349"/>
      <c r="TBD69" s="349"/>
      <c r="TBE69" s="349"/>
      <c r="TBF69" s="349"/>
      <c r="TBG69" s="349"/>
      <c r="TBH69" s="349"/>
      <c r="TBI69" s="349"/>
      <c r="TBJ69" s="349"/>
      <c r="TBK69" s="349"/>
      <c r="TBL69" s="349"/>
      <c r="TBM69" s="349"/>
      <c r="TBN69" s="349"/>
      <c r="TBO69" s="349"/>
      <c r="TBP69" s="349"/>
      <c r="TBQ69" s="349"/>
      <c r="TBR69" s="349"/>
      <c r="TBS69" s="349"/>
      <c r="TBT69" s="349"/>
      <c r="TBU69" s="349"/>
      <c r="TBV69" s="349"/>
      <c r="TBW69" s="349"/>
      <c r="TBX69" s="349"/>
      <c r="TBY69" s="349"/>
      <c r="TBZ69" s="349"/>
      <c r="TCA69" s="349"/>
      <c r="TCB69" s="349"/>
      <c r="TCC69" s="349"/>
      <c r="TCD69" s="349"/>
      <c r="TCE69" s="349"/>
      <c r="TCF69" s="349"/>
      <c r="TCG69" s="349"/>
      <c r="TCH69" s="349"/>
      <c r="TCI69" s="349"/>
      <c r="TCJ69" s="349"/>
      <c r="TCK69" s="349"/>
      <c r="TCL69" s="349"/>
      <c r="TCM69" s="349"/>
      <c r="TCN69" s="349"/>
      <c r="TCO69" s="349"/>
      <c r="TCP69" s="349"/>
      <c r="TCQ69" s="349"/>
      <c r="TCR69" s="349"/>
      <c r="TCS69" s="349"/>
      <c r="TCT69" s="349"/>
      <c r="TCU69" s="349"/>
      <c r="TCV69" s="349"/>
      <c r="TCW69" s="349"/>
      <c r="TCX69" s="349"/>
      <c r="TCY69" s="349"/>
      <c r="TCZ69" s="349"/>
      <c r="TDA69" s="349"/>
      <c r="TDB69" s="349"/>
      <c r="TDC69" s="349"/>
      <c r="TDD69" s="349"/>
      <c r="TDE69" s="349"/>
      <c r="TDF69" s="349"/>
      <c r="TDG69" s="349"/>
      <c r="TDH69" s="349"/>
      <c r="TDI69" s="349"/>
      <c r="TDJ69" s="349"/>
      <c r="TDK69" s="349"/>
      <c r="TDL69" s="349"/>
      <c r="TDM69" s="349"/>
      <c r="TDN69" s="349"/>
      <c r="TDO69" s="349"/>
      <c r="TDP69" s="349"/>
      <c r="TDQ69" s="349"/>
      <c r="TDR69" s="349"/>
      <c r="TDS69" s="349"/>
      <c r="TDT69" s="349"/>
      <c r="TDU69" s="349"/>
      <c r="TDV69" s="349"/>
      <c r="TDW69" s="349"/>
      <c r="TDX69" s="349"/>
      <c r="TDY69" s="349"/>
      <c r="TDZ69" s="349"/>
      <c r="TEA69" s="349"/>
      <c r="TEB69" s="349"/>
      <c r="TEC69" s="349"/>
      <c r="TED69" s="349"/>
      <c r="TEE69" s="349"/>
      <c r="TEF69" s="349"/>
      <c r="TEG69" s="349"/>
      <c r="TEH69" s="349"/>
      <c r="TEI69" s="349"/>
      <c r="TEJ69" s="349"/>
      <c r="TEK69" s="349"/>
      <c r="TEL69" s="349"/>
      <c r="TEM69" s="349"/>
      <c r="TEN69" s="349"/>
      <c r="TEO69" s="349"/>
      <c r="TEP69" s="349"/>
      <c r="TEQ69" s="349"/>
      <c r="TER69" s="349"/>
      <c r="TES69" s="349"/>
      <c r="TET69" s="349"/>
      <c r="TEU69" s="349"/>
      <c r="TEV69" s="349"/>
      <c r="TEW69" s="349"/>
      <c r="TEX69" s="349"/>
      <c r="TEY69" s="349"/>
      <c r="TEZ69" s="349"/>
      <c r="TFA69" s="349"/>
      <c r="TFB69" s="349"/>
      <c r="TFC69" s="349"/>
      <c r="TFD69" s="349"/>
      <c r="TFE69" s="349"/>
      <c r="TFF69" s="349"/>
      <c r="TFG69" s="349"/>
      <c r="TFH69" s="349"/>
      <c r="TFI69" s="349"/>
      <c r="TFJ69" s="349"/>
      <c r="TFK69" s="349"/>
      <c r="TFL69" s="349"/>
      <c r="TFM69" s="349"/>
      <c r="TFN69" s="349"/>
      <c r="TFO69" s="349"/>
      <c r="TFP69" s="349"/>
      <c r="TFQ69" s="349"/>
      <c r="TFR69" s="349"/>
      <c r="TFS69" s="349"/>
      <c r="TFT69" s="349"/>
      <c r="TFU69" s="349"/>
      <c r="TFV69" s="349"/>
      <c r="TFW69" s="349"/>
      <c r="TFX69" s="349"/>
      <c r="TFY69" s="349"/>
      <c r="TFZ69" s="349"/>
      <c r="TGA69" s="349"/>
      <c r="TGB69" s="349"/>
      <c r="TGC69" s="349"/>
      <c r="TGD69" s="349"/>
      <c r="TGE69" s="349"/>
      <c r="TGF69" s="349"/>
      <c r="TGG69" s="349"/>
      <c r="TGH69" s="349"/>
      <c r="TGI69" s="349"/>
      <c r="TGJ69" s="349"/>
      <c r="TGK69" s="349"/>
      <c r="TGL69" s="349"/>
      <c r="TGM69" s="349"/>
      <c r="TGN69" s="349"/>
      <c r="TGO69" s="349"/>
      <c r="TGP69" s="349"/>
      <c r="TGQ69" s="349"/>
      <c r="TGR69" s="349"/>
      <c r="TGS69" s="349"/>
      <c r="TGT69" s="349"/>
      <c r="TGU69" s="349"/>
      <c r="TGV69" s="349"/>
      <c r="TGW69" s="349"/>
      <c r="TGX69" s="349"/>
      <c r="TGY69" s="349"/>
      <c r="TGZ69" s="349"/>
      <c r="THA69" s="349"/>
      <c r="THB69" s="349"/>
      <c r="THC69" s="349"/>
      <c r="THD69" s="349"/>
      <c r="THE69" s="349"/>
      <c r="THF69" s="349"/>
      <c r="THG69" s="349"/>
      <c r="THH69" s="349"/>
      <c r="THI69" s="349"/>
      <c r="THJ69" s="349"/>
      <c r="THK69" s="349"/>
      <c r="THL69" s="349"/>
      <c r="THM69" s="349"/>
      <c r="THN69" s="349"/>
      <c r="THO69" s="349"/>
      <c r="THP69" s="349"/>
      <c r="THQ69" s="349"/>
      <c r="THR69" s="349"/>
      <c r="THS69" s="349"/>
      <c r="THT69" s="349"/>
      <c r="THU69" s="349"/>
      <c r="THV69" s="349"/>
      <c r="THW69" s="349"/>
      <c r="THX69" s="349"/>
      <c r="THY69" s="349"/>
      <c r="THZ69" s="349"/>
      <c r="TIA69" s="349"/>
      <c r="TIB69" s="349"/>
      <c r="TIC69" s="349"/>
      <c r="TID69" s="349"/>
      <c r="TIE69" s="349"/>
      <c r="TIF69" s="349"/>
      <c r="TIG69" s="349"/>
      <c r="TIH69" s="349"/>
      <c r="TII69" s="349"/>
      <c r="TIJ69" s="349"/>
      <c r="TIK69" s="349"/>
      <c r="TIL69" s="349"/>
      <c r="TIM69" s="349"/>
      <c r="TIN69" s="349"/>
      <c r="TIO69" s="349"/>
      <c r="TIP69" s="349"/>
      <c r="TIQ69" s="349"/>
      <c r="TIR69" s="349"/>
      <c r="TIS69" s="349"/>
      <c r="TIT69" s="349"/>
      <c r="TIU69" s="349"/>
      <c r="TIV69" s="349"/>
      <c r="TIW69" s="349"/>
      <c r="TIX69" s="349"/>
      <c r="TIY69" s="349"/>
      <c r="TIZ69" s="349"/>
      <c r="TJA69" s="349"/>
      <c r="TJB69" s="349"/>
      <c r="TJC69" s="349"/>
      <c r="TJD69" s="349"/>
      <c r="TJE69" s="349"/>
      <c r="TJF69" s="349"/>
      <c r="TJG69" s="349"/>
      <c r="TJH69" s="349"/>
      <c r="TJI69" s="349"/>
      <c r="TJJ69" s="349"/>
      <c r="TJK69" s="349"/>
      <c r="TJL69" s="349"/>
      <c r="TJM69" s="349"/>
      <c r="TJN69" s="349"/>
      <c r="TJO69" s="349"/>
      <c r="TJP69" s="349"/>
      <c r="TJQ69" s="349"/>
      <c r="TJR69" s="349"/>
      <c r="TJS69" s="349"/>
      <c r="TJT69" s="349"/>
      <c r="TJU69" s="349"/>
      <c r="TJV69" s="349"/>
      <c r="TJW69" s="349"/>
      <c r="TJX69" s="349"/>
      <c r="TJY69" s="349"/>
      <c r="TJZ69" s="349"/>
      <c r="TKA69" s="349"/>
      <c r="TKB69" s="349"/>
      <c r="TKC69" s="349"/>
      <c r="TKD69" s="349"/>
      <c r="TKE69" s="349"/>
      <c r="TKF69" s="349"/>
      <c r="TKG69" s="349"/>
      <c r="TKH69" s="349"/>
      <c r="TKI69" s="349"/>
      <c r="TKJ69" s="349"/>
      <c r="TKK69" s="349"/>
      <c r="TKL69" s="349"/>
      <c r="TKM69" s="349"/>
      <c r="TKN69" s="349"/>
      <c r="TKO69" s="349"/>
      <c r="TKP69" s="349"/>
      <c r="TKQ69" s="349"/>
      <c r="TKR69" s="349"/>
      <c r="TKS69" s="349"/>
      <c r="TKT69" s="349"/>
      <c r="TKU69" s="349"/>
      <c r="TKV69" s="349"/>
      <c r="TKW69" s="349"/>
      <c r="TKX69" s="349"/>
      <c r="TKY69" s="349"/>
      <c r="TKZ69" s="349"/>
      <c r="TLA69" s="349"/>
      <c r="TLB69" s="349"/>
      <c r="TLC69" s="349"/>
      <c r="TLD69" s="349"/>
      <c r="TLE69" s="349"/>
      <c r="TLF69" s="349"/>
      <c r="TLG69" s="349"/>
      <c r="TLH69" s="349"/>
      <c r="TLI69" s="349"/>
      <c r="TLJ69" s="349"/>
      <c r="TLK69" s="349"/>
      <c r="TLL69" s="349"/>
      <c r="TLM69" s="349"/>
      <c r="TLN69" s="349"/>
      <c r="TLO69" s="349"/>
      <c r="TLP69" s="349"/>
      <c r="TLQ69" s="349"/>
      <c r="TLR69" s="349"/>
      <c r="TLS69" s="349"/>
      <c r="TLT69" s="349"/>
      <c r="TLU69" s="349"/>
      <c r="TLV69" s="349"/>
      <c r="TLW69" s="349"/>
      <c r="TLX69" s="349"/>
      <c r="TLY69" s="349"/>
      <c r="TLZ69" s="349"/>
      <c r="TMA69" s="349"/>
      <c r="TMB69" s="349"/>
      <c r="TMC69" s="349"/>
      <c r="TMD69" s="349"/>
      <c r="TME69" s="349"/>
      <c r="TMF69" s="349"/>
      <c r="TMG69" s="349"/>
      <c r="TMH69" s="349"/>
      <c r="TMI69" s="349"/>
      <c r="TMJ69" s="349"/>
      <c r="TMK69" s="349"/>
      <c r="TML69" s="349"/>
      <c r="TMM69" s="349"/>
      <c r="TMN69" s="349"/>
      <c r="TMO69" s="349"/>
      <c r="TMP69" s="349"/>
      <c r="TMQ69" s="349"/>
      <c r="TMR69" s="349"/>
      <c r="TMS69" s="349"/>
      <c r="TMT69" s="349"/>
      <c r="TMU69" s="349"/>
      <c r="TMV69" s="349"/>
      <c r="TMW69" s="349"/>
      <c r="TMX69" s="349"/>
      <c r="TMY69" s="349"/>
      <c r="TMZ69" s="349"/>
      <c r="TNA69" s="349"/>
      <c r="TNB69" s="349"/>
      <c r="TNC69" s="349"/>
      <c r="TND69" s="349"/>
      <c r="TNE69" s="349"/>
      <c r="TNF69" s="349"/>
      <c r="TNG69" s="349"/>
      <c r="TNH69" s="349"/>
      <c r="TNI69" s="349"/>
      <c r="TNJ69" s="349"/>
      <c r="TNK69" s="349"/>
      <c r="TNL69" s="349"/>
      <c r="TNM69" s="349"/>
      <c r="TNN69" s="349"/>
      <c r="TNO69" s="349"/>
      <c r="TNP69" s="349"/>
      <c r="TNQ69" s="349"/>
      <c r="TNR69" s="349"/>
      <c r="TNS69" s="349"/>
      <c r="TNT69" s="349"/>
      <c r="TNU69" s="349"/>
      <c r="TNV69" s="349"/>
      <c r="TNW69" s="349"/>
      <c r="TNX69" s="349"/>
      <c r="TNY69" s="349"/>
      <c r="TNZ69" s="349"/>
      <c r="TOA69" s="349"/>
      <c r="TOB69" s="349"/>
      <c r="TOC69" s="349"/>
      <c r="TOD69" s="349"/>
      <c r="TOE69" s="349"/>
      <c r="TOF69" s="349"/>
      <c r="TOG69" s="349"/>
      <c r="TOH69" s="349"/>
      <c r="TOI69" s="349"/>
      <c r="TOJ69" s="349"/>
      <c r="TOK69" s="349"/>
      <c r="TOL69" s="349"/>
      <c r="TOM69" s="349"/>
      <c r="TON69" s="349"/>
      <c r="TOO69" s="349"/>
      <c r="TOP69" s="349"/>
      <c r="TOQ69" s="349"/>
      <c r="TOR69" s="349"/>
      <c r="TOS69" s="349"/>
      <c r="TOT69" s="349"/>
      <c r="TOU69" s="349"/>
      <c r="TOV69" s="349"/>
      <c r="TOW69" s="349"/>
      <c r="TOX69" s="349"/>
      <c r="TOY69" s="349"/>
      <c r="TOZ69" s="349"/>
      <c r="TPA69" s="349"/>
      <c r="TPB69" s="349"/>
      <c r="TPC69" s="349"/>
      <c r="TPD69" s="349"/>
      <c r="TPE69" s="349"/>
      <c r="TPF69" s="349"/>
      <c r="TPG69" s="349"/>
      <c r="TPH69" s="349"/>
      <c r="TPI69" s="349"/>
      <c r="TPJ69" s="349"/>
      <c r="TPK69" s="349"/>
      <c r="TPL69" s="349"/>
      <c r="TPM69" s="349"/>
      <c r="TPN69" s="349"/>
      <c r="TPO69" s="349"/>
      <c r="TPP69" s="349"/>
      <c r="TPQ69" s="349"/>
      <c r="TPR69" s="349"/>
      <c r="TPS69" s="349"/>
      <c r="TPT69" s="349"/>
      <c r="TPU69" s="349"/>
      <c r="TPV69" s="349"/>
      <c r="TPW69" s="349"/>
      <c r="TPX69" s="349"/>
      <c r="TPY69" s="349"/>
      <c r="TPZ69" s="349"/>
      <c r="TQA69" s="349"/>
      <c r="TQB69" s="349"/>
      <c r="TQC69" s="349"/>
      <c r="TQD69" s="349"/>
      <c r="TQE69" s="349"/>
      <c r="TQF69" s="349"/>
      <c r="TQG69" s="349"/>
      <c r="TQH69" s="349"/>
      <c r="TQI69" s="349"/>
      <c r="TQJ69" s="349"/>
      <c r="TQK69" s="349"/>
      <c r="TQL69" s="349"/>
      <c r="TQM69" s="349"/>
      <c r="TQN69" s="349"/>
      <c r="TQO69" s="349"/>
      <c r="TQP69" s="349"/>
      <c r="TQQ69" s="349"/>
      <c r="TQR69" s="349"/>
      <c r="TQS69" s="349"/>
      <c r="TQT69" s="349"/>
      <c r="TQU69" s="349"/>
      <c r="TQV69" s="349"/>
      <c r="TQW69" s="349"/>
      <c r="TQX69" s="349"/>
      <c r="TQY69" s="349"/>
      <c r="TQZ69" s="349"/>
      <c r="TRA69" s="349"/>
      <c r="TRB69" s="349"/>
      <c r="TRC69" s="349"/>
      <c r="TRD69" s="349"/>
      <c r="TRE69" s="349"/>
      <c r="TRF69" s="349"/>
      <c r="TRG69" s="349"/>
      <c r="TRH69" s="349"/>
      <c r="TRI69" s="349"/>
      <c r="TRJ69" s="349"/>
      <c r="TRK69" s="349"/>
      <c r="TRL69" s="349"/>
      <c r="TRM69" s="349"/>
      <c r="TRN69" s="349"/>
      <c r="TRO69" s="349"/>
      <c r="TRP69" s="349"/>
      <c r="TRQ69" s="349"/>
      <c r="TRR69" s="349"/>
      <c r="TRS69" s="349"/>
      <c r="TRT69" s="349"/>
      <c r="TRU69" s="349"/>
      <c r="TRV69" s="349"/>
      <c r="TRW69" s="349"/>
      <c r="TRX69" s="349"/>
      <c r="TRY69" s="349"/>
      <c r="TRZ69" s="349"/>
      <c r="TSA69" s="349"/>
      <c r="TSB69" s="349"/>
      <c r="TSC69" s="349"/>
      <c r="TSD69" s="349"/>
      <c r="TSE69" s="349"/>
      <c r="TSF69" s="349"/>
      <c r="TSG69" s="349"/>
      <c r="TSH69" s="349"/>
      <c r="TSI69" s="349"/>
      <c r="TSJ69" s="349"/>
      <c r="TSK69" s="349"/>
      <c r="TSL69" s="349"/>
      <c r="TSM69" s="349"/>
      <c r="TSN69" s="349"/>
      <c r="TSO69" s="349"/>
      <c r="TSP69" s="349"/>
      <c r="TSQ69" s="349"/>
      <c r="TSR69" s="349"/>
      <c r="TSS69" s="349"/>
      <c r="TST69" s="349"/>
      <c r="TSU69" s="349"/>
      <c r="TSV69" s="349"/>
      <c r="TSW69" s="349"/>
      <c r="TSX69" s="349"/>
      <c r="TSY69" s="349"/>
      <c r="TSZ69" s="349"/>
      <c r="TTA69" s="349"/>
      <c r="TTB69" s="349"/>
      <c r="TTC69" s="349"/>
      <c r="TTD69" s="349"/>
      <c r="TTE69" s="349"/>
      <c r="TTF69" s="349"/>
      <c r="TTG69" s="349"/>
      <c r="TTH69" s="349"/>
      <c r="TTI69" s="349"/>
      <c r="TTJ69" s="349"/>
      <c r="TTK69" s="349"/>
      <c r="TTL69" s="349"/>
      <c r="TTM69" s="349"/>
      <c r="TTN69" s="349"/>
      <c r="TTO69" s="349"/>
      <c r="TTP69" s="349"/>
      <c r="TTQ69" s="349"/>
      <c r="TTR69" s="349"/>
      <c r="TTS69" s="349"/>
      <c r="TTT69" s="349"/>
      <c r="TTU69" s="349"/>
      <c r="TTV69" s="349"/>
      <c r="TTW69" s="349"/>
      <c r="TTX69" s="349"/>
      <c r="TTY69" s="349"/>
      <c r="TTZ69" s="349"/>
      <c r="TUA69" s="349"/>
      <c r="TUB69" s="349"/>
      <c r="TUC69" s="349"/>
      <c r="TUD69" s="349"/>
      <c r="TUE69" s="349"/>
      <c r="TUF69" s="349"/>
      <c r="TUG69" s="349"/>
      <c r="TUH69" s="349"/>
      <c r="TUI69" s="349"/>
      <c r="TUJ69" s="349"/>
      <c r="TUK69" s="349"/>
      <c r="TUL69" s="349"/>
      <c r="TUM69" s="349"/>
      <c r="TUN69" s="349"/>
      <c r="TUO69" s="349"/>
      <c r="TUP69" s="349"/>
      <c r="TUQ69" s="349"/>
      <c r="TUR69" s="349"/>
      <c r="TUS69" s="349"/>
      <c r="TUT69" s="349"/>
      <c r="TUU69" s="349"/>
      <c r="TUV69" s="349"/>
      <c r="TUW69" s="349"/>
      <c r="TUX69" s="349"/>
      <c r="TUY69" s="349"/>
      <c r="TUZ69" s="349"/>
      <c r="TVA69" s="349"/>
      <c r="TVB69" s="349"/>
      <c r="TVC69" s="349"/>
      <c r="TVD69" s="349"/>
      <c r="TVE69" s="349"/>
      <c r="TVF69" s="349"/>
      <c r="TVG69" s="349"/>
      <c r="TVH69" s="349"/>
      <c r="TVI69" s="349"/>
      <c r="TVJ69" s="349"/>
      <c r="TVK69" s="349"/>
      <c r="TVL69" s="349"/>
      <c r="TVM69" s="349"/>
      <c r="TVN69" s="349"/>
      <c r="TVO69" s="349"/>
      <c r="TVP69" s="349"/>
      <c r="TVQ69" s="349"/>
      <c r="TVR69" s="349"/>
      <c r="TVS69" s="349"/>
      <c r="TVT69" s="349"/>
      <c r="TVU69" s="349"/>
      <c r="TVV69" s="349"/>
      <c r="TVW69" s="349"/>
      <c r="TVX69" s="349"/>
      <c r="TVY69" s="349"/>
      <c r="TVZ69" s="349"/>
      <c r="TWA69" s="349"/>
      <c r="TWB69" s="349"/>
      <c r="TWC69" s="349"/>
      <c r="TWD69" s="349"/>
      <c r="TWE69" s="349"/>
      <c r="TWF69" s="349"/>
      <c r="TWG69" s="349"/>
      <c r="TWH69" s="349"/>
      <c r="TWI69" s="349"/>
      <c r="TWJ69" s="349"/>
      <c r="TWK69" s="349"/>
      <c r="TWL69" s="349"/>
      <c r="TWM69" s="349"/>
      <c r="TWN69" s="349"/>
      <c r="TWO69" s="349"/>
      <c r="TWP69" s="349"/>
      <c r="TWQ69" s="349"/>
      <c r="TWR69" s="349"/>
      <c r="TWS69" s="349"/>
      <c r="TWT69" s="349"/>
      <c r="TWU69" s="349"/>
      <c r="TWV69" s="349"/>
      <c r="TWW69" s="349"/>
      <c r="TWX69" s="349"/>
      <c r="TWY69" s="349"/>
      <c r="TWZ69" s="349"/>
      <c r="TXA69" s="349"/>
      <c r="TXB69" s="349"/>
      <c r="TXC69" s="349"/>
      <c r="TXD69" s="349"/>
      <c r="TXE69" s="349"/>
      <c r="TXF69" s="349"/>
      <c r="TXG69" s="349"/>
      <c r="TXH69" s="349"/>
      <c r="TXI69" s="349"/>
      <c r="TXJ69" s="349"/>
      <c r="TXK69" s="349"/>
      <c r="TXL69" s="349"/>
      <c r="TXM69" s="349"/>
      <c r="TXN69" s="349"/>
      <c r="TXO69" s="349"/>
      <c r="TXP69" s="349"/>
      <c r="TXQ69" s="349"/>
      <c r="TXR69" s="349"/>
      <c r="TXS69" s="349"/>
      <c r="TXT69" s="349"/>
      <c r="TXU69" s="349"/>
      <c r="TXV69" s="349"/>
      <c r="TXW69" s="349"/>
      <c r="TXX69" s="349"/>
      <c r="TXY69" s="349"/>
      <c r="TXZ69" s="349"/>
      <c r="TYA69" s="349"/>
      <c r="TYB69" s="349"/>
      <c r="TYC69" s="349"/>
      <c r="TYD69" s="349"/>
      <c r="TYE69" s="349"/>
      <c r="TYF69" s="349"/>
      <c r="TYG69" s="349"/>
      <c r="TYH69" s="349"/>
      <c r="TYI69" s="349"/>
      <c r="TYJ69" s="349"/>
      <c r="TYK69" s="349"/>
      <c r="TYL69" s="349"/>
      <c r="TYM69" s="349"/>
      <c r="TYN69" s="349"/>
      <c r="TYO69" s="349"/>
      <c r="TYP69" s="349"/>
      <c r="TYQ69" s="349"/>
      <c r="TYR69" s="349"/>
      <c r="TYS69" s="349"/>
      <c r="TYT69" s="349"/>
      <c r="TYU69" s="349"/>
      <c r="TYV69" s="349"/>
      <c r="TYW69" s="349"/>
      <c r="TYX69" s="349"/>
      <c r="TYY69" s="349"/>
      <c r="TYZ69" s="349"/>
      <c r="TZA69" s="349"/>
      <c r="TZB69" s="349"/>
      <c r="TZC69" s="349"/>
      <c r="TZD69" s="349"/>
      <c r="TZE69" s="349"/>
      <c r="TZF69" s="349"/>
      <c r="TZG69" s="349"/>
      <c r="TZH69" s="349"/>
      <c r="TZI69" s="349"/>
      <c r="TZJ69" s="349"/>
      <c r="TZK69" s="349"/>
      <c r="TZL69" s="349"/>
      <c r="TZM69" s="349"/>
      <c r="TZN69" s="349"/>
      <c r="TZO69" s="349"/>
      <c r="TZP69" s="349"/>
      <c r="TZQ69" s="349"/>
      <c r="TZR69" s="349"/>
      <c r="TZS69" s="349"/>
      <c r="TZT69" s="349"/>
      <c r="TZU69" s="349"/>
      <c r="TZV69" s="349"/>
      <c r="TZW69" s="349"/>
      <c r="TZX69" s="349"/>
      <c r="TZY69" s="349"/>
      <c r="TZZ69" s="349"/>
      <c r="UAA69" s="349"/>
      <c r="UAB69" s="349"/>
      <c r="UAC69" s="349"/>
      <c r="UAD69" s="349"/>
      <c r="UAE69" s="349"/>
      <c r="UAF69" s="349"/>
      <c r="UAG69" s="349"/>
      <c r="UAH69" s="349"/>
      <c r="UAI69" s="349"/>
      <c r="UAJ69" s="349"/>
      <c r="UAK69" s="349"/>
      <c r="UAL69" s="349"/>
      <c r="UAM69" s="349"/>
      <c r="UAN69" s="349"/>
      <c r="UAO69" s="349"/>
      <c r="UAP69" s="349"/>
      <c r="UAQ69" s="349"/>
      <c r="UAR69" s="349"/>
      <c r="UAS69" s="349"/>
      <c r="UAT69" s="349"/>
      <c r="UAU69" s="349"/>
      <c r="UAV69" s="349"/>
      <c r="UAW69" s="349"/>
      <c r="UAX69" s="349"/>
      <c r="UAY69" s="349"/>
      <c r="UAZ69" s="349"/>
      <c r="UBA69" s="349"/>
      <c r="UBB69" s="349"/>
      <c r="UBC69" s="349"/>
      <c r="UBD69" s="349"/>
      <c r="UBE69" s="349"/>
      <c r="UBF69" s="349"/>
      <c r="UBG69" s="349"/>
      <c r="UBH69" s="349"/>
      <c r="UBI69" s="349"/>
      <c r="UBJ69" s="349"/>
      <c r="UBK69" s="349"/>
      <c r="UBL69" s="349"/>
      <c r="UBM69" s="349"/>
      <c r="UBN69" s="349"/>
      <c r="UBO69" s="349"/>
      <c r="UBP69" s="349"/>
      <c r="UBQ69" s="349"/>
      <c r="UBR69" s="349"/>
      <c r="UBS69" s="349"/>
      <c r="UBT69" s="349"/>
      <c r="UBU69" s="349"/>
      <c r="UBV69" s="349"/>
      <c r="UBW69" s="349"/>
      <c r="UBX69" s="349"/>
      <c r="UBY69" s="349"/>
      <c r="UBZ69" s="349"/>
      <c r="UCA69" s="349"/>
      <c r="UCB69" s="349"/>
      <c r="UCC69" s="349"/>
      <c r="UCD69" s="349"/>
      <c r="UCE69" s="349"/>
      <c r="UCF69" s="349"/>
      <c r="UCG69" s="349"/>
      <c r="UCH69" s="349"/>
      <c r="UCI69" s="349"/>
      <c r="UCJ69" s="349"/>
      <c r="UCK69" s="349"/>
      <c r="UCL69" s="349"/>
      <c r="UCM69" s="349"/>
      <c r="UCN69" s="349"/>
      <c r="UCO69" s="349"/>
      <c r="UCP69" s="349"/>
      <c r="UCQ69" s="349"/>
      <c r="UCR69" s="349"/>
      <c r="UCS69" s="349"/>
      <c r="UCT69" s="349"/>
      <c r="UCU69" s="349"/>
      <c r="UCV69" s="349"/>
      <c r="UCW69" s="349"/>
      <c r="UCX69" s="349"/>
      <c r="UCY69" s="349"/>
      <c r="UCZ69" s="349"/>
      <c r="UDA69" s="349"/>
      <c r="UDB69" s="349"/>
      <c r="UDC69" s="349"/>
      <c r="UDD69" s="349"/>
      <c r="UDE69" s="349"/>
      <c r="UDF69" s="349"/>
      <c r="UDG69" s="349"/>
      <c r="UDH69" s="349"/>
      <c r="UDI69" s="349"/>
      <c r="UDJ69" s="349"/>
      <c r="UDK69" s="349"/>
      <c r="UDL69" s="349"/>
      <c r="UDM69" s="349"/>
      <c r="UDN69" s="349"/>
      <c r="UDO69" s="349"/>
      <c r="UDP69" s="349"/>
      <c r="UDQ69" s="349"/>
      <c r="UDR69" s="349"/>
      <c r="UDS69" s="349"/>
      <c r="UDT69" s="349"/>
      <c r="UDU69" s="349"/>
      <c r="UDV69" s="349"/>
      <c r="UDW69" s="349"/>
      <c r="UDX69" s="349"/>
      <c r="UDY69" s="349"/>
      <c r="UDZ69" s="349"/>
      <c r="UEA69" s="349"/>
      <c r="UEB69" s="349"/>
      <c r="UEC69" s="349"/>
      <c r="UED69" s="349"/>
      <c r="UEE69" s="349"/>
      <c r="UEF69" s="349"/>
      <c r="UEG69" s="349"/>
      <c r="UEH69" s="349"/>
      <c r="UEI69" s="349"/>
      <c r="UEJ69" s="349"/>
      <c r="UEK69" s="349"/>
      <c r="UEL69" s="349"/>
      <c r="UEM69" s="349"/>
      <c r="UEN69" s="349"/>
      <c r="UEO69" s="349"/>
      <c r="UEP69" s="349"/>
      <c r="UEQ69" s="349"/>
      <c r="UER69" s="349"/>
      <c r="UES69" s="349"/>
      <c r="UET69" s="349"/>
      <c r="UEU69" s="349"/>
      <c r="UEV69" s="349"/>
      <c r="UEW69" s="349"/>
      <c r="UEX69" s="349"/>
      <c r="UEY69" s="349"/>
      <c r="UEZ69" s="349"/>
      <c r="UFA69" s="349"/>
      <c r="UFB69" s="349"/>
      <c r="UFC69" s="349"/>
      <c r="UFD69" s="349"/>
      <c r="UFE69" s="349"/>
      <c r="UFF69" s="349"/>
      <c r="UFG69" s="349"/>
      <c r="UFH69" s="349"/>
      <c r="UFI69" s="349"/>
      <c r="UFJ69" s="349"/>
      <c r="UFK69" s="349"/>
      <c r="UFL69" s="349"/>
      <c r="UFM69" s="349"/>
      <c r="UFN69" s="349"/>
      <c r="UFO69" s="349"/>
      <c r="UFP69" s="349"/>
      <c r="UFQ69" s="349"/>
      <c r="UFR69" s="349"/>
      <c r="UFS69" s="349"/>
      <c r="UFT69" s="349"/>
      <c r="UFU69" s="349"/>
      <c r="UFV69" s="349"/>
      <c r="UFW69" s="349"/>
      <c r="UFX69" s="349"/>
      <c r="UFY69" s="349"/>
      <c r="UFZ69" s="349"/>
      <c r="UGA69" s="349"/>
      <c r="UGB69" s="349"/>
      <c r="UGC69" s="349"/>
      <c r="UGD69" s="349"/>
      <c r="UGE69" s="349"/>
      <c r="UGF69" s="349"/>
      <c r="UGG69" s="349"/>
      <c r="UGH69" s="349"/>
      <c r="UGI69" s="349"/>
      <c r="UGJ69" s="349"/>
      <c r="UGK69" s="349"/>
      <c r="UGL69" s="349"/>
      <c r="UGM69" s="349"/>
      <c r="UGN69" s="349"/>
      <c r="UGO69" s="349"/>
      <c r="UGP69" s="349"/>
      <c r="UGQ69" s="349"/>
      <c r="UGR69" s="349"/>
      <c r="UGS69" s="349"/>
      <c r="UGT69" s="349"/>
      <c r="UGU69" s="349"/>
      <c r="UGV69" s="349"/>
      <c r="UGW69" s="349"/>
      <c r="UGX69" s="349"/>
      <c r="UGY69" s="349"/>
      <c r="UGZ69" s="349"/>
      <c r="UHA69" s="349"/>
      <c r="UHB69" s="349"/>
      <c r="UHC69" s="349"/>
      <c r="UHD69" s="349"/>
      <c r="UHE69" s="349"/>
      <c r="UHF69" s="349"/>
      <c r="UHG69" s="349"/>
      <c r="UHH69" s="349"/>
      <c r="UHI69" s="349"/>
      <c r="UHJ69" s="349"/>
      <c r="UHK69" s="349"/>
      <c r="UHL69" s="349"/>
      <c r="UHM69" s="349"/>
      <c r="UHN69" s="349"/>
      <c r="UHO69" s="349"/>
      <c r="UHP69" s="349"/>
      <c r="UHQ69" s="349"/>
      <c r="UHR69" s="349"/>
      <c r="UHS69" s="349"/>
      <c r="UHT69" s="349"/>
      <c r="UHU69" s="349"/>
      <c r="UHV69" s="349"/>
      <c r="UHW69" s="349"/>
      <c r="UHX69" s="349"/>
      <c r="UHY69" s="349"/>
      <c r="UHZ69" s="349"/>
      <c r="UIA69" s="349"/>
      <c r="UIB69" s="349"/>
      <c r="UIC69" s="349"/>
      <c r="UID69" s="349"/>
      <c r="UIE69" s="349"/>
      <c r="UIF69" s="349"/>
      <c r="UIG69" s="349"/>
      <c r="UIH69" s="349"/>
      <c r="UII69" s="349"/>
      <c r="UIJ69" s="349"/>
      <c r="UIK69" s="349"/>
      <c r="UIL69" s="349"/>
      <c r="UIM69" s="349"/>
      <c r="UIN69" s="349"/>
      <c r="UIO69" s="349"/>
      <c r="UIP69" s="349"/>
      <c r="UIQ69" s="349"/>
      <c r="UIR69" s="349"/>
      <c r="UIS69" s="349"/>
      <c r="UIT69" s="349"/>
      <c r="UIU69" s="349"/>
      <c r="UIV69" s="349"/>
      <c r="UIW69" s="349"/>
      <c r="UIX69" s="349"/>
      <c r="UIY69" s="349"/>
      <c r="UIZ69" s="349"/>
      <c r="UJA69" s="349"/>
      <c r="UJB69" s="349"/>
      <c r="UJC69" s="349"/>
      <c r="UJD69" s="349"/>
      <c r="UJE69" s="349"/>
      <c r="UJF69" s="349"/>
      <c r="UJG69" s="349"/>
      <c r="UJH69" s="349"/>
      <c r="UJI69" s="349"/>
      <c r="UJJ69" s="349"/>
      <c r="UJK69" s="349"/>
      <c r="UJL69" s="349"/>
      <c r="UJM69" s="349"/>
      <c r="UJN69" s="349"/>
      <c r="UJO69" s="349"/>
      <c r="UJP69" s="349"/>
      <c r="UJQ69" s="349"/>
      <c r="UJR69" s="349"/>
      <c r="UJS69" s="349"/>
      <c r="UJT69" s="349"/>
      <c r="UJU69" s="349"/>
      <c r="UJV69" s="349"/>
      <c r="UJW69" s="349"/>
      <c r="UJX69" s="349"/>
      <c r="UJY69" s="349"/>
      <c r="UJZ69" s="349"/>
      <c r="UKA69" s="349"/>
      <c r="UKB69" s="349"/>
      <c r="UKC69" s="349"/>
      <c r="UKD69" s="349"/>
      <c r="UKE69" s="349"/>
      <c r="UKF69" s="349"/>
      <c r="UKG69" s="349"/>
      <c r="UKH69" s="349"/>
      <c r="UKI69" s="349"/>
      <c r="UKJ69" s="349"/>
      <c r="UKK69" s="349"/>
      <c r="UKL69" s="349"/>
      <c r="UKM69" s="349"/>
      <c r="UKN69" s="349"/>
      <c r="UKO69" s="349"/>
      <c r="UKP69" s="349"/>
      <c r="UKQ69" s="349"/>
      <c r="UKR69" s="349"/>
      <c r="UKS69" s="349"/>
      <c r="UKT69" s="349"/>
      <c r="UKU69" s="349"/>
      <c r="UKV69" s="349"/>
      <c r="UKW69" s="349"/>
      <c r="UKX69" s="349"/>
      <c r="UKY69" s="349"/>
      <c r="UKZ69" s="349"/>
      <c r="ULA69" s="349"/>
      <c r="ULB69" s="349"/>
      <c r="ULC69" s="349"/>
      <c r="ULD69" s="349"/>
      <c r="ULE69" s="349"/>
      <c r="ULF69" s="349"/>
      <c r="ULG69" s="349"/>
      <c r="ULH69" s="349"/>
      <c r="ULI69" s="349"/>
      <c r="ULJ69" s="349"/>
      <c r="ULK69" s="349"/>
      <c r="ULL69" s="349"/>
      <c r="ULM69" s="349"/>
      <c r="ULN69" s="349"/>
      <c r="ULO69" s="349"/>
      <c r="ULP69" s="349"/>
      <c r="ULQ69" s="349"/>
      <c r="ULR69" s="349"/>
      <c r="ULS69" s="349"/>
      <c r="ULT69" s="349"/>
      <c r="ULU69" s="349"/>
      <c r="ULV69" s="349"/>
      <c r="ULW69" s="349"/>
      <c r="ULX69" s="349"/>
      <c r="ULY69" s="349"/>
      <c r="ULZ69" s="349"/>
      <c r="UMA69" s="349"/>
      <c r="UMB69" s="349"/>
      <c r="UMC69" s="349"/>
      <c r="UMD69" s="349"/>
      <c r="UME69" s="349"/>
      <c r="UMF69" s="349"/>
      <c r="UMG69" s="349"/>
      <c r="UMH69" s="349"/>
      <c r="UMI69" s="349"/>
      <c r="UMJ69" s="349"/>
      <c r="UMK69" s="349"/>
      <c r="UML69" s="349"/>
      <c r="UMM69" s="349"/>
      <c r="UMN69" s="349"/>
      <c r="UMO69" s="349"/>
      <c r="UMP69" s="349"/>
      <c r="UMQ69" s="349"/>
      <c r="UMR69" s="349"/>
      <c r="UMS69" s="349"/>
      <c r="UMT69" s="349"/>
      <c r="UMU69" s="349"/>
      <c r="UMV69" s="349"/>
      <c r="UMW69" s="349"/>
      <c r="UMX69" s="349"/>
      <c r="UMY69" s="349"/>
      <c r="UMZ69" s="349"/>
      <c r="UNA69" s="349"/>
      <c r="UNB69" s="349"/>
      <c r="UNC69" s="349"/>
      <c r="UND69" s="349"/>
      <c r="UNE69" s="349"/>
      <c r="UNF69" s="349"/>
      <c r="UNG69" s="349"/>
      <c r="UNH69" s="349"/>
      <c r="UNI69" s="349"/>
      <c r="UNJ69" s="349"/>
      <c r="UNK69" s="349"/>
      <c r="UNL69" s="349"/>
      <c r="UNM69" s="349"/>
      <c r="UNN69" s="349"/>
      <c r="UNO69" s="349"/>
      <c r="UNP69" s="349"/>
      <c r="UNQ69" s="349"/>
      <c r="UNR69" s="349"/>
      <c r="UNS69" s="349"/>
      <c r="UNT69" s="349"/>
      <c r="UNU69" s="349"/>
      <c r="UNV69" s="349"/>
      <c r="UNW69" s="349"/>
      <c r="UNX69" s="349"/>
      <c r="UNY69" s="349"/>
      <c r="UNZ69" s="349"/>
      <c r="UOA69" s="349"/>
      <c r="UOB69" s="349"/>
      <c r="UOC69" s="349"/>
      <c r="UOD69" s="349"/>
      <c r="UOE69" s="349"/>
      <c r="UOF69" s="349"/>
      <c r="UOG69" s="349"/>
      <c r="UOH69" s="349"/>
      <c r="UOI69" s="349"/>
      <c r="UOJ69" s="349"/>
      <c r="UOK69" s="349"/>
      <c r="UOL69" s="349"/>
      <c r="UOM69" s="349"/>
      <c r="UON69" s="349"/>
      <c r="UOO69" s="349"/>
      <c r="UOP69" s="349"/>
      <c r="UOQ69" s="349"/>
      <c r="UOR69" s="349"/>
      <c r="UOS69" s="349"/>
      <c r="UOT69" s="349"/>
      <c r="UOU69" s="349"/>
      <c r="UOV69" s="349"/>
      <c r="UOW69" s="349"/>
      <c r="UOX69" s="349"/>
      <c r="UOY69" s="349"/>
      <c r="UOZ69" s="349"/>
      <c r="UPA69" s="349"/>
      <c r="UPB69" s="349"/>
      <c r="UPC69" s="349"/>
      <c r="UPD69" s="349"/>
      <c r="UPE69" s="349"/>
      <c r="UPF69" s="349"/>
      <c r="UPG69" s="349"/>
      <c r="UPH69" s="349"/>
      <c r="UPI69" s="349"/>
      <c r="UPJ69" s="349"/>
      <c r="UPK69" s="349"/>
      <c r="UPL69" s="349"/>
      <c r="UPM69" s="349"/>
      <c r="UPN69" s="349"/>
      <c r="UPO69" s="349"/>
      <c r="UPP69" s="349"/>
      <c r="UPQ69" s="349"/>
      <c r="UPR69" s="349"/>
      <c r="UPS69" s="349"/>
      <c r="UPT69" s="349"/>
      <c r="UPU69" s="349"/>
      <c r="UPV69" s="349"/>
      <c r="UPW69" s="349"/>
      <c r="UPX69" s="349"/>
      <c r="UPY69" s="349"/>
      <c r="UPZ69" s="349"/>
      <c r="UQA69" s="349"/>
      <c r="UQB69" s="349"/>
      <c r="UQC69" s="349"/>
      <c r="UQD69" s="349"/>
      <c r="UQE69" s="349"/>
      <c r="UQF69" s="349"/>
      <c r="UQG69" s="349"/>
      <c r="UQH69" s="349"/>
      <c r="UQI69" s="349"/>
      <c r="UQJ69" s="349"/>
      <c r="UQK69" s="349"/>
      <c r="UQL69" s="349"/>
      <c r="UQM69" s="349"/>
      <c r="UQN69" s="349"/>
      <c r="UQO69" s="349"/>
      <c r="UQP69" s="349"/>
      <c r="UQQ69" s="349"/>
      <c r="UQR69" s="349"/>
      <c r="UQS69" s="349"/>
      <c r="UQT69" s="349"/>
      <c r="UQU69" s="349"/>
      <c r="UQV69" s="349"/>
      <c r="UQW69" s="349"/>
      <c r="UQX69" s="349"/>
      <c r="UQY69" s="349"/>
      <c r="UQZ69" s="349"/>
      <c r="URA69" s="349"/>
      <c r="URB69" s="349"/>
      <c r="URC69" s="349"/>
      <c r="URD69" s="349"/>
      <c r="URE69" s="349"/>
      <c r="URF69" s="349"/>
      <c r="URG69" s="349"/>
      <c r="URH69" s="349"/>
      <c r="URI69" s="349"/>
      <c r="URJ69" s="349"/>
      <c r="URK69" s="349"/>
      <c r="URL69" s="349"/>
      <c r="URM69" s="349"/>
      <c r="URN69" s="349"/>
      <c r="URO69" s="349"/>
      <c r="URP69" s="349"/>
      <c r="URQ69" s="349"/>
      <c r="URR69" s="349"/>
      <c r="URS69" s="349"/>
      <c r="URT69" s="349"/>
      <c r="URU69" s="349"/>
      <c r="URV69" s="349"/>
      <c r="URW69" s="349"/>
      <c r="URX69" s="349"/>
      <c r="URY69" s="349"/>
      <c r="URZ69" s="349"/>
      <c r="USA69" s="349"/>
      <c r="USB69" s="349"/>
      <c r="USC69" s="349"/>
      <c r="USD69" s="349"/>
      <c r="USE69" s="349"/>
      <c r="USF69" s="349"/>
      <c r="USG69" s="349"/>
      <c r="USH69" s="349"/>
      <c r="USI69" s="349"/>
      <c r="USJ69" s="349"/>
      <c r="USK69" s="349"/>
      <c r="USL69" s="349"/>
      <c r="USM69" s="349"/>
      <c r="USN69" s="349"/>
      <c r="USO69" s="349"/>
      <c r="USP69" s="349"/>
      <c r="USQ69" s="349"/>
      <c r="USR69" s="349"/>
      <c r="USS69" s="349"/>
      <c r="UST69" s="349"/>
      <c r="USU69" s="349"/>
      <c r="USV69" s="349"/>
      <c r="USW69" s="349"/>
      <c r="USX69" s="349"/>
      <c r="USY69" s="349"/>
      <c r="USZ69" s="349"/>
      <c r="UTA69" s="349"/>
      <c r="UTB69" s="349"/>
      <c r="UTC69" s="349"/>
      <c r="UTD69" s="349"/>
      <c r="UTE69" s="349"/>
      <c r="UTF69" s="349"/>
      <c r="UTG69" s="349"/>
      <c r="UTH69" s="349"/>
      <c r="UTI69" s="349"/>
      <c r="UTJ69" s="349"/>
      <c r="UTK69" s="349"/>
      <c r="UTL69" s="349"/>
      <c r="UTM69" s="349"/>
      <c r="UTN69" s="349"/>
      <c r="UTO69" s="349"/>
      <c r="UTP69" s="349"/>
      <c r="UTQ69" s="349"/>
      <c r="UTR69" s="349"/>
      <c r="UTS69" s="349"/>
      <c r="UTT69" s="349"/>
      <c r="UTU69" s="349"/>
      <c r="UTV69" s="349"/>
      <c r="UTW69" s="349"/>
      <c r="UTX69" s="349"/>
      <c r="UTY69" s="349"/>
      <c r="UTZ69" s="349"/>
      <c r="UUA69" s="349"/>
      <c r="UUB69" s="349"/>
      <c r="UUC69" s="349"/>
      <c r="UUD69" s="349"/>
      <c r="UUE69" s="349"/>
      <c r="UUF69" s="349"/>
      <c r="UUG69" s="349"/>
      <c r="UUH69" s="349"/>
      <c r="UUI69" s="349"/>
      <c r="UUJ69" s="349"/>
      <c r="UUK69" s="349"/>
      <c r="UUL69" s="349"/>
      <c r="UUM69" s="349"/>
      <c r="UUN69" s="349"/>
      <c r="UUO69" s="349"/>
      <c r="UUP69" s="349"/>
      <c r="UUQ69" s="349"/>
      <c r="UUR69" s="349"/>
      <c r="UUS69" s="349"/>
      <c r="UUT69" s="349"/>
      <c r="UUU69" s="349"/>
      <c r="UUV69" s="349"/>
      <c r="UUW69" s="349"/>
      <c r="UUX69" s="349"/>
      <c r="UUY69" s="349"/>
      <c r="UUZ69" s="349"/>
      <c r="UVA69" s="349"/>
      <c r="UVB69" s="349"/>
      <c r="UVC69" s="349"/>
      <c r="UVD69" s="349"/>
      <c r="UVE69" s="349"/>
      <c r="UVF69" s="349"/>
      <c r="UVG69" s="349"/>
      <c r="UVH69" s="349"/>
      <c r="UVI69" s="349"/>
      <c r="UVJ69" s="349"/>
      <c r="UVK69" s="349"/>
      <c r="UVL69" s="349"/>
      <c r="UVM69" s="349"/>
      <c r="UVN69" s="349"/>
      <c r="UVO69" s="349"/>
      <c r="UVP69" s="349"/>
      <c r="UVQ69" s="349"/>
      <c r="UVR69" s="349"/>
      <c r="UVS69" s="349"/>
      <c r="UVT69" s="349"/>
      <c r="UVU69" s="349"/>
      <c r="UVV69" s="349"/>
      <c r="UVW69" s="349"/>
      <c r="UVX69" s="349"/>
      <c r="UVY69" s="349"/>
      <c r="UVZ69" s="349"/>
      <c r="UWA69" s="349"/>
      <c r="UWB69" s="349"/>
      <c r="UWC69" s="349"/>
      <c r="UWD69" s="349"/>
      <c r="UWE69" s="349"/>
      <c r="UWF69" s="349"/>
      <c r="UWG69" s="349"/>
      <c r="UWH69" s="349"/>
      <c r="UWI69" s="349"/>
      <c r="UWJ69" s="349"/>
      <c r="UWK69" s="349"/>
      <c r="UWL69" s="349"/>
      <c r="UWM69" s="349"/>
      <c r="UWN69" s="349"/>
      <c r="UWO69" s="349"/>
      <c r="UWP69" s="349"/>
      <c r="UWQ69" s="349"/>
      <c r="UWR69" s="349"/>
      <c r="UWS69" s="349"/>
      <c r="UWT69" s="349"/>
      <c r="UWU69" s="349"/>
      <c r="UWV69" s="349"/>
      <c r="UWW69" s="349"/>
      <c r="UWX69" s="349"/>
      <c r="UWY69" s="349"/>
      <c r="UWZ69" s="349"/>
      <c r="UXA69" s="349"/>
      <c r="UXB69" s="349"/>
      <c r="UXC69" s="349"/>
      <c r="UXD69" s="349"/>
      <c r="UXE69" s="349"/>
      <c r="UXF69" s="349"/>
      <c r="UXG69" s="349"/>
      <c r="UXH69" s="349"/>
      <c r="UXI69" s="349"/>
      <c r="UXJ69" s="349"/>
      <c r="UXK69" s="349"/>
      <c r="UXL69" s="349"/>
      <c r="UXM69" s="349"/>
      <c r="UXN69" s="349"/>
      <c r="UXO69" s="349"/>
      <c r="UXP69" s="349"/>
      <c r="UXQ69" s="349"/>
      <c r="UXR69" s="349"/>
      <c r="UXS69" s="349"/>
      <c r="UXT69" s="349"/>
      <c r="UXU69" s="349"/>
      <c r="UXV69" s="349"/>
      <c r="UXW69" s="349"/>
      <c r="UXX69" s="349"/>
      <c r="UXY69" s="349"/>
      <c r="UXZ69" s="349"/>
      <c r="UYA69" s="349"/>
      <c r="UYB69" s="349"/>
      <c r="UYC69" s="349"/>
      <c r="UYD69" s="349"/>
      <c r="UYE69" s="349"/>
      <c r="UYF69" s="349"/>
      <c r="UYG69" s="349"/>
      <c r="UYH69" s="349"/>
      <c r="UYI69" s="349"/>
      <c r="UYJ69" s="349"/>
      <c r="UYK69" s="349"/>
      <c r="UYL69" s="349"/>
      <c r="UYM69" s="349"/>
      <c r="UYN69" s="349"/>
      <c r="UYO69" s="349"/>
      <c r="UYP69" s="349"/>
      <c r="UYQ69" s="349"/>
      <c r="UYR69" s="349"/>
      <c r="UYS69" s="349"/>
      <c r="UYT69" s="349"/>
      <c r="UYU69" s="349"/>
      <c r="UYV69" s="349"/>
      <c r="UYW69" s="349"/>
      <c r="UYX69" s="349"/>
      <c r="UYY69" s="349"/>
      <c r="UYZ69" s="349"/>
      <c r="UZA69" s="349"/>
      <c r="UZB69" s="349"/>
      <c r="UZC69" s="349"/>
      <c r="UZD69" s="349"/>
      <c r="UZE69" s="349"/>
      <c r="UZF69" s="349"/>
      <c r="UZG69" s="349"/>
      <c r="UZH69" s="349"/>
      <c r="UZI69" s="349"/>
      <c r="UZJ69" s="349"/>
      <c r="UZK69" s="349"/>
      <c r="UZL69" s="349"/>
      <c r="UZM69" s="349"/>
      <c r="UZN69" s="349"/>
      <c r="UZO69" s="349"/>
      <c r="UZP69" s="349"/>
      <c r="UZQ69" s="349"/>
      <c r="UZR69" s="349"/>
      <c r="UZS69" s="349"/>
      <c r="UZT69" s="349"/>
      <c r="UZU69" s="349"/>
      <c r="UZV69" s="349"/>
      <c r="UZW69" s="349"/>
      <c r="UZX69" s="349"/>
      <c r="UZY69" s="349"/>
      <c r="UZZ69" s="349"/>
      <c r="VAA69" s="349"/>
      <c r="VAB69" s="349"/>
      <c r="VAC69" s="349"/>
      <c r="VAD69" s="349"/>
      <c r="VAE69" s="349"/>
      <c r="VAF69" s="349"/>
      <c r="VAG69" s="349"/>
      <c r="VAH69" s="349"/>
      <c r="VAI69" s="349"/>
      <c r="VAJ69" s="349"/>
      <c r="VAK69" s="349"/>
      <c r="VAL69" s="349"/>
      <c r="VAM69" s="349"/>
      <c r="VAN69" s="349"/>
      <c r="VAO69" s="349"/>
      <c r="VAP69" s="349"/>
      <c r="VAQ69" s="349"/>
      <c r="VAR69" s="349"/>
      <c r="VAS69" s="349"/>
      <c r="VAT69" s="349"/>
      <c r="VAU69" s="349"/>
      <c r="VAV69" s="349"/>
      <c r="VAW69" s="349"/>
      <c r="VAX69" s="349"/>
      <c r="VAY69" s="349"/>
      <c r="VAZ69" s="349"/>
      <c r="VBA69" s="349"/>
      <c r="VBB69" s="349"/>
      <c r="VBC69" s="349"/>
      <c r="VBD69" s="349"/>
      <c r="VBE69" s="349"/>
      <c r="VBF69" s="349"/>
      <c r="VBG69" s="349"/>
      <c r="VBH69" s="349"/>
      <c r="VBI69" s="349"/>
      <c r="VBJ69" s="349"/>
      <c r="VBK69" s="349"/>
      <c r="VBL69" s="349"/>
      <c r="VBM69" s="349"/>
      <c r="VBN69" s="349"/>
      <c r="VBO69" s="349"/>
      <c r="VBP69" s="349"/>
      <c r="VBQ69" s="349"/>
      <c r="VBR69" s="349"/>
      <c r="VBS69" s="349"/>
      <c r="VBT69" s="349"/>
      <c r="VBU69" s="349"/>
      <c r="VBV69" s="349"/>
      <c r="VBW69" s="349"/>
      <c r="VBX69" s="349"/>
      <c r="VBY69" s="349"/>
      <c r="VBZ69" s="349"/>
      <c r="VCA69" s="349"/>
      <c r="VCB69" s="349"/>
      <c r="VCC69" s="349"/>
      <c r="VCD69" s="349"/>
      <c r="VCE69" s="349"/>
      <c r="VCF69" s="349"/>
      <c r="VCG69" s="349"/>
      <c r="VCH69" s="349"/>
      <c r="VCI69" s="349"/>
      <c r="VCJ69" s="349"/>
      <c r="VCK69" s="349"/>
      <c r="VCL69" s="349"/>
      <c r="VCM69" s="349"/>
      <c r="VCN69" s="349"/>
      <c r="VCO69" s="349"/>
      <c r="VCP69" s="349"/>
      <c r="VCQ69" s="349"/>
      <c r="VCR69" s="349"/>
      <c r="VCS69" s="349"/>
      <c r="VCT69" s="349"/>
      <c r="VCU69" s="349"/>
      <c r="VCV69" s="349"/>
      <c r="VCW69" s="349"/>
      <c r="VCX69" s="349"/>
      <c r="VCY69" s="349"/>
      <c r="VCZ69" s="349"/>
      <c r="VDA69" s="349"/>
      <c r="VDB69" s="349"/>
      <c r="VDC69" s="349"/>
      <c r="VDD69" s="349"/>
      <c r="VDE69" s="349"/>
      <c r="VDF69" s="349"/>
      <c r="VDG69" s="349"/>
      <c r="VDH69" s="349"/>
      <c r="VDI69" s="349"/>
      <c r="VDJ69" s="349"/>
      <c r="VDK69" s="349"/>
      <c r="VDL69" s="349"/>
      <c r="VDM69" s="349"/>
      <c r="VDN69" s="349"/>
      <c r="VDO69" s="349"/>
      <c r="VDP69" s="349"/>
      <c r="VDQ69" s="349"/>
      <c r="VDR69" s="349"/>
      <c r="VDS69" s="349"/>
      <c r="VDT69" s="349"/>
      <c r="VDU69" s="349"/>
      <c r="VDV69" s="349"/>
      <c r="VDW69" s="349"/>
      <c r="VDX69" s="349"/>
      <c r="VDY69" s="349"/>
      <c r="VDZ69" s="349"/>
      <c r="VEA69" s="349"/>
      <c r="VEB69" s="349"/>
      <c r="VEC69" s="349"/>
      <c r="VED69" s="349"/>
      <c r="VEE69" s="349"/>
      <c r="VEF69" s="349"/>
      <c r="VEG69" s="349"/>
      <c r="VEH69" s="349"/>
      <c r="VEI69" s="349"/>
      <c r="VEJ69" s="349"/>
      <c r="VEK69" s="349"/>
      <c r="VEL69" s="349"/>
      <c r="VEM69" s="349"/>
      <c r="VEN69" s="349"/>
      <c r="VEO69" s="349"/>
      <c r="VEP69" s="349"/>
      <c r="VEQ69" s="349"/>
      <c r="VER69" s="349"/>
      <c r="VES69" s="349"/>
      <c r="VET69" s="349"/>
      <c r="VEU69" s="349"/>
      <c r="VEV69" s="349"/>
      <c r="VEW69" s="349"/>
      <c r="VEX69" s="349"/>
      <c r="VEY69" s="349"/>
      <c r="VEZ69" s="349"/>
      <c r="VFA69" s="349"/>
      <c r="VFB69" s="349"/>
      <c r="VFC69" s="349"/>
      <c r="VFD69" s="349"/>
      <c r="VFE69" s="349"/>
      <c r="VFF69" s="349"/>
      <c r="VFG69" s="349"/>
      <c r="VFH69" s="349"/>
      <c r="VFI69" s="349"/>
      <c r="VFJ69" s="349"/>
      <c r="VFK69" s="349"/>
      <c r="VFL69" s="349"/>
      <c r="VFM69" s="349"/>
      <c r="VFN69" s="349"/>
      <c r="VFO69" s="349"/>
      <c r="VFP69" s="349"/>
      <c r="VFQ69" s="349"/>
      <c r="VFR69" s="349"/>
      <c r="VFS69" s="349"/>
      <c r="VFT69" s="349"/>
      <c r="VFU69" s="349"/>
      <c r="VFV69" s="349"/>
      <c r="VFW69" s="349"/>
      <c r="VFX69" s="349"/>
      <c r="VFY69" s="349"/>
      <c r="VFZ69" s="349"/>
      <c r="VGA69" s="349"/>
      <c r="VGB69" s="349"/>
      <c r="VGC69" s="349"/>
      <c r="VGD69" s="349"/>
      <c r="VGE69" s="349"/>
      <c r="VGF69" s="349"/>
      <c r="VGG69" s="349"/>
      <c r="VGH69" s="349"/>
      <c r="VGI69" s="349"/>
      <c r="VGJ69" s="349"/>
      <c r="VGK69" s="349"/>
      <c r="VGL69" s="349"/>
      <c r="VGM69" s="349"/>
      <c r="VGN69" s="349"/>
      <c r="VGO69" s="349"/>
      <c r="VGP69" s="349"/>
      <c r="VGQ69" s="349"/>
      <c r="VGR69" s="349"/>
      <c r="VGS69" s="349"/>
      <c r="VGT69" s="349"/>
      <c r="VGU69" s="349"/>
      <c r="VGV69" s="349"/>
      <c r="VGW69" s="349"/>
      <c r="VGX69" s="349"/>
      <c r="VGY69" s="349"/>
      <c r="VGZ69" s="349"/>
      <c r="VHA69" s="349"/>
      <c r="VHB69" s="349"/>
      <c r="VHC69" s="349"/>
      <c r="VHD69" s="349"/>
      <c r="VHE69" s="349"/>
      <c r="VHF69" s="349"/>
      <c r="VHG69" s="349"/>
      <c r="VHH69" s="349"/>
      <c r="VHI69" s="349"/>
      <c r="VHJ69" s="349"/>
      <c r="VHK69" s="349"/>
      <c r="VHL69" s="349"/>
      <c r="VHM69" s="349"/>
      <c r="VHN69" s="349"/>
      <c r="VHO69" s="349"/>
      <c r="VHP69" s="349"/>
      <c r="VHQ69" s="349"/>
      <c r="VHR69" s="349"/>
      <c r="VHS69" s="349"/>
      <c r="VHT69" s="349"/>
      <c r="VHU69" s="349"/>
      <c r="VHV69" s="349"/>
      <c r="VHW69" s="349"/>
      <c r="VHX69" s="349"/>
      <c r="VHY69" s="349"/>
      <c r="VHZ69" s="349"/>
      <c r="VIA69" s="349"/>
      <c r="VIB69" s="349"/>
      <c r="VIC69" s="349"/>
      <c r="VID69" s="349"/>
      <c r="VIE69" s="349"/>
      <c r="VIF69" s="349"/>
      <c r="VIG69" s="349"/>
      <c r="VIH69" s="349"/>
      <c r="VII69" s="349"/>
      <c r="VIJ69" s="349"/>
      <c r="VIK69" s="349"/>
      <c r="VIL69" s="349"/>
      <c r="VIM69" s="349"/>
      <c r="VIN69" s="349"/>
      <c r="VIO69" s="349"/>
      <c r="VIP69" s="349"/>
      <c r="VIQ69" s="349"/>
      <c r="VIR69" s="349"/>
      <c r="VIS69" s="349"/>
      <c r="VIT69" s="349"/>
      <c r="VIU69" s="349"/>
      <c r="VIV69" s="349"/>
      <c r="VIW69" s="349"/>
      <c r="VIX69" s="349"/>
      <c r="VIY69" s="349"/>
      <c r="VIZ69" s="349"/>
      <c r="VJA69" s="349"/>
      <c r="VJB69" s="349"/>
      <c r="VJC69" s="349"/>
      <c r="VJD69" s="349"/>
      <c r="VJE69" s="349"/>
      <c r="VJF69" s="349"/>
      <c r="VJG69" s="349"/>
      <c r="VJH69" s="349"/>
      <c r="VJI69" s="349"/>
      <c r="VJJ69" s="349"/>
      <c r="VJK69" s="349"/>
      <c r="VJL69" s="349"/>
      <c r="VJM69" s="349"/>
      <c r="VJN69" s="349"/>
      <c r="VJO69" s="349"/>
      <c r="VJP69" s="349"/>
      <c r="VJQ69" s="349"/>
      <c r="VJR69" s="349"/>
      <c r="VJS69" s="349"/>
      <c r="VJT69" s="349"/>
      <c r="VJU69" s="349"/>
      <c r="VJV69" s="349"/>
      <c r="VJW69" s="349"/>
      <c r="VJX69" s="349"/>
      <c r="VJY69" s="349"/>
      <c r="VJZ69" s="349"/>
      <c r="VKA69" s="349"/>
      <c r="VKB69" s="349"/>
      <c r="VKC69" s="349"/>
      <c r="VKD69" s="349"/>
      <c r="VKE69" s="349"/>
      <c r="VKF69" s="349"/>
      <c r="VKG69" s="349"/>
      <c r="VKH69" s="349"/>
      <c r="VKI69" s="349"/>
      <c r="VKJ69" s="349"/>
      <c r="VKK69" s="349"/>
      <c r="VKL69" s="349"/>
      <c r="VKM69" s="349"/>
      <c r="VKN69" s="349"/>
      <c r="VKO69" s="349"/>
      <c r="VKP69" s="349"/>
      <c r="VKQ69" s="349"/>
      <c r="VKR69" s="349"/>
      <c r="VKS69" s="349"/>
      <c r="VKT69" s="349"/>
      <c r="VKU69" s="349"/>
      <c r="VKV69" s="349"/>
      <c r="VKW69" s="349"/>
      <c r="VKX69" s="349"/>
      <c r="VKY69" s="349"/>
      <c r="VKZ69" s="349"/>
      <c r="VLA69" s="349"/>
      <c r="VLB69" s="349"/>
      <c r="VLC69" s="349"/>
      <c r="VLD69" s="349"/>
      <c r="VLE69" s="349"/>
      <c r="VLF69" s="349"/>
      <c r="VLG69" s="349"/>
      <c r="VLH69" s="349"/>
      <c r="VLI69" s="349"/>
      <c r="VLJ69" s="349"/>
      <c r="VLK69" s="349"/>
      <c r="VLL69" s="349"/>
      <c r="VLM69" s="349"/>
      <c r="VLN69" s="349"/>
      <c r="VLO69" s="349"/>
      <c r="VLP69" s="349"/>
      <c r="VLQ69" s="349"/>
      <c r="VLR69" s="349"/>
      <c r="VLS69" s="349"/>
      <c r="VLT69" s="349"/>
      <c r="VLU69" s="349"/>
      <c r="VLV69" s="349"/>
      <c r="VLW69" s="349"/>
      <c r="VLX69" s="349"/>
      <c r="VLY69" s="349"/>
      <c r="VLZ69" s="349"/>
      <c r="VMA69" s="349"/>
      <c r="VMB69" s="349"/>
      <c r="VMC69" s="349"/>
      <c r="VMD69" s="349"/>
      <c r="VME69" s="349"/>
      <c r="VMF69" s="349"/>
      <c r="VMG69" s="349"/>
      <c r="VMH69" s="349"/>
      <c r="VMI69" s="349"/>
      <c r="VMJ69" s="349"/>
      <c r="VMK69" s="349"/>
      <c r="VML69" s="349"/>
      <c r="VMM69" s="349"/>
      <c r="VMN69" s="349"/>
      <c r="VMO69" s="349"/>
      <c r="VMP69" s="349"/>
      <c r="VMQ69" s="349"/>
      <c r="VMR69" s="349"/>
      <c r="VMS69" s="349"/>
      <c r="VMT69" s="349"/>
      <c r="VMU69" s="349"/>
      <c r="VMV69" s="349"/>
      <c r="VMW69" s="349"/>
      <c r="VMX69" s="349"/>
      <c r="VMY69" s="349"/>
      <c r="VMZ69" s="349"/>
      <c r="VNA69" s="349"/>
      <c r="VNB69" s="349"/>
      <c r="VNC69" s="349"/>
      <c r="VND69" s="349"/>
      <c r="VNE69" s="349"/>
      <c r="VNF69" s="349"/>
      <c r="VNG69" s="349"/>
      <c r="VNH69" s="349"/>
      <c r="VNI69" s="349"/>
      <c r="VNJ69" s="349"/>
      <c r="VNK69" s="349"/>
      <c r="VNL69" s="349"/>
      <c r="VNM69" s="349"/>
      <c r="VNN69" s="349"/>
      <c r="VNO69" s="349"/>
      <c r="VNP69" s="349"/>
      <c r="VNQ69" s="349"/>
      <c r="VNR69" s="349"/>
      <c r="VNS69" s="349"/>
      <c r="VNT69" s="349"/>
      <c r="VNU69" s="349"/>
      <c r="VNV69" s="349"/>
      <c r="VNW69" s="349"/>
      <c r="VNX69" s="349"/>
      <c r="VNY69" s="349"/>
      <c r="VNZ69" s="349"/>
      <c r="VOA69" s="349"/>
      <c r="VOB69" s="349"/>
      <c r="VOC69" s="349"/>
      <c r="VOD69" s="349"/>
      <c r="VOE69" s="349"/>
      <c r="VOF69" s="349"/>
      <c r="VOG69" s="349"/>
      <c r="VOH69" s="349"/>
      <c r="VOI69" s="349"/>
      <c r="VOJ69" s="349"/>
      <c r="VOK69" s="349"/>
      <c r="VOL69" s="349"/>
      <c r="VOM69" s="349"/>
      <c r="VON69" s="349"/>
      <c r="VOO69" s="349"/>
      <c r="VOP69" s="349"/>
      <c r="VOQ69" s="349"/>
      <c r="VOR69" s="349"/>
      <c r="VOS69" s="349"/>
      <c r="VOT69" s="349"/>
      <c r="VOU69" s="349"/>
      <c r="VOV69" s="349"/>
      <c r="VOW69" s="349"/>
      <c r="VOX69" s="349"/>
      <c r="VOY69" s="349"/>
      <c r="VOZ69" s="349"/>
      <c r="VPA69" s="349"/>
      <c r="VPB69" s="349"/>
      <c r="VPC69" s="349"/>
      <c r="VPD69" s="349"/>
      <c r="VPE69" s="349"/>
      <c r="VPF69" s="349"/>
      <c r="VPG69" s="349"/>
      <c r="VPH69" s="349"/>
      <c r="VPI69" s="349"/>
      <c r="VPJ69" s="349"/>
      <c r="VPK69" s="349"/>
      <c r="VPL69" s="349"/>
      <c r="VPM69" s="349"/>
      <c r="VPN69" s="349"/>
      <c r="VPO69" s="349"/>
      <c r="VPP69" s="349"/>
      <c r="VPQ69" s="349"/>
      <c r="VPR69" s="349"/>
      <c r="VPS69" s="349"/>
      <c r="VPT69" s="349"/>
      <c r="VPU69" s="349"/>
      <c r="VPV69" s="349"/>
      <c r="VPW69" s="349"/>
      <c r="VPX69" s="349"/>
      <c r="VPY69" s="349"/>
      <c r="VPZ69" s="349"/>
      <c r="VQA69" s="349"/>
      <c r="VQB69" s="349"/>
      <c r="VQC69" s="349"/>
      <c r="VQD69" s="349"/>
      <c r="VQE69" s="349"/>
      <c r="VQF69" s="349"/>
      <c r="VQG69" s="349"/>
      <c r="VQH69" s="349"/>
      <c r="VQI69" s="349"/>
      <c r="VQJ69" s="349"/>
      <c r="VQK69" s="349"/>
      <c r="VQL69" s="349"/>
      <c r="VQM69" s="349"/>
      <c r="VQN69" s="349"/>
      <c r="VQO69" s="349"/>
      <c r="VQP69" s="349"/>
      <c r="VQQ69" s="349"/>
      <c r="VQR69" s="349"/>
      <c r="VQS69" s="349"/>
      <c r="VQT69" s="349"/>
      <c r="VQU69" s="349"/>
      <c r="VQV69" s="349"/>
      <c r="VQW69" s="349"/>
      <c r="VQX69" s="349"/>
      <c r="VQY69" s="349"/>
      <c r="VQZ69" s="349"/>
      <c r="VRA69" s="349"/>
      <c r="VRB69" s="349"/>
      <c r="VRC69" s="349"/>
      <c r="VRD69" s="349"/>
      <c r="VRE69" s="349"/>
      <c r="VRF69" s="349"/>
      <c r="VRG69" s="349"/>
      <c r="VRH69" s="349"/>
      <c r="VRI69" s="349"/>
      <c r="VRJ69" s="349"/>
      <c r="VRK69" s="349"/>
      <c r="VRL69" s="349"/>
      <c r="VRM69" s="349"/>
      <c r="VRN69" s="349"/>
      <c r="VRO69" s="349"/>
      <c r="VRP69" s="349"/>
      <c r="VRQ69" s="349"/>
      <c r="VRR69" s="349"/>
      <c r="VRS69" s="349"/>
      <c r="VRT69" s="349"/>
      <c r="VRU69" s="349"/>
      <c r="VRV69" s="349"/>
      <c r="VRW69" s="349"/>
      <c r="VRX69" s="349"/>
      <c r="VRY69" s="349"/>
      <c r="VRZ69" s="349"/>
      <c r="VSA69" s="349"/>
      <c r="VSB69" s="349"/>
      <c r="VSC69" s="349"/>
      <c r="VSD69" s="349"/>
      <c r="VSE69" s="349"/>
      <c r="VSF69" s="349"/>
      <c r="VSG69" s="349"/>
      <c r="VSH69" s="349"/>
      <c r="VSI69" s="349"/>
      <c r="VSJ69" s="349"/>
      <c r="VSK69" s="349"/>
      <c r="VSL69" s="349"/>
      <c r="VSM69" s="349"/>
      <c r="VSN69" s="349"/>
      <c r="VSO69" s="349"/>
      <c r="VSP69" s="349"/>
      <c r="VSQ69" s="349"/>
      <c r="VSR69" s="349"/>
      <c r="VSS69" s="349"/>
      <c r="VST69" s="349"/>
      <c r="VSU69" s="349"/>
      <c r="VSV69" s="349"/>
      <c r="VSW69" s="349"/>
      <c r="VSX69" s="349"/>
      <c r="VSY69" s="349"/>
      <c r="VSZ69" s="349"/>
      <c r="VTA69" s="349"/>
      <c r="VTB69" s="349"/>
      <c r="VTC69" s="349"/>
      <c r="VTD69" s="349"/>
      <c r="VTE69" s="349"/>
      <c r="VTF69" s="349"/>
      <c r="VTG69" s="349"/>
      <c r="VTH69" s="349"/>
      <c r="VTI69" s="349"/>
      <c r="VTJ69" s="349"/>
      <c r="VTK69" s="349"/>
      <c r="VTL69" s="349"/>
      <c r="VTM69" s="349"/>
      <c r="VTN69" s="349"/>
      <c r="VTO69" s="349"/>
      <c r="VTP69" s="349"/>
      <c r="VTQ69" s="349"/>
      <c r="VTR69" s="349"/>
      <c r="VTS69" s="349"/>
      <c r="VTT69" s="349"/>
      <c r="VTU69" s="349"/>
      <c r="VTV69" s="349"/>
      <c r="VTW69" s="349"/>
      <c r="VTX69" s="349"/>
      <c r="VTY69" s="349"/>
      <c r="VTZ69" s="349"/>
      <c r="VUA69" s="349"/>
      <c r="VUB69" s="349"/>
      <c r="VUC69" s="349"/>
      <c r="VUD69" s="349"/>
      <c r="VUE69" s="349"/>
      <c r="VUF69" s="349"/>
      <c r="VUG69" s="349"/>
      <c r="VUH69" s="349"/>
      <c r="VUI69" s="349"/>
      <c r="VUJ69" s="349"/>
      <c r="VUK69" s="349"/>
      <c r="VUL69" s="349"/>
      <c r="VUM69" s="349"/>
      <c r="VUN69" s="349"/>
      <c r="VUO69" s="349"/>
      <c r="VUP69" s="349"/>
      <c r="VUQ69" s="349"/>
      <c r="VUR69" s="349"/>
      <c r="VUS69" s="349"/>
      <c r="VUT69" s="349"/>
      <c r="VUU69" s="349"/>
      <c r="VUV69" s="349"/>
      <c r="VUW69" s="349"/>
      <c r="VUX69" s="349"/>
      <c r="VUY69" s="349"/>
      <c r="VUZ69" s="349"/>
      <c r="VVA69" s="349"/>
      <c r="VVB69" s="349"/>
      <c r="VVC69" s="349"/>
      <c r="VVD69" s="349"/>
      <c r="VVE69" s="349"/>
      <c r="VVF69" s="349"/>
      <c r="VVG69" s="349"/>
      <c r="VVH69" s="349"/>
      <c r="VVI69" s="349"/>
      <c r="VVJ69" s="349"/>
      <c r="VVK69" s="349"/>
      <c r="VVL69" s="349"/>
      <c r="VVM69" s="349"/>
      <c r="VVN69" s="349"/>
      <c r="VVO69" s="349"/>
      <c r="VVP69" s="349"/>
      <c r="VVQ69" s="349"/>
      <c r="VVR69" s="349"/>
      <c r="VVS69" s="349"/>
      <c r="VVT69" s="349"/>
      <c r="VVU69" s="349"/>
      <c r="VVV69" s="349"/>
      <c r="VVW69" s="349"/>
      <c r="VVX69" s="349"/>
      <c r="VVY69" s="349"/>
      <c r="VVZ69" s="349"/>
      <c r="VWA69" s="349"/>
      <c r="VWB69" s="349"/>
      <c r="VWC69" s="349"/>
      <c r="VWD69" s="349"/>
      <c r="VWE69" s="349"/>
      <c r="VWF69" s="349"/>
      <c r="VWG69" s="349"/>
      <c r="VWH69" s="349"/>
      <c r="VWI69" s="349"/>
      <c r="VWJ69" s="349"/>
      <c r="VWK69" s="349"/>
      <c r="VWL69" s="349"/>
      <c r="VWM69" s="349"/>
      <c r="VWN69" s="349"/>
      <c r="VWO69" s="349"/>
      <c r="VWP69" s="349"/>
      <c r="VWQ69" s="349"/>
      <c r="VWR69" s="349"/>
      <c r="VWS69" s="349"/>
      <c r="VWT69" s="349"/>
      <c r="VWU69" s="349"/>
      <c r="VWV69" s="349"/>
      <c r="VWW69" s="349"/>
      <c r="VWX69" s="349"/>
      <c r="VWY69" s="349"/>
      <c r="VWZ69" s="349"/>
      <c r="VXA69" s="349"/>
      <c r="VXB69" s="349"/>
      <c r="VXC69" s="349"/>
      <c r="VXD69" s="349"/>
      <c r="VXE69" s="349"/>
      <c r="VXF69" s="349"/>
      <c r="VXG69" s="349"/>
      <c r="VXH69" s="349"/>
      <c r="VXI69" s="349"/>
      <c r="VXJ69" s="349"/>
      <c r="VXK69" s="349"/>
      <c r="VXL69" s="349"/>
      <c r="VXM69" s="349"/>
      <c r="VXN69" s="349"/>
      <c r="VXO69" s="349"/>
      <c r="VXP69" s="349"/>
      <c r="VXQ69" s="349"/>
      <c r="VXR69" s="349"/>
      <c r="VXS69" s="349"/>
      <c r="VXT69" s="349"/>
      <c r="VXU69" s="349"/>
      <c r="VXV69" s="349"/>
      <c r="VXW69" s="349"/>
      <c r="VXX69" s="349"/>
      <c r="VXY69" s="349"/>
      <c r="VXZ69" s="349"/>
      <c r="VYA69" s="349"/>
      <c r="VYB69" s="349"/>
      <c r="VYC69" s="349"/>
      <c r="VYD69" s="349"/>
      <c r="VYE69" s="349"/>
      <c r="VYF69" s="349"/>
      <c r="VYG69" s="349"/>
      <c r="VYH69" s="349"/>
      <c r="VYI69" s="349"/>
      <c r="VYJ69" s="349"/>
      <c r="VYK69" s="349"/>
      <c r="VYL69" s="349"/>
      <c r="VYM69" s="349"/>
      <c r="VYN69" s="349"/>
      <c r="VYO69" s="349"/>
      <c r="VYP69" s="349"/>
      <c r="VYQ69" s="349"/>
      <c r="VYR69" s="349"/>
      <c r="VYS69" s="349"/>
      <c r="VYT69" s="349"/>
      <c r="VYU69" s="349"/>
      <c r="VYV69" s="349"/>
      <c r="VYW69" s="349"/>
      <c r="VYX69" s="349"/>
      <c r="VYY69" s="349"/>
      <c r="VYZ69" s="349"/>
      <c r="VZA69" s="349"/>
      <c r="VZB69" s="349"/>
      <c r="VZC69" s="349"/>
      <c r="VZD69" s="349"/>
      <c r="VZE69" s="349"/>
      <c r="VZF69" s="349"/>
      <c r="VZG69" s="349"/>
      <c r="VZH69" s="349"/>
      <c r="VZI69" s="349"/>
      <c r="VZJ69" s="349"/>
      <c r="VZK69" s="349"/>
      <c r="VZL69" s="349"/>
      <c r="VZM69" s="349"/>
      <c r="VZN69" s="349"/>
      <c r="VZO69" s="349"/>
      <c r="VZP69" s="349"/>
      <c r="VZQ69" s="349"/>
      <c r="VZR69" s="349"/>
      <c r="VZS69" s="349"/>
      <c r="VZT69" s="349"/>
      <c r="VZU69" s="349"/>
      <c r="VZV69" s="349"/>
      <c r="VZW69" s="349"/>
      <c r="VZX69" s="349"/>
      <c r="VZY69" s="349"/>
      <c r="VZZ69" s="349"/>
      <c r="WAA69" s="349"/>
      <c r="WAB69" s="349"/>
      <c r="WAC69" s="349"/>
      <c r="WAD69" s="349"/>
      <c r="WAE69" s="349"/>
      <c r="WAF69" s="349"/>
      <c r="WAG69" s="349"/>
      <c r="WAH69" s="349"/>
      <c r="WAI69" s="349"/>
      <c r="WAJ69" s="349"/>
      <c r="WAK69" s="349"/>
      <c r="WAL69" s="349"/>
      <c r="WAM69" s="349"/>
      <c r="WAN69" s="349"/>
      <c r="WAO69" s="349"/>
      <c r="WAP69" s="349"/>
      <c r="WAQ69" s="349"/>
      <c r="WAR69" s="349"/>
      <c r="WAS69" s="349"/>
      <c r="WAT69" s="349"/>
      <c r="WAU69" s="349"/>
      <c r="WAV69" s="349"/>
      <c r="WAW69" s="349"/>
      <c r="WAX69" s="349"/>
      <c r="WAY69" s="349"/>
      <c r="WAZ69" s="349"/>
      <c r="WBA69" s="349"/>
      <c r="WBB69" s="349"/>
      <c r="WBC69" s="349"/>
      <c r="WBD69" s="349"/>
      <c r="WBE69" s="349"/>
      <c r="WBF69" s="349"/>
      <c r="WBG69" s="349"/>
      <c r="WBH69" s="349"/>
      <c r="WBI69" s="349"/>
      <c r="WBJ69" s="349"/>
      <c r="WBK69" s="349"/>
      <c r="WBL69" s="349"/>
      <c r="WBM69" s="349"/>
      <c r="WBN69" s="349"/>
      <c r="WBO69" s="349"/>
      <c r="WBP69" s="349"/>
      <c r="WBQ69" s="349"/>
      <c r="WBR69" s="349"/>
      <c r="WBS69" s="349"/>
      <c r="WBT69" s="349"/>
      <c r="WBU69" s="349"/>
      <c r="WBV69" s="349"/>
      <c r="WBW69" s="349"/>
      <c r="WBX69" s="349"/>
      <c r="WBY69" s="349"/>
      <c r="WBZ69" s="349"/>
      <c r="WCA69" s="349"/>
      <c r="WCB69" s="349"/>
      <c r="WCC69" s="349"/>
      <c r="WCD69" s="349"/>
      <c r="WCE69" s="349"/>
      <c r="WCF69" s="349"/>
      <c r="WCG69" s="349"/>
      <c r="WCH69" s="349"/>
      <c r="WCI69" s="349"/>
      <c r="WCJ69" s="349"/>
      <c r="WCK69" s="349"/>
      <c r="WCL69" s="349"/>
      <c r="WCM69" s="349"/>
      <c r="WCN69" s="349"/>
      <c r="WCO69" s="349"/>
      <c r="WCP69" s="349"/>
      <c r="WCQ69" s="349"/>
      <c r="WCR69" s="349"/>
      <c r="WCS69" s="349"/>
      <c r="WCT69" s="349"/>
      <c r="WCU69" s="349"/>
      <c r="WCV69" s="349"/>
      <c r="WCW69" s="349"/>
      <c r="WCX69" s="349"/>
      <c r="WCY69" s="349"/>
      <c r="WCZ69" s="349"/>
      <c r="WDA69" s="349"/>
      <c r="WDB69" s="349"/>
      <c r="WDC69" s="349"/>
      <c r="WDD69" s="349"/>
      <c r="WDE69" s="349"/>
      <c r="WDF69" s="349"/>
      <c r="WDG69" s="349"/>
      <c r="WDH69" s="349"/>
      <c r="WDI69" s="349"/>
      <c r="WDJ69" s="349"/>
      <c r="WDK69" s="349"/>
      <c r="WDL69" s="349"/>
      <c r="WDM69" s="349"/>
      <c r="WDN69" s="349"/>
      <c r="WDO69" s="349"/>
      <c r="WDP69" s="349"/>
      <c r="WDQ69" s="349"/>
      <c r="WDR69" s="349"/>
      <c r="WDS69" s="349"/>
      <c r="WDT69" s="349"/>
      <c r="WDU69" s="349"/>
      <c r="WDV69" s="349"/>
      <c r="WDW69" s="349"/>
      <c r="WDX69" s="349"/>
      <c r="WDY69" s="349"/>
      <c r="WDZ69" s="349"/>
      <c r="WEA69" s="349"/>
      <c r="WEB69" s="349"/>
      <c r="WEC69" s="349"/>
      <c r="WED69" s="349"/>
      <c r="WEE69" s="349"/>
      <c r="WEF69" s="349"/>
      <c r="WEG69" s="349"/>
      <c r="WEH69" s="349"/>
      <c r="WEI69" s="349"/>
      <c r="WEJ69" s="349"/>
      <c r="WEK69" s="349"/>
      <c r="WEL69" s="349"/>
      <c r="WEM69" s="349"/>
      <c r="WEN69" s="349"/>
      <c r="WEO69" s="349"/>
      <c r="WEP69" s="349"/>
      <c r="WEQ69" s="349"/>
      <c r="WER69" s="349"/>
      <c r="WES69" s="349"/>
      <c r="WET69" s="349"/>
      <c r="WEU69" s="349"/>
      <c r="WEV69" s="349"/>
      <c r="WEW69" s="349"/>
      <c r="WEX69" s="349"/>
      <c r="WEY69" s="349"/>
      <c r="WEZ69" s="349"/>
      <c r="WFA69" s="349"/>
      <c r="WFB69" s="349"/>
      <c r="WFC69" s="349"/>
      <c r="WFD69" s="349"/>
      <c r="WFE69" s="349"/>
      <c r="WFF69" s="349"/>
      <c r="WFG69" s="349"/>
      <c r="WFH69" s="349"/>
      <c r="WFI69" s="349"/>
      <c r="WFJ69" s="349"/>
      <c r="WFK69" s="349"/>
      <c r="WFL69" s="349"/>
      <c r="WFM69" s="349"/>
      <c r="WFN69" s="349"/>
      <c r="WFO69" s="349"/>
      <c r="WFP69" s="349"/>
      <c r="WFQ69" s="349"/>
      <c r="WFR69" s="349"/>
      <c r="WFS69" s="349"/>
      <c r="WFT69" s="349"/>
      <c r="WFU69" s="349"/>
      <c r="WFV69" s="349"/>
      <c r="WFW69" s="349"/>
      <c r="WFX69" s="349"/>
      <c r="WFY69" s="349"/>
      <c r="WFZ69" s="349"/>
      <c r="WGA69" s="349"/>
      <c r="WGB69" s="349"/>
      <c r="WGC69" s="349"/>
      <c r="WGD69" s="349"/>
      <c r="WGE69" s="349"/>
      <c r="WGF69" s="349"/>
      <c r="WGG69" s="349"/>
      <c r="WGH69" s="349"/>
      <c r="WGI69" s="349"/>
      <c r="WGJ69" s="349"/>
      <c r="WGK69" s="349"/>
      <c r="WGL69" s="349"/>
      <c r="WGM69" s="349"/>
      <c r="WGN69" s="349"/>
      <c r="WGO69" s="349"/>
      <c r="WGP69" s="349"/>
      <c r="WGQ69" s="349"/>
      <c r="WGR69" s="349"/>
      <c r="WGS69" s="349"/>
      <c r="WGT69" s="349"/>
      <c r="WGU69" s="349"/>
      <c r="WGV69" s="349"/>
      <c r="WGW69" s="349"/>
      <c r="WGX69" s="349"/>
      <c r="WGY69" s="349"/>
      <c r="WGZ69" s="349"/>
      <c r="WHA69" s="349"/>
      <c r="WHB69" s="349"/>
      <c r="WHC69" s="349"/>
      <c r="WHD69" s="349"/>
      <c r="WHE69" s="349"/>
      <c r="WHF69" s="349"/>
      <c r="WHG69" s="349"/>
      <c r="WHH69" s="349"/>
      <c r="WHI69" s="349"/>
      <c r="WHJ69" s="349"/>
      <c r="WHK69" s="349"/>
      <c r="WHL69" s="349"/>
      <c r="WHM69" s="349"/>
      <c r="WHN69" s="349"/>
      <c r="WHO69" s="349"/>
      <c r="WHP69" s="349"/>
      <c r="WHQ69" s="349"/>
      <c r="WHR69" s="349"/>
      <c r="WHS69" s="349"/>
      <c r="WHT69" s="349"/>
      <c r="WHU69" s="349"/>
      <c r="WHV69" s="349"/>
      <c r="WHW69" s="349"/>
      <c r="WHX69" s="349"/>
      <c r="WHY69" s="349"/>
      <c r="WHZ69" s="349"/>
      <c r="WIA69" s="349"/>
      <c r="WIB69" s="349"/>
      <c r="WIC69" s="349"/>
      <c r="WID69" s="349"/>
      <c r="WIE69" s="349"/>
      <c r="WIF69" s="349"/>
      <c r="WIG69" s="349"/>
      <c r="WIH69" s="349"/>
      <c r="WII69" s="349"/>
      <c r="WIJ69" s="349"/>
      <c r="WIK69" s="349"/>
      <c r="WIL69" s="349"/>
      <c r="WIM69" s="349"/>
      <c r="WIN69" s="349"/>
      <c r="WIO69" s="349"/>
      <c r="WIP69" s="349"/>
      <c r="WIQ69" s="349"/>
      <c r="WIR69" s="349"/>
      <c r="WIS69" s="349"/>
      <c r="WIT69" s="349"/>
      <c r="WIU69" s="349"/>
      <c r="WIV69" s="349"/>
      <c r="WIW69" s="349"/>
      <c r="WIX69" s="349"/>
      <c r="WIY69" s="349"/>
      <c r="WIZ69" s="349"/>
      <c r="WJA69" s="349"/>
      <c r="WJB69" s="349"/>
      <c r="WJC69" s="349"/>
      <c r="WJD69" s="349"/>
      <c r="WJE69" s="349"/>
      <c r="WJF69" s="349"/>
      <c r="WJG69" s="349"/>
      <c r="WJH69" s="349"/>
      <c r="WJI69" s="349"/>
      <c r="WJJ69" s="349"/>
      <c r="WJK69" s="349"/>
      <c r="WJL69" s="349"/>
      <c r="WJM69" s="349"/>
      <c r="WJN69" s="349"/>
      <c r="WJO69" s="349"/>
      <c r="WJP69" s="349"/>
      <c r="WJQ69" s="349"/>
      <c r="WJR69" s="349"/>
      <c r="WJS69" s="349"/>
      <c r="WJT69" s="349"/>
      <c r="WJU69" s="349"/>
      <c r="WJV69" s="349"/>
      <c r="WJW69" s="349"/>
      <c r="WJX69" s="349"/>
      <c r="WJY69" s="349"/>
      <c r="WJZ69" s="349"/>
      <c r="WKA69" s="349"/>
      <c r="WKB69" s="349"/>
      <c r="WKC69" s="349"/>
      <c r="WKD69" s="349"/>
      <c r="WKE69" s="349"/>
      <c r="WKF69" s="349"/>
      <c r="WKG69" s="349"/>
      <c r="WKH69" s="349"/>
      <c r="WKI69" s="349"/>
      <c r="WKJ69" s="349"/>
      <c r="WKK69" s="349"/>
      <c r="WKL69" s="349"/>
      <c r="WKM69" s="349"/>
      <c r="WKN69" s="349"/>
      <c r="WKO69" s="349"/>
      <c r="WKP69" s="349"/>
      <c r="WKQ69" s="349"/>
      <c r="WKR69" s="349"/>
      <c r="WKS69" s="349"/>
      <c r="WKT69" s="349"/>
      <c r="WKU69" s="349"/>
      <c r="WKV69" s="349"/>
      <c r="WKW69" s="349"/>
      <c r="WKX69" s="349"/>
      <c r="WKY69" s="349"/>
      <c r="WKZ69" s="349"/>
      <c r="WLA69" s="349"/>
      <c r="WLB69" s="349"/>
      <c r="WLC69" s="349"/>
      <c r="WLD69" s="349"/>
      <c r="WLE69" s="349"/>
      <c r="WLF69" s="349"/>
      <c r="WLG69" s="349"/>
      <c r="WLH69" s="349"/>
      <c r="WLI69" s="349"/>
      <c r="WLJ69" s="349"/>
      <c r="WLK69" s="349"/>
      <c r="WLL69" s="349"/>
      <c r="WLM69" s="349"/>
      <c r="WLN69" s="349"/>
      <c r="WLO69" s="349"/>
      <c r="WLP69" s="349"/>
      <c r="WLQ69" s="349"/>
      <c r="WLR69" s="349"/>
      <c r="WLS69" s="349"/>
      <c r="WLT69" s="349"/>
      <c r="WLU69" s="349"/>
      <c r="WLV69" s="349"/>
      <c r="WLW69" s="349"/>
      <c r="WLX69" s="349"/>
      <c r="WLY69" s="349"/>
      <c r="WLZ69" s="349"/>
      <c r="WMA69" s="349"/>
      <c r="WMB69" s="349"/>
      <c r="WMC69" s="349"/>
      <c r="WMD69" s="349"/>
      <c r="WME69" s="349"/>
      <c r="WMF69" s="349"/>
      <c r="WMG69" s="349"/>
      <c r="WMH69" s="349"/>
      <c r="WMI69" s="349"/>
      <c r="WMJ69" s="349"/>
      <c r="WMK69" s="349"/>
      <c r="WML69" s="349"/>
      <c r="WMM69" s="349"/>
      <c r="WMN69" s="349"/>
      <c r="WMO69" s="349"/>
      <c r="WMP69" s="349"/>
      <c r="WMQ69" s="349"/>
      <c r="WMR69" s="349"/>
      <c r="WMS69" s="349"/>
      <c r="WMT69" s="349"/>
      <c r="WMU69" s="349"/>
      <c r="WMV69" s="349"/>
      <c r="WMW69" s="349"/>
      <c r="WMX69" s="349"/>
      <c r="WMY69" s="349"/>
      <c r="WMZ69" s="349"/>
      <c r="WNA69" s="349"/>
      <c r="WNB69" s="349"/>
      <c r="WNC69" s="349"/>
      <c r="WND69" s="349"/>
      <c r="WNE69" s="349"/>
      <c r="WNF69" s="349"/>
      <c r="WNG69" s="349"/>
      <c r="WNH69" s="349"/>
      <c r="WNI69" s="349"/>
      <c r="WNJ69" s="349"/>
      <c r="WNK69" s="349"/>
      <c r="WNL69" s="349"/>
      <c r="WNM69" s="349"/>
      <c r="WNN69" s="349"/>
      <c r="WNO69" s="349"/>
      <c r="WNP69" s="349"/>
      <c r="WNQ69" s="349"/>
      <c r="WNR69" s="349"/>
      <c r="WNS69" s="349"/>
      <c r="WNT69" s="349"/>
      <c r="WNU69" s="349"/>
      <c r="WNV69" s="349"/>
      <c r="WNW69" s="349"/>
      <c r="WNX69" s="349"/>
      <c r="WNY69" s="349"/>
      <c r="WNZ69" s="349"/>
      <c r="WOA69" s="349"/>
      <c r="WOB69" s="349"/>
      <c r="WOC69" s="349"/>
      <c r="WOD69" s="349"/>
      <c r="WOE69" s="349"/>
      <c r="WOF69" s="349"/>
      <c r="WOG69" s="349"/>
      <c r="WOH69" s="349"/>
      <c r="WOI69" s="349"/>
      <c r="WOJ69" s="349"/>
      <c r="WOK69" s="349"/>
      <c r="WOL69" s="349"/>
      <c r="WOM69" s="349"/>
      <c r="WON69" s="349"/>
      <c r="WOO69" s="349"/>
      <c r="WOP69" s="349"/>
      <c r="WOQ69" s="349"/>
      <c r="WOR69" s="349"/>
      <c r="WOS69" s="349"/>
      <c r="WOT69" s="349"/>
      <c r="WOU69" s="349"/>
      <c r="WOV69" s="349"/>
      <c r="WOW69" s="349"/>
      <c r="WOX69" s="349"/>
      <c r="WOY69" s="349"/>
      <c r="WOZ69" s="349"/>
      <c r="WPA69" s="349"/>
      <c r="WPB69" s="349"/>
      <c r="WPC69" s="349"/>
      <c r="WPD69" s="349"/>
      <c r="WPE69" s="349"/>
      <c r="WPF69" s="349"/>
      <c r="WPG69" s="349"/>
      <c r="WPH69" s="349"/>
      <c r="WPI69" s="349"/>
      <c r="WPJ69" s="349"/>
      <c r="WPK69" s="349"/>
      <c r="WPL69" s="349"/>
      <c r="WPM69" s="349"/>
      <c r="WPN69" s="349"/>
      <c r="WPO69" s="349"/>
      <c r="WPP69" s="349"/>
      <c r="WPQ69" s="349"/>
      <c r="WPR69" s="349"/>
      <c r="WPS69" s="349"/>
      <c r="WPT69" s="349"/>
      <c r="WPU69" s="349"/>
      <c r="WPV69" s="349"/>
      <c r="WPW69" s="349"/>
      <c r="WPX69" s="349"/>
      <c r="WPY69" s="349"/>
      <c r="WPZ69" s="349"/>
      <c r="WQA69" s="349"/>
      <c r="WQB69" s="349"/>
      <c r="WQC69" s="349"/>
      <c r="WQD69" s="349"/>
      <c r="WQE69" s="349"/>
      <c r="WQF69" s="349"/>
      <c r="WQG69" s="349"/>
      <c r="WQH69" s="349"/>
      <c r="WQI69" s="349"/>
      <c r="WQJ69" s="349"/>
      <c r="WQK69" s="349"/>
      <c r="WQL69" s="349"/>
      <c r="WQM69" s="349"/>
      <c r="WQN69" s="349"/>
      <c r="WQO69" s="349"/>
      <c r="WQP69" s="349"/>
      <c r="WQQ69" s="349"/>
      <c r="WQR69" s="349"/>
      <c r="WQS69" s="349"/>
      <c r="WQT69" s="349"/>
      <c r="WQU69" s="349"/>
      <c r="WQV69" s="349"/>
      <c r="WQW69" s="349"/>
      <c r="WQX69" s="349"/>
      <c r="WQY69" s="349"/>
      <c r="WQZ69" s="349"/>
      <c r="WRA69" s="349"/>
      <c r="WRB69" s="349"/>
      <c r="WRC69" s="349"/>
      <c r="WRD69" s="349"/>
      <c r="WRE69" s="349"/>
      <c r="WRF69" s="349"/>
      <c r="WRG69" s="349"/>
      <c r="WRH69" s="349"/>
      <c r="WRI69" s="349"/>
      <c r="WRJ69" s="349"/>
      <c r="WRK69" s="349"/>
      <c r="WRL69" s="349"/>
      <c r="WRM69" s="349"/>
      <c r="WRN69" s="349"/>
      <c r="WRO69" s="349"/>
      <c r="WRP69" s="349"/>
      <c r="WRQ69" s="349"/>
      <c r="WRR69" s="349"/>
      <c r="WRS69" s="349"/>
      <c r="WRT69" s="349"/>
      <c r="WRU69" s="349"/>
      <c r="WRV69" s="349"/>
      <c r="WRW69" s="349"/>
      <c r="WRX69" s="349"/>
      <c r="WRY69" s="349"/>
      <c r="WRZ69" s="349"/>
      <c r="WSA69" s="349"/>
      <c r="WSB69" s="349"/>
      <c r="WSC69" s="349"/>
      <c r="WSD69" s="349"/>
      <c r="WSE69" s="349"/>
      <c r="WSF69" s="349"/>
      <c r="WSG69" s="349"/>
      <c r="WSH69" s="349"/>
      <c r="WSI69" s="349"/>
      <c r="WSJ69" s="349"/>
      <c r="WSK69" s="349"/>
      <c r="WSL69" s="349"/>
      <c r="WSM69" s="349"/>
      <c r="WSN69" s="349"/>
      <c r="WSO69" s="349"/>
      <c r="WSP69" s="349"/>
      <c r="WSQ69" s="349"/>
      <c r="WSR69" s="349"/>
      <c r="WSS69" s="349"/>
      <c r="WST69" s="349"/>
      <c r="WSU69" s="349"/>
      <c r="WSV69" s="349"/>
      <c r="WSW69" s="349"/>
      <c r="WSX69" s="349"/>
      <c r="WSY69" s="349"/>
      <c r="WSZ69" s="349"/>
      <c r="WTA69" s="349"/>
      <c r="WTB69" s="349"/>
      <c r="WTC69" s="349"/>
      <c r="WTD69" s="349"/>
      <c r="WTE69" s="349"/>
      <c r="WTF69" s="349"/>
      <c r="WTG69" s="349"/>
      <c r="WTH69" s="349"/>
      <c r="WTI69" s="349"/>
      <c r="WTJ69" s="349"/>
      <c r="WTK69" s="349"/>
      <c r="WTL69" s="349"/>
      <c r="WTM69" s="349"/>
      <c r="WTN69" s="349"/>
      <c r="WTO69" s="349"/>
      <c r="WTP69" s="349"/>
      <c r="WTQ69" s="349"/>
      <c r="WTR69" s="349"/>
      <c r="WTS69" s="349"/>
      <c r="WTT69" s="349"/>
      <c r="WTU69" s="349"/>
      <c r="WTV69" s="349"/>
      <c r="WTW69" s="349"/>
      <c r="WTX69" s="349"/>
      <c r="WTY69" s="349"/>
      <c r="WTZ69" s="349"/>
      <c r="WUA69" s="349"/>
      <c r="WUB69" s="349"/>
      <c r="WUC69" s="349"/>
      <c r="WUD69" s="349"/>
      <c r="WUE69" s="349"/>
      <c r="WUF69" s="349"/>
      <c r="WUG69" s="349"/>
      <c r="WUH69" s="349"/>
      <c r="WUI69" s="349"/>
      <c r="WUJ69" s="349"/>
      <c r="WUK69" s="349"/>
      <c r="WUL69" s="349"/>
      <c r="WUM69" s="349"/>
      <c r="WUN69" s="349"/>
      <c r="WUO69" s="349"/>
      <c r="WUP69" s="349"/>
      <c r="WUQ69" s="349"/>
      <c r="WUR69" s="349"/>
      <c r="WUS69" s="349"/>
      <c r="WUT69" s="349"/>
      <c r="WUU69" s="349"/>
      <c r="WUV69" s="349"/>
      <c r="WUW69" s="349"/>
      <c r="WUX69" s="349"/>
      <c r="WUY69" s="349"/>
      <c r="WUZ69" s="349"/>
      <c r="WVA69" s="349"/>
      <c r="WVB69" s="349"/>
      <c r="WVC69" s="349"/>
      <c r="WVD69" s="349"/>
      <c r="WVE69" s="349"/>
      <c r="WVF69" s="349"/>
      <c r="WVG69" s="349"/>
      <c r="WVH69" s="349"/>
      <c r="WVI69" s="349"/>
      <c r="WVJ69" s="349"/>
      <c r="WVK69" s="349"/>
      <c r="WVL69" s="349"/>
      <c r="WVM69" s="349"/>
      <c r="WVN69" s="349"/>
      <c r="WVO69" s="349"/>
      <c r="WVP69" s="349"/>
      <c r="WVQ69" s="349"/>
      <c r="WVR69" s="349"/>
      <c r="WVS69" s="349"/>
      <c r="WVT69" s="349"/>
      <c r="WVU69" s="349"/>
      <c r="WVV69" s="349"/>
      <c r="WVW69" s="349"/>
      <c r="WVX69" s="349"/>
      <c r="WVY69" s="349"/>
      <c r="WVZ69" s="349"/>
      <c r="WWA69" s="349"/>
      <c r="WWB69" s="349"/>
      <c r="WWC69" s="349"/>
      <c r="WWD69" s="349"/>
      <c r="WWE69" s="349"/>
      <c r="WWF69" s="349"/>
      <c r="WWG69" s="349"/>
      <c r="WWH69" s="349"/>
      <c r="WWI69" s="349"/>
      <c r="WWJ69" s="349"/>
      <c r="WWK69" s="349"/>
      <c r="WWL69" s="349"/>
      <c r="WWM69" s="349"/>
      <c r="WWN69" s="349"/>
      <c r="WWO69" s="349"/>
      <c r="WWP69" s="349"/>
      <c r="WWQ69" s="349"/>
      <c r="WWR69" s="349"/>
      <c r="WWS69" s="349"/>
      <c r="WWT69" s="349"/>
      <c r="WWU69" s="349"/>
      <c r="WWV69" s="349"/>
      <c r="WWW69" s="349"/>
      <c r="WWX69" s="349"/>
      <c r="WWY69" s="349"/>
      <c r="WWZ69" s="349"/>
      <c r="WXA69" s="349"/>
      <c r="WXB69" s="349"/>
      <c r="WXC69" s="349"/>
      <c r="WXD69" s="349"/>
      <c r="WXE69" s="349"/>
      <c r="WXF69" s="349"/>
      <c r="WXG69" s="349"/>
      <c r="WXH69" s="349"/>
      <c r="WXI69" s="349"/>
      <c r="WXJ69" s="349"/>
      <c r="WXK69" s="349"/>
      <c r="WXL69" s="349"/>
      <c r="WXM69" s="349"/>
      <c r="WXN69" s="349"/>
      <c r="WXO69" s="349"/>
      <c r="WXP69" s="349"/>
      <c r="WXQ69" s="349"/>
      <c r="WXR69" s="349"/>
      <c r="WXS69" s="349"/>
      <c r="WXT69" s="349"/>
      <c r="WXU69" s="349"/>
      <c r="WXV69" s="349"/>
      <c r="WXW69" s="349"/>
      <c r="WXX69" s="349"/>
      <c r="WXY69" s="349"/>
      <c r="WXZ69" s="349"/>
      <c r="WYA69" s="349"/>
      <c r="WYB69" s="349"/>
      <c r="WYC69" s="349"/>
      <c r="WYD69" s="349"/>
      <c r="WYE69" s="349"/>
      <c r="WYF69" s="349"/>
      <c r="WYG69" s="349"/>
      <c r="WYH69" s="349"/>
      <c r="WYI69" s="349"/>
      <c r="WYJ69" s="349"/>
      <c r="WYK69" s="349"/>
      <c r="WYL69" s="349"/>
      <c r="WYM69" s="349"/>
      <c r="WYN69" s="349"/>
      <c r="WYO69" s="349"/>
      <c r="WYP69" s="349"/>
      <c r="WYQ69" s="349"/>
      <c r="WYR69" s="349"/>
      <c r="WYS69" s="349"/>
      <c r="WYT69" s="349"/>
      <c r="WYU69" s="349"/>
      <c r="WYV69" s="349"/>
      <c r="WYW69" s="349"/>
      <c r="WYX69" s="349"/>
      <c r="WYY69" s="349"/>
      <c r="WYZ69" s="349"/>
      <c r="WZA69" s="349"/>
      <c r="WZB69" s="349"/>
      <c r="WZC69" s="349"/>
      <c r="WZD69" s="349"/>
      <c r="WZE69" s="349"/>
      <c r="WZF69" s="349"/>
      <c r="WZG69" s="349"/>
      <c r="WZH69" s="349"/>
      <c r="WZI69" s="349"/>
      <c r="WZJ69" s="349"/>
      <c r="WZK69" s="349"/>
      <c r="WZL69" s="349"/>
      <c r="WZM69" s="349"/>
      <c r="WZN69" s="349"/>
      <c r="WZO69" s="349"/>
      <c r="WZP69" s="349"/>
      <c r="WZQ69" s="349"/>
      <c r="WZR69" s="349"/>
      <c r="WZS69" s="349"/>
      <c r="WZT69" s="349"/>
      <c r="WZU69" s="349"/>
      <c r="WZV69" s="349"/>
      <c r="WZW69" s="349"/>
      <c r="WZX69" s="349"/>
      <c r="WZY69" s="349"/>
      <c r="WZZ69" s="349"/>
      <c r="XAA69" s="349"/>
      <c r="XAB69" s="349"/>
      <c r="XAC69" s="349"/>
      <c r="XAD69" s="349"/>
      <c r="XAE69" s="349"/>
      <c r="XAF69" s="349"/>
      <c r="XAG69" s="349"/>
      <c r="XAH69" s="349"/>
      <c r="XAI69" s="349"/>
      <c r="XAJ69" s="349"/>
      <c r="XAK69" s="349"/>
      <c r="XAL69" s="349"/>
      <c r="XAM69" s="349"/>
      <c r="XAN69" s="349"/>
      <c r="XAO69" s="349"/>
      <c r="XAP69" s="349"/>
      <c r="XAQ69" s="349"/>
      <c r="XAR69" s="349"/>
      <c r="XAS69" s="349"/>
      <c r="XAT69" s="349"/>
      <c r="XAU69" s="349"/>
      <c r="XAV69" s="349"/>
      <c r="XAW69" s="349"/>
      <c r="XAX69" s="349"/>
      <c r="XAY69" s="349"/>
      <c r="XAZ69" s="349"/>
      <c r="XBA69" s="349"/>
      <c r="XBB69" s="349"/>
      <c r="XBC69" s="349"/>
      <c r="XBD69" s="349"/>
      <c r="XBE69" s="349"/>
      <c r="XBF69" s="349"/>
      <c r="XBG69" s="349"/>
      <c r="XBH69" s="349"/>
      <c r="XBI69" s="349"/>
      <c r="XBJ69" s="349"/>
      <c r="XBK69" s="349"/>
      <c r="XBL69" s="349"/>
      <c r="XBM69" s="349"/>
      <c r="XBN69" s="349"/>
      <c r="XBO69" s="349"/>
      <c r="XBP69" s="349"/>
      <c r="XBQ69" s="349"/>
      <c r="XBR69" s="349"/>
      <c r="XBS69" s="349"/>
      <c r="XBT69" s="349"/>
      <c r="XBU69" s="349"/>
      <c r="XBV69" s="349"/>
      <c r="XBW69" s="349"/>
      <c r="XBX69" s="349"/>
      <c r="XBY69" s="349"/>
      <c r="XBZ69" s="349"/>
      <c r="XCA69" s="349"/>
      <c r="XCB69" s="349"/>
      <c r="XCC69" s="349"/>
      <c r="XCD69" s="349"/>
      <c r="XCE69" s="349"/>
      <c r="XCF69" s="349"/>
      <c r="XCG69" s="349"/>
      <c r="XCH69" s="349"/>
      <c r="XCI69" s="349"/>
      <c r="XCJ69" s="349"/>
      <c r="XCK69" s="349"/>
      <c r="XCL69" s="349"/>
      <c r="XCM69" s="349"/>
      <c r="XCN69" s="349"/>
      <c r="XCO69" s="349"/>
      <c r="XCP69" s="349"/>
      <c r="XCQ69" s="349"/>
      <c r="XCR69" s="349"/>
      <c r="XCS69" s="349"/>
      <c r="XCT69" s="349"/>
      <c r="XCU69" s="349"/>
      <c r="XCV69" s="349"/>
      <c r="XCW69" s="349"/>
      <c r="XCX69" s="349"/>
      <c r="XCY69" s="349"/>
      <c r="XCZ69" s="349"/>
      <c r="XDA69" s="349"/>
      <c r="XDB69" s="349"/>
      <c r="XDC69" s="349"/>
      <c r="XDD69" s="349"/>
      <c r="XDE69" s="349"/>
      <c r="XDF69" s="349"/>
      <c r="XDG69" s="349"/>
      <c r="XDH69" s="349"/>
      <c r="XDI69" s="349"/>
      <c r="XDJ69" s="349"/>
      <c r="XDK69" s="349"/>
      <c r="XDL69" s="349"/>
      <c r="XDM69" s="349"/>
      <c r="XDN69" s="349"/>
      <c r="XDO69" s="349"/>
      <c r="XDP69" s="349"/>
      <c r="XDQ69" s="349"/>
      <c r="XDR69" s="349"/>
      <c r="XDS69" s="349"/>
      <c r="XDT69" s="349"/>
      <c r="XDU69" s="349"/>
      <c r="XDV69" s="349"/>
      <c r="XDW69" s="349"/>
      <c r="XDX69" s="349"/>
      <c r="XDY69" s="349"/>
      <c r="XDZ69" s="349"/>
      <c r="XEA69" s="349"/>
      <c r="XEB69" s="349"/>
      <c r="XEC69" s="349"/>
      <c r="XED69" s="349"/>
      <c r="XEE69" s="349"/>
      <c r="XEF69" s="349"/>
      <c r="XEG69" s="349"/>
      <c r="XEH69" s="349"/>
      <c r="XEI69" s="349"/>
      <c r="XEJ69" s="349"/>
      <c r="XEK69" s="349"/>
      <c r="XEL69" s="349"/>
      <c r="XEM69" s="349"/>
      <c r="XEN69" s="349"/>
      <c r="XEO69" s="349"/>
      <c r="XEP69" s="349"/>
      <c r="XEQ69" s="349"/>
    </row>
    <row r="70" spans="1:16371" ht="15" customHeight="1">
      <c r="A70" s="45"/>
      <c r="B70" s="23"/>
      <c r="C70" s="154"/>
      <c r="D70" s="51"/>
      <c r="E70" s="103"/>
      <c r="F70" s="51"/>
      <c r="G70" s="38"/>
      <c r="H70" s="631"/>
      <c r="I70"/>
      <c r="J70" s="631"/>
      <c r="K70" s="631"/>
      <c r="L70" s="631"/>
      <c r="N70" s="631"/>
      <c r="O70" s="631"/>
      <c r="P70" s="631"/>
      <c r="Q70" s="2131"/>
      <c r="R70" s="2192"/>
    </row>
    <row r="71" spans="1:16371" ht="15" customHeight="1">
      <c r="A71" s="34"/>
      <c r="B71" s="107" t="s">
        <v>191</v>
      </c>
      <c r="C71" s="23"/>
      <c r="D71" s="23"/>
      <c r="E71" s="23"/>
      <c r="F71" s="22"/>
      <c r="G71" s="23"/>
      <c r="H71" s="623"/>
      <c r="I71"/>
      <c r="J71" s="623"/>
      <c r="K71" s="623"/>
      <c r="L71" s="623"/>
      <c r="N71" s="623"/>
      <c r="O71" s="623"/>
      <c r="P71" s="623"/>
      <c r="Q71" s="2131"/>
      <c r="R71" s="2192"/>
    </row>
    <row r="72" spans="1:16371" ht="15" customHeight="1">
      <c r="A72" s="34">
        <f>A69+1</f>
        <v>34</v>
      </c>
      <c r="B72" s="16"/>
      <c r="C72" s="249" t="s">
        <v>192</v>
      </c>
      <c r="D72" s="99"/>
      <c r="E72" s="99" t="str">
        <f>"(Note "&amp;B$321&amp;")"</f>
        <v>(Note O)</v>
      </c>
      <c r="F72" s="47" t="s">
        <v>176</v>
      </c>
      <c r="G72" s="51"/>
      <c r="H72" s="634">
        <f>IF(Toggle=Projection,'Att 6 - Est &amp; Reconcile WS'!W47,IF(Toggle=True_up,0,"Set Toggle!"))</f>
        <v>0</v>
      </c>
      <c r="I72"/>
      <c r="J72" s="1271">
        <v>0</v>
      </c>
      <c r="K72" s="1094">
        <f>$H72-J72</f>
        <v>0</v>
      </c>
      <c r="L72" s="1579" t="str">
        <f>IF(J72=0,"n/m",K72/ABS(J72))</f>
        <v>n/m</v>
      </c>
      <c r="N72" s="1271">
        <v>0</v>
      </c>
      <c r="O72" s="1094">
        <f>$H72-N72</f>
        <v>0</v>
      </c>
      <c r="P72" s="1579" t="str">
        <f>IF(N72=0,"n/m",O72/ABS(N72))</f>
        <v>n/m</v>
      </c>
      <c r="Q72" s="2131"/>
      <c r="R72" s="2192"/>
    </row>
    <row r="73" spans="1:16371" ht="15" customHeight="1">
      <c r="A73" s="34"/>
      <c r="B73" s="34"/>
      <c r="C73" s="424"/>
      <c r="D73" s="99"/>
      <c r="E73" s="47"/>
      <c r="F73" s="28"/>
      <c r="G73" s="242"/>
      <c r="H73" s="623"/>
      <c r="I73"/>
      <c r="J73" s="623"/>
      <c r="K73" s="623"/>
      <c r="L73" s="623"/>
      <c r="N73" s="623"/>
      <c r="O73" s="623"/>
      <c r="P73" s="623"/>
      <c r="Q73" s="2131"/>
      <c r="R73" s="2192"/>
    </row>
    <row r="74" spans="1:16371" s="349" customFormat="1" ht="15" customHeight="1">
      <c r="A74" s="34"/>
      <c r="B74" s="7" t="s">
        <v>253</v>
      </c>
      <c r="C74" s="424"/>
      <c r="D74" s="99"/>
      <c r="E74" s="47"/>
      <c r="F74" s="28"/>
      <c r="G74" s="242"/>
      <c r="H74" s="623"/>
      <c r="I74"/>
      <c r="J74" s="623"/>
      <c r="K74" s="623"/>
      <c r="L74" s="623"/>
      <c r="M74" s="23"/>
      <c r="N74" s="623"/>
      <c r="O74" s="623"/>
      <c r="P74" s="623"/>
      <c r="Q74" s="2131"/>
      <c r="R74" s="2192"/>
    </row>
    <row r="75" spans="1:16371" s="349" customFormat="1" ht="15" customHeight="1">
      <c r="A75" s="34">
        <f>A72+1</f>
        <v>35</v>
      </c>
      <c r="B75" s="34"/>
      <c r="C75" s="249" t="s">
        <v>1079</v>
      </c>
      <c r="D75" s="99"/>
      <c r="E75" s="47"/>
      <c r="F75" s="37" t="s">
        <v>177</v>
      </c>
      <c r="G75" s="242"/>
      <c r="H75" s="1081">
        <f>-'Att 5 - Cost Support'!$J$165</f>
        <v>-81921.504862812391</v>
      </c>
      <c r="I75"/>
      <c r="J75" s="1271">
        <v>-283452.12482738949</v>
      </c>
      <c r="K75" s="1094">
        <f>$H75-J75</f>
        <v>201530.61996457708</v>
      </c>
      <c r="L75" s="1579">
        <f>IF(J75=0,"n/m",K75/ABS(J75))</f>
        <v>0.71098644995976246</v>
      </c>
      <c r="M75" s="23"/>
      <c r="N75" s="1272">
        <v>-147745.9045290584</v>
      </c>
      <c r="O75" s="1094">
        <f>$H75-N75</f>
        <v>65824.399666246012</v>
      </c>
      <c r="P75" s="1579">
        <f>IF(N75=0,"n/m",O75/ABS(N75))</f>
        <v>0.44552436073312468</v>
      </c>
      <c r="Q75" s="2131"/>
      <c r="R75" s="2192"/>
    </row>
    <row r="76" spans="1:16371" s="349" customFormat="1" ht="15" customHeight="1">
      <c r="A76" s="34"/>
      <c r="B76" s="34"/>
      <c r="C76" s="424"/>
      <c r="D76" s="99"/>
      <c r="E76" s="47"/>
      <c r="F76" s="28"/>
      <c r="G76" s="242"/>
      <c r="H76" s="623"/>
      <c r="I76"/>
      <c r="J76" s="623"/>
      <c r="K76" s="623"/>
      <c r="L76" s="623"/>
      <c r="M76" s="23"/>
      <c r="N76" s="623"/>
      <c r="O76" s="623"/>
      <c r="P76" s="623"/>
      <c r="Q76" s="2131"/>
      <c r="R76" s="2192"/>
    </row>
    <row r="77" spans="1:16371" s="349" customFormat="1" ht="15" customHeight="1">
      <c r="A77" s="34"/>
      <c r="B77" s="182" t="s">
        <v>672</v>
      </c>
      <c r="C77" s="21"/>
      <c r="D77" s="22"/>
      <c r="E77" s="45"/>
      <c r="F77" s="192"/>
      <c r="G77" s="515"/>
      <c r="H77" s="623"/>
      <c r="I77"/>
      <c r="J77" s="623"/>
      <c r="K77" s="623"/>
      <c r="L77" s="623"/>
      <c r="N77" s="623"/>
      <c r="O77" s="623"/>
      <c r="P77" s="623"/>
      <c r="Q77" s="2131"/>
      <c r="R77" s="2192"/>
    </row>
    <row r="78" spans="1:16371" s="349" customFormat="1" ht="15" customHeight="1">
      <c r="A78" s="34">
        <f>A75+1</f>
        <v>36</v>
      </c>
      <c r="B78" s="183"/>
      <c r="C78" s="332" t="s">
        <v>672</v>
      </c>
      <c r="D78" s="99"/>
      <c r="E78" s="99"/>
      <c r="F78" s="332" t="s">
        <v>1072</v>
      </c>
      <c r="G78" s="193"/>
      <c r="H78" s="633">
        <f>'Att 16 - Unfunded Reserves'!$AG$76</f>
        <v>-12384258.786679946</v>
      </c>
      <c r="I78"/>
      <c r="J78" s="1271">
        <v>-11983949.616304541</v>
      </c>
      <c r="K78" s="1094">
        <f>$H78-J78</f>
        <v>-400309.17037540488</v>
      </c>
      <c r="L78" s="1579">
        <f>IF(J78=0,"n/m",K78/ABS(J78))</f>
        <v>-3.3403776149957411E-2</v>
      </c>
      <c r="N78" s="1273">
        <v>-10698010.230083596</v>
      </c>
      <c r="O78" s="1094">
        <f>$H78-N78</f>
        <v>-1686248.5565963499</v>
      </c>
      <c r="P78" s="1579">
        <f>IF(N78=0,"n/m",O78/ABS(N78))</f>
        <v>-0.15762263452080971</v>
      </c>
      <c r="Q78" s="2131"/>
      <c r="R78" s="2192"/>
    </row>
    <row r="79" spans="1:16371" s="349" customFormat="1" ht="15" customHeight="1">
      <c r="A79" s="34"/>
      <c r="B79" s="34"/>
      <c r="C79" s="424"/>
      <c r="D79" s="99"/>
      <c r="E79" s="47"/>
      <c r="F79" s="28"/>
      <c r="G79" s="242"/>
      <c r="H79" s="632"/>
      <c r="I79"/>
      <c r="J79" s="632"/>
      <c r="K79" s="632"/>
      <c r="L79" s="632"/>
      <c r="N79" s="632"/>
      <c r="O79" s="632"/>
      <c r="P79" s="632"/>
      <c r="Q79" s="2131"/>
      <c r="R79" s="2192"/>
    </row>
    <row r="80" spans="1:16371" ht="15" customHeight="1">
      <c r="A80" s="34"/>
      <c r="B80" s="182" t="s">
        <v>244</v>
      </c>
      <c r="C80" s="21"/>
      <c r="D80" s="22"/>
      <c r="E80" s="45"/>
      <c r="F80" s="192"/>
      <c r="G80" s="515"/>
      <c r="H80" s="632"/>
      <c r="I80"/>
      <c r="J80" s="632"/>
      <c r="K80" s="632"/>
      <c r="L80" s="632"/>
      <c r="N80" s="632"/>
      <c r="O80" s="632"/>
      <c r="P80" s="632"/>
      <c r="Q80" s="2131"/>
      <c r="R80" s="2192"/>
    </row>
    <row r="81" spans="1:18" ht="15" customHeight="1">
      <c r="A81" s="34">
        <f>A78+1</f>
        <v>37</v>
      </c>
      <c r="B81" s="183"/>
      <c r="C81" s="332" t="s">
        <v>244</v>
      </c>
      <c r="D81" s="99"/>
      <c r="E81" s="99" t="str">
        <f>"(Note "&amp;B$316&amp;" &amp; "&amp;B320&amp;")"</f>
        <v>(Note K &amp; N)</v>
      </c>
      <c r="F81" s="332" t="s">
        <v>688</v>
      </c>
      <c r="G81" s="193"/>
      <c r="H81" s="633">
        <f>'Att 11 - Prepayments'!H59</f>
        <v>5741830.7864271812</v>
      </c>
      <c r="I81"/>
      <c r="J81" s="1273">
        <v>5557013.5368139045</v>
      </c>
      <c r="K81" s="1094">
        <f>$H81-J81</f>
        <v>184817.24961327668</v>
      </c>
      <c r="L81" s="1579">
        <f>IF(J81=0,"n/m",K81/ABS(J81))</f>
        <v>3.3258376714201968E-2</v>
      </c>
      <c r="N81" s="1273">
        <v>5657766.8130643042</v>
      </c>
      <c r="O81" s="1094">
        <f>$H81-N81</f>
        <v>84063.973362877034</v>
      </c>
      <c r="P81" s="1579">
        <f>IF(N81=0,"n/m",O81/ABS(N81))</f>
        <v>1.4858154487520692E-2</v>
      </c>
      <c r="Q81" s="2131"/>
      <c r="R81" s="2192"/>
    </row>
    <row r="82" spans="1:18" s="349" customFormat="1" ht="15" customHeight="1">
      <c r="A82" s="34"/>
      <c r="B82" s="183"/>
      <c r="C82" s="332"/>
      <c r="D82" s="99"/>
      <c r="E82" s="99"/>
      <c r="F82" s="332"/>
      <c r="G82" s="193"/>
      <c r="H82" s="633"/>
      <c r="I82"/>
      <c r="J82" s="633"/>
      <c r="K82" s="633"/>
      <c r="L82" s="633"/>
      <c r="N82" s="633"/>
      <c r="O82" s="633"/>
      <c r="P82" s="633"/>
      <c r="Q82" s="2131"/>
      <c r="R82" s="2192"/>
    </row>
    <row r="83" spans="1:18" s="349" customFormat="1" ht="15" customHeight="1">
      <c r="A83" s="23"/>
      <c r="B83" s="182" t="s">
        <v>650</v>
      </c>
      <c r="C83" s="249"/>
      <c r="D83" s="99"/>
      <c r="E83" s="99"/>
      <c r="F83" s="47"/>
      <c r="G83" s="51"/>
      <c r="H83" s="634"/>
      <c r="I83"/>
      <c r="J83" s="634"/>
      <c r="K83" s="634"/>
      <c r="L83" s="634"/>
      <c r="N83" s="634"/>
      <c r="O83" s="634"/>
      <c r="P83" s="634"/>
      <c r="Q83" s="2131"/>
      <c r="R83" s="2192"/>
    </row>
    <row r="84" spans="1:18" s="349" customFormat="1" ht="15" customHeight="1">
      <c r="A84" s="34">
        <f>+A81+1</f>
        <v>38</v>
      </c>
      <c r="B84" s="16"/>
      <c r="C84" s="249" t="s">
        <v>651</v>
      </c>
      <c r="D84" s="99"/>
      <c r="E84" s="99" t="str">
        <f>"(Note "&amp;B321&amp;")"</f>
        <v>(Note O)</v>
      </c>
      <c r="F84" s="47"/>
      <c r="G84" s="51"/>
      <c r="H84" s="969">
        <v>0</v>
      </c>
      <c r="I84"/>
      <c r="J84" s="969">
        <v>0</v>
      </c>
      <c r="K84" s="1094">
        <f>$H84-J84</f>
        <v>0</v>
      </c>
      <c r="L84" s="1579" t="str">
        <f>IF(J84=0,"n/m",K84/ABS(J84))</f>
        <v>n/m</v>
      </c>
      <c r="N84" s="969">
        <v>0</v>
      </c>
      <c r="O84" s="1094">
        <f>$H84-N84</f>
        <v>0</v>
      </c>
      <c r="P84" s="1579" t="str">
        <f>IF(N84=0,"n/m",O84/ABS(N84))</f>
        <v>n/m</v>
      </c>
      <c r="Q84" s="2131"/>
      <c r="R84" s="2192"/>
    </row>
    <row r="85" spans="1:18" ht="15" customHeight="1">
      <c r="A85" s="34"/>
      <c r="B85" s="20"/>
      <c r="C85" s="21"/>
      <c r="E85" s="8"/>
      <c r="F85" s="193"/>
      <c r="G85" s="515"/>
      <c r="H85" s="635"/>
      <c r="I85"/>
      <c r="J85" s="635"/>
      <c r="K85" s="635"/>
      <c r="L85" s="635"/>
      <c r="N85" s="635"/>
      <c r="O85" s="635"/>
      <c r="P85" s="635"/>
      <c r="Q85" s="2131"/>
      <c r="R85" s="2192"/>
    </row>
    <row r="86" spans="1:18" ht="15" customHeight="1">
      <c r="A86" s="34"/>
      <c r="B86" s="182" t="s">
        <v>243</v>
      </c>
      <c r="C86" s="23"/>
      <c r="D86" s="23"/>
      <c r="E86" s="84"/>
      <c r="F86" s="193"/>
      <c r="G86" s="515"/>
      <c r="H86" s="635"/>
      <c r="I86"/>
      <c r="J86" s="635"/>
      <c r="K86" s="635"/>
      <c r="L86" s="635"/>
      <c r="N86" s="635"/>
      <c r="O86" s="635"/>
      <c r="P86" s="635"/>
      <c r="Q86" s="2131"/>
      <c r="R86" s="2192"/>
    </row>
    <row r="87" spans="1:18" ht="15" customHeight="1">
      <c r="A87" s="45">
        <f>+A84+1</f>
        <v>39</v>
      </c>
      <c r="B87" s="23"/>
      <c r="C87" s="23" t="s">
        <v>321</v>
      </c>
      <c r="D87" s="22"/>
      <c r="E87" s="99" t="str">
        <f>"(Note "&amp;B$320&amp;")"</f>
        <v>(Note N)</v>
      </c>
      <c r="F87" s="21" t="s">
        <v>177</v>
      </c>
      <c r="G87" s="349"/>
      <c r="H87" s="626">
        <f>'Att 5 - Cost Support'!$H$143</f>
        <v>0</v>
      </c>
      <c r="I87"/>
      <c r="J87" s="969">
        <v>0</v>
      </c>
      <c r="K87" s="1094">
        <f>$H87-J87</f>
        <v>0</v>
      </c>
      <c r="L87" s="1579" t="str">
        <f>IF(J87=0,"n/m",K87/ABS(J87))</f>
        <v>n/m</v>
      </c>
      <c r="N87" s="969">
        <v>0</v>
      </c>
      <c r="O87" s="1094">
        <f>$H87-N87</f>
        <v>0</v>
      </c>
      <c r="P87" s="1579" t="str">
        <f>IF(N87=0,"n/m",O87/ABS(N87))</f>
        <v>n/m</v>
      </c>
      <c r="Q87" s="2131"/>
      <c r="R87" s="2192"/>
    </row>
    <row r="88" spans="1:18" s="23" customFormat="1" ht="15" customHeight="1">
      <c r="A88" s="34">
        <f t="shared" ref="A88:A94" si="0">+A87+1</f>
        <v>40</v>
      </c>
      <c r="B88" s="20"/>
      <c r="C88" s="78" t="s">
        <v>12</v>
      </c>
      <c r="D88" s="46"/>
      <c r="E88" s="89"/>
      <c r="F88" s="478" t="str">
        <f>"(Line "&amp;A$18&amp;")"</f>
        <v>(Line 5)</v>
      </c>
      <c r="G88" s="516"/>
      <c r="H88" s="374">
        <f>H18</f>
        <v>8.7245911656529326E-2</v>
      </c>
      <c r="I88"/>
      <c r="J88" s="374">
        <v>7.7637175855371984E-2</v>
      </c>
      <c r="K88" s="1094">
        <f>$H88-J88</f>
        <v>9.608735801157342E-3</v>
      </c>
      <c r="L88" s="1579">
        <f>IF(J88=0,"n/m",K88/ABS(J88))</f>
        <v>0.12376462300814721</v>
      </c>
      <c r="N88" s="374">
        <v>7.8815542097072699E-2</v>
      </c>
      <c r="O88" s="1094">
        <f>$H88-N88</f>
        <v>8.4303695594566269E-3</v>
      </c>
      <c r="P88" s="1579">
        <f>IF(N88=0,"n/m",O88/ABS(N88))</f>
        <v>0.10696328839651209</v>
      </c>
      <c r="Q88" s="2131"/>
      <c r="R88" s="2192"/>
    </row>
    <row r="89" spans="1:18" ht="15" customHeight="1">
      <c r="A89" s="34">
        <f t="shared" si="0"/>
        <v>41</v>
      </c>
      <c r="B89" s="20"/>
      <c r="C89" s="21" t="s">
        <v>16</v>
      </c>
      <c r="D89" s="22"/>
      <c r="E89" s="45"/>
      <c r="F89" s="242" t="str">
        <f>"(Line "&amp;A87&amp;" * Line "&amp;A88&amp;")"</f>
        <v>(Line 39 * Line 40)</v>
      </c>
      <c r="G89" s="515"/>
      <c r="H89" s="636">
        <f>H87*H88</f>
        <v>0</v>
      </c>
      <c r="I89"/>
      <c r="J89" s="636">
        <v>0</v>
      </c>
      <c r="K89" s="1613">
        <f>$H89-J89</f>
        <v>0</v>
      </c>
      <c r="L89" s="1605" t="str">
        <f>IF(J89=0,"n/m",K89/ABS(J89))</f>
        <v>n/m</v>
      </c>
      <c r="N89" s="636"/>
      <c r="O89" s="1613">
        <f>$H89-N89</f>
        <v>0</v>
      </c>
      <c r="P89" s="1605" t="str">
        <f>IF(N89=0,"n/m",O89/ABS(N89))</f>
        <v>n/m</v>
      </c>
      <c r="Q89" s="2131"/>
      <c r="R89" s="2192"/>
    </row>
    <row r="90" spans="1:18" ht="15" customHeight="1">
      <c r="A90" s="34">
        <f t="shared" si="0"/>
        <v>42</v>
      </c>
      <c r="B90" s="20"/>
      <c r="C90" s="21" t="s">
        <v>363</v>
      </c>
      <c r="D90" s="22"/>
      <c r="E90" s="99" t="str">
        <f>"(Note "&amp;B$320&amp;")"</f>
        <v>(Note N)</v>
      </c>
      <c r="F90" s="21" t="s">
        <v>177</v>
      </c>
      <c r="G90" s="515"/>
      <c r="H90" s="631">
        <f>'Att 5 - Cost Support'!$H$147</f>
        <v>138477866</v>
      </c>
      <c r="I90"/>
      <c r="J90" s="1137">
        <v>111221100</v>
      </c>
      <c r="K90" s="1094">
        <f>$H90-J90</f>
        <v>27256766</v>
      </c>
      <c r="L90" s="1579">
        <f>IF(J90=0,"n/m",K90/ABS(J90))</f>
        <v>0.24506830088895004</v>
      </c>
      <c r="N90" s="1137">
        <v>134703542</v>
      </c>
      <c r="O90" s="1094">
        <f>$H90-N90</f>
        <v>3774324</v>
      </c>
      <c r="P90" s="1579">
        <f>IF(N90=0,"n/m",O90/ABS(N90))</f>
        <v>2.8019485931557762E-2</v>
      </c>
      <c r="Q90" s="2131"/>
      <c r="R90" s="2192"/>
    </row>
    <row r="91" spans="1:18" ht="15" customHeight="1">
      <c r="A91" s="34">
        <f t="shared" si="0"/>
        <v>43</v>
      </c>
      <c r="B91" s="20"/>
      <c r="C91" s="21" t="s">
        <v>12</v>
      </c>
      <c r="D91" s="22"/>
      <c r="E91" s="45"/>
      <c r="F91" s="242" t="str">
        <f>"(Line "&amp;A$18&amp;")"</f>
        <v>(Line 5)</v>
      </c>
      <c r="G91" s="516"/>
      <c r="H91" s="374">
        <f>H18</f>
        <v>8.7245911656529326E-2</v>
      </c>
      <c r="I91"/>
      <c r="J91" s="374">
        <v>7.7637175855371984E-2</v>
      </c>
      <c r="K91" s="374"/>
      <c r="L91" s="374"/>
      <c r="N91" s="374">
        <v>7.8815542097072699E-2</v>
      </c>
      <c r="O91" s="374"/>
      <c r="P91" s="374"/>
      <c r="Q91" s="2131"/>
      <c r="R91" s="2192"/>
    </row>
    <row r="92" spans="1:18" ht="15" customHeight="1">
      <c r="A92" s="34">
        <f t="shared" si="0"/>
        <v>44</v>
      </c>
      <c r="B92" s="20"/>
      <c r="C92" s="590" t="s">
        <v>364</v>
      </c>
      <c r="D92" s="591"/>
      <c r="E92" s="592"/>
      <c r="F92" s="593" t="str">
        <f>"(Line "&amp;A90&amp;" * Line "&amp;A91&amp;")"</f>
        <v>(Line 42 * Line 43)</v>
      </c>
      <c r="G92" s="515"/>
      <c r="H92" s="636">
        <f>H90*H91</f>
        <v>12081627.663420707</v>
      </c>
      <c r="I92"/>
      <c r="J92" s="636">
        <v>8634892.0995279122</v>
      </c>
      <c r="K92" s="1613">
        <f>$H92-J92</f>
        <v>3446735.5638927948</v>
      </c>
      <c r="L92" s="1605">
        <f>IF(J92=0,"n/m",K92/ABS(J92))</f>
        <v>0.39916370976786553</v>
      </c>
      <c r="N92" s="636">
        <v>10616732.6851258</v>
      </c>
      <c r="O92" s="1613">
        <f>$H92-N92</f>
        <v>1464894.9782949071</v>
      </c>
      <c r="P92" s="1605">
        <f>IF(N92=0,"n/m",O92/ABS(N92))</f>
        <v>0.13797983068248923</v>
      </c>
      <c r="Q92" s="2131"/>
      <c r="R92" s="2192"/>
    </row>
    <row r="93" spans="1:18" ht="15" customHeight="1">
      <c r="A93" s="34">
        <f t="shared" si="0"/>
        <v>45</v>
      </c>
      <c r="B93" s="20"/>
      <c r="C93" s="21" t="s">
        <v>234</v>
      </c>
      <c r="D93" s="22"/>
      <c r="E93" s="99" t="str">
        <f>"(Note "&amp;B$320&amp;")"</f>
        <v>(Note N)</v>
      </c>
      <c r="F93" s="78" t="s">
        <v>177</v>
      </c>
      <c r="G93" s="515"/>
      <c r="H93" s="635">
        <f>'Att 5 - Cost Support'!$H$151</f>
        <v>684456</v>
      </c>
      <c r="I93"/>
      <c r="J93" s="804">
        <v>490752</v>
      </c>
      <c r="K93" s="1094">
        <f>$H93-J93</f>
        <v>193704</v>
      </c>
      <c r="L93" s="1579">
        <f>IF(J93=0,"n/m",K93/ABS(J93))</f>
        <v>0.39470852895148673</v>
      </c>
      <c r="N93" s="804">
        <v>653625</v>
      </c>
      <c r="O93" s="1094">
        <f>$H93-N93</f>
        <v>30831</v>
      </c>
      <c r="P93" s="1579">
        <f>IF(N93=0,"n/m",O93/ABS(N93))</f>
        <v>4.7169248422260474E-2</v>
      </c>
      <c r="Q93" s="2131"/>
      <c r="R93" s="2192"/>
    </row>
    <row r="94" spans="1:18" ht="15" customHeight="1">
      <c r="A94" s="34">
        <f t="shared" si="0"/>
        <v>46</v>
      </c>
      <c r="B94" s="20"/>
      <c r="C94" s="184" t="s">
        <v>242</v>
      </c>
      <c r="D94" s="70"/>
      <c r="E94" s="517"/>
      <c r="F94" s="242" t="str">
        <f>"(Line "&amp;A89&amp;" + Line "&amp;A92&amp;" + Line "&amp;A93&amp;")"</f>
        <v>(Line 41 + Line 44 + Line 45)</v>
      </c>
      <c r="G94" s="518"/>
      <c r="H94" s="637">
        <f>H89+H92+H93</f>
        <v>12766083.663420707</v>
      </c>
      <c r="I94"/>
      <c r="J94" s="637">
        <v>9125644.0995279122</v>
      </c>
      <c r="K94" s="1613">
        <f>$H94-J94</f>
        <v>3640439.5638927948</v>
      </c>
      <c r="L94" s="1605">
        <f>IF(J94=0,"n/m",K94/ABS(J94))</f>
        <v>0.39892412241686281</v>
      </c>
      <c r="N94" s="637">
        <v>11270357.6851258</v>
      </c>
      <c r="O94" s="1613">
        <f>$H94-N94</f>
        <v>1495725.9782949071</v>
      </c>
      <c r="P94" s="1605">
        <f>IF(N94=0,"n/m",O94/ABS(N94))</f>
        <v>0.13271326608106776</v>
      </c>
      <c r="Q94" s="2131"/>
      <c r="R94" s="2192"/>
    </row>
    <row r="95" spans="1:18" ht="15" customHeight="1">
      <c r="A95" s="34"/>
      <c r="B95" s="20"/>
      <c r="C95" s="21"/>
      <c r="D95" s="22"/>
      <c r="E95" s="8"/>
      <c r="F95" s="193"/>
      <c r="G95" s="515"/>
      <c r="H95" s="623"/>
      <c r="I95"/>
      <c r="J95" s="623"/>
      <c r="K95" s="623"/>
      <c r="L95" s="623"/>
      <c r="N95" s="623"/>
      <c r="O95" s="623"/>
      <c r="P95" s="623"/>
      <c r="Q95" s="2131"/>
      <c r="R95" s="2192"/>
    </row>
    <row r="96" spans="1:18" ht="15" customHeight="1">
      <c r="A96" s="34"/>
      <c r="B96" s="182" t="s">
        <v>245</v>
      </c>
      <c r="C96" s="23"/>
      <c r="D96" s="22"/>
      <c r="F96" s="193"/>
      <c r="G96" s="515"/>
      <c r="H96" s="623"/>
      <c r="I96"/>
      <c r="J96" s="623"/>
      <c r="K96" s="623"/>
      <c r="L96" s="623"/>
      <c r="N96" s="623"/>
      <c r="O96" s="623"/>
      <c r="P96" s="623"/>
      <c r="Q96" s="2131"/>
      <c r="R96" s="2192"/>
    </row>
    <row r="97" spans="1:19" ht="15" customHeight="1">
      <c r="A97" s="34">
        <f>+A94+1</f>
        <v>47</v>
      </c>
      <c r="B97" s="20"/>
      <c r="C97" s="21" t="s">
        <v>108</v>
      </c>
      <c r="D97" s="29"/>
      <c r="E97" s="45"/>
      <c r="F97" s="242" t="str">
        <f>"(Line "&amp;A$139&amp;")"</f>
        <v>(Line 75)</v>
      </c>
      <c r="G97" s="515"/>
      <c r="H97" s="635">
        <f>H139</f>
        <v>75555222.325598583</v>
      </c>
      <c r="I97"/>
      <c r="J97" s="635">
        <v>60959586.422687441</v>
      </c>
      <c r="K97" s="1094">
        <f>$H97-J97</f>
        <v>14595635.902911142</v>
      </c>
      <c r="L97" s="1579">
        <f>IF(J97=0,"n/m",K97/ABS(J97))</f>
        <v>0.23943134721594925</v>
      </c>
      <c r="N97" s="635">
        <v>69887252.685854971</v>
      </c>
      <c r="O97" s="1094">
        <f>$H97-N97</f>
        <v>5667969.6397436112</v>
      </c>
      <c r="P97" s="1579">
        <f>IF(N97=0,"n/m",O97/ABS(N97))</f>
        <v>8.1101623284882629E-2</v>
      </c>
      <c r="Q97" s="2131"/>
      <c r="R97" s="2192"/>
    </row>
    <row r="98" spans="1:19" ht="15" customHeight="1">
      <c r="A98" s="34">
        <f>+A97+1</f>
        <v>48</v>
      </c>
      <c r="B98" s="20"/>
      <c r="C98" s="29" t="s">
        <v>281</v>
      </c>
      <c r="D98" s="29"/>
      <c r="E98" s="99" t="str">
        <f>"(Note "&amp;B327&amp;")"</f>
        <v>(Note S)</v>
      </c>
      <c r="F98" s="905" t="s">
        <v>1652</v>
      </c>
      <c r="G98" s="349"/>
      <c r="H98" s="703">
        <v>0</v>
      </c>
      <c r="I98"/>
      <c r="J98" s="2073">
        <v>0</v>
      </c>
      <c r="K98" s="1580"/>
      <c r="L98" s="1580"/>
      <c r="N98" s="2073">
        <v>0</v>
      </c>
      <c r="O98" s="1598"/>
      <c r="P98" s="1598"/>
      <c r="Q98" s="2131"/>
      <c r="R98" s="2192"/>
    </row>
    <row r="99" spans="1:19" s="31" customFormat="1" ht="15" customHeight="1">
      <c r="A99" s="34">
        <f>+A98+1</f>
        <v>49</v>
      </c>
      <c r="B99" s="185"/>
      <c r="C99" s="181" t="s">
        <v>233</v>
      </c>
      <c r="D99" s="520"/>
      <c r="E99" s="521"/>
      <c r="F99" s="242" t="str">
        <f>"(Line "&amp;A97&amp;" * Line "&amp;A98&amp;")"</f>
        <v>(Line 47 * Line 48)</v>
      </c>
      <c r="G99" s="522"/>
      <c r="H99" s="638">
        <f>H97*H98</f>
        <v>0</v>
      </c>
      <c r="I99"/>
      <c r="J99" s="638">
        <v>0</v>
      </c>
      <c r="K99" s="1613">
        <f>$H99-J99</f>
        <v>0</v>
      </c>
      <c r="L99" s="1605" t="str">
        <f>IF(J99=0,"n/m",K99/ABS(J99))</f>
        <v>n/m</v>
      </c>
      <c r="N99" s="638">
        <v>0</v>
      </c>
      <c r="O99" s="1613">
        <f>$H99-N99</f>
        <v>0</v>
      </c>
      <c r="P99" s="1605" t="str">
        <f>IF(N99=0,"n/m",O99/ABS(N99))</f>
        <v>n/m</v>
      </c>
      <c r="Q99" s="2131"/>
      <c r="R99" s="2192"/>
    </row>
    <row r="100" spans="1:19" s="31" customFormat="1" ht="15" customHeight="1">
      <c r="A100" s="34"/>
      <c r="B100" s="185"/>
      <c r="C100" s="154"/>
      <c r="D100" s="523"/>
      <c r="E100" s="93"/>
      <c r="F100" s="242"/>
      <c r="G100" s="524"/>
      <c r="H100" s="639"/>
      <c r="I100"/>
      <c r="J100" s="639"/>
      <c r="K100" s="639"/>
      <c r="L100" s="639"/>
      <c r="N100" s="639"/>
      <c r="O100" s="639"/>
      <c r="P100" s="639"/>
      <c r="Q100" s="2131"/>
      <c r="R100" s="2192"/>
    </row>
    <row r="101" spans="1:19" ht="15" customHeight="1">
      <c r="A101" s="34"/>
      <c r="B101" s="525" t="s">
        <v>426</v>
      </c>
      <c r="C101" s="21"/>
      <c r="D101" s="22"/>
      <c r="E101" s="45"/>
      <c r="F101" s="192"/>
      <c r="G101" s="515"/>
      <c r="H101" s="632"/>
      <c r="I101"/>
      <c r="J101" s="632"/>
      <c r="K101" s="632"/>
      <c r="L101" s="632"/>
      <c r="N101" s="632"/>
      <c r="O101" s="632"/>
      <c r="P101" s="632"/>
      <c r="Q101" s="2131"/>
      <c r="R101" s="2192"/>
    </row>
    <row r="102" spans="1:19" ht="15" customHeight="1">
      <c r="A102" s="34">
        <f>A99+1</f>
        <v>50</v>
      </c>
      <c r="B102" s="183"/>
      <c r="C102" s="332" t="s">
        <v>426</v>
      </c>
      <c r="D102" s="99"/>
      <c r="E102" s="99" t="str">
        <f>"(Note "&amp;B$320&amp;")"</f>
        <v>(Note N)</v>
      </c>
      <c r="F102" s="332" t="s">
        <v>177</v>
      </c>
      <c r="G102" s="193"/>
      <c r="H102" s="633">
        <f>'Att 5 - Cost Support'!H268</f>
        <v>-31489537.575000003</v>
      </c>
      <c r="I102"/>
      <c r="J102" s="1273">
        <v>-52282847.609999999</v>
      </c>
      <c r="K102" s="1094">
        <f>$H102-J102</f>
        <v>20793310.034999996</v>
      </c>
      <c r="L102" s="1579">
        <f>IF(J102=0,"n/m",K102/ABS(J102))</f>
        <v>0.39770806269211156</v>
      </c>
      <c r="N102" s="1273">
        <v>-35613529.590000004</v>
      </c>
      <c r="O102" s="1094">
        <f>$H102-N102</f>
        <v>4123992.0150000006</v>
      </c>
      <c r="P102" s="1579">
        <f>IF(N102=0,"n/m",O102/ABS(N102))</f>
        <v>0.11579846374334053</v>
      </c>
      <c r="Q102" s="2131"/>
      <c r="R102" s="2192"/>
      <c r="S102" s="31"/>
    </row>
    <row r="103" spans="1:19" ht="15" customHeight="1">
      <c r="A103" s="8"/>
      <c r="B103" s="20"/>
      <c r="C103" s="21"/>
      <c r="E103" s="8"/>
      <c r="F103" s="193"/>
      <c r="G103" s="515"/>
      <c r="H103" s="640"/>
      <c r="I103"/>
      <c r="J103" s="640"/>
      <c r="K103" s="640"/>
      <c r="L103" s="640"/>
      <c r="N103" s="640"/>
      <c r="O103" s="640"/>
      <c r="P103" s="640"/>
      <c r="Q103" s="2131"/>
      <c r="R103" s="2192"/>
      <c r="S103" s="349"/>
    </row>
    <row r="104" spans="1:19" ht="15" customHeight="1" thickBot="1">
      <c r="A104" s="45">
        <f>A102+1</f>
        <v>51</v>
      </c>
      <c r="B104" s="15" t="s">
        <v>5</v>
      </c>
      <c r="C104" s="15"/>
      <c r="D104" s="15"/>
      <c r="E104" s="88"/>
      <c r="F104" s="508" t="str">
        <f>"(Lines "&amp;A69&amp;" + "&amp;A72&amp;" + "&amp;A75&amp;" + "&amp;A78&amp;" + "&amp;A81&amp;" + "&amp;A84&amp;" + "&amp;A94&amp;" + "&amp;A99&amp;" + "&amp;A102&amp;")"</f>
        <v>(Lines 33 + 34 + 35 + 36 + 37 + 38 + 46 + 49 + 50)</v>
      </c>
      <c r="G104" s="171"/>
      <c r="H104" s="629">
        <f>H69+H72+H75+H78+H81+H84+H94+H99+H102</f>
        <v>-1091725914.708271</v>
      </c>
      <c r="I104"/>
      <c r="J104" s="629">
        <v>-991848168.09559655</v>
      </c>
      <c r="K104" s="1642">
        <f>$H104-J104</f>
        <v>-99877746.612674475</v>
      </c>
      <c r="L104" s="1643">
        <f>IF(J104=0,"n/m",K104/ABS(J104))</f>
        <v>-0.10069862487566549</v>
      </c>
      <c r="M104" s="23"/>
      <c r="N104" s="629">
        <v>-1069033177.210163</v>
      </c>
      <c r="O104" s="1642">
        <f>$H104-N104</f>
        <v>-22692737.498108029</v>
      </c>
      <c r="P104" s="1643">
        <f>IF(N104=0,"n/m",O104/ABS(N104))</f>
        <v>-2.1227346336742201E-2</v>
      </c>
      <c r="Q104" s="2131"/>
      <c r="R104" s="2192"/>
      <c r="S104" s="31"/>
    </row>
    <row r="105" spans="1:19" ht="15" customHeight="1" thickTop="1">
      <c r="A105" s="44"/>
      <c r="B105" s="349"/>
      <c r="C105" s="349"/>
      <c r="D105" s="349"/>
      <c r="F105" s="23"/>
      <c r="G105" s="349"/>
      <c r="H105" s="632"/>
      <c r="I105"/>
      <c r="J105" s="632"/>
      <c r="K105" s="632"/>
      <c r="L105" s="632"/>
      <c r="N105" s="632"/>
      <c r="O105" s="632"/>
      <c r="P105" s="632"/>
      <c r="Q105" s="2131"/>
      <c r="R105" s="2192"/>
      <c r="S105" s="349"/>
    </row>
    <row r="106" spans="1:19" s="10" customFormat="1" ht="15" customHeight="1" thickBot="1">
      <c r="A106" s="8">
        <f>+A104+1</f>
        <v>52</v>
      </c>
      <c r="B106" s="15" t="s">
        <v>278</v>
      </c>
      <c r="C106" s="15"/>
      <c r="D106" s="15"/>
      <c r="E106" s="88"/>
      <c r="F106" s="508" t="str">
        <f>"(Line "&amp;A64&amp;" + Line "&amp;A104&amp;")"</f>
        <v>(Line 32 + Line 51)</v>
      </c>
      <c r="G106" s="15"/>
      <c r="H106" s="641">
        <f>H64+H104</f>
        <v>3436250932.7116756</v>
      </c>
      <c r="I106"/>
      <c r="J106" s="641">
        <v>3371631199.893033</v>
      </c>
      <c r="K106" s="1642">
        <f>$H106-J106</f>
        <v>64619732.818642616</v>
      </c>
      <c r="L106" s="1643">
        <f>IF(J106=0,"n/m",K106/ABS(J106))</f>
        <v>1.9165718012305946E-2</v>
      </c>
      <c r="N106" s="641">
        <v>3504452121.3900671</v>
      </c>
      <c r="O106" s="1642">
        <f>$H106-N106</f>
        <v>-68201188.678391457</v>
      </c>
      <c r="P106" s="1643">
        <f>IF(N106=0,"n/m",O106/ABS(N106))</f>
        <v>-1.9461298461495014E-2</v>
      </c>
      <c r="Q106" s="2131"/>
      <c r="R106" s="2192"/>
      <c r="S106" s="31"/>
    </row>
    <row r="107" spans="1:19" ht="15" customHeight="1" thickTop="1">
      <c r="B107" s="349"/>
      <c r="C107" s="349"/>
      <c r="D107" s="349"/>
      <c r="F107" s="349"/>
      <c r="G107" s="349"/>
      <c r="H107" s="349"/>
      <c r="I107"/>
      <c r="Q107" s="2131"/>
      <c r="R107" s="2192"/>
      <c r="S107" s="349"/>
    </row>
    <row r="108" spans="1:19" s="23" customFormat="1" ht="15" customHeight="1">
      <c r="A108" s="692" t="s">
        <v>19</v>
      </c>
      <c r="B108" s="187"/>
      <c r="C108" s="188"/>
      <c r="D108" s="62"/>
      <c r="E108" s="526"/>
      <c r="F108" s="63"/>
      <c r="G108" s="63"/>
      <c r="H108" s="64"/>
      <c r="I108"/>
      <c r="J108" s="64">
        <v>0</v>
      </c>
      <c r="K108" s="64"/>
      <c r="L108" s="64"/>
      <c r="N108" s="64">
        <v>0</v>
      </c>
      <c r="O108" s="64"/>
      <c r="P108" s="64"/>
      <c r="Q108" s="2131"/>
      <c r="R108" s="2192"/>
      <c r="S108" s="31"/>
    </row>
    <row r="109" spans="1:19" s="23" customFormat="1" ht="15" customHeight="1">
      <c r="A109" s="22"/>
      <c r="B109" s="22"/>
      <c r="C109" s="22"/>
      <c r="D109" s="22"/>
      <c r="E109" s="16"/>
      <c r="H109" s="463"/>
      <c r="I109"/>
      <c r="J109" s="497"/>
      <c r="K109" s="497"/>
      <c r="L109" s="497"/>
      <c r="N109" s="497"/>
      <c r="O109" s="497"/>
      <c r="P109" s="497"/>
      <c r="Q109" s="2131"/>
      <c r="R109" s="2192"/>
      <c r="S109" s="349"/>
    </row>
    <row r="110" spans="1:19" ht="15" customHeight="1">
      <c r="A110" s="8"/>
      <c r="B110" s="7" t="s">
        <v>270</v>
      </c>
      <c r="D110" s="476"/>
      <c r="E110" s="157"/>
      <c r="F110" s="349"/>
      <c r="G110" s="476"/>
      <c r="H110" s="476"/>
      <c r="I110"/>
      <c r="J110" s="476"/>
      <c r="K110" s="476"/>
      <c r="L110" s="476"/>
      <c r="N110" s="476"/>
      <c r="O110" s="476"/>
      <c r="P110" s="476"/>
      <c r="Q110" s="2131"/>
      <c r="R110" s="2192"/>
      <c r="S110" s="31"/>
    </row>
    <row r="111" spans="1:19" ht="15" customHeight="1">
      <c r="A111" s="34">
        <f>+A106+1</f>
        <v>53</v>
      </c>
      <c r="B111" s="34"/>
      <c r="C111" s="309" t="s">
        <v>270</v>
      </c>
      <c r="D111" s="22"/>
      <c r="E111" s="45"/>
      <c r="F111" s="254" t="s">
        <v>177</v>
      </c>
      <c r="G111" s="16"/>
      <c r="H111" s="626">
        <f>'Att 5 - Cost Support'!J240</f>
        <v>203173765.13999999</v>
      </c>
      <c r="I111"/>
      <c r="J111" s="1267">
        <v>210726234.88000003</v>
      </c>
      <c r="K111" s="1094">
        <f>$H111-J111</f>
        <v>-7552469.7400000393</v>
      </c>
      <c r="L111" s="1579">
        <f>IF(J111=0,"n/m",K111/ABS(J111))</f>
        <v>-3.5840196852095149E-2</v>
      </c>
      <c r="N111" s="1267">
        <v>215095477.46000001</v>
      </c>
      <c r="O111" s="1094">
        <f>$H111-N111</f>
        <v>-11921712.320000023</v>
      </c>
      <c r="P111" s="1579">
        <f>IF(N111=0,"n/m",O111/ABS(N111))</f>
        <v>-5.5425211449259923E-2</v>
      </c>
      <c r="Q111" s="2131"/>
      <c r="R111" s="2192"/>
      <c r="S111" s="349"/>
    </row>
    <row r="112" spans="1:19" ht="15" customHeight="1">
      <c r="A112" s="34">
        <f>A111+1</f>
        <v>54</v>
      </c>
      <c r="B112" s="34"/>
      <c r="C112" s="309" t="s">
        <v>643</v>
      </c>
      <c r="D112" s="22"/>
      <c r="E112" s="45"/>
      <c r="F112" s="254" t="s">
        <v>177</v>
      </c>
      <c r="G112" s="16"/>
      <c r="H112" s="626">
        <f>'Att 5 - Cost Support'!J249</f>
        <v>10746900</v>
      </c>
      <c r="I112"/>
      <c r="J112" s="1267">
        <v>9499436.5199999958</v>
      </c>
      <c r="K112" s="1094">
        <f>$H112-J112</f>
        <v>1247463.4800000042</v>
      </c>
      <c r="L112" s="1579">
        <f>IF(J112=0,"n/m",K112/ABS(J112))</f>
        <v>0.13131973432041047</v>
      </c>
      <c r="N112" s="1267">
        <v>10252059</v>
      </c>
      <c r="O112" s="1094">
        <f>$H112-N112</f>
        <v>494841</v>
      </c>
      <c r="P112" s="1579">
        <f>IF(N112=0,"n/m",O112/ABS(N112))</f>
        <v>4.8267474855538776E-2</v>
      </c>
      <c r="Q112" s="2131"/>
      <c r="R112" s="2192"/>
      <c r="S112" s="31"/>
    </row>
    <row r="113" spans="1:19" ht="15" customHeight="1">
      <c r="A113" s="34">
        <f>A112+1</f>
        <v>55</v>
      </c>
      <c r="B113" s="34"/>
      <c r="C113" s="309" t="s">
        <v>422</v>
      </c>
      <c r="D113" s="22"/>
      <c r="E113" s="45"/>
      <c r="F113" s="254" t="s">
        <v>177</v>
      </c>
      <c r="G113" s="22"/>
      <c r="H113" s="626">
        <f>'Att 5 - Cost Support'!J251</f>
        <v>130788907</v>
      </c>
      <c r="I113"/>
      <c r="J113" s="1267">
        <v>151335724</v>
      </c>
      <c r="K113" s="1094">
        <f>$H113-J113</f>
        <v>-20546817</v>
      </c>
      <c r="L113" s="1579">
        <f>IF(J113=0,"n/m",K113/ABS(J113))</f>
        <v>-0.13576977369864104</v>
      </c>
      <c r="N113" s="1267">
        <v>148425345</v>
      </c>
      <c r="O113" s="1094">
        <f>$H113-N113</f>
        <v>-17636438</v>
      </c>
      <c r="P113" s="1579">
        <f>IF(N113=0,"n/m",O113/ABS(N113))</f>
        <v>-0.11882362813439983</v>
      </c>
      <c r="Q113" s="2131"/>
      <c r="R113" s="2192"/>
      <c r="S113" s="349"/>
    </row>
    <row r="114" spans="1:19" ht="15" customHeight="1">
      <c r="A114" s="34">
        <f>A113+1</f>
        <v>56</v>
      </c>
      <c r="B114" s="22"/>
      <c r="C114" s="12" t="s">
        <v>270</v>
      </c>
      <c r="D114" s="24"/>
      <c r="E114" s="90"/>
      <c r="F114" s="372" t="str">
        <f>"(Lines "&amp;A111&amp;"  - "&amp;A113&amp;")"</f>
        <v>(Lines 53  - 55)</v>
      </c>
      <c r="G114" s="26"/>
      <c r="H114" s="642">
        <f>H111-H112-H113</f>
        <v>61637958.139999986</v>
      </c>
      <c r="I114"/>
      <c r="J114" s="642">
        <v>49891074.360000014</v>
      </c>
      <c r="K114" s="1613">
        <f>$H114-J114</f>
        <v>11746883.779999971</v>
      </c>
      <c r="L114" s="1605">
        <f>IF(J114=0,"n/m",K114/ABS(J114))</f>
        <v>0.23545060776277835</v>
      </c>
      <c r="N114" s="642">
        <v>56418073.460000008</v>
      </c>
      <c r="O114" s="1613">
        <f>$H114-N114</f>
        <v>5219884.6799999774</v>
      </c>
      <c r="P114" s="1605">
        <f>IF(N114=0,"n/m",O114/ABS(N114))</f>
        <v>9.2521498163187665E-2</v>
      </c>
      <c r="Q114" s="2131"/>
      <c r="R114" s="2192"/>
      <c r="S114" s="31"/>
    </row>
    <row r="115" spans="1:19" ht="15" customHeight="1">
      <c r="A115" s="34"/>
      <c r="B115" s="34"/>
      <c r="C115" s="7"/>
      <c r="D115" s="22"/>
      <c r="E115" s="373"/>
      <c r="F115" s="22"/>
      <c r="G115" s="22"/>
      <c r="H115" s="643"/>
      <c r="I115"/>
      <c r="J115" s="643"/>
      <c r="K115" s="643"/>
      <c r="L115" s="643"/>
      <c r="N115" s="643"/>
      <c r="O115" s="643"/>
      <c r="P115" s="643"/>
      <c r="Q115" s="2131"/>
      <c r="R115" s="2192"/>
      <c r="S115" s="349"/>
    </row>
    <row r="116" spans="1:19" ht="15" customHeight="1">
      <c r="A116" s="34"/>
      <c r="B116" s="7" t="s">
        <v>89</v>
      </c>
      <c r="C116" s="22"/>
      <c r="D116" s="22"/>
      <c r="E116" s="373"/>
      <c r="F116" s="22"/>
      <c r="G116" s="22"/>
      <c r="H116" s="643"/>
      <c r="I116"/>
      <c r="J116" s="643"/>
      <c r="K116" s="643"/>
      <c r="L116" s="643"/>
      <c r="N116" s="643"/>
      <c r="O116" s="643"/>
      <c r="P116" s="643"/>
      <c r="Q116" s="2131"/>
      <c r="R116" s="2192"/>
      <c r="S116" s="31"/>
    </row>
    <row r="117" spans="1:19" ht="15" customHeight="1">
      <c r="A117" s="34">
        <f>A114+1</f>
        <v>57</v>
      </c>
      <c r="B117" s="34"/>
      <c r="C117" s="309" t="s">
        <v>273</v>
      </c>
      <c r="D117" s="22"/>
      <c r="E117" s="45"/>
      <c r="F117" s="254" t="s">
        <v>111</v>
      </c>
      <c r="G117" s="626"/>
      <c r="H117" s="1094">
        <f>INDEX(Inputs_EndYrBal,MATCH(F117,Inputs_FF1_Map,0))</f>
        <v>129632900</v>
      </c>
      <c r="I117"/>
      <c r="J117" s="1267">
        <v>103886947</v>
      </c>
      <c r="K117" s="1094">
        <f t="shared" ref="K117:K124" si="1">$H117-J117</f>
        <v>25745953</v>
      </c>
      <c r="L117" s="1579">
        <f t="shared" ref="L117:L124" si="2">IF(J117=0,"n/m",K117/ABS(J117))</f>
        <v>0.24782663985688211</v>
      </c>
      <c r="N117" s="1267">
        <v>134217341</v>
      </c>
      <c r="O117" s="1094">
        <f t="shared" ref="O117:O124" si="3">$H117-N117</f>
        <v>-4584441</v>
      </c>
      <c r="P117" s="1579">
        <f t="shared" ref="P117:P124" si="4">IF(N117=0,"n/m",O117/ABS(N117))</f>
        <v>-3.4156845649326341E-2</v>
      </c>
      <c r="Q117" s="2131"/>
      <c r="R117" s="2192"/>
      <c r="S117" s="349"/>
    </row>
    <row r="118" spans="1:19" ht="15" customHeight="1">
      <c r="A118" s="34">
        <f>A117+1</f>
        <v>58</v>
      </c>
      <c r="B118" s="34"/>
      <c r="C118" s="309" t="s">
        <v>961</v>
      </c>
      <c r="D118" s="22"/>
      <c r="E118" s="99" t="str">
        <f>IF(Toggle=True_up,"",IF(Toggle=Projection,"(Note H)"))</f>
        <v/>
      </c>
      <c r="F118" s="254" t="s">
        <v>177</v>
      </c>
      <c r="G118" s="22"/>
      <c r="H118" s="626">
        <f>-'Att 5 - Cost Support'!I193</f>
        <v>0</v>
      </c>
      <c r="I118"/>
      <c r="J118" s="1267">
        <v>0</v>
      </c>
      <c r="K118" s="1094">
        <f t="shared" si="1"/>
        <v>0</v>
      </c>
      <c r="L118" s="1579" t="str">
        <f t="shared" si="2"/>
        <v>n/m</v>
      </c>
      <c r="N118" s="1267">
        <v>0</v>
      </c>
      <c r="O118" s="1094">
        <f t="shared" si="3"/>
        <v>0</v>
      </c>
      <c r="P118" s="1579" t="str">
        <f t="shared" si="4"/>
        <v>n/m</v>
      </c>
      <c r="Q118" s="2131"/>
      <c r="R118" s="2192"/>
    </row>
    <row r="119" spans="1:19" s="23" customFormat="1" ht="15" customHeight="1">
      <c r="A119" s="34">
        <f t="shared" ref="A119:A126" si="5">A118+1</f>
        <v>59</v>
      </c>
      <c r="B119" s="34"/>
      <c r="C119" s="309" t="s">
        <v>309</v>
      </c>
      <c r="D119" s="254"/>
      <c r="E119" s="45"/>
      <c r="F119" s="309" t="s">
        <v>34</v>
      </c>
      <c r="G119" s="626"/>
      <c r="H119" s="1094">
        <f>INDEX(Inputs_EndYrBal,MATCH(F119,Inputs_FF1_Map,0))</f>
        <v>14265351</v>
      </c>
      <c r="I119"/>
      <c r="J119" s="1267">
        <v>15633179</v>
      </c>
      <c r="K119" s="1094">
        <f t="shared" si="1"/>
        <v>-1367828</v>
      </c>
      <c r="L119" s="1579">
        <f t="shared" si="2"/>
        <v>-8.7495192116715359E-2</v>
      </c>
      <c r="N119" s="1267">
        <v>15938310</v>
      </c>
      <c r="O119" s="1094">
        <f t="shared" si="3"/>
        <v>-1672959</v>
      </c>
      <c r="P119" s="1579">
        <f t="shared" si="4"/>
        <v>-0.10496464179702866</v>
      </c>
      <c r="Q119" s="2131"/>
      <c r="R119" s="2192"/>
    </row>
    <row r="120" spans="1:19" s="23" customFormat="1" ht="15" customHeight="1">
      <c r="A120" s="34">
        <f t="shared" si="5"/>
        <v>60</v>
      </c>
      <c r="B120" s="34"/>
      <c r="C120" s="309" t="s">
        <v>677</v>
      </c>
      <c r="D120" s="254"/>
      <c r="E120" s="45"/>
      <c r="F120" s="309" t="s">
        <v>177</v>
      </c>
      <c r="G120" s="22"/>
      <c r="H120" s="626">
        <f xml:space="preserve"> 'Att 5 - Cost Support'!H319</f>
        <v>3633280.3499999978</v>
      </c>
      <c r="I120"/>
      <c r="J120" s="1267">
        <v>89288.44</v>
      </c>
      <c r="K120" s="1094">
        <f t="shared" si="1"/>
        <v>3543991.9099999978</v>
      </c>
      <c r="L120" s="1579">
        <f t="shared" si="2"/>
        <v>39.691497689958496</v>
      </c>
      <c r="N120" s="1267">
        <v>89288.44</v>
      </c>
      <c r="O120" s="1094">
        <f t="shared" si="3"/>
        <v>3543991.9099999978</v>
      </c>
      <c r="P120" s="1579">
        <f t="shared" si="4"/>
        <v>39.691497689958496</v>
      </c>
      <c r="Q120" s="2131"/>
      <c r="R120" s="2192"/>
    </row>
    <row r="121" spans="1:19" ht="15" customHeight="1">
      <c r="A121" s="34">
        <f>A120+1</f>
        <v>61</v>
      </c>
      <c r="B121" s="34"/>
      <c r="C121" s="309" t="s">
        <v>310</v>
      </c>
      <c r="D121" s="254"/>
      <c r="E121" s="99" t="str">
        <f>"(Note "&amp;B$303&amp;")"</f>
        <v>(Note D)</v>
      </c>
      <c r="F121" s="309" t="s">
        <v>35</v>
      </c>
      <c r="G121" s="22"/>
      <c r="H121" s="1094">
        <f>INDEX(Inputs_EndYrBal,MATCH(F121,Inputs_FF1_Map,0))</f>
        <v>25261821</v>
      </c>
      <c r="I121"/>
      <c r="J121" s="1267">
        <v>24280590</v>
      </c>
      <c r="K121" s="1094">
        <f t="shared" si="1"/>
        <v>981231</v>
      </c>
      <c r="L121" s="1579">
        <f t="shared" si="2"/>
        <v>4.0412156376760204E-2</v>
      </c>
      <c r="N121" s="1267">
        <v>22275686</v>
      </c>
      <c r="O121" s="1094">
        <f t="shared" si="3"/>
        <v>2986135</v>
      </c>
      <c r="P121" s="1579">
        <f t="shared" si="4"/>
        <v>0.13405355956265499</v>
      </c>
      <c r="Q121" s="2131"/>
      <c r="R121" s="2192"/>
    </row>
    <row r="122" spans="1:19" ht="15" customHeight="1">
      <c r="A122" s="34">
        <f t="shared" si="5"/>
        <v>62</v>
      </c>
      <c r="B122" s="34"/>
      <c r="C122" s="309" t="s">
        <v>311</v>
      </c>
      <c r="D122" s="254"/>
      <c r="E122" s="45"/>
      <c r="F122" s="309" t="s">
        <v>38</v>
      </c>
      <c r="G122" s="22"/>
      <c r="H122" s="1094">
        <f>INDEX(Inputs_EndYrBal,MATCH(F122,Inputs_FF1_Map,0))</f>
        <v>1818</v>
      </c>
      <c r="I122"/>
      <c r="J122" s="1267">
        <v>6832</v>
      </c>
      <c r="K122" s="1094">
        <f t="shared" si="1"/>
        <v>-5014</v>
      </c>
      <c r="L122" s="1579">
        <f t="shared" si="2"/>
        <v>-0.7338992974238876</v>
      </c>
      <c r="N122" s="1267">
        <v>319</v>
      </c>
      <c r="O122" s="1094">
        <f t="shared" si="3"/>
        <v>1499</v>
      </c>
      <c r="P122" s="1579">
        <f t="shared" si="4"/>
        <v>4.6990595611285269</v>
      </c>
      <c r="Q122" s="2131"/>
      <c r="R122" s="2192"/>
    </row>
    <row r="123" spans="1:19" ht="15" customHeight="1">
      <c r="A123" s="34">
        <f t="shared" si="5"/>
        <v>63</v>
      </c>
      <c r="B123" s="34"/>
      <c r="C123" s="309" t="s">
        <v>410</v>
      </c>
      <c r="D123" s="23"/>
      <c r="E123" s="99" t="str">
        <f>"(Note "&amp;B$301&amp;")"</f>
        <v>(Note C)</v>
      </c>
      <c r="F123" s="478" t="s">
        <v>177</v>
      </c>
      <c r="G123" s="22"/>
      <c r="H123" s="626">
        <f>'Att 5 - Cost Support'!I188</f>
        <v>159724.97999999998</v>
      </c>
      <c r="I123"/>
      <c r="J123" s="1267">
        <v>233720</v>
      </c>
      <c r="K123" s="1094">
        <f t="shared" si="1"/>
        <v>-73995.020000000019</v>
      </c>
      <c r="L123" s="1579">
        <f t="shared" si="2"/>
        <v>-0.31659686804723608</v>
      </c>
      <c r="N123" s="1267">
        <v>154650.02000000002</v>
      </c>
      <c r="O123" s="1094">
        <f t="shared" si="3"/>
        <v>5074.9599999999627</v>
      </c>
      <c r="P123" s="1579">
        <f t="shared" si="4"/>
        <v>3.2815773318360789E-2</v>
      </c>
      <c r="Q123" s="2131"/>
      <c r="R123" s="2192"/>
    </row>
    <row r="124" spans="1:19" ht="15" customHeight="1">
      <c r="A124" s="34">
        <f t="shared" si="5"/>
        <v>64</v>
      </c>
      <c r="B124" s="34"/>
      <c r="C124" s="313" t="s">
        <v>90</v>
      </c>
      <c r="D124" s="24"/>
      <c r="E124" s="512"/>
      <c r="F124" s="242" t="str">
        <f>"(Line "&amp;A117&amp;" - Sum (Lines "&amp;A118&amp;" to "&amp;A123&amp;"))"</f>
        <v>(Line 57 - Sum (Lines 58 to 63))</v>
      </c>
      <c r="G124" s="24"/>
      <c r="H124" s="624">
        <f>H117-SUM(+H118+H119+H120+H121+H122+H123)</f>
        <v>86310904.670000017</v>
      </c>
      <c r="I124"/>
      <c r="J124" s="624">
        <v>63643337.560000002</v>
      </c>
      <c r="K124" s="1613">
        <f t="shared" si="1"/>
        <v>22667567.110000014</v>
      </c>
      <c r="L124" s="1605">
        <f t="shared" si="2"/>
        <v>0.35616559374545809</v>
      </c>
      <c r="N124" s="624">
        <v>95759087.539999992</v>
      </c>
      <c r="O124" s="1613">
        <f t="shared" si="3"/>
        <v>-9448182.869999975</v>
      </c>
      <c r="P124" s="1605">
        <f t="shared" si="4"/>
        <v>-9.8666174800938117E-2</v>
      </c>
      <c r="Q124" s="2131"/>
      <c r="R124" s="2192"/>
    </row>
    <row r="125" spans="1:19" ht="15" customHeight="1">
      <c r="A125" s="34">
        <f t="shared" si="5"/>
        <v>65</v>
      </c>
      <c r="B125" s="34"/>
      <c r="C125" s="78" t="s">
        <v>12</v>
      </c>
      <c r="D125" s="29"/>
      <c r="F125" s="98" t="str">
        <f>"(Line "&amp;A$18&amp;")"</f>
        <v>(Line 5)</v>
      </c>
      <c r="G125" s="515"/>
      <c r="H125" s="374">
        <f>Allocator.wages.salary</f>
        <v>8.7245911656529326E-2</v>
      </c>
      <c r="I125"/>
      <c r="J125" s="374">
        <v>7.7637175855371984E-2</v>
      </c>
      <c r="K125" s="374"/>
      <c r="L125" s="374"/>
      <c r="N125" s="374">
        <v>7.8815542097072699E-2</v>
      </c>
      <c r="O125" s="374"/>
      <c r="P125" s="374"/>
      <c r="Q125" s="2131"/>
      <c r="R125" s="2192"/>
    </row>
    <row r="126" spans="1:19" ht="15.75">
      <c r="A126" s="34">
        <f t="shared" si="5"/>
        <v>66</v>
      </c>
      <c r="B126" s="34"/>
      <c r="C126" s="12" t="s">
        <v>91</v>
      </c>
      <c r="D126" s="24"/>
      <c r="E126" s="505"/>
      <c r="F126" s="242" t="str">
        <f>"(Line "&amp;A124&amp;" * Line "&amp;A125&amp;")"</f>
        <v>(Line 64 * Line 65)</v>
      </c>
      <c r="G126" s="27"/>
      <c r="H126" s="642">
        <f>H124*H125</f>
        <v>7530273.5638339464</v>
      </c>
      <c r="I126"/>
      <c r="J126" s="642">
        <v>4941088.9901685212</v>
      </c>
      <c r="K126" s="1613">
        <f>$H126-J126</f>
        <v>2589184.5736654252</v>
      </c>
      <c r="L126" s="1605">
        <f>IF(J126=0,"n/m",K126/ABS(J126))</f>
        <v>0.52401091719198489</v>
      </c>
      <c r="N126" s="642">
        <v>7547304.3951861393</v>
      </c>
      <c r="O126" s="1613">
        <f>$H126-N126</f>
        <v>-17030.831352192909</v>
      </c>
      <c r="P126" s="1605">
        <f>IF(N126=0,"n/m",O126/ABS(N126))</f>
        <v>-2.2565449146394042E-3</v>
      </c>
      <c r="Q126" s="2131"/>
      <c r="R126" s="2192"/>
    </row>
    <row r="127" spans="1:19" ht="15.75">
      <c r="A127" s="34"/>
      <c r="B127" s="34"/>
      <c r="C127" s="17"/>
      <c r="D127" s="37"/>
      <c r="E127" s="252"/>
      <c r="F127" s="28"/>
      <c r="G127" s="28"/>
      <c r="H127" s="628"/>
      <c r="I127"/>
      <c r="J127" s="628"/>
      <c r="K127" s="628"/>
      <c r="L127" s="628"/>
      <c r="N127" s="628"/>
      <c r="O127" s="628"/>
      <c r="P127" s="628"/>
      <c r="Q127" s="2131"/>
      <c r="R127" s="2192"/>
    </row>
    <row r="128" spans="1:19" ht="15.75">
      <c r="A128" s="34"/>
      <c r="B128" s="7" t="s">
        <v>235</v>
      </c>
      <c r="C128" s="23"/>
      <c r="D128" s="37"/>
      <c r="E128" s="252"/>
      <c r="F128" s="28"/>
      <c r="G128" s="28"/>
      <c r="H128" s="628"/>
      <c r="I128"/>
      <c r="J128" s="628"/>
      <c r="K128" s="628"/>
      <c r="L128" s="628"/>
      <c r="N128" s="628"/>
      <c r="O128" s="628"/>
      <c r="P128" s="628"/>
      <c r="Q128" s="2131"/>
      <c r="R128" s="2192"/>
    </row>
    <row r="129" spans="1:18" ht="15.75">
      <c r="A129" s="34">
        <f>+A126+1</f>
        <v>67</v>
      </c>
      <c r="B129" s="20"/>
      <c r="C129" s="21" t="s">
        <v>312</v>
      </c>
      <c r="D129" s="85"/>
      <c r="E129" s="99" t="str">
        <f>"(Note "&amp;B$304&amp;")"</f>
        <v>(Note E)</v>
      </c>
      <c r="F129" s="254" t="s">
        <v>177</v>
      </c>
      <c r="G129" s="23"/>
      <c r="H129" s="635">
        <f>+'Att 5 - Cost Support'!I212</f>
        <v>3100664.62</v>
      </c>
      <c r="I129"/>
      <c r="J129" s="804">
        <v>2568100</v>
      </c>
      <c r="K129" s="1094">
        <f>$H129-J129</f>
        <v>532564.62000000011</v>
      </c>
      <c r="L129" s="1579">
        <f>IF(J129=0,"n/m",K129/ABS(J129))</f>
        <v>0.20737690121101207</v>
      </c>
      <c r="N129" s="804">
        <v>2225156.6800000002</v>
      </c>
      <c r="O129" s="1094">
        <f>$H129-N129</f>
        <v>875507.94</v>
      </c>
      <c r="P129" s="1579">
        <f>IF(N129=0,"n/m",O129/ABS(N129))</f>
        <v>0.39345900801915662</v>
      </c>
      <c r="Q129" s="2131"/>
      <c r="R129" s="2192"/>
    </row>
    <row r="130" spans="1:18" ht="15.75">
      <c r="A130" s="8">
        <f>+A129+1</f>
        <v>68</v>
      </c>
      <c r="B130" s="20"/>
      <c r="C130" s="78" t="s">
        <v>1044</v>
      </c>
      <c r="D130" s="101"/>
      <c r="E130" s="102"/>
      <c r="F130" s="478" t="s">
        <v>177</v>
      </c>
      <c r="G130" s="197"/>
      <c r="H130" s="904">
        <f>'Att 5 - Cost Support'!I219</f>
        <v>0</v>
      </c>
      <c r="I130"/>
      <c r="J130" s="1274">
        <v>0</v>
      </c>
      <c r="K130" s="1094">
        <f>$H130-J130</f>
        <v>0</v>
      </c>
      <c r="L130" s="1579" t="str">
        <f>IF(J130=0,"n/m",K130/ABS(J130))</f>
        <v>n/m</v>
      </c>
      <c r="N130" s="1274">
        <v>0</v>
      </c>
      <c r="O130" s="1094">
        <f>$H130-N130</f>
        <v>0</v>
      </c>
      <c r="P130" s="1579" t="str">
        <f>IF(N130=0,"n/m",O130/ABS(N130))</f>
        <v>n/m</v>
      </c>
      <c r="Q130" s="2131"/>
      <c r="R130" s="2192"/>
    </row>
    <row r="131" spans="1:18" ht="15.75">
      <c r="A131" s="8">
        <f>+A130+1</f>
        <v>69</v>
      </c>
      <c r="B131" s="20"/>
      <c r="C131" s="182" t="s">
        <v>17</v>
      </c>
      <c r="D131" s="22"/>
      <c r="E131" s="84"/>
      <c r="F131" s="242" t="str">
        <f>"(Line "&amp;A129&amp;" + Line "&amp;A130&amp;")"</f>
        <v>(Line 67 + Line 68)</v>
      </c>
      <c r="G131" s="23"/>
      <c r="H131" s="633">
        <f>SUM(H129:H130)</f>
        <v>3100664.62</v>
      </c>
      <c r="I131"/>
      <c r="J131" s="633">
        <v>2568100</v>
      </c>
      <c r="K131" s="1613">
        <f>$H131-J131</f>
        <v>532564.62000000011</v>
      </c>
      <c r="L131" s="1605">
        <f>IF(J131=0,"n/m",K131/ABS(J131))</f>
        <v>0.20737690121101207</v>
      </c>
      <c r="N131" s="633">
        <v>2225156.6800000002</v>
      </c>
      <c r="O131" s="1613">
        <f>$H131-N131</f>
        <v>875507.94</v>
      </c>
      <c r="P131" s="1605">
        <f>IF(N131=0,"n/m",O131/ABS(N131))</f>
        <v>0.39345900801915662</v>
      </c>
      <c r="Q131" s="2131"/>
      <c r="R131" s="2192"/>
    </row>
    <row r="132" spans="1:18" ht="15.75">
      <c r="A132" s="34"/>
      <c r="B132" s="20"/>
      <c r="C132" s="21"/>
      <c r="D132" s="22"/>
      <c r="E132" s="84"/>
      <c r="F132" s="21"/>
      <c r="G132" s="23"/>
      <c r="H132" s="644"/>
      <c r="I132"/>
      <c r="J132" s="644"/>
      <c r="K132" s="644"/>
      <c r="L132" s="644"/>
      <c r="N132" s="644"/>
      <c r="O132" s="644"/>
      <c r="P132" s="644"/>
      <c r="Q132" s="2131"/>
      <c r="R132" s="2192"/>
    </row>
    <row r="133" spans="1:18" ht="15.75">
      <c r="A133" s="8">
        <f>+A131+1</f>
        <v>70</v>
      </c>
      <c r="B133" s="20"/>
      <c r="C133" s="21" t="s">
        <v>313</v>
      </c>
      <c r="D133" s="22"/>
      <c r="E133" s="99" t="str">
        <f>"(Note "&amp;B$305&amp;")"</f>
        <v>(Note F)</v>
      </c>
      <c r="F133" s="254" t="s">
        <v>177</v>
      </c>
      <c r="G133" s="23"/>
      <c r="H133" s="635">
        <f>'Att 5 - Cost Support'!I197</f>
        <v>14265351</v>
      </c>
      <c r="I133"/>
      <c r="J133" s="804">
        <v>15633179</v>
      </c>
      <c r="K133" s="1094">
        <f>$H133-J133</f>
        <v>-1367828</v>
      </c>
      <c r="L133" s="1579">
        <f>IF(J133=0,"n/m",K133/ABS(J133))</f>
        <v>-8.7495192116715359E-2</v>
      </c>
      <c r="N133" s="804">
        <v>15938310</v>
      </c>
      <c r="O133" s="1094">
        <f>$H133-N133</f>
        <v>-1672959</v>
      </c>
      <c r="P133" s="1579">
        <f>IF(N133=0,"n/m",O133/ABS(N133))</f>
        <v>-0.10496464179702866</v>
      </c>
      <c r="Q133" s="2131"/>
      <c r="R133" s="2192"/>
    </row>
    <row r="134" spans="1:18" ht="15.75">
      <c r="A134" s="8">
        <f>+A133+1</f>
        <v>71</v>
      </c>
      <c r="B134" s="20"/>
      <c r="C134" s="21" t="s">
        <v>1043</v>
      </c>
      <c r="D134" s="22"/>
      <c r="E134" s="99"/>
      <c r="F134" s="478" t="s">
        <v>177</v>
      </c>
      <c r="G134" s="23"/>
      <c r="H134" s="904">
        <f>+'Att 5 - Cost Support'!I226</f>
        <v>0</v>
      </c>
      <c r="I134"/>
      <c r="J134" s="1274">
        <v>0</v>
      </c>
      <c r="K134" s="1094">
        <f>$H134-J134</f>
        <v>0</v>
      </c>
      <c r="L134" s="1579" t="str">
        <f>IF(J134=0,"n/m",K134/ABS(J134))</f>
        <v>n/m</v>
      </c>
      <c r="N134" s="1274">
        <v>0</v>
      </c>
      <c r="O134" s="1094">
        <f>$H134-N134</f>
        <v>0</v>
      </c>
      <c r="P134" s="1579" t="str">
        <f>IF(N134=0,"n/m",O134/ABS(N134))</f>
        <v>n/m</v>
      </c>
      <c r="Q134" s="2131"/>
      <c r="R134" s="2192"/>
    </row>
    <row r="135" spans="1:18" ht="15.75">
      <c r="A135" s="34">
        <f>+A134+1</f>
        <v>72</v>
      </c>
      <c r="B135" s="20"/>
      <c r="C135" s="198" t="s">
        <v>259</v>
      </c>
      <c r="D135" s="24"/>
      <c r="E135" s="90"/>
      <c r="F135" s="242" t="str">
        <f>"(Line "&amp;A133&amp;" + Line "&amp;A134&amp;")"</f>
        <v>(Line 70 + Line 71)</v>
      </c>
      <c r="G135" s="26"/>
      <c r="H135" s="631">
        <f>SUM(H133:H134)</f>
        <v>14265351</v>
      </c>
      <c r="I135"/>
      <c r="J135" s="631">
        <v>15633179</v>
      </c>
      <c r="K135" s="1613">
        <f>$H135-J135</f>
        <v>-1367828</v>
      </c>
      <c r="L135" s="1605">
        <f>IF(J135=0,"n/m",K135/ABS(J135))</f>
        <v>-8.7495192116715359E-2</v>
      </c>
      <c r="N135" s="631">
        <v>15938310</v>
      </c>
      <c r="O135" s="1613">
        <f>$H135-N135</f>
        <v>-1672959</v>
      </c>
      <c r="P135" s="1605">
        <f>IF(N135=0,"n/m",O135/ABS(N135))</f>
        <v>-0.10496464179702866</v>
      </c>
      <c r="Q135" s="2131"/>
      <c r="R135" s="2192"/>
    </row>
    <row r="136" spans="1:18" ht="15.75">
      <c r="A136" s="8">
        <f>+A135+1</f>
        <v>73</v>
      </c>
      <c r="B136" s="34"/>
      <c r="C136" s="332" t="s">
        <v>216</v>
      </c>
      <c r="D136" s="29"/>
      <c r="E136" s="34"/>
      <c r="F136" s="478" t="str">
        <f>"(Line "&amp;A$30&amp;")"</f>
        <v>(Line 12)</v>
      </c>
      <c r="G136" s="193"/>
      <c r="H136" s="374">
        <f>Allocator.gross.plant</f>
        <v>0.23037119814049065</v>
      </c>
      <c r="I136"/>
      <c r="J136" s="374">
        <v>0.22767749748908422</v>
      </c>
      <c r="K136" s="374"/>
      <c r="L136" s="374"/>
      <c r="N136" s="374">
        <v>0.23193915482060706</v>
      </c>
      <c r="O136" s="374"/>
      <c r="P136" s="374"/>
      <c r="Q136" s="2131"/>
      <c r="R136" s="2192"/>
    </row>
    <row r="137" spans="1:18" ht="15.75">
      <c r="A137" s="34">
        <f>+A136+1</f>
        <v>74</v>
      </c>
      <c r="B137" s="34"/>
      <c r="C137" s="12" t="s">
        <v>236</v>
      </c>
      <c r="D137" s="24"/>
      <c r="E137" s="505"/>
      <c r="F137" s="475" t="str">
        <f>"(Line "&amp;A135&amp;" * Line "&amp;A136&amp;")"</f>
        <v>(Line 72 * Line 73)</v>
      </c>
      <c r="G137" s="27"/>
      <c r="H137" s="638">
        <f>H135*H136</f>
        <v>3286326.0017646463</v>
      </c>
      <c r="I137"/>
      <c r="J137" s="638">
        <v>3559323.0725189042</v>
      </c>
      <c r="K137" s="1613">
        <f>$H137-J137</f>
        <v>-272997.07075425796</v>
      </c>
      <c r="L137" s="1605">
        <f>IF(J137=0,"n/m",K137/ABS(J137))</f>
        <v>-7.6699154640396311E-2</v>
      </c>
      <c r="N137" s="638">
        <v>3696718.1506688297</v>
      </c>
      <c r="O137" s="1613">
        <f>$H137-N137</f>
        <v>-410392.14890418341</v>
      </c>
      <c r="P137" s="1605">
        <f>IF(N137=0,"n/m",O137/ABS(N137))</f>
        <v>-0.11101526602181806</v>
      </c>
      <c r="Q137" s="2131"/>
      <c r="R137" s="2192"/>
    </row>
    <row r="138" spans="1:18" ht="15.75">
      <c r="A138" s="34"/>
      <c r="B138" s="34"/>
      <c r="C138" s="7"/>
      <c r="D138" s="22"/>
      <c r="E138" s="373"/>
      <c r="F138" s="22"/>
      <c r="G138" s="22"/>
      <c r="H138" s="628"/>
      <c r="I138"/>
      <c r="J138" s="628"/>
      <c r="K138" s="628"/>
      <c r="L138" s="628"/>
      <c r="N138" s="628"/>
      <c r="O138" s="628"/>
      <c r="P138" s="628"/>
      <c r="Q138" s="2131"/>
      <c r="R138" s="2192"/>
    </row>
    <row r="139" spans="1:18" ht="16.5" thickBot="1">
      <c r="A139" s="34">
        <f>A137+1</f>
        <v>75</v>
      </c>
      <c r="B139" s="34"/>
      <c r="C139" s="13" t="s">
        <v>272</v>
      </c>
      <c r="D139" s="58"/>
      <c r="E139" s="507"/>
      <c r="F139" s="508" t="str">
        <f>"(Lines "&amp;A114&amp;" + "&amp;A126&amp;" + "&amp;A131&amp;" + "&amp;A137&amp;" )"</f>
        <v>(Lines 56 + 66 + 69 + 74 )</v>
      </c>
      <c r="G139" s="58"/>
      <c r="H139" s="645">
        <f>H114+H126+H131+H137</f>
        <v>75555222.325598583</v>
      </c>
      <c r="I139"/>
      <c r="J139" s="645">
        <v>60959586.422687441</v>
      </c>
      <c r="K139" s="1642">
        <f>$H139-J139</f>
        <v>14595635.902911142</v>
      </c>
      <c r="L139" s="1643">
        <f>IF(J139=0,"n/m",K139/ABS(J139))</f>
        <v>0.23943134721594925</v>
      </c>
      <c r="N139" s="645">
        <v>69887252.685854971</v>
      </c>
      <c r="O139" s="1642">
        <f>$H139-N139</f>
        <v>5667969.6397436112</v>
      </c>
      <c r="P139" s="1643">
        <f>IF(N139=0,"n/m",O139/ABS(N139))</f>
        <v>8.1101623284882629E-2</v>
      </c>
      <c r="Q139" s="2131"/>
      <c r="R139" s="2192"/>
    </row>
    <row r="140" spans="1:18" ht="16.5" thickTop="1">
      <c r="A140" s="19"/>
      <c r="B140" s="8"/>
      <c r="C140" s="7"/>
      <c r="D140" s="22"/>
      <c r="E140" s="157"/>
      <c r="F140" s="9"/>
      <c r="G140" s="9"/>
      <c r="H140" s="646"/>
      <c r="I140"/>
      <c r="J140" s="646"/>
      <c r="K140" s="646"/>
      <c r="L140" s="646"/>
      <c r="N140" s="646"/>
      <c r="O140" s="646"/>
      <c r="P140" s="646"/>
      <c r="Q140" s="2131"/>
      <c r="R140" s="2192"/>
    </row>
    <row r="141" spans="1:18" ht="15.75">
      <c r="A141" s="692" t="s">
        <v>267</v>
      </c>
      <c r="B141" s="187"/>
      <c r="C141" s="188"/>
      <c r="D141" s="62"/>
      <c r="E141" s="526"/>
      <c r="F141" s="63"/>
      <c r="G141" s="63"/>
      <c r="H141" s="647"/>
      <c r="I141"/>
      <c r="J141" s="647">
        <v>0</v>
      </c>
      <c r="K141" s="647"/>
      <c r="L141" s="647"/>
      <c r="N141" s="647">
        <v>0</v>
      </c>
      <c r="O141" s="647"/>
      <c r="P141" s="647"/>
      <c r="Q141" s="2131"/>
      <c r="R141" s="2192"/>
    </row>
    <row r="142" spans="1:18" ht="15.75">
      <c r="A142" s="7"/>
      <c r="B142" s="8"/>
      <c r="C142" s="7"/>
      <c r="D142" s="22"/>
      <c r="E142" s="157"/>
      <c r="F142" s="9"/>
      <c r="G142" s="9"/>
      <c r="H142" s="646"/>
      <c r="I142"/>
      <c r="J142" s="646"/>
      <c r="K142" s="646"/>
      <c r="L142" s="646"/>
      <c r="N142" s="646"/>
      <c r="O142" s="646"/>
      <c r="P142" s="646"/>
      <c r="Q142" s="2131"/>
      <c r="R142" s="2192"/>
    </row>
    <row r="143" spans="1:18" ht="15.75">
      <c r="A143" s="44"/>
      <c r="B143" s="49" t="s">
        <v>220</v>
      </c>
      <c r="C143" s="349"/>
      <c r="F143" s="50"/>
      <c r="G143" s="32"/>
      <c r="H143" s="648"/>
      <c r="I143"/>
      <c r="J143" s="648"/>
      <c r="K143" s="648"/>
      <c r="L143" s="648"/>
      <c r="N143" s="648"/>
      <c r="O143" s="648"/>
      <c r="P143" s="648"/>
      <c r="Q143" s="2131"/>
      <c r="R143" s="2192"/>
    </row>
    <row r="144" spans="1:18" ht="15.75">
      <c r="A144" s="34">
        <f>+A139+1</f>
        <v>76</v>
      </c>
      <c r="B144" s="20"/>
      <c r="C144" s="21" t="s">
        <v>105</v>
      </c>
      <c r="D144" s="22"/>
      <c r="E144" s="99" t="str">
        <f>"(Note "&amp;B310&amp;")"</f>
        <v>(Note H)</v>
      </c>
      <c r="F144" s="332" t="s">
        <v>177</v>
      </c>
      <c r="G144" s="23"/>
      <c r="H144" s="633">
        <f>'Att 5 - Cost Support'!H278</f>
        <v>104655006</v>
      </c>
      <c r="I144"/>
      <c r="J144" s="1273">
        <v>92085625</v>
      </c>
      <c r="K144" s="1094">
        <f>$H144-J144</f>
        <v>12569381</v>
      </c>
      <c r="L144" s="1579">
        <f>IF(J144=0,"n/m",K144/ABS(J144))</f>
        <v>0.13649666818246606</v>
      </c>
      <c r="N144" s="1273">
        <v>99238672</v>
      </c>
      <c r="O144" s="1094">
        <f>$H144-N144</f>
        <v>5416334</v>
      </c>
      <c r="P144" s="1579">
        <f>IF(N144=0,"n/m",O144/ABS(N144))</f>
        <v>5.45788641750466E-2</v>
      </c>
      <c r="Q144" s="2131"/>
      <c r="R144" s="2192"/>
    </row>
    <row r="145" spans="1:18" ht="15.75">
      <c r="A145" s="34"/>
      <c r="B145" s="20"/>
      <c r="C145" s="21"/>
      <c r="D145" s="22"/>
      <c r="E145" s="34"/>
      <c r="F145" s="21"/>
      <c r="G145" s="193"/>
      <c r="H145" s="635"/>
      <c r="I145"/>
      <c r="J145" s="635"/>
      <c r="K145" s="635"/>
      <c r="L145" s="635"/>
      <c r="N145" s="635"/>
      <c r="O145" s="635"/>
      <c r="P145" s="635"/>
      <c r="Q145" s="2131"/>
      <c r="R145" s="2192"/>
    </row>
    <row r="146" spans="1:18" ht="15.75">
      <c r="A146" s="34">
        <f>+A144+1</f>
        <v>77</v>
      </c>
      <c r="B146" s="20"/>
      <c r="C146" s="332" t="s">
        <v>106</v>
      </c>
      <c r="D146" s="37"/>
      <c r="E146" s="99" t="str">
        <f>"(Note "&amp;B$310&amp;")"</f>
        <v>(Note H)</v>
      </c>
      <c r="F146" s="332" t="s">
        <v>177</v>
      </c>
      <c r="G146" s="51"/>
      <c r="H146" s="631">
        <f>'Att 5 - Cost Support'!H283</f>
        <v>41404035</v>
      </c>
      <c r="I146"/>
      <c r="J146" s="1137">
        <v>40653484</v>
      </c>
      <c r="K146" s="1094">
        <f>$H146-J146</f>
        <v>750551</v>
      </c>
      <c r="L146" s="1579">
        <f>IF(J146=0,"n/m",K146/ABS(J146))</f>
        <v>1.8462156896565125E-2</v>
      </c>
      <c r="N146" s="1137">
        <v>40666418</v>
      </c>
      <c r="O146" s="1094">
        <f>$H146-N146</f>
        <v>737617</v>
      </c>
      <c r="P146" s="1579">
        <f>IF(N146=0,"n/m",O146/ABS(N146))</f>
        <v>1.8138233861659515E-2</v>
      </c>
      <c r="Q146" s="2131"/>
      <c r="R146" s="2192"/>
    </row>
    <row r="147" spans="1:18" ht="15.75">
      <c r="A147" s="34">
        <f>+A146+1</f>
        <v>78</v>
      </c>
      <c r="B147" s="20"/>
      <c r="C147" s="78" t="s">
        <v>252</v>
      </c>
      <c r="D147" s="98"/>
      <c r="E147" s="102" t="str">
        <f>"(Note "&amp;B$310&amp;")"</f>
        <v>(Note H)</v>
      </c>
      <c r="F147" s="78" t="s">
        <v>177</v>
      </c>
      <c r="G147" s="197"/>
      <c r="H147" s="904">
        <f>'Att 5 - Cost Support'!H288</f>
        <v>36791866</v>
      </c>
      <c r="I147"/>
      <c r="J147" s="1274">
        <v>39290397</v>
      </c>
      <c r="K147" s="1094">
        <f>$H147-J147</f>
        <v>-2498531</v>
      </c>
      <c r="L147" s="1579">
        <f>IF(J147=0,"n/m",K147/ABS(J147))</f>
        <v>-6.3591391046519591E-2</v>
      </c>
      <c r="M147" s="23"/>
      <c r="N147" s="1274">
        <v>36050777</v>
      </c>
      <c r="O147" s="1094">
        <f>$H147-N147</f>
        <v>741089</v>
      </c>
      <c r="P147" s="1579">
        <f>IF(N147=0,"n/m",O147/ABS(N147))</f>
        <v>2.0556810745022223E-2</v>
      </c>
      <c r="Q147" s="2131"/>
      <c r="R147" s="2192"/>
    </row>
    <row r="148" spans="1:18" ht="15.75">
      <c r="A148" s="34">
        <f>+A147+1</f>
        <v>79</v>
      </c>
      <c r="B148" s="20"/>
      <c r="C148" s="332" t="s">
        <v>282</v>
      </c>
      <c r="D148" s="37"/>
      <c r="E148" s="464"/>
      <c r="F148" s="242" t="str">
        <f>"(Line "&amp;A146&amp;" + Line "&amp;A147&amp;")"</f>
        <v>(Line 77 + Line 78)</v>
      </c>
      <c r="G148" s="23"/>
      <c r="H148" s="635">
        <f>SUM(H146:H147)</f>
        <v>78195901</v>
      </c>
      <c r="I148"/>
      <c r="J148" s="635">
        <v>79943881</v>
      </c>
      <c r="K148" s="1613">
        <f>$H148-J148</f>
        <v>-1747980</v>
      </c>
      <c r="L148" s="1605">
        <f>IF(J148=0,"n/m",K148/ABS(J148))</f>
        <v>-2.1865088085978712E-2</v>
      </c>
      <c r="N148" s="635">
        <v>76717195</v>
      </c>
      <c r="O148" s="1613">
        <f>$H148-N148</f>
        <v>1478706</v>
      </c>
      <c r="P148" s="1605">
        <f>IF(N148=0,"n/m",O148/ABS(N148))</f>
        <v>1.9274766237217092E-2</v>
      </c>
      <c r="Q148" s="2131"/>
      <c r="R148" s="2192"/>
    </row>
    <row r="149" spans="1:18" ht="15.75">
      <c r="A149" s="34">
        <f>+A148+1</f>
        <v>80</v>
      </c>
      <c r="B149" s="20"/>
      <c r="C149" s="78" t="s">
        <v>12</v>
      </c>
      <c r="D149" s="46"/>
      <c r="E149" s="125"/>
      <c r="F149" s="98" t="str">
        <f>"(Line "&amp;A$18&amp;")"</f>
        <v>(Line 5)</v>
      </c>
      <c r="G149" s="527"/>
      <c r="H149" s="528">
        <f>Allocator.wages.salary</f>
        <v>8.7245911656529326E-2</v>
      </c>
      <c r="I149"/>
      <c r="J149" s="528">
        <v>7.7637175855371984E-2</v>
      </c>
      <c r="K149" s="1264"/>
      <c r="L149" s="1264"/>
      <c r="N149" s="528">
        <v>7.8815542097072699E-2</v>
      </c>
      <c r="O149" s="1264"/>
      <c r="P149" s="1264"/>
      <c r="Q149" s="2131"/>
      <c r="R149" s="2192"/>
    </row>
    <row r="150" spans="1:18" s="343" customFormat="1" ht="15.75">
      <c r="A150" s="34">
        <f>+A149+1</f>
        <v>81</v>
      </c>
      <c r="B150" s="20"/>
      <c r="C150" s="182" t="s">
        <v>467</v>
      </c>
      <c r="D150" s="22"/>
      <c r="E150" s="34"/>
      <c r="F150" s="242" t="str">
        <f>"(Line "&amp;A148&amp;" * Line "&amp;A149&amp;")"</f>
        <v>(Line 79 * Line 80)</v>
      </c>
      <c r="G150" s="193"/>
      <c r="H150" s="633">
        <f>+H148*H149</f>
        <v>6822272.6705487128</v>
      </c>
      <c r="I150"/>
      <c r="J150" s="633">
        <v>6206617.1477579307</v>
      </c>
      <c r="K150" s="1613">
        <f>$H150-J150</f>
        <v>615655.52279078215</v>
      </c>
      <c r="L150" s="1605">
        <f>IF(J150=0,"n/m",K150/ABS(J150))</f>
        <v>9.9193410538167423E-2</v>
      </c>
      <c r="N150" s="633">
        <v>6046507.3120918348</v>
      </c>
      <c r="O150" s="1613">
        <f>$H150-N150</f>
        <v>775765.35845687799</v>
      </c>
      <c r="P150" s="1605">
        <f>IF(N150=0,"n/m",O150/ABS(N150))</f>
        <v>0.128299747013536</v>
      </c>
      <c r="Q150" s="2131"/>
      <c r="R150" s="2192"/>
    </row>
    <row r="151" spans="1:18" s="349" customFormat="1" ht="15.75">
      <c r="A151" s="34"/>
      <c r="B151" s="20"/>
      <c r="C151" s="182"/>
      <c r="D151" s="22"/>
      <c r="E151" s="34"/>
      <c r="F151" s="242"/>
      <c r="G151" s="193"/>
      <c r="H151" s="633"/>
      <c r="I151"/>
      <c r="J151" s="633"/>
      <c r="K151" s="633"/>
      <c r="L151" s="633"/>
      <c r="N151" s="633"/>
      <c r="O151" s="633"/>
      <c r="P151" s="633"/>
      <c r="Q151" s="2131"/>
      <c r="R151" s="2192"/>
    </row>
    <row r="152" spans="1:18" s="349" customFormat="1" ht="15.75">
      <c r="A152" s="34">
        <f>+A150+1</f>
        <v>82</v>
      </c>
      <c r="B152" s="20"/>
      <c r="C152" s="21" t="s">
        <v>649</v>
      </c>
      <c r="D152" s="22"/>
      <c r="E152" s="99" t="str">
        <f>"(Note "&amp;B321&amp;")"</f>
        <v>(Note O)</v>
      </c>
      <c r="F152" s="47"/>
      <c r="G152" s="23"/>
      <c r="H152" s="804">
        <v>0</v>
      </c>
      <c r="I152"/>
      <c r="J152" s="804">
        <v>0</v>
      </c>
      <c r="K152" s="1094">
        <f>$H152-J152</f>
        <v>0</v>
      </c>
      <c r="L152" s="1579" t="str">
        <f>IF(J152=0,"n/m",K152/ABS(J152))</f>
        <v>n/m</v>
      </c>
      <c r="N152" s="804">
        <v>0</v>
      </c>
      <c r="O152" s="1094">
        <f>$H152-N152</f>
        <v>0</v>
      </c>
      <c r="P152" s="1579" t="str">
        <f>IF(N152=0,"n/m",O152/ABS(N152))</f>
        <v>n/m</v>
      </c>
      <c r="Q152" s="2131"/>
      <c r="R152" s="2192"/>
    </row>
    <row r="153" spans="1:18" ht="15.75">
      <c r="A153" s="34"/>
      <c r="B153" s="20"/>
      <c r="C153" s="21"/>
      <c r="D153" s="22"/>
      <c r="E153" s="34"/>
      <c r="F153" s="242"/>
      <c r="G153" s="193"/>
      <c r="H153" s="635"/>
      <c r="I153"/>
      <c r="J153" s="635"/>
      <c r="K153" s="635"/>
      <c r="L153" s="635"/>
      <c r="N153" s="635"/>
      <c r="O153" s="635"/>
      <c r="P153" s="635"/>
      <c r="Q153" s="2131"/>
      <c r="R153" s="2192"/>
    </row>
    <row r="154" spans="1:18" s="31" customFormat="1" ht="16.5" thickBot="1">
      <c r="A154" s="8">
        <f>+A152+1</f>
        <v>83</v>
      </c>
      <c r="B154" s="186" t="s">
        <v>268</v>
      </c>
      <c r="C154" s="186"/>
      <c r="D154" s="52"/>
      <c r="E154" s="529"/>
      <c r="F154" s="973" t="str">
        <f>"(Lines "&amp;A144&amp;" + "&amp;A150&amp;" + "&amp;A152&amp;")"</f>
        <v>(Lines 76 + 81 + 82)</v>
      </c>
      <c r="G154" s="530"/>
      <c r="H154" s="649">
        <f>H144+H150+H152</f>
        <v>111477278.67054871</v>
      </c>
      <c r="I154"/>
      <c r="J154" s="649">
        <v>98292242.147757933</v>
      </c>
      <c r="K154" s="1642">
        <f>$H154-J154</f>
        <v>13185036.522790775</v>
      </c>
      <c r="L154" s="1643">
        <f>IF(J154=0,"n/m",K154/ABS(J154))</f>
        <v>0.13414117161932629</v>
      </c>
      <c r="N154" s="649">
        <v>105285179.31209183</v>
      </c>
      <c r="O154" s="1642">
        <f>$H154-N154</f>
        <v>6192099.3584568799</v>
      </c>
      <c r="P154" s="1643">
        <f>IF(N154=0,"n/m",O154/ABS(N154))</f>
        <v>5.8812640097253725E-2</v>
      </c>
      <c r="Q154" s="2131"/>
      <c r="R154" s="2192"/>
    </row>
    <row r="155" spans="1:18" ht="16.5" thickTop="1">
      <c r="F155" s="349"/>
      <c r="G155" s="349"/>
      <c r="H155" s="632"/>
      <c r="I155"/>
      <c r="J155" s="632"/>
      <c r="K155" s="632"/>
      <c r="L155" s="632"/>
      <c r="N155" s="632"/>
      <c r="O155" s="632"/>
      <c r="P155" s="632"/>
      <c r="Q155" s="2131"/>
      <c r="R155" s="2192"/>
    </row>
    <row r="156" spans="1:18" ht="15.75">
      <c r="A156" s="692" t="s">
        <v>521</v>
      </c>
      <c r="B156" s="187"/>
      <c r="C156" s="188"/>
      <c r="D156" s="62"/>
      <c r="E156" s="129"/>
      <c r="F156" s="63"/>
      <c r="G156" s="63"/>
      <c r="H156" s="647"/>
      <c r="I156"/>
      <c r="J156" s="647">
        <v>0</v>
      </c>
      <c r="K156" s="647"/>
      <c r="L156" s="647"/>
      <c r="N156" s="647">
        <v>0</v>
      </c>
      <c r="O156" s="647"/>
      <c r="P156" s="647"/>
      <c r="Q156" s="2131"/>
      <c r="R156" s="2192"/>
    </row>
    <row r="157" spans="1:18" ht="15.75">
      <c r="A157" s="113"/>
      <c r="B157" s="8"/>
      <c r="C157" s="7"/>
      <c r="D157" s="22"/>
      <c r="E157" s="157"/>
      <c r="F157" s="9"/>
      <c r="G157" s="9"/>
      <c r="H157" s="646"/>
      <c r="I157"/>
      <c r="J157" s="646"/>
      <c r="K157" s="646"/>
      <c r="L157" s="646"/>
      <c r="N157" s="646"/>
      <c r="O157" s="646"/>
      <c r="P157" s="646"/>
      <c r="Q157" s="2131"/>
      <c r="R157" s="2192"/>
    </row>
    <row r="158" spans="1:18" ht="15.75">
      <c r="A158" s="34">
        <f>+A154+1</f>
        <v>84</v>
      </c>
      <c r="B158" s="182" t="s">
        <v>21</v>
      </c>
      <c r="C158" s="183"/>
      <c r="E158" s="99"/>
      <c r="F158" s="23" t="s">
        <v>196</v>
      </c>
      <c r="G158" s="23"/>
      <c r="H158" s="903">
        <f>'Att 2 - Other Taxes'!F27</f>
        <v>36464995.716510817</v>
      </c>
      <c r="I158"/>
      <c r="J158" s="1283">
        <v>31806190.35901561</v>
      </c>
      <c r="K158" s="1094">
        <f>$H158-J158</f>
        <v>4658805.3574952073</v>
      </c>
      <c r="L158" s="1579">
        <f>IF(J158=0,"n/m",K158/ABS(J158))</f>
        <v>0.14647479955657902</v>
      </c>
      <c r="N158" s="1283">
        <v>35960263.950502515</v>
      </c>
      <c r="O158" s="1094">
        <f>$H158-N158</f>
        <v>504731.76600830257</v>
      </c>
      <c r="P158" s="1579">
        <f>IF(N158=0,"n/m",O158/ABS(N158))</f>
        <v>1.4035819278274495E-2</v>
      </c>
      <c r="Q158" s="2131"/>
      <c r="R158" s="2192"/>
    </row>
    <row r="159" spans="1:18" ht="15.75">
      <c r="A159" s="45"/>
      <c r="B159" s="22"/>
      <c r="E159" s="8"/>
      <c r="F159" s="21"/>
      <c r="G159" s="23"/>
      <c r="H159" s="632"/>
      <c r="I159"/>
      <c r="J159" s="632"/>
      <c r="K159" s="632"/>
      <c r="L159" s="632"/>
      <c r="N159" s="632"/>
      <c r="O159" s="632"/>
      <c r="P159" s="632"/>
      <c r="Q159" s="2131"/>
      <c r="R159" s="2192"/>
    </row>
    <row r="160" spans="1:18" ht="16.5" thickBot="1">
      <c r="A160" s="34">
        <f>+A158+1</f>
        <v>85</v>
      </c>
      <c r="B160" s="13" t="s">
        <v>22</v>
      </c>
      <c r="C160" s="13"/>
      <c r="D160" s="52"/>
      <c r="E160" s="88"/>
      <c r="F160" s="508" t="str">
        <f>"(Line "&amp;A158&amp;")"</f>
        <v>(Line 84)</v>
      </c>
      <c r="G160" s="15"/>
      <c r="H160" s="641">
        <f>H158</f>
        <v>36464995.716510817</v>
      </c>
      <c r="I160"/>
      <c r="J160" s="641">
        <v>31806190.35901561</v>
      </c>
      <c r="K160" s="1642">
        <f>$H160-J160</f>
        <v>4658805.3574952073</v>
      </c>
      <c r="L160" s="1643">
        <f>IF(J160=0,"n/m",K160/ABS(J160))</f>
        <v>0.14647479955657902</v>
      </c>
      <c r="N160" s="641">
        <v>35960263.950502515</v>
      </c>
      <c r="O160" s="1642">
        <f>$H160-N160</f>
        <v>504731.76600830257</v>
      </c>
      <c r="P160" s="1643">
        <f>IF(N160=0,"n/m",O160/ABS(N160))</f>
        <v>1.4035819278274495E-2</v>
      </c>
      <c r="Q160" s="2131"/>
      <c r="R160" s="2192"/>
    </row>
    <row r="161" spans="1:18" ht="16.5" thickTop="1">
      <c r="A161" s="44"/>
      <c r="F161" s="23"/>
      <c r="G161" s="349"/>
      <c r="H161" s="632"/>
      <c r="I161"/>
      <c r="J161" s="632"/>
      <c r="K161" s="632"/>
      <c r="L161" s="632"/>
      <c r="N161" s="632"/>
      <c r="O161" s="632"/>
      <c r="P161" s="632"/>
      <c r="Q161" s="2131"/>
      <c r="R161" s="2192"/>
    </row>
    <row r="162" spans="1:18" ht="15.75">
      <c r="A162" s="692" t="s">
        <v>23</v>
      </c>
      <c r="B162" s="187"/>
      <c r="C162" s="188"/>
      <c r="D162" s="62"/>
      <c r="E162" s="526"/>
      <c r="F162" s="63"/>
      <c r="G162" s="63"/>
      <c r="H162" s="647"/>
      <c r="I162"/>
      <c r="J162" s="647">
        <v>0</v>
      </c>
      <c r="K162" s="647"/>
      <c r="L162" s="647"/>
      <c r="N162" s="647">
        <v>0</v>
      </c>
      <c r="O162" s="647"/>
      <c r="P162" s="647"/>
      <c r="Q162" s="2131"/>
      <c r="R162" s="2192"/>
    </row>
    <row r="163" spans="1:18" ht="15.75">
      <c r="A163" s="19"/>
      <c r="B163" s="8"/>
      <c r="C163" s="7"/>
      <c r="D163" s="22"/>
      <c r="E163" s="157"/>
      <c r="F163" s="9"/>
      <c r="G163" s="9"/>
      <c r="H163" s="646"/>
      <c r="I163"/>
      <c r="J163" s="646"/>
      <c r="K163" s="646"/>
      <c r="L163" s="646"/>
      <c r="N163" s="646"/>
      <c r="O163" s="646"/>
      <c r="P163" s="646"/>
      <c r="Q163" s="2131"/>
      <c r="R163" s="2192"/>
    </row>
    <row r="164" spans="1:18" s="349" customFormat="1" ht="18.75">
      <c r="A164" s="560"/>
      <c r="B164" s="576" t="s">
        <v>878</v>
      </c>
      <c r="D164" s="442"/>
      <c r="E164" s="442"/>
      <c r="F164" s="697"/>
      <c r="G164" s="443"/>
      <c r="H164" s="443"/>
      <c r="I164"/>
      <c r="J164" s="443"/>
      <c r="K164" s="443"/>
      <c r="L164" s="443"/>
      <c r="N164" s="443"/>
      <c r="O164" s="443"/>
      <c r="P164" s="443"/>
      <c r="Q164" s="2131"/>
      <c r="R164" s="2192"/>
    </row>
    <row r="165" spans="1:18" s="349" customFormat="1" ht="18.75">
      <c r="A165" s="560">
        <f>SUM(A160+1)</f>
        <v>86</v>
      </c>
      <c r="B165" s="442"/>
      <c r="C165" s="443" t="s">
        <v>872</v>
      </c>
      <c r="E165" s="443"/>
      <c r="F165" s="443" t="s">
        <v>472</v>
      </c>
      <c r="G165" s="444"/>
      <c r="H165" s="445">
        <f>'Att 14 - Cost of Capital Detail'!C6</f>
        <v>7108466230.7692308</v>
      </c>
      <c r="I165"/>
      <c r="J165" s="1275">
        <v>7078393384.6153851</v>
      </c>
      <c r="K165" s="1094">
        <f>$H165-J165</f>
        <v>30072846.153845787</v>
      </c>
      <c r="L165" s="1579">
        <f>IF(J165=0,"n/m",K165/ABS(J165))</f>
        <v>4.248541232422594E-3</v>
      </c>
      <c r="N165" s="1275">
        <v>7111415153.8461542</v>
      </c>
      <c r="O165" s="1094">
        <f>$H165-N165</f>
        <v>-2948923.0769233704</v>
      </c>
      <c r="P165" s="1579">
        <f>IF(N165=0,"n/m",O165/ABS(N165))</f>
        <v>-4.1467457786211061E-4</v>
      </c>
      <c r="Q165" s="2131"/>
      <c r="R165" s="2192"/>
    </row>
    <row r="166" spans="1:18" s="349" customFormat="1" ht="18.75">
      <c r="A166" s="560">
        <f>SUM(A165+1)</f>
        <v>87</v>
      </c>
      <c r="B166" s="442"/>
      <c r="C166" s="443" t="s">
        <v>2073</v>
      </c>
      <c r="F166" s="443" t="s">
        <v>472</v>
      </c>
      <c r="G166" s="444"/>
      <c r="H166" s="445">
        <f>'Att 14 - Cost of Capital Detail'!C7</f>
        <v>0</v>
      </c>
      <c r="I166"/>
      <c r="J166" s="1275">
        <v>0</v>
      </c>
      <c r="K166" s="1094">
        <f>$H166-J166</f>
        <v>0</v>
      </c>
      <c r="L166" s="1579" t="str">
        <f>IF(J166=0,"n/m",K166/ABS(J166))</f>
        <v>n/m</v>
      </c>
      <c r="N166" s="1275">
        <v>0</v>
      </c>
      <c r="O166" s="1094">
        <f>$H166-N166</f>
        <v>0</v>
      </c>
      <c r="P166" s="1579" t="str">
        <f>IF(N166=0,"n/m",O166/ABS(N166))</f>
        <v>n/m</v>
      </c>
      <c r="Q166" s="2131"/>
      <c r="R166" s="2192"/>
    </row>
    <row r="167" spans="1:18" s="349" customFormat="1" ht="18.75">
      <c r="A167" s="560">
        <f>SUM(A166+1)</f>
        <v>88</v>
      </c>
      <c r="B167" s="442"/>
      <c r="C167" s="443" t="s">
        <v>877</v>
      </c>
      <c r="E167" s="446"/>
      <c r="F167" s="443" t="s">
        <v>472</v>
      </c>
      <c r="G167" s="444"/>
      <c r="H167" s="445">
        <f>'Att 14 - Cost of Capital Detail'!C8</f>
        <v>0</v>
      </c>
      <c r="I167"/>
      <c r="J167" s="1275">
        <v>0</v>
      </c>
      <c r="K167" s="1094">
        <f>$H167-J167</f>
        <v>0</v>
      </c>
      <c r="L167" s="1579" t="str">
        <f>IF(J167=0,"n/m",K167/ABS(J167))</f>
        <v>n/m</v>
      </c>
      <c r="N167" s="1275">
        <v>0</v>
      </c>
      <c r="O167" s="1094">
        <f>$H167-N167</f>
        <v>0</v>
      </c>
      <c r="P167" s="1579" t="str">
        <f>IF(N167=0,"n/m",O167/ABS(N167))</f>
        <v>n/m</v>
      </c>
      <c r="Q167" s="2131"/>
      <c r="R167" s="2192"/>
    </row>
    <row r="168" spans="1:18" s="349" customFormat="1" ht="18.75">
      <c r="A168" s="560">
        <f>SUM(A167+1)</f>
        <v>89</v>
      </c>
      <c r="B168" s="442"/>
      <c r="C168" s="443" t="s">
        <v>879</v>
      </c>
      <c r="E168" s="443"/>
      <c r="F168" s="443" t="s">
        <v>472</v>
      </c>
      <c r="G168" s="444"/>
      <c r="H168" s="445">
        <f>'Att 14 - Cost of Capital Detail'!C9</f>
        <v>0</v>
      </c>
      <c r="I168"/>
      <c r="J168" s="1275">
        <v>0</v>
      </c>
      <c r="K168" s="1094">
        <f>$H168-J168</f>
        <v>0</v>
      </c>
      <c r="L168" s="1579" t="str">
        <f>IF(J168=0,"n/m",K168/ABS(J168))</f>
        <v>n/m</v>
      </c>
      <c r="N168" s="1275">
        <v>0</v>
      </c>
      <c r="O168" s="1094">
        <f>$H168-N168</f>
        <v>0</v>
      </c>
      <c r="P168" s="1579" t="str">
        <f>IF(N168=0,"n/m",O168/ABS(N168))</f>
        <v>n/m</v>
      </c>
      <c r="Q168" s="2131"/>
      <c r="R168" s="2192"/>
    </row>
    <row r="169" spans="1:18" s="349" customFormat="1" ht="18.75">
      <c r="A169" s="560">
        <f t="shared" ref="A169:A176" si="6">SUM(A168+1)</f>
        <v>90</v>
      </c>
      <c r="B169" s="442"/>
      <c r="C169" s="582" t="s">
        <v>880</v>
      </c>
      <c r="D169" s="579"/>
      <c r="E169" s="578"/>
      <c r="F169" s="577" t="str">
        <f>"Sum Lines "&amp;A165&amp;" through "&amp;A168</f>
        <v>Sum Lines 86 through 89</v>
      </c>
      <c r="G169" s="580"/>
      <c r="H169" s="581">
        <f>H165-H166+H167+H168</f>
        <v>7108466230.7692308</v>
      </c>
      <c r="I169"/>
      <c r="J169" s="962">
        <v>7078393384.6153851</v>
      </c>
      <c r="K169" s="1613">
        <f>$H169-J169</f>
        <v>30072846.153845787</v>
      </c>
      <c r="L169" s="1605">
        <f>IF(J169=0,"n/m",K169/ABS(J169))</f>
        <v>4.248541232422594E-3</v>
      </c>
      <c r="N169" s="962">
        <v>7111415153.8461542</v>
      </c>
      <c r="O169" s="1613">
        <f>$H169-N169</f>
        <v>-2948923.0769233704</v>
      </c>
      <c r="P169" s="1605">
        <f>IF(N169=0,"n/m",O169/ABS(N169))</f>
        <v>-4.1467457786211061E-4</v>
      </c>
      <c r="Q169" s="2131"/>
      <c r="R169" s="2192"/>
    </row>
    <row r="170" spans="1:18" s="349" customFormat="1" ht="18.75">
      <c r="A170" s="560"/>
      <c r="B170" s="442"/>
      <c r="C170" s="447"/>
      <c r="E170" s="443"/>
      <c r="F170" s="445"/>
      <c r="G170" s="444"/>
      <c r="H170" s="474"/>
      <c r="I170"/>
      <c r="J170" s="474"/>
      <c r="K170" s="474"/>
      <c r="L170" s="474"/>
      <c r="N170" s="474"/>
      <c r="O170" s="474"/>
      <c r="P170" s="474"/>
      <c r="Q170" s="2131"/>
      <c r="R170" s="2192"/>
    </row>
    <row r="171" spans="1:18" s="349" customFormat="1" ht="18.75">
      <c r="A171" s="560">
        <f>SUM(A169+1)</f>
        <v>91</v>
      </c>
      <c r="B171" s="442"/>
      <c r="C171" s="443" t="s">
        <v>2074</v>
      </c>
      <c r="E171" s="99" t="str">
        <f>"(Note "&amp;B$331&amp;")"</f>
        <v>(Note T)</v>
      </c>
      <c r="F171" s="443" t="s">
        <v>472</v>
      </c>
      <c r="G171" s="444"/>
      <c r="H171" s="445">
        <f>'Att 14 - Cost of Capital Detail'!C10</f>
        <v>11992787.013076931</v>
      </c>
      <c r="I171"/>
      <c r="J171" s="1275">
        <v>13661333.292307692</v>
      </c>
      <c r="K171" s="1094">
        <f t="shared" ref="K171:K176" si="7">$H171-J171</f>
        <v>-1668546.2792307604</v>
      </c>
      <c r="L171" s="1579">
        <f t="shared" ref="L171:L176" si="8">IF(J171=0,"n/m",K171/ABS(J171))</f>
        <v>-0.12213641549688795</v>
      </c>
      <c r="N171" s="1275">
        <v>12859624.381538462</v>
      </c>
      <c r="O171" s="1094">
        <f t="shared" ref="O171:O176" si="9">$H171-N171</f>
        <v>-866837.36846153066</v>
      </c>
      <c r="P171" s="1579">
        <f t="shared" ref="P171:P176" si="10">IF(N171=0,"n/m",O171/ABS(N171))</f>
        <v>-6.7407674030197956E-2</v>
      </c>
      <c r="Q171" s="2131"/>
      <c r="R171" s="2192"/>
    </row>
    <row r="172" spans="1:18" s="349" customFormat="1" ht="18.75">
      <c r="A172" s="560">
        <f t="shared" si="6"/>
        <v>92</v>
      </c>
      <c r="B172" s="442"/>
      <c r="C172" s="443" t="s">
        <v>2075</v>
      </c>
      <c r="E172" s="99" t="str">
        <f>"(Note "&amp;B$331&amp;")"</f>
        <v>(Note T)</v>
      </c>
      <c r="F172" s="443" t="s">
        <v>472</v>
      </c>
      <c r="G172" s="444"/>
      <c r="H172" s="445">
        <f>'Att 14 - Cost of Capital Detail'!C11</f>
        <v>31458866.74692307</v>
      </c>
      <c r="I172"/>
      <c r="J172" s="1275">
        <v>34644580.306923069</v>
      </c>
      <c r="K172" s="1094">
        <f t="shared" si="7"/>
        <v>-3185713.5599999987</v>
      </c>
      <c r="L172" s="1579">
        <f t="shared" si="8"/>
        <v>-9.1954168062569758E-2</v>
      </c>
      <c r="N172" s="1275">
        <v>33577275.64692308</v>
      </c>
      <c r="O172" s="1094">
        <f t="shared" si="9"/>
        <v>-2118408.9000000097</v>
      </c>
      <c r="P172" s="1579">
        <f t="shared" si="10"/>
        <v>-6.3090553333624441E-2</v>
      </c>
      <c r="Q172" s="2131"/>
      <c r="R172" s="2192"/>
    </row>
    <row r="173" spans="1:18" s="349" customFormat="1" ht="18.75">
      <c r="A173" s="560">
        <f t="shared" si="6"/>
        <v>93</v>
      </c>
      <c r="B173" s="442"/>
      <c r="C173" s="443" t="s">
        <v>2076</v>
      </c>
      <c r="E173" s="99" t="str">
        <f>"(Note "&amp;B$331&amp;")"</f>
        <v>(Note T)</v>
      </c>
      <c r="F173" s="443" t="s">
        <v>472</v>
      </c>
      <c r="G173" s="444"/>
      <c r="H173" s="445">
        <f>'Att 14 - Cost of Capital Detail'!C12</f>
        <v>6095144.927692309</v>
      </c>
      <c r="I173"/>
      <c r="J173" s="1275">
        <v>7635677.5276923077</v>
      </c>
      <c r="K173" s="1094">
        <f t="shared" si="7"/>
        <v>-1540532.5999999987</v>
      </c>
      <c r="L173" s="1579">
        <f t="shared" si="8"/>
        <v>-0.2017545390586428</v>
      </c>
      <c r="N173" s="1275">
        <v>6751859.0884615397</v>
      </c>
      <c r="O173" s="1094">
        <f t="shared" si="9"/>
        <v>-656714.16076923069</v>
      </c>
      <c r="P173" s="1579">
        <f t="shared" si="10"/>
        <v>-9.7264198225272464E-2</v>
      </c>
      <c r="Q173" s="2131"/>
      <c r="R173" s="2192"/>
    </row>
    <row r="174" spans="1:18" s="349" customFormat="1" ht="18.75">
      <c r="A174" s="560">
        <f t="shared" si="6"/>
        <v>94</v>
      </c>
      <c r="B174" s="442"/>
      <c r="C174" s="443" t="s">
        <v>2077</v>
      </c>
      <c r="E174" s="99" t="str">
        <f>"(Note "&amp;B$331&amp;")"</f>
        <v>(Note T)</v>
      </c>
      <c r="F174" s="443" t="s">
        <v>472</v>
      </c>
      <c r="G174" s="444"/>
      <c r="H174" s="445">
        <f>'Att 14 - Cost of Capital Detail'!C13</f>
        <v>63586.87230769224</v>
      </c>
      <c r="I174"/>
      <c r="J174" s="1275">
        <v>85638.64</v>
      </c>
      <c r="K174" s="1094">
        <f t="shared" si="7"/>
        <v>-22051.76769230776</v>
      </c>
      <c r="L174" s="1579">
        <f t="shared" si="8"/>
        <v>-0.25749787353357972</v>
      </c>
      <c r="N174" s="1275">
        <v>74612.771538461515</v>
      </c>
      <c r="O174" s="1094">
        <f t="shared" si="9"/>
        <v>-11025.899230769275</v>
      </c>
      <c r="P174" s="1579">
        <f t="shared" si="10"/>
        <v>-0.1477749586756153</v>
      </c>
      <c r="Q174" s="2131"/>
      <c r="R174" s="2192"/>
    </row>
    <row r="175" spans="1:18" s="349" customFormat="1" ht="18.75">
      <c r="A175" s="560">
        <f t="shared" si="6"/>
        <v>95</v>
      </c>
      <c r="B175" s="442"/>
      <c r="C175" s="443" t="s">
        <v>2078</v>
      </c>
      <c r="E175" s="99" t="str">
        <f>"(Note "&amp;B$331&amp;")"</f>
        <v>(Note T)</v>
      </c>
      <c r="F175" s="443" t="s">
        <v>472</v>
      </c>
      <c r="G175" s="444"/>
      <c r="H175" s="474">
        <f>'Att 14 - Cost of Capital Detail'!C14</f>
        <v>0</v>
      </c>
      <c r="I175"/>
      <c r="J175" s="1276">
        <v>0</v>
      </c>
      <c r="K175" s="1094">
        <f t="shared" si="7"/>
        <v>0</v>
      </c>
      <c r="L175" s="1579" t="str">
        <f t="shared" si="8"/>
        <v>n/m</v>
      </c>
      <c r="N175" s="1276">
        <v>0</v>
      </c>
      <c r="O175" s="1094">
        <f t="shared" si="9"/>
        <v>0</v>
      </c>
      <c r="P175" s="1579" t="str">
        <f t="shared" si="10"/>
        <v>n/m</v>
      </c>
      <c r="Q175" s="2131"/>
      <c r="R175" s="2192"/>
    </row>
    <row r="176" spans="1:18" s="349" customFormat="1" ht="18.75">
      <c r="A176" s="560">
        <f t="shared" si="6"/>
        <v>96</v>
      </c>
      <c r="B176" s="442"/>
      <c r="C176" s="582" t="s">
        <v>710</v>
      </c>
      <c r="D176" s="579"/>
      <c r="E176" s="578"/>
      <c r="F176" s="577" t="str">
        <f>"Sum Lines "&amp;A169&amp;" through "&amp;A175</f>
        <v>Sum Lines 90 through 95</v>
      </c>
      <c r="G176" s="580"/>
      <c r="H176" s="581">
        <f>+H169-H171-H172-H173+H174+H175</f>
        <v>7058983018.953846</v>
      </c>
      <c r="I176"/>
      <c r="J176" s="962">
        <v>7022537432.1284628</v>
      </c>
      <c r="K176" s="1613">
        <f t="shared" si="7"/>
        <v>36445586.825383186</v>
      </c>
      <c r="L176" s="1605">
        <f t="shared" si="8"/>
        <v>5.1898031413321897E-3</v>
      </c>
      <c r="N176" s="962">
        <v>7058301007.5007696</v>
      </c>
      <c r="O176" s="1613">
        <f t="shared" si="9"/>
        <v>682011.45307636261</v>
      </c>
      <c r="P176" s="1605">
        <f t="shared" si="10"/>
        <v>9.6625441781470839E-5</v>
      </c>
      <c r="Q176" s="2131"/>
      <c r="R176" s="2192"/>
    </row>
    <row r="177" spans="1:18" s="349" customFormat="1" ht="18.75">
      <c r="A177" s="560"/>
      <c r="B177" s="442"/>
      <c r="C177" s="447"/>
      <c r="E177" s="443"/>
      <c r="F177" s="445"/>
      <c r="G177" s="444"/>
      <c r="H177" s="474"/>
      <c r="I177"/>
      <c r="J177" s="474"/>
      <c r="K177" s="474"/>
      <c r="L177" s="474"/>
      <c r="N177" s="474"/>
      <c r="O177" s="474"/>
      <c r="P177" s="474"/>
      <c r="Q177" s="2131"/>
      <c r="R177" s="2192"/>
    </row>
    <row r="178" spans="1:18" s="349" customFormat="1" ht="15.75">
      <c r="A178" s="560"/>
      <c r="B178" s="576" t="s">
        <v>733</v>
      </c>
      <c r="E178" s="443"/>
      <c r="F178" s="443"/>
      <c r="G178" s="444"/>
      <c r="H178" s="444"/>
      <c r="I178"/>
      <c r="J178" s="444"/>
      <c r="K178" s="444"/>
      <c r="L178" s="444"/>
      <c r="N178" s="444"/>
      <c r="O178" s="444"/>
      <c r="P178" s="444"/>
      <c r="Q178" s="2131"/>
      <c r="R178" s="2192"/>
    </row>
    <row r="179" spans="1:18" s="349" customFormat="1" ht="18.75">
      <c r="A179" s="560">
        <f>A176+1</f>
        <v>97</v>
      </c>
      <c r="B179" s="442"/>
      <c r="C179" s="445" t="s">
        <v>1000</v>
      </c>
      <c r="E179" s="99" t="str">
        <f>"(Notes "&amp;$B$325&amp;" &amp; "&amp;$B$331&amp;")"</f>
        <v>(Notes R &amp; T)</v>
      </c>
      <c r="F179" s="445" t="s">
        <v>472</v>
      </c>
      <c r="G179" s="444"/>
      <c r="H179" s="445">
        <f>'Att 14 - Cost of Capital Detail'!C15</f>
        <v>359474830.06</v>
      </c>
      <c r="I179"/>
      <c r="J179" s="1275">
        <v>358380032.70999998</v>
      </c>
      <c r="K179" s="1094">
        <f t="shared" ref="K179:K185" si="11">$H179-J179</f>
        <v>1094797.3500000238</v>
      </c>
      <c r="L179" s="1579">
        <f t="shared" ref="L179:L185" si="12">IF(J179=0,"n/m",K179/ABS(J179))</f>
        <v>3.0548502987774728E-3</v>
      </c>
      <c r="N179" s="1275">
        <v>356471778.42000002</v>
      </c>
      <c r="O179" s="1094">
        <f t="shared" ref="O179:O185" si="13">$H179-N179</f>
        <v>3003051.6399999857</v>
      </c>
      <c r="P179" s="1579">
        <f t="shared" ref="P179:P185" si="14">IF(N179=0,"n/m",O179/ABS(N179))</f>
        <v>8.4243741631118644E-3</v>
      </c>
      <c r="Q179" s="2131"/>
      <c r="R179" s="2192"/>
    </row>
    <row r="180" spans="1:18" s="349" customFormat="1" ht="18.75">
      <c r="A180" s="560">
        <f t="shared" ref="A180:A185" si="15">A179+1</f>
        <v>98</v>
      </c>
      <c r="B180" s="442"/>
      <c r="C180" s="445" t="s">
        <v>933</v>
      </c>
      <c r="E180" s="99" t="str">
        <f>"(Note "&amp;$B$325&amp;")"</f>
        <v>(Note R)</v>
      </c>
      <c r="F180" s="443" t="s">
        <v>472</v>
      </c>
      <c r="G180" s="444"/>
      <c r="H180" s="474">
        <f>'Att 14 - Cost of Capital Detail'!C16</f>
        <v>0</v>
      </c>
      <c r="I180"/>
      <c r="J180" s="1276">
        <v>0</v>
      </c>
      <c r="K180" s="1094">
        <f t="shared" si="11"/>
        <v>0</v>
      </c>
      <c r="L180" s="1579" t="str">
        <f t="shared" si="12"/>
        <v>n/m</v>
      </c>
      <c r="N180" s="1276">
        <v>0</v>
      </c>
      <c r="O180" s="1094">
        <f t="shared" si="13"/>
        <v>0</v>
      </c>
      <c r="P180" s="1579" t="str">
        <f t="shared" si="14"/>
        <v>n/m</v>
      </c>
      <c r="Q180" s="2131"/>
      <c r="R180" s="2192"/>
    </row>
    <row r="181" spans="1:18" s="349" customFormat="1" ht="18.75">
      <c r="A181" s="560">
        <f t="shared" si="15"/>
        <v>99</v>
      </c>
      <c r="B181" s="442"/>
      <c r="C181" s="443" t="s">
        <v>882</v>
      </c>
      <c r="E181" s="99" t="str">
        <f>"(Note "&amp;B$331&amp;")"</f>
        <v>(Note T)</v>
      </c>
      <c r="F181" s="443" t="s">
        <v>472</v>
      </c>
      <c r="G181" s="444"/>
      <c r="H181" s="445">
        <f>'Att 14 - Cost of Capital Detail'!C17</f>
        <v>4142214.6300000004</v>
      </c>
      <c r="I181"/>
      <c r="J181" s="1275">
        <v>4073420.37</v>
      </c>
      <c r="K181" s="1094">
        <f t="shared" si="11"/>
        <v>68794.260000000242</v>
      </c>
      <c r="L181" s="1579">
        <f t="shared" si="12"/>
        <v>1.6888573668128497E-2</v>
      </c>
      <c r="N181" s="1275">
        <v>4088677.3200000003</v>
      </c>
      <c r="O181" s="1094">
        <f t="shared" si="13"/>
        <v>53537.310000000056</v>
      </c>
      <c r="P181" s="1579">
        <f t="shared" si="14"/>
        <v>1.3094041375708283E-2</v>
      </c>
      <c r="Q181" s="2131"/>
      <c r="R181" s="2192"/>
    </row>
    <row r="182" spans="1:18" s="349" customFormat="1" ht="18.75">
      <c r="A182" s="560">
        <f t="shared" si="15"/>
        <v>100</v>
      </c>
      <c r="B182" s="442"/>
      <c r="C182" s="443" t="s">
        <v>2079</v>
      </c>
      <c r="E182" s="99" t="str">
        <f>"(Note "&amp;B$331&amp;")"</f>
        <v>(Note T)</v>
      </c>
      <c r="F182" s="443" t="s">
        <v>472</v>
      </c>
      <c r="G182" s="444"/>
      <c r="H182" s="445">
        <f>'Att 14 - Cost of Capital Detail'!C18</f>
        <v>667664.6100000001</v>
      </c>
      <c r="I182"/>
      <c r="J182" s="1275">
        <v>905935.27</v>
      </c>
      <c r="K182" s="1094">
        <f t="shared" si="11"/>
        <v>-238270.65999999992</v>
      </c>
      <c r="L182" s="1579">
        <f t="shared" si="12"/>
        <v>-0.26301068949440493</v>
      </c>
      <c r="N182" s="1275">
        <v>832211.71</v>
      </c>
      <c r="O182" s="1094">
        <f t="shared" si="13"/>
        <v>-164547.09999999986</v>
      </c>
      <c r="P182" s="1579">
        <f t="shared" si="14"/>
        <v>-0.19772264439778175</v>
      </c>
      <c r="Q182" s="2131"/>
      <c r="R182" s="2192"/>
    </row>
    <row r="183" spans="1:18" s="349" customFormat="1" ht="18.75">
      <c r="A183" s="560">
        <f t="shared" si="15"/>
        <v>101</v>
      </c>
      <c r="B183" s="442"/>
      <c r="C183" s="443" t="s">
        <v>881</v>
      </c>
      <c r="E183" s="99" t="str">
        <f>"(Note "&amp;B$331&amp;")"</f>
        <v>(Note T)</v>
      </c>
      <c r="F183" s="443" t="s">
        <v>472</v>
      </c>
      <c r="G183" s="444"/>
      <c r="H183" s="445">
        <f>'Att 14 - Cost of Capital Detail'!C19</f>
        <v>11025.9</v>
      </c>
      <c r="I183"/>
      <c r="J183" s="1275">
        <v>11025.9</v>
      </c>
      <c r="K183" s="1094">
        <f t="shared" si="11"/>
        <v>0</v>
      </c>
      <c r="L183" s="1579">
        <f t="shared" si="12"/>
        <v>0</v>
      </c>
      <c r="N183" s="1275">
        <v>11025.9</v>
      </c>
      <c r="O183" s="1094">
        <f t="shared" si="13"/>
        <v>0</v>
      </c>
      <c r="P183" s="1579">
        <f t="shared" si="14"/>
        <v>0</v>
      </c>
      <c r="Q183" s="2131"/>
      <c r="R183" s="2192"/>
    </row>
    <row r="184" spans="1:18" s="349" customFormat="1" ht="18.75">
      <c r="A184" s="560">
        <f t="shared" si="15"/>
        <v>102</v>
      </c>
      <c r="B184" s="442"/>
      <c r="C184" s="443" t="s">
        <v>2080</v>
      </c>
      <c r="E184" s="99" t="str">
        <f>"(Note "&amp;B$331&amp;")"</f>
        <v>(Note T)</v>
      </c>
      <c r="F184" s="443" t="s">
        <v>472</v>
      </c>
      <c r="G184" s="444"/>
      <c r="H184" s="445">
        <f>'Att 14 - Cost of Capital Detail'!C20</f>
        <v>0</v>
      </c>
      <c r="I184"/>
      <c r="J184" s="1275">
        <v>0</v>
      </c>
      <c r="K184" s="1094">
        <f t="shared" si="11"/>
        <v>0</v>
      </c>
      <c r="L184" s="1579" t="str">
        <f t="shared" si="12"/>
        <v>n/m</v>
      </c>
      <c r="N184" s="1275">
        <v>0</v>
      </c>
      <c r="O184" s="1094">
        <f t="shared" si="13"/>
        <v>0</v>
      </c>
      <c r="P184" s="1579" t="str">
        <f t="shared" si="14"/>
        <v>n/m</v>
      </c>
      <c r="Q184" s="2131"/>
      <c r="R184" s="2192"/>
    </row>
    <row r="185" spans="1:18" s="349" customFormat="1" ht="18.75">
      <c r="A185" s="560">
        <f t="shared" si="15"/>
        <v>103</v>
      </c>
      <c r="B185" s="442"/>
      <c r="C185" s="582" t="s">
        <v>711</v>
      </c>
      <c r="D185" s="579"/>
      <c r="E185" s="579"/>
      <c r="F185" s="577" t="str">
        <f>"Sum Lines "&amp;A179&amp;" through "&amp;A184</f>
        <v>Sum Lines 97 through 102</v>
      </c>
      <c r="G185" s="580"/>
      <c r="H185" s="581">
        <f>+H179-H180+H181+H182-H183-H184</f>
        <v>364273683.40000004</v>
      </c>
      <c r="I185"/>
      <c r="J185" s="962">
        <v>363348362.44999999</v>
      </c>
      <c r="K185" s="1613">
        <f t="shared" si="11"/>
        <v>925320.95000004768</v>
      </c>
      <c r="L185" s="1605">
        <f t="shared" si="12"/>
        <v>2.54664956726585E-3</v>
      </c>
      <c r="N185" s="962">
        <v>361381641.55000001</v>
      </c>
      <c r="O185" s="1613">
        <f t="shared" si="13"/>
        <v>2892041.8500000238</v>
      </c>
      <c r="P185" s="1605">
        <f t="shared" si="14"/>
        <v>8.0027359375417721E-3</v>
      </c>
      <c r="Q185" s="2131"/>
      <c r="R185" s="2192"/>
    </row>
    <row r="186" spans="1:18" s="349" customFormat="1" ht="18.75">
      <c r="A186" s="561"/>
      <c r="B186" s="442"/>
      <c r="C186" s="443"/>
      <c r="E186" s="443"/>
      <c r="F186" s="445"/>
      <c r="G186" s="444"/>
      <c r="H186" s="444"/>
      <c r="I186"/>
      <c r="J186" s="444"/>
      <c r="K186" s="444"/>
      <c r="L186" s="444"/>
      <c r="N186" s="444"/>
      <c r="O186" s="444"/>
      <c r="P186" s="444"/>
      <c r="Q186" s="2131"/>
      <c r="R186" s="2192"/>
    </row>
    <row r="187" spans="1:18" s="349" customFormat="1" ht="18.75">
      <c r="A187" s="560"/>
      <c r="B187" s="576" t="s">
        <v>734</v>
      </c>
      <c r="E187" s="442"/>
      <c r="F187" s="445"/>
      <c r="G187" s="444"/>
      <c r="H187" s="444"/>
      <c r="I187"/>
      <c r="J187" s="444"/>
      <c r="K187" s="444"/>
      <c r="L187" s="444"/>
      <c r="N187" s="444"/>
      <c r="O187" s="444"/>
      <c r="P187" s="444"/>
      <c r="Q187" s="2131"/>
      <c r="R187" s="2192"/>
    </row>
    <row r="188" spans="1:18" s="349" customFormat="1" ht="18.75">
      <c r="A188" s="560">
        <f>+A185+1</f>
        <v>104</v>
      </c>
      <c r="B188" s="442"/>
      <c r="C188" s="443" t="s">
        <v>873</v>
      </c>
      <c r="E188" s="443"/>
      <c r="F188" s="445" t="s">
        <v>472</v>
      </c>
      <c r="G188" s="444"/>
      <c r="H188" s="445">
        <f>'Att 14 - Cost of Capital Detail'!C21</f>
        <v>2397600</v>
      </c>
      <c r="I188"/>
      <c r="J188" s="1275">
        <v>2397600</v>
      </c>
      <c r="K188" s="1094">
        <f t="shared" ref="K188:K194" si="16">$H188-J188</f>
        <v>0</v>
      </c>
      <c r="L188" s="1579">
        <f t="shared" ref="L188:L194" si="17">IF(J188=0,"n/m",K188/ABS(J188))</f>
        <v>0</v>
      </c>
      <c r="N188" s="1275">
        <v>2397600</v>
      </c>
      <c r="O188" s="1094">
        <f t="shared" ref="O188:O194" si="18">$H188-N188</f>
        <v>0</v>
      </c>
      <c r="P188" s="1579">
        <f t="shared" ref="P188:P194" si="19">IF(N188=0,"n/m",O188/ABS(N188))</f>
        <v>0</v>
      </c>
      <c r="Q188" s="2131"/>
      <c r="R188" s="2192"/>
    </row>
    <row r="189" spans="1:18" s="349" customFormat="1" ht="18.75">
      <c r="A189" s="560">
        <f t="shared" ref="A189:A202" si="20">+A188+1</f>
        <v>105</v>
      </c>
      <c r="B189" s="442"/>
      <c r="C189" s="443" t="s">
        <v>2081</v>
      </c>
      <c r="E189" s="443"/>
      <c r="F189" s="445" t="s">
        <v>472</v>
      </c>
      <c r="G189" s="444"/>
      <c r="H189" s="445">
        <f>'Att 14 - Cost of Capital Detail'!C22</f>
        <v>0</v>
      </c>
      <c r="I189"/>
      <c r="J189" s="1275">
        <v>0</v>
      </c>
      <c r="K189" s="1094">
        <f t="shared" si="16"/>
        <v>0</v>
      </c>
      <c r="L189" s="1579" t="str">
        <f t="shared" si="17"/>
        <v>n/m</v>
      </c>
      <c r="N189" s="1275">
        <v>0</v>
      </c>
      <c r="O189" s="1094">
        <f t="shared" si="18"/>
        <v>0</v>
      </c>
      <c r="P189" s="1579" t="str">
        <f t="shared" si="19"/>
        <v>n/m</v>
      </c>
      <c r="Q189" s="2131"/>
      <c r="R189" s="2192"/>
    </row>
    <row r="190" spans="1:18" s="349" customFormat="1" ht="18.75">
      <c r="A190" s="560">
        <f t="shared" si="20"/>
        <v>106</v>
      </c>
      <c r="B190" s="442"/>
      <c r="C190" s="443" t="s">
        <v>875</v>
      </c>
      <c r="E190" s="443"/>
      <c r="F190" s="445" t="s">
        <v>472</v>
      </c>
      <c r="G190" s="444"/>
      <c r="H190" s="445">
        <f>'Att 14 - Cost of Capital Detail'!C23</f>
        <v>0</v>
      </c>
      <c r="I190"/>
      <c r="J190" s="1275">
        <v>0</v>
      </c>
      <c r="K190" s="1094">
        <f t="shared" si="16"/>
        <v>0</v>
      </c>
      <c r="L190" s="1579" t="str">
        <f t="shared" si="17"/>
        <v>n/m</v>
      </c>
      <c r="N190" s="1275">
        <v>0</v>
      </c>
      <c r="O190" s="1094">
        <f t="shared" si="18"/>
        <v>0</v>
      </c>
      <c r="P190" s="1579" t="str">
        <f t="shared" si="19"/>
        <v>n/m</v>
      </c>
      <c r="Q190" s="2131"/>
      <c r="R190" s="2192"/>
    </row>
    <row r="191" spans="1:18" s="349" customFormat="1" ht="18.75">
      <c r="A191" s="560">
        <f t="shared" si="20"/>
        <v>107</v>
      </c>
      <c r="B191" s="442"/>
      <c r="C191" s="443" t="s">
        <v>884</v>
      </c>
      <c r="E191" s="443"/>
      <c r="F191" s="445" t="s">
        <v>472</v>
      </c>
      <c r="G191" s="444"/>
      <c r="H191" s="445">
        <f>'Att 14 - Cost of Capital Detail'!C24</f>
        <v>0</v>
      </c>
      <c r="I191"/>
      <c r="J191" s="1275">
        <v>0</v>
      </c>
      <c r="K191" s="1094">
        <f t="shared" si="16"/>
        <v>0</v>
      </c>
      <c r="L191" s="1579" t="str">
        <f t="shared" si="17"/>
        <v>n/m</v>
      </c>
      <c r="N191" s="1275">
        <v>0</v>
      </c>
      <c r="O191" s="1094">
        <f t="shared" si="18"/>
        <v>0</v>
      </c>
      <c r="P191" s="1579" t="str">
        <f t="shared" si="19"/>
        <v>n/m</v>
      </c>
      <c r="Q191" s="2131"/>
      <c r="R191" s="2192"/>
    </row>
    <row r="192" spans="1:18" s="349" customFormat="1" ht="18.75">
      <c r="A192" s="560">
        <f t="shared" si="20"/>
        <v>108</v>
      </c>
      <c r="B192" s="442"/>
      <c r="C192" s="443" t="s">
        <v>931</v>
      </c>
      <c r="E192" s="443"/>
      <c r="F192" s="445" t="s">
        <v>472</v>
      </c>
      <c r="G192" s="444"/>
      <c r="H192" s="445">
        <f>'Att 14 - Cost of Capital Detail'!C25</f>
        <v>0</v>
      </c>
      <c r="I192"/>
      <c r="J192" s="1275">
        <v>0</v>
      </c>
      <c r="K192" s="1094">
        <f t="shared" si="16"/>
        <v>0</v>
      </c>
      <c r="L192" s="1579" t="str">
        <f t="shared" si="17"/>
        <v>n/m</v>
      </c>
      <c r="N192" s="1275">
        <v>0</v>
      </c>
      <c r="O192" s="1094">
        <f t="shared" si="18"/>
        <v>0</v>
      </c>
      <c r="P192" s="1579" t="str">
        <f t="shared" si="19"/>
        <v>n/m</v>
      </c>
      <c r="Q192" s="2131"/>
      <c r="R192" s="2192"/>
    </row>
    <row r="193" spans="1:18" s="349" customFormat="1" ht="18.75">
      <c r="A193" s="560">
        <f t="shared" si="20"/>
        <v>109</v>
      </c>
      <c r="B193" s="442"/>
      <c r="C193" s="443" t="s">
        <v>874</v>
      </c>
      <c r="E193" s="443"/>
      <c r="F193" s="445" t="s">
        <v>472</v>
      </c>
      <c r="G193" s="444"/>
      <c r="H193" s="445">
        <f>'Att 14 - Cost of Capital Detail'!C26</f>
        <v>0</v>
      </c>
      <c r="I193"/>
      <c r="J193" s="1275">
        <v>0</v>
      </c>
      <c r="K193" s="1094">
        <f t="shared" si="16"/>
        <v>0</v>
      </c>
      <c r="L193" s="1579" t="str">
        <f t="shared" si="17"/>
        <v>n/m</v>
      </c>
      <c r="N193" s="1275">
        <v>0</v>
      </c>
      <c r="O193" s="1094">
        <f t="shared" si="18"/>
        <v>0</v>
      </c>
      <c r="P193" s="1579" t="str">
        <f t="shared" si="19"/>
        <v>n/m</v>
      </c>
      <c r="Q193" s="2131"/>
      <c r="R193" s="2192"/>
    </row>
    <row r="194" spans="1:18" s="349" customFormat="1" ht="18.75">
      <c r="A194" s="560">
        <f t="shared" si="20"/>
        <v>110</v>
      </c>
      <c r="B194" s="442"/>
      <c r="C194" s="582" t="s">
        <v>716</v>
      </c>
      <c r="D194" s="579"/>
      <c r="E194" s="579"/>
      <c r="F194" s="577" t="str">
        <f>"Sum Lines "&amp;A188&amp;" through "&amp;A193</f>
        <v>Sum Lines 104 through 109</v>
      </c>
      <c r="G194" s="577"/>
      <c r="H194" s="581">
        <f>+H188-H189+H190+H191-H192-H193</f>
        <v>2397600</v>
      </c>
      <c r="I194"/>
      <c r="J194" s="962">
        <v>2397600</v>
      </c>
      <c r="K194" s="1613">
        <f t="shared" si="16"/>
        <v>0</v>
      </c>
      <c r="L194" s="1605">
        <f t="shared" si="17"/>
        <v>0</v>
      </c>
      <c r="N194" s="962">
        <v>2397600</v>
      </c>
      <c r="O194" s="1613">
        <f t="shared" si="18"/>
        <v>0</v>
      </c>
      <c r="P194" s="1605">
        <f t="shared" si="19"/>
        <v>0</v>
      </c>
      <c r="Q194" s="2131"/>
      <c r="R194" s="2192"/>
    </row>
    <row r="195" spans="1:18" customFormat="1" ht="15.75">
      <c r="G195" s="2"/>
      <c r="H195" s="650"/>
      <c r="J195" s="650"/>
      <c r="K195" s="650"/>
      <c r="L195" s="650"/>
      <c r="N195" s="650"/>
      <c r="O195" s="650"/>
      <c r="P195" s="650"/>
      <c r="Q195" s="2131"/>
      <c r="R195" s="2192"/>
    </row>
    <row r="196" spans="1:18" s="349" customFormat="1" ht="18.75">
      <c r="A196" s="560">
        <f>+A194+1</f>
        <v>111</v>
      </c>
      <c r="B196" s="442"/>
      <c r="C196" s="582" t="s">
        <v>717</v>
      </c>
      <c r="D196" s="579"/>
      <c r="E196" s="578"/>
      <c r="F196" s="577" t="s">
        <v>472</v>
      </c>
      <c r="G196" s="813" t="s">
        <v>932</v>
      </c>
      <c r="H196" s="962">
        <f>'Att 14 - Cost of Capital Detail'!C27</f>
        <v>161901.96</v>
      </c>
      <c r="I196"/>
      <c r="J196" s="1277">
        <v>161901.96000000002</v>
      </c>
      <c r="K196" s="1613">
        <f>$H196-J196</f>
        <v>0</v>
      </c>
      <c r="L196" s="1605">
        <f>IF(J196=0,"n/m",K196/ABS(J196))</f>
        <v>0</v>
      </c>
      <c r="N196" s="1277">
        <v>161901.96</v>
      </c>
      <c r="O196" s="1613">
        <f>$H196-N196</f>
        <v>0</v>
      </c>
      <c r="P196" s="1605">
        <f>IF(N196=0,"n/m",O196/ABS(N196))</f>
        <v>0</v>
      </c>
      <c r="Q196" s="2131"/>
      <c r="R196" s="2192"/>
    </row>
    <row r="197" spans="1:18" s="349" customFormat="1" ht="18.75">
      <c r="A197" s="561"/>
      <c r="B197" s="442"/>
      <c r="C197" s="443"/>
      <c r="E197" s="443"/>
      <c r="F197" s="445"/>
      <c r="G197" s="444"/>
      <c r="H197" s="444"/>
      <c r="I197"/>
      <c r="J197" s="444"/>
      <c r="K197" s="444"/>
      <c r="L197" s="444"/>
      <c r="N197" s="444"/>
      <c r="O197" s="444"/>
      <c r="P197" s="444"/>
      <c r="Q197" s="2131"/>
      <c r="R197" s="2192"/>
    </row>
    <row r="198" spans="1:18" s="349" customFormat="1" ht="18.75">
      <c r="A198" s="560"/>
      <c r="B198" s="576" t="s">
        <v>213</v>
      </c>
      <c r="E198" s="442"/>
      <c r="F198" s="445"/>
      <c r="G198" s="444"/>
      <c r="H198" s="444"/>
      <c r="I198"/>
      <c r="J198" s="444"/>
      <c r="K198" s="444"/>
      <c r="L198" s="444"/>
      <c r="N198" s="444"/>
      <c r="O198" s="444"/>
      <c r="P198" s="444"/>
      <c r="Q198" s="2131"/>
      <c r="R198" s="2192"/>
    </row>
    <row r="199" spans="1:18" s="349" customFormat="1" ht="18.75">
      <c r="A199" s="560">
        <f>+A196+1</f>
        <v>112</v>
      </c>
      <c r="B199" s="442"/>
      <c r="C199" s="443" t="s">
        <v>284</v>
      </c>
      <c r="E199" s="443"/>
      <c r="F199" s="445" t="s">
        <v>472</v>
      </c>
      <c r="G199" s="444"/>
      <c r="H199" s="2380">
        <f>'Att 14 - Cost of Capital Detail'!$C$28</f>
        <v>7531558737.1307697</v>
      </c>
      <c r="I199"/>
      <c r="J199" s="1275">
        <v>7600030796.7738447</v>
      </c>
      <c r="K199" s="1094">
        <f>$H199-J199</f>
        <v>-68472059.643074989</v>
      </c>
      <c r="L199" s="1579">
        <f>IF(J199=0,"n/m",K199/ABS(J199))</f>
        <v>-9.0094450238465944E-3</v>
      </c>
      <c r="N199" s="1275">
        <v>7458553511.3146152</v>
      </c>
      <c r="O199" s="1094">
        <f>$H199-N199</f>
        <v>73005225.81615448</v>
      </c>
      <c r="P199" s="1579">
        <f>IF(N199=0,"n/m",O199/ABS(N199))</f>
        <v>9.7881212094819269E-3</v>
      </c>
      <c r="Q199" s="2131"/>
      <c r="R199" s="2192"/>
    </row>
    <row r="200" spans="1:18" s="349" customFormat="1" ht="18.75">
      <c r="A200" s="560">
        <f t="shared" si="20"/>
        <v>113</v>
      </c>
      <c r="B200" s="442"/>
      <c r="C200" s="443" t="s">
        <v>991</v>
      </c>
      <c r="F200" s="37" t="str">
        <f>"(Line "&amp;A194&amp;")"</f>
        <v>(Line 110)</v>
      </c>
      <c r="G200" s="444"/>
      <c r="H200" s="445">
        <f>H194</f>
        <v>2397600</v>
      </c>
      <c r="I200"/>
      <c r="J200" s="445">
        <v>2397600</v>
      </c>
      <c r="K200" s="1094">
        <f>$H200-J200</f>
        <v>0</v>
      </c>
      <c r="L200" s="1579">
        <f>IF(J200=0,"n/m",K200/ABS(J200))</f>
        <v>0</v>
      </c>
      <c r="N200" s="445">
        <v>2397600</v>
      </c>
      <c r="O200" s="1094">
        <f>$H200-N200</f>
        <v>0</v>
      </c>
      <c r="P200" s="1579">
        <f>IF(N200=0,"n/m",O200/ABS(N200))</f>
        <v>0</v>
      </c>
      <c r="Q200" s="2131"/>
      <c r="R200" s="2192"/>
    </row>
    <row r="201" spans="1:18" s="349" customFormat="1" ht="18.75">
      <c r="A201" s="560">
        <f t="shared" si="20"/>
        <v>114</v>
      </c>
      <c r="B201" s="442"/>
      <c r="C201" s="443" t="s">
        <v>883</v>
      </c>
      <c r="F201" s="445" t="s">
        <v>472</v>
      </c>
      <c r="G201" s="444"/>
      <c r="H201" s="445">
        <f>'Att 14 - Cost of Capital Detail'!C29</f>
        <v>139867117.10153845</v>
      </c>
      <c r="I201"/>
      <c r="J201" s="1275">
        <v>133301194.01615384</v>
      </c>
      <c r="K201" s="1094">
        <f>$H201-J201</f>
        <v>6565923.0853846073</v>
      </c>
      <c r="L201" s="1579">
        <f>IF(J201=0,"n/m",K201/ABS(J201))</f>
        <v>4.9256296118314807E-2</v>
      </c>
      <c r="N201" s="1275">
        <v>147464388.14923078</v>
      </c>
      <c r="O201" s="1094">
        <f>$H201-N201</f>
        <v>-7597271.0476923287</v>
      </c>
      <c r="P201" s="1579">
        <f>IF(N201=0,"n/m",O201/ABS(N201))</f>
        <v>-5.151936099991853E-2</v>
      </c>
      <c r="Q201" s="2131"/>
      <c r="R201" s="2192"/>
    </row>
    <row r="202" spans="1:18" s="349" customFormat="1" ht="18.75">
      <c r="A202" s="560">
        <f t="shared" si="20"/>
        <v>115</v>
      </c>
      <c r="B202" s="442"/>
      <c r="C202" s="443" t="s">
        <v>885</v>
      </c>
      <c r="F202" s="445" t="s">
        <v>472</v>
      </c>
      <c r="G202" s="886"/>
      <c r="H202" s="474">
        <f>'Att 14 - Cost of Capital Detail'!C30</f>
        <v>-11852626.353076924</v>
      </c>
      <c r="I202"/>
      <c r="J202" s="1276">
        <v>-9296735.0107692312</v>
      </c>
      <c r="K202" s="1094">
        <f>$H202-J202</f>
        <v>-2555891.3423076924</v>
      </c>
      <c r="L202" s="1579">
        <f>IF(J202=0,"n/m",K202/ABS(J202))</f>
        <v>-0.27492354459355645</v>
      </c>
      <c r="N202" s="1276">
        <v>-13306314.38769231</v>
      </c>
      <c r="O202" s="1094">
        <f>$H202-N202</f>
        <v>1453688.0346153863</v>
      </c>
      <c r="P202" s="1579">
        <f>IF(N202=0,"n/m",O202/ABS(N202))</f>
        <v>0.10924798499875943</v>
      </c>
      <c r="Q202" s="2131"/>
      <c r="R202" s="2192"/>
    </row>
    <row r="203" spans="1:18" s="349" customFormat="1" ht="18.75">
      <c r="A203" s="560">
        <f>A202+1</f>
        <v>116</v>
      </c>
      <c r="B203" s="442"/>
      <c r="C203" s="582" t="s">
        <v>384</v>
      </c>
      <c r="D203" s="579"/>
      <c r="E203" s="579"/>
      <c r="F203" s="577" t="str">
        <f>"Sum Lines "&amp;A199&amp;" through "&amp;A202</f>
        <v>Sum Lines 112 through 115</v>
      </c>
      <c r="G203" s="577"/>
      <c r="H203" s="581">
        <f>H199-H200-H201-H202</f>
        <v>7401146646.382308</v>
      </c>
      <c r="I203"/>
      <c r="J203" s="962">
        <v>7473628737.7684593</v>
      </c>
      <c r="K203" s="1613">
        <f>$H203-J203</f>
        <v>-72482091.386151314</v>
      </c>
      <c r="L203" s="1605">
        <f>IF(J203=0,"n/m",K203/ABS(J203))</f>
        <v>-9.698379987737208E-3</v>
      </c>
      <c r="N203" s="962">
        <v>7321997837.5530767</v>
      </c>
      <c r="O203" s="1613">
        <f>$H203-N203</f>
        <v>79148808.829231262</v>
      </c>
      <c r="P203" s="1605">
        <f>IF(N203=0,"n/m",O203/ABS(N203))</f>
        <v>1.0809728517439967E-2</v>
      </c>
      <c r="Q203" s="2131"/>
      <c r="R203" s="2192"/>
    </row>
    <row r="204" spans="1:18" ht="16.5" thickBot="1">
      <c r="A204" s="34"/>
      <c r="B204" s="585"/>
      <c r="C204" s="585"/>
      <c r="D204" s="586"/>
      <c r="E204" s="263"/>
      <c r="F204" s="587"/>
      <c r="G204" s="588"/>
      <c r="H204" s="589"/>
      <c r="I204"/>
      <c r="J204" s="589"/>
      <c r="K204" s="66"/>
      <c r="L204" s="66"/>
      <c r="N204" s="589"/>
      <c r="O204" s="66"/>
      <c r="P204" s="66"/>
      <c r="Q204" s="2131"/>
      <c r="R204" s="2192"/>
    </row>
    <row r="205" spans="1:18" ht="15.75">
      <c r="A205" s="34"/>
      <c r="B205" s="8"/>
      <c r="C205" s="506"/>
      <c r="F205" s="23"/>
      <c r="G205" s="476"/>
      <c r="H205" s="373"/>
      <c r="I205"/>
      <c r="J205" s="373"/>
      <c r="K205" s="373"/>
      <c r="L205" s="373"/>
      <c r="N205" s="373"/>
      <c r="O205" s="373"/>
      <c r="P205" s="373"/>
      <c r="Q205" s="2131"/>
      <c r="R205" s="2192"/>
    </row>
    <row r="206" spans="1:18" ht="15.75">
      <c r="A206" s="34">
        <f>+A203+1</f>
        <v>117</v>
      </c>
      <c r="B206" s="8"/>
      <c r="C206" s="36" t="s">
        <v>913</v>
      </c>
      <c r="D206" s="249" t="s">
        <v>217</v>
      </c>
      <c r="E206" s="99" t="str">
        <f>"(Notes "&amp;B324&amp;" &amp; "&amp;B325&amp;")"</f>
        <v>(Notes Q &amp; R)</v>
      </c>
      <c r="F206" s="242" t="str">
        <f>"(Line "&amp;A169&amp;" / (Lines "&amp;A$169&amp;" + "&amp;A$194&amp;" +"&amp;A$203&amp;"))"</f>
        <v>(Line 90 / (Lines 90 + 110 +116))</v>
      </c>
      <c r="G206" s="254"/>
      <c r="H206" s="375">
        <f>+H169/(H169+H194+H203)</f>
        <v>0.48983331716588602</v>
      </c>
      <c r="I206"/>
      <c r="J206" s="375">
        <v>0.48633978678856093</v>
      </c>
      <c r="K206" s="1661">
        <f>$H206-J206</f>
        <v>3.4935303773250825E-3</v>
      </c>
      <c r="L206" s="375"/>
      <c r="N206" s="375">
        <v>0.49262319623971046</v>
      </c>
      <c r="O206" s="1661">
        <f>$H206-N206</f>
        <v>-2.7898790738244417E-3</v>
      </c>
      <c r="P206" s="375"/>
      <c r="Q206" s="2131"/>
      <c r="R206" s="2192"/>
    </row>
    <row r="207" spans="1:18" ht="15.75">
      <c r="A207" s="34">
        <f>+A206+1</f>
        <v>118</v>
      </c>
      <c r="B207" s="8"/>
      <c r="C207" s="36" t="s">
        <v>914</v>
      </c>
      <c r="D207" s="506" t="s">
        <v>230</v>
      </c>
      <c r="E207" s="99"/>
      <c r="F207" s="242" t="str">
        <f>"(Line "&amp;A194&amp;" / (Lines "&amp;A$169&amp;" + "&amp;A$194&amp;" +"&amp;A$203&amp;"))"</f>
        <v>(Line 110 / (Lines 90 + 110 +116))</v>
      </c>
      <c r="G207" s="254"/>
      <c r="H207" s="375">
        <f>H194/(H169+H194+H203)</f>
        <v>1.6521487520801515E-4</v>
      </c>
      <c r="I207"/>
      <c r="J207" s="375">
        <v>1.6473346555429013E-4</v>
      </c>
      <c r="K207" s="1661">
        <f>$H207-J207</f>
        <v>4.8140965372501566E-7</v>
      </c>
      <c r="L207" s="375"/>
      <c r="N207" s="375">
        <v>1.6608696718620536E-4</v>
      </c>
      <c r="O207" s="1661">
        <f>$H207-N207</f>
        <v>-8.7209197819021565E-7</v>
      </c>
      <c r="P207" s="375"/>
      <c r="Q207" s="2131"/>
      <c r="R207" s="2192"/>
    </row>
    <row r="208" spans="1:18" ht="15.75">
      <c r="A208" s="34">
        <f>+A207+1</f>
        <v>119</v>
      </c>
      <c r="B208" s="8"/>
      <c r="C208" s="36" t="s">
        <v>915</v>
      </c>
      <c r="D208" s="506" t="s">
        <v>213</v>
      </c>
      <c r="E208" s="99" t="str">
        <f>+E206</f>
        <v>(Notes Q &amp; R)</v>
      </c>
      <c r="F208" s="242" t="str">
        <f>"(Line "&amp;A203&amp;" / (Lines "&amp;A$169&amp;" + "&amp;A$194&amp;" +"&amp;A$203&amp;"))"</f>
        <v>(Line 116 / (Lines 90 + 110 +116))</v>
      </c>
      <c r="G208" s="254"/>
      <c r="H208" s="375">
        <f>H203/(H169+H194+H203)</f>
        <v>0.510001467958906</v>
      </c>
      <c r="I208"/>
      <c r="J208" s="375">
        <v>0.51349547974588483</v>
      </c>
      <c r="K208" s="1661">
        <f>$H208-J208</f>
        <v>-3.4940117869788345E-3</v>
      </c>
      <c r="L208" s="375"/>
      <c r="N208" s="375">
        <v>0.50721071679310337</v>
      </c>
      <c r="O208" s="1661">
        <f>$H208-N208</f>
        <v>2.7907511658026296E-3</v>
      </c>
      <c r="P208" s="375"/>
      <c r="Q208" s="2131"/>
      <c r="R208" s="2192"/>
    </row>
    <row r="209" spans="1:18" ht="15.75">
      <c r="A209" s="34"/>
      <c r="B209" s="35"/>
      <c r="C209" s="597"/>
      <c r="D209" s="48"/>
      <c r="E209" s="125"/>
      <c r="F209" s="478"/>
      <c r="G209" s="478"/>
      <c r="H209" s="598"/>
      <c r="I209"/>
      <c r="J209" s="598"/>
      <c r="K209" s="595"/>
      <c r="L209" s="595"/>
      <c r="N209" s="598"/>
      <c r="O209" s="595"/>
      <c r="P209" s="595"/>
      <c r="Q209" s="2131"/>
      <c r="R209" s="2192"/>
    </row>
    <row r="210" spans="1:18" s="349" customFormat="1" ht="15.75">
      <c r="A210" s="34"/>
      <c r="B210" s="35"/>
      <c r="C210" s="594"/>
      <c r="D210" s="28"/>
      <c r="E210" s="103"/>
      <c r="F210" s="242"/>
      <c r="G210" s="242"/>
      <c r="H210" s="595"/>
      <c r="I210"/>
      <c r="J210" s="595"/>
      <c r="K210" s="595"/>
      <c r="L210" s="595"/>
      <c r="N210" s="595"/>
      <c r="O210" s="595"/>
      <c r="P210" s="595"/>
      <c r="Q210" s="2131"/>
      <c r="R210" s="2192"/>
    </row>
    <row r="211" spans="1:18" ht="45" customHeight="1">
      <c r="A211" s="34">
        <f>+A208+1</f>
        <v>120</v>
      </c>
      <c r="B211" s="8"/>
      <c r="C211" s="531" t="s">
        <v>314</v>
      </c>
      <c r="D211" s="583" t="s">
        <v>910</v>
      </c>
      <c r="E211" s="45"/>
      <c r="F211" s="242" t="str">
        <f>"(Line "&amp;A185&amp;" / Line "&amp;A176&amp;")"</f>
        <v>(Line 103 / Line 96)</v>
      </c>
      <c r="G211" s="254"/>
      <c r="H211" s="471">
        <f>H185/H176</f>
        <v>5.1604272516579314E-2</v>
      </c>
      <c r="I211"/>
      <c r="J211" s="1595">
        <v>5.1740324058318708E-2</v>
      </c>
      <c r="K211" s="1661">
        <f>$H211-J211</f>
        <v>-1.3605154173939454E-4</v>
      </c>
      <c r="L211" s="471"/>
      <c r="N211" s="471">
        <v>5.1199522543167848E-2</v>
      </c>
      <c r="O211" s="1661">
        <f>$H211-N211</f>
        <v>4.047499734114654E-4</v>
      </c>
      <c r="P211" s="1595"/>
      <c r="Q211" s="2131"/>
      <c r="R211" s="2192"/>
    </row>
    <row r="212" spans="1:18" ht="45.75">
      <c r="A212" s="34">
        <f>+A211+1</f>
        <v>121</v>
      </c>
      <c r="B212" s="8"/>
      <c r="C212" s="531" t="s">
        <v>319</v>
      </c>
      <c r="D212" s="584" t="s">
        <v>911</v>
      </c>
      <c r="E212" s="45"/>
      <c r="F212" s="242" t="str">
        <f>"(Line "&amp;A196&amp;" / Line "&amp;A194&amp;")"</f>
        <v>(Line 111 / Line 110)</v>
      </c>
      <c r="G212" s="254"/>
      <c r="H212" s="471">
        <f>H196/H194</f>
        <v>6.7526676676676667E-2</v>
      </c>
      <c r="I212"/>
      <c r="J212" s="1595">
        <v>6.7526676676676681E-2</v>
      </c>
      <c r="K212" s="1661">
        <f>$H212-J212</f>
        <v>0</v>
      </c>
      <c r="L212" s="471"/>
      <c r="M212" s="346"/>
      <c r="N212" s="471">
        <v>6.7526676676676667E-2</v>
      </c>
      <c r="O212" s="1661">
        <f>$H212-N212</f>
        <v>0</v>
      </c>
      <c r="P212" s="1595"/>
      <c r="Q212" s="2131"/>
      <c r="R212" s="2192"/>
    </row>
    <row r="213" spans="1:18" ht="15.75">
      <c r="A213" s="34">
        <f>+A212+1</f>
        <v>122</v>
      </c>
      <c r="B213" s="8"/>
      <c r="C213" s="531" t="s">
        <v>315</v>
      </c>
      <c r="D213" s="506" t="s">
        <v>213</v>
      </c>
      <c r="E213" s="99" t="str">
        <f>"(Note "&amp;B310&amp;")"</f>
        <v>(Note H)</v>
      </c>
      <c r="F213" s="254" t="s">
        <v>306</v>
      </c>
      <c r="G213" s="254"/>
      <c r="H213" s="1096">
        <f>Inputs!$E$7</f>
        <v>9.8000000000000004E-2</v>
      </c>
      <c r="I213"/>
      <c r="J213" s="1096">
        <v>9.8000000000000004E-2</v>
      </c>
      <c r="K213" s="1278"/>
      <c r="L213" s="1278"/>
      <c r="M213" s="346"/>
      <c r="N213" s="1096">
        <v>9.8000000000000004E-2</v>
      </c>
      <c r="O213" s="1278"/>
      <c r="P213" s="1278"/>
      <c r="Q213" s="2131"/>
      <c r="R213" s="2192"/>
    </row>
    <row r="214" spans="1:18" s="349" customFormat="1" ht="15.75">
      <c r="A214" s="34"/>
      <c r="B214" s="35"/>
      <c r="C214" s="597"/>
      <c r="D214" s="533"/>
      <c r="E214" s="102"/>
      <c r="F214" s="478"/>
      <c r="G214" s="478"/>
      <c r="H214" s="480"/>
      <c r="I214"/>
      <c r="J214" s="480"/>
      <c r="K214" s="542"/>
      <c r="L214" s="542"/>
      <c r="N214" s="480"/>
      <c r="O214" s="1615"/>
      <c r="P214" s="1615"/>
      <c r="Q214" s="2131"/>
      <c r="R214" s="2192"/>
    </row>
    <row r="215" spans="1:18" ht="15.75">
      <c r="A215" s="34"/>
      <c r="B215" s="35"/>
      <c r="C215" s="594"/>
      <c r="D215" s="28"/>
      <c r="E215" s="103"/>
      <c r="F215" s="242"/>
      <c r="G215" s="242"/>
      <c r="H215" s="596"/>
      <c r="I215"/>
      <c r="J215" s="596"/>
      <c r="K215" s="596"/>
      <c r="L215" s="596"/>
      <c r="M215" s="346"/>
      <c r="N215" s="596"/>
      <c r="O215" s="596"/>
      <c r="P215" s="596"/>
      <c r="Q215" s="2131"/>
      <c r="R215" s="2192"/>
    </row>
    <row r="216" spans="1:18" ht="15.75">
      <c r="A216" s="34">
        <f>+A213+1</f>
        <v>123</v>
      </c>
      <c r="B216" s="8"/>
      <c r="C216" s="36" t="s">
        <v>316</v>
      </c>
      <c r="D216" s="249" t="s">
        <v>218</v>
      </c>
      <c r="F216" s="242" t="str">
        <f>"(Line "&amp;A206&amp;" * Line "&amp;A211&amp;")"</f>
        <v>(Line 117 * Line 120)</v>
      </c>
      <c r="G216" s="477"/>
      <c r="H216" s="471">
        <f>H206*H211</f>
        <v>2.527749198672841E-2</v>
      </c>
      <c r="I216"/>
      <c r="J216" s="471">
        <v>2.5163378170893771E-2</v>
      </c>
      <c r="K216" s="471"/>
      <c r="L216" s="471"/>
      <c r="M216" s="346"/>
      <c r="N216" s="471">
        <v>2.5222072441162455E-2</v>
      </c>
      <c r="O216" s="1595"/>
      <c r="P216" s="1595"/>
      <c r="Q216" s="2131"/>
      <c r="R216" s="2192"/>
    </row>
    <row r="217" spans="1:18" ht="15.75">
      <c r="A217" s="34">
        <f>+A216+1</f>
        <v>124</v>
      </c>
      <c r="B217" s="8"/>
      <c r="C217" s="36" t="s">
        <v>56</v>
      </c>
      <c r="D217" s="506" t="s">
        <v>230</v>
      </c>
      <c r="F217" s="242" t="str">
        <f>"(Line "&amp;A207&amp;" * Line "&amp;A212&amp;")"</f>
        <v>(Line 118 * Line 121)</v>
      </c>
      <c r="G217" s="32"/>
      <c r="H217" s="471">
        <f>H207*H212</f>
        <v>1.1156411460349123E-5</v>
      </c>
      <c r="I217"/>
      <c r="J217" s="471">
        <v>1.1123903466313005E-5</v>
      </c>
      <c r="K217" s="471"/>
      <c r="L217" s="471"/>
      <c r="M217" s="346"/>
      <c r="N217" s="471">
        <v>1.1215300933392697E-5</v>
      </c>
      <c r="O217" s="1595"/>
      <c r="P217" s="1595"/>
      <c r="Q217" s="2131"/>
      <c r="R217" s="2192"/>
    </row>
    <row r="218" spans="1:18" ht="15.75">
      <c r="A218" s="34">
        <f>+A217+1</f>
        <v>125</v>
      </c>
      <c r="B218" s="8"/>
      <c r="C218" s="532" t="s">
        <v>317</v>
      </c>
      <c r="D218" s="533" t="s">
        <v>213</v>
      </c>
      <c r="E218" s="91"/>
      <c r="F218" s="478" t="str">
        <f>"(Line "&amp;A208&amp;" * Line "&amp;A213&amp;")"</f>
        <v>(Line 119 * Line 122)</v>
      </c>
      <c r="G218" s="479"/>
      <c r="H218" s="480">
        <f>H208*H213</f>
        <v>4.9980143859972792E-2</v>
      </c>
      <c r="I218"/>
      <c r="J218" s="480">
        <v>5.0322557015096712E-2</v>
      </c>
      <c r="K218" s="542"/>
      <c r="L218" s="542"/>
      <c r="M218" s="346"/>
      <c r="N218" s="480">
        <v>4.9706650245724134E-2</v>
      </c>
      <c r="O218" s="1615"/>
      <c r="P218" s="1615"/>
      <c r="Q218" s="2131"/>
      <c r="R218" s="2192"/>
    </row>
    <row r="219" spans="1:18" s="1" customFormat="1" ht="15.75">
      <c r="A219" s="8">
        <f>+A218+1</f>
        <v>126</v>
      </c>
      <c r="B219" s="8"/>
      <c r="C219" s="599" t="s">
        <v>320</v>
      </c>
      <c r="D219" s="65"/>
      <c r="E219" s="93"/>
      <c r="F219" s="242" t="str">
        <f>"(Sum Lines "&amp;A216&amp;" to "&amp;A218&amp;")"</f>
        <v>(Sum Lines 123 to 125)</v>
      </c>
      <c r="G219" s="41"/>
      <c r="H219" s="1633">
        <f>SUM(H216:H218)</f>
        <v>7.5268792258161549E-2</v>
      </c>
      <c r="I219"/>
      <c r="J219" s="347">
        <v>7.5497059089456794E-2</v>
      </c>
      <c r="K219" s="1660">
        <f>$H219-J219</f>
        <v>-2.2826683129524572E-4</v>
      </c>
      <c r="L219" s="347"/>
      <c r="M219" s="346"/>
      <c r="N219" s="347">
        <v>7.4939937987819977E-2</v>
      </c>
      <c r="O219" s="1660">
        <f>$H219-N219</f>
        <v>3.28854270341572E-4</v>
      </c>
      <c r="P219" s="1608"/>
      <c r="Q219" s="2131"/>
      <c r="R219" s="2192"/>
    </row>
    <row r="220" spans="1:18" s="1" customFormat="1" ht="15.75">
      <c r="A220" s="4"/>
      <c r="B220" s="4"/>
      <c r="C220" s="39"/>
      <c r="D220" s="65"/>
      <c r="E220" s="93"/>
      <c r="F220" s="66"/>
      <c r="G220" s="41"/>
      <c r="H220" s="33"/>
      <c r="I220"/>
      <c r="J220" s="33"/>
      <c r="K220" s="33"/>
      <c r="L220" s="33"/>
      <c r="M220" s="346"/>
      <c r="N220" s="33"/>
      <c r="O220" s="33"/>
      <c r="P220" s="33"/>
      <c r="Q220" s="2131"/>
      <c r="R220" s="2192"/>
    </row>
    <row r="221" spans="1:18" ht="16.5" thickBot="1">
      <c r="A221" s="8">
        <f>+A219+1</f>
        <v>127</v>
      </c>
      <c r="B221" s="54" t="s">
        <v>265</v>
      </c>
      <c r="C221" s="53"/>
      <c r="D221" s="52"/>
      <c r="E221" s="94"/>
      <c r="F221" s="508" t="str">
        <f>"(Line "&amp;A106&amp;" * Line "&amp;A219&amp;")"</f>
        <v>(Line 52 * Line 126)</v>
      </c>
      <c r="G221" s="55"/>
      <c r="H221" s="651">
        <f>H106*H219</f>
        <v>258642457.60118899</v>
      </c>
      <c r="I221"/>
      <c r="J221" s="651">
        <v>254548239.92618042</v>
      </c>
      <c r="K221" s="1642">
        <f>$H221-J221</f>
        <v>4094217.6750085652</v>
      </c>
      <c r="L221" s="1643">
        <f>IF(J221=0,"n/m",K221/ABS(J221))</f>
        <v>1.6084250577398995E-2</v>
      </c>
      <c r="M221" s="346"/>
      <c r="N221" s="651">
        <v>262623424.65825579</v>
      </c>
      <c r="O221" s="1642">
        <f>$H221-N221</f>
        <v>-3980967.0570667982</v>
      </c>
      <c r="P221" s="1643">
        <f>IF(N221=0,"n/m",O221/ABS(N221))</f>
        <v>-1.5158461444355601E-2</v>
      </c>
      <c r="Q221" s="2233"/>
      <c r="R221" s="2192"/>
    </row>
    <row r="222" spans="1:18" ht="16.5" thickTop="1">
      <c r="A222" s="8"/>
      <c r="B222" s="8"/>
      <c r="C222" s="506"/>
      <c r="F222" s="476"/>
      <c r="G222" s="476"/>
      <c r="H222" s="534"/>
      <c r="I222"/>
      <c r="J222" s="534"/>
      <c r="K222" s="534"/>
      <c r="L222" s="534"/>
      <c r="M222" s="346"/>
      <c r="N222" s="534"/>
      <c r="O222" s="534"/>
      <c r="P222" s="534"/>
      <c r="Q222" s="2233"/>
      <c r="R222" s="2192"/>
    </row>
    <row r="223" spans="1:18" ht="15.75">
      <c r="A223" s="692" t="s">
        <v>138</v>
      </c>
      <c r="B223" s="187"/>
      <c r="C223" s="188"/>
      <c r="D223" s="62"/>
      <c r="E223" s="129"/>
      <c r="F223" s="63"/>
      <c r="G223" s="63"/>
      <c r="H223" s="64"/>
      <c r="I223"/>
      <c r="J223" s="64">
        <v>0</v>
      </c>
      <c r="K223" s="64"/>
      <c r="L223" s="64"/>
      <c r="M223" s="346"/>
      <c r="N223" s="64">
        <v>0</v>
      </c>
      <c r="O223" s="64"/>
      <c r="P223" s="64"/>
      <c r="Q223" s="2131"/>
      <c r="R223" s="2192"/>
    </row>
    <row r="224" spans="1:18" ht="15.75">
      <c r="A224" s="21"/>
      <c r="B224" s="8"/>
      <c r="C224" s="7"/>
      <c r="D224" s="22"/>
      <c r="E224" s="157"/>
      <c r="F224" s="9"/>
      <c r="G224" s="9"/>
      <c r="H224" s="11"/>
      <c r="I224"/>
      <c r="J224" s="11"/>
      <c r="K224" s="11"/>
      <c r="L224" s="11"/>
      <c r="M224" s="346"/>
      <c r="N224" s="11"/>
      <c r="O224" s="1633"/>
      <c r="P224" s="1633"/>
      <c r="Q224" s="2131"/>
      <c r="R224" s="2192"/>
    </row>
    <row r="225" spans="1:18" ht="15.75">
      <c r="A225" s="8" t="s">
        <v>225</v>
      </c>
      <c r="B225" s="68" t="s">
        <v>266</v>
      </c>
      <c r="E225" s="157"/>
      <c r="F225" s="476"/>
      <c r="G225" s="535"/>
      <c r="H225" s="22"/>
      <c r="I225"/>
      <c r="J225" s="22"/>
      <c r="K225" s="22"/>
      <c r="L225" s="22"/>
      <c r="M225" s="346"/>
      <c r="N225" s="22"/>
      <c r="O225" s="22"/>
      <c r="P225" s="22"/>
      <c r="Q225" s="2131"/>
      <c r="R225" s="2192"/>
    </row>
    <row r="226" spans="1:18" ht="15.75">
      <c r="A226" s="8">
        <f>+A221+1</f>
        <v>128</v>
      </c>
      <c r="B226" s="8"/>
      <c r="C226" s="9" t="s">
        <v>870</v>
      </c>
      <c r="E226" s="99" t="str">
        <f>"(Note "&amp;B$306&amp;")"</f>
        <v>(Note G)</v>
      </c>
      <c r="F226" s="9"/>
      <c r="G226" s="473"/>
      <c r="H226" s="1095">
        <f>Inputs!E91</f>
        <v>0.35</v>
      </c>
      <c r="I226"/>
      <c r="J226" s="1284">
        <v>0.35</v>
      </c>
      <c r="K226" s="1661">
        <f>$H226-J226</f>
        <v>0</v>
      </c>
      <c r="L226" s="1595"/>
      <c r="M226" s="346"/>
      <c r="N226" s="1284">
        <v>0.35</v>
      </c>
      <c r="O226" s="1661">
        <f>$H226-N226</f>
        <v>0</v>
      </c>
      <c r="P226" s="1595"/>
      <c r="Q226" s="2131"/>
      <c r="R226" s="2192"/>
    </row>
    <row r="227" spans="1:18" ht="15.75">
      <c r="A227" s="8">
        <f>+A226+1</f>
        <v>129</v>
      </c>
      <c r="B227" s="8"/>
      <c r="C227" s="473" t="s">
        <v>871</v>
      </c>
      <c r="D227" s="536"/>
      <c r="E227" s="99" t="str">
        <f>"(Note "&amp;B$306&amp;")"</f>
        <v>(Note G)</v>
      </c>
      <c r="F227" s="9" t="s">
        <v>177</v>
      </c>
      <c r="G227" s="473"/>
      <c r="H227" s="471">
        <f>'Att 5 - Cost Support'!H233</f>
        <v>4.5400000000000003E-2</v>
      </c>
      <c r="I227"/>
      <c r="J227" s="1284">
        <v>4.5400000000000003E-2</v>
      </c>
      <c r="K227" s="1661">
        <f>$H227-J227</f>
        <v>0</v>
      </c>
      <c r="L227" s="1595"/>
      <c r="M227" s="346"/>
      <c r="N227" s="1284">
        <v>4.5400000000000003E-2</v>
      </c>
      <c r="O227" s="1661">
        <f>$H227-N227</f>
        <v>0</v>
      </c>
      <c r="P227" s="1595"/>
      <c r="Q227" s="2131"/>
      <c r="R227" s="2192"/>
    </row>
    <row r="228" spans="1:18" ht="15.75">
      <c r="A228" s="8">
        <f>+A227+1</f>
        <v>130</v>
      </c>
      <c r="B228" s="8"/>
      <c r="C228" s="473" t="s">
        <v>302</v>
      </c>
      <c r="D228" s="473" t="s">
        <v>303</v>
      </c>
      <c r="F228" s="9" t="s">
        <v>912</v>
      </c>
      <c r="G228" s="473"/>
      <c r="H228" s="1095">
        <f>Inputs!E93</f>
        <v>0</v>
      </c>
      <c r="I228"/>
      <c r="J228" s="1284">
        <v>0</v>
      </c>
      <c r="K228" s="1661">
        <f>$H228-J228</f>
        <v>0</v>
      </c>
      <c r="L228" s="1595"/>
      <c r="M228" s="346"/>
      <c r="N228" s="1284">
        <v>0</v>
      </c>
      <c r="O228" s="1661">
        <f>$H228-N228</f>
        <v>0</v>
      </c>
      <c r="P228" s="1595"/>
      <c r="Q228" s="2131"/>
      <c r="R228" s="2192"/>
    </row>
    <row r="229" spans="1:18" ht="15.75">
      <c r="A229" s="34">
        <f>+A228+1</f>
        <v>131</v>
      </c>
      <c r="B229" s="34"/>
      <c r="C229" s="473" t="s">
        <v>307</v>
      </c>
      <c r="D229" s="472" t="s">
        <v>869</v>
      </c>
      <c r="E229" s="45"/>
      <c r="F229" s="22"/>
      <c r="G229" s="473"/>
      <c r="H229" s="537">
        <f>1-(((1-H227)*(1-H226))/(1-H227*H226*H228))</f>
        <v>0.37951000000000001</v>
      </c>
      <c r="I229"/>
      <c r="J229" s="537">
        <v>0.37951000000000001</v>
      </c>
      <c r="K229" s="537"/>
      <c r="L229" s="537"/>
      <c r="M229" s="346"/>
      <c r="N229" s="537">
        <v>0.37951000000000001</v>
      </c>
      <c r="O229" s="537"/>
      <c r="P229" s="537"/>
      <c r="Q229" s="2131"/>
      <c r="R229" s="2192"/>
    </row>
    <row r="230" spans="1:18" customFormat="1" ht="15.75">
      <c r="A230" s="45">
        <f>A229+1</f>
        <v>132</v>
      </c>
      <c r="B230" s="323"/>
      <c r="C230" s="473" t="s">
        <v>285</v>
      </c>
      <c r="D230" s="323"/>
      <c r="E230" s="323"/>
      <c r="F230" s="323"/>
      <c r="G230" s="323"/>
      <c r="H230" s="537">
        <f>H229/(1-H229)</f>
        <v>0.6116295186062628</v>
      </c>
      <c r="J230" s="537">
        <v>0.6116295186062628</v>
      </c>
      <c r="K230" s="537"/>
      <c r="L230" s="537"/>
      <c r="M230" s="346"/>
      <c r="N230" s="537">
        <v>0.6116295186062628</v>
      </c>
      <c r="O230" s="537"/>
      <c r="P230" s="537"/>
      <c r="Q230" s="2131"/>
      <c r="R230" s="2192"/>
    </row>
    <row r="231" spans="1:18" ht="15.75">
      <c r="A231" s="8"/>
      <c r="B231" s="8"/>
      <c r="E231" s="513"/>
      <c r="F231" s="538"/>
      <c r="G231" s="535"/>
      <c r="H231" s="539"/>
      <c r="I231"/>
      <c r="J231" s="539"/>
      <c r="K231" s="539"/>
      <c r="L231" s="539"/>
      <c r="M231" s="346"/>
      <c r="N231" s="539"/>
      <c r="O231" s="539"/>
      <c r="P231" s="539"/>
      <c r="Q231" s="2131"/>
      <c r="R231" s="2192"/>
    </row>
    <row r="232" spans="1:18" ht="15.75">
      <c r="A232" s="8"/>
      <c r="B232" s="68" t="s">
        <v>253</v>
      </c>
      <c r="C232" s="540"/>
      <c r="D232" s="28"/>
      <c r="F232" s="242"/>
      <c r="G232" s="541"/>
      <c r="H232" s="542"/>
      <c r="I232"/>
      <c r="J232" s="542"/>
      <c r="K232" s="542"/>
      <c r="L232" s="542"/>
      <c r="M232" s="346"/>
      <c r="N232" s="542"/>
      <c r="O232" s="1615"/>
      <c r="P232" s="1615"/>
      <c r="Q232" s="2131"/>
      <c r="R232" s="2192"/>
    </row>
    <row r="233" spans="1:18" ht="15.75">
      <c r="A233" s="8">
        <f>A230+1</f>
        <v>133</v>
      </c>
      <c r="B233" s="8"/>
      <c r="C233" s="249" t="s">
        <v>263</v>
      </c>
      <c r="D233" s="28"/>
      <c r="E233" s="99"/>
      <c r="F233" s="242" t="s">
        <v>177</v>
      </c>
      <c r="G233" s="541"/>
      <c r="H233" s="628">
        <f>'Att 5 - Cost Support'!J159</f>
        <v>-1129256.0396900696</v>
      </c>
      <c r="I233"/>
      <c r="J233" s="1126">
        <v>-1296734.9149238509</v>
      </c>
      <c r="K233" s="1094">
        <f>$H233-J233</f>
        <v>167478.87523378129</v>
      </c>
      <c r="L233" s="1579">
        <f>IF(J233=0,"n/m",K233/ABS(J233))</f>
        <v>0.12915428844114701</v>
      </c>
      <c r="M233" s="346"/>
      <c r="N233" s="1126">
        <v>-1249695.1113480714</v>
      </c>
      <c r="O233" s="1094">
        <f>$H233-N233</f>
        <v>120439.07165800175</v>
      </c>
      <c r="P233" s="1579">
        <f>IF(N233=0,"n/m",O233/ABS(N233))</f>
        <v>9.6374764183946984E-2</v>
      </c>
      <c r="Q233" s="2131"/>
      <c r="R233" s="2192"/>
    </row>
    <row r="234" spans="1:18" ht="15.75">
      <c r="A234" s="8">
        <f>+A233+1</f>
        <v>134</v>
      </c>
      <c r="B234" s="8"/>
      <c r="C234" s="82" t="s">
        <v>109</v>
      </c>
      <c r="D234" s="37" t="s">
        <v>927</v>
      </c>
      <c r="E234" s="99"/>
      <c r="F234" s="242" t="str">
        <f>"Line "&amp;A233&amp;" * (1 / (1 - Line "&amp;A229&amp;"))"</f>
        <v>Line 133 * (1 / (1 - Line 131))</v>
      </c>
      <c r="G234" s="543"/>
      <c r="H234" s="639">
        <f>H233*(1/(1-H229))</f>
        <v>-1819942.3676289218</v>
      </c>
      <c r="I234"/>
      <c r="J234" s="639">
        <v>-2089856.2666986589</v>
      </c>
      <c r="K234" s="1094">
        <f>$H234-J234</f>
        <v>269913.89906973718</v>
      </c>
      <c r="L234" s="1579">
        <f>IF(J234=0,"n/m",K234/ABS(J234))</f>
        <v>0.12915428844114699</v>
      </c>
      <c r="M234" s="346"/>
      <c r="N234" s="639">
        <v>-2014045.5307064923</v>
      </c>
      <c r="O234" s="1094">
        <f>$H234-N234</f>
        <v>194103.1630775705</v>
      </c>
      <c r="P234" s="1579">
        <f>IF(N234=0,"n/m",O234/ABS(N234))</f>
        <v>9.6374764183946957E-2</v>
      </c>
      <c r="Q234" s="2131"/>
      <c r="R234" s="2192"/>
    </row>
    <row r="235" spans="1:18" ht="15.75">
      <c r="A235" s="8"/>
      <c r="B235" s="8"/>
      <c r="E235" s="513"/>
      <c r="F235" s="544"/>
      <c r="G235" s="535"/>
      <c r="H235" s="652"/>
      <c r="I235"/>
      <c r="J235" s="652"/>
      <c r="K235" s="652"/>
      <c r="L235" s="652"/>
      <c r="M235" s="346"/>
      <c r="N235" s="652"/>
      <c r="O235" s="652"/>
      <c r="P235" s="652"/>
      <c r="Q235" s="2131"/>
      <c r="R235" s="2192"/>
    </row>
    <row r="236" spans="1:18" ht="15.75">
      <c r="A236" s="34">
        <f>+A234+1</f>
        <v>135</v>
      </c>
      <c r="B236" s="107" t="s">
        <v>279</v>
      </c>
      <c r="C236" s="23"/>
      <c r="D236" s="22" t="s">
        <v>928</v>
      </c>
      <c r="E236" s="373"/>
      <c r="F236" s="242" t="str">
        <f>"[Line "&amp;A230&amp;" * Line "&amp;A221&amp;" * (1- (Line "&amp;A216&amp;" / Line "&amp;A219&amp;"))]"</f>
        <v>[Line 132 * Line 127 * (1- (Line 123 / Line 126))]</v>
      </c>
      <c r="G236" s="22"/>
      <c r="H236" s="653">
        <f>((H230*H221*(1-(H216/H219))))</f>
        <v>105067340.8609297</v>
      </c>
      <c r="I236"/>
      <c r="J236" s="653">
        <v>103797571.56115326</v>
      </c>
      <c r="K236" s="1094">
        <f>$H236-J236</f>
        <v>1269769.2997764349</v>
      </c>
      <c r="L236" s="1579">
        <f>IF(J236=0,"n/m",K236/ABS(J236))</f>
        <v>1.2233131090435377E-2</v>
      </c>
      <c r="M236" s="346"/>
      <c r="N236" s="653">
        <v>106566583.77374253</v>
      </c>
      <c r="O236" s="1094">
        <f>$H236-N236</f>
        <v>-1499242.912812829</v>
      </c>
      <c r="P236" s="1579">
        <f>IF(N236=0,"n/m",O236/ABS(N236))</f>
        <v>-1.4068602555524867E-2</v>
      </c>
      <c r="R236" s="2192"/>
    </row>
    <row r="237" spans="1:18" ht="15.75">
      <c r="A237" s="8"/>
      <c r="B237" s="8"/>
      <c r="C237" s="36"/>
      <c r="D237" s="37"/>
      <c r="E237" s="464"/>
      <c r="F237" s="191"/>
      <c r="G237" s="543"/>
      <c r="H237" s="654"/>
      <c r="I237"/>
      <c r="J237" s="654"/>
      <c r="K237" s="654"/>
      <c r="L237" s="654"/>
      <c r="M237" s="346"/>
      <c r="N237" s="654"/>
      <c r="O237" s="654"/>
      <c r="P237" s="654"/>
      <c r="R237" s="2192"/>
    </row>
    <row r="238" spans="1:18" ht="16.5" thickBot="1">
      <c r="A238" s="8">
        <f>+A236+1</f>
        <v>136</v>
      </c>
      <c r="B238" s="54" t="s">
        <v>209</v>
      </c>
      <c r="C238" s="54"/>
      <c r="D238" s="52"/>
      <c r="E238" s="88"/>
      <c r="F238" s="508" t="str">
        <f>"(Line "&amp;A234&amp;" + Line "&amp;A236&amp;")"</f>
        <v>(Line 134 + Line 135)</v>
      </c>
      <c r="G238" s="67"/>
      <c r="H238" s="655">
        <f>H234+H236</f>
        <v>103247398.49330078</v>
      </c>
      <c r="I238"/>
      <c r="J238" s="655">
        <v>101707715.2944546</v>
      </c>
      <c r="K238" s="1642">
        <f>$H238-J238</f>
        <v>1539683.1988461763</v>
      </c>
      <c r="L238" s="1643">
        <f>IF(J238=0,"n/m",K238/ABS(J238))</f>
        <v>1.5138312707041255E-2</v>
      </c>
      <c r="M238" s="346"/>
      <c r="N238" s="655">
        <v>104552538.24303603</v>
      </c>
      <c r="O238" s="1642">
        <f>$H238-N238</f>
        <v>-1305139.7497352511</v>
      </c>
      <c r="P238" s="1643">
        <f>IF(N238=0,"n/m",O238/ABS(N238))</f>
        <v>-1.2483099613530262E-2</v>
      </c>
      <c r="Q238" s="2233"/>
      <c r="R238" s="2192"/>
    </row>
    <row r="239" spans="1:18" ht="16.5" thickTop="1">
      <c r="A239" s="8"/>
      <c r="B239" s="8"/>
      <c r="C239" s="538"/>
      <c r="F239" s="519"/>
      <c r="G239" s="545"/>
      <c r="H239" s="686"/>
      <c r="I239"/>
      <c r="J239" s="686"/>
      <c r="K239" s="1265"/>
      <c r="L239" s="1265"/>
      <c r="M239" s="346"/>
      <c r="N239" s="686"/>
      <c r="O239" s="1265"/>
      <c r="P239" s="1265"/>
      <c r="Q239" s="2233"/>
      <c r="R239" s="2192"/>
    </row>
    <row r="240" spans="1:18" ht="15.75">
      <c r="A240" s="692" t="s">
        <v>20</v>
      </c>
      <c r="B240" s="187"/>
      <c r="C240" s="188"/>
      <c r="D240" s="62"/>
      <c r="E240" s="526"/>
      <c r="F240" s="63"/>
      <c r="G240" s="63"/>
      <c r="H240" s="687"/>
      <c r="I240"/>
      <c r="J240" s="687">
        <v>0</v>
      </c>
      <c r="K240" s="687"/>
      <c r="L240" s="687"/>
      <c r="M240" s="346"/>
      <c r="N240" s="687">
        <v>0</v>
      </c>
      <c r="O240" s="687"/>
      <c r="P240" s="687"/>
      <c r="Q240" s="2131"/>
      <c r="R240" s="2192"/>
    </row>
    <row r="241" spans="1:19" ht="15.75">
      <c r="A241" s="44"/>
      <c r="B241" s="349"/>
      <c r="C241" s="349"/>
      <c r="D241" s="349"/>
      <c r="F241" s="349"/>
      <c r="G241" s="349"/>
      <c r="H241" s="632"/>
      <c r="I241"/>
      <c r="J241" s="632"/>
      <c r="K241" s="632"/>
      <c r="L241" s="632"/>
      <c r="M241" s="346"/>
      <c r="N241" s="632"/>
      <c r="O241" s="632"/>
      <c r="P241" s="632"/>
      <c r="Q241" s="2131"/>
      <c r="R241" s="2192"/>
    </row>
    <row r="242" spans="1:19" ht="15.75">
      <c r="A242" s="44"/>
      <c r="B242" s="1" t="s">
        <v>210</v>
      </c>
      <c r="C242" s="51"/>
      <c r="D242" s="38"/>
      <c r="F242" s="349"/>
      <c r="G242" s="349"/>
      <c r="H242" s="632"/>
      <c r="I242"/>
      <c r="J242" s="632"/>
      <c r="K242" s="632"/>
      <c r="L242" s="632"/>
      <c r="M242" s="346"/>
      <c r="N242" s="632"/>
      <c r="O242" s="632"/>
      <c r="P242" s="632"/>
      <c r="Q242" s="2131"/>
      <c r="R242" s="2192"/>
    </row>
    <row r="243" spans="1:19" ht="15.75">
      <c r="A243" s="44">
        <f>+A238+1</f>
        <v>137</v>
      </c>
      <c r="B243" s="349"/>
      <c r="C243" s="51" t="s">
        <v>211</v>
      </c>
      <c r="D243" s="38"/>
      <c r="F243" s="242" t="str">
        <f>"(Line "&amp;A64&amp;")"</f>
        <v>(Line 32)</v>
      </c>
      <c r="G243" s="349"/>
      <c r="H243" s="632">
        <f>H64</f>
        <v>4527976847.4199467</v>
      </c>
      <c r="I243"/>
      <c r="J243" s="632">
        <v>4363479367.9886293</v>
      </c>
      <c r="K243" s="1094">
        <f>$H243-J243</f>
        <v>164497479.43131733</v>
      </c>
      <c r="L243" s="1579">
        <f>IF(J243=0,"n/m",K243/ABS(J243))</f>
        <v>3.76986953663868E-2</v>
      </c>
      <c r="M243" s="346"/>
      <c r="N243" s="632">
        <v>4573485298.6002302</v>
      </c>
      <c r="O243" s="1094">
        <f>$H243-N243</f>
        <v>-45508451.180283546</v>
      </c>
      <c r="P243" s="1579">
        <f>IF(N243=0,"n/m",O243/ABS(N243))</f>
        <v>-9.9504968769030377E-3</v>
      </c>
      <c r="Q243" s="2131"/>
      <c r="R243" s="2192"/>
    </row>
    <row r="244" spans="1:19" ht="15.75">
      <c r="A244" s="8">
        <f>+A243+1</f>
        <v>138</v>
      </c>
      <c r="B244" s="349"/>
      <c r="C244" s="51" t="s">
        <v>5</v>
      </c>
      <c r="D244" s="38"/>
      <c r="F244" s="478" t="str">
        <f>"(Line "&amp;A104&amp;")"</f>
        <v>(Line 51)</v>
      </c>
      <c r="G244" s="349"/>
      <c r="H244" s="632">
        <f>H104</f>
        <v>-1091725914.708271</v>
      </c>
      <c r="I244"/>
      <c r="J244" s="632">
        <v>-991848168.09559655</v>
      </c>
      <c r="K244" s="1094">
        <f>$H244-J244</f>
        <v>-99877746.612674475</v>
      </c>
      <c r="L244" s="1579">
        <f>IF(J244=0,"n/m",K244/ABS(J244))</f>
        <v>-0.10069862487566549</v>
      </c>
      <c r="M244" s="346"/>
      <c r="N244" s="632">
        <v>-1069033177.210163</v>
      </c>
      <c r="O244" s="1094">
        <f>$H244-N244</f>
        <v>-22692737.498108029</v>
      </c>
      <c r="P244" s="1579">
        <f>IF(N244=0,"n/m",O244/ABS(N244))</f>
        <v>-2.1227346336742201E-2</v>
      </c>
      <c r="Q244" s="2131"/>
      <c r="R244" s="2192"/>
    </row>
    <row r="245" spans="1:19" ht="15.75">
      <c r="A245" s="8">
        <f>+A244+1</f>
        <v>139</v>
      </c>
      <c r="B245" s="8"/>
      <c r="C245" s="26" t="s">
        <v>278</v>
      </c>
      <c r="D245" s="70"/>
      <c r="E245" s="96"/>
      <c r="F245" s="242" t="str">
        <f>"(Line "&amp;A106&amp;")"</f>
        <v>(Line 52)</v>
      </c>
      <c r="G245" s="71"/>
      <c r="H245" s="656">
        <f>SUM(H243:H244)</f>
        <v>3436250932.7116756</v>
      </c>
      <c r="I245"/>
      <c r="J245" s="656">
        <v>3371631199.893033</v>
      </c>
      <c r="K245" s="1613">
        <f>$H245-J245</f>
        <v>64619732.818642616</v>
      </c>
      <c r="L245" s="1605">
        <f>IF(J245=0,"n/m",K245/ABS(J245))</f>
        <v>1.9165718012305946E-2</v>
      </c>
      <c r="M245" s="346"/>
      <c r="N245" s="656">
        <v>3504452121.3900671</v>
      </c>
      <c r="O245" s="1613">
        <f>$H245-N245</f>
        <v>-68201188.678391457</v>
      </c>
      <c r="P245" s="1605">
        <f>IF(N245=0,"n/m",O245/ABS(N245))</f>
        <v>-1.9461298461495014E-2</v>
      </c>
      <c r="Q245" s="2131"/>
      <c r="R245" s="2192"/>
    </row>
    <row r="246" spans="1:19" ht="15.75">
      <c r="A246" s="8"/>
      <c r="B246" s="8"/>
      <c r="C246" s="249"/>
      <c r="D246" s="37"/>
      <c r="E246" s="157"/>
      <c r="F246" s="22"/>
      <c r="G246" s="9"/>
      <c r="H246" s="632"/>
      <c r="I246"/>
      <c r="J246" s="632"/>
      <c r="K246" s="632"/>
      <c r="L246" s="632"/>
      <c r="M246" s="346"/>
      <c r="N246" s="632"/>
      <c r="O246" s="632"/>
      <c r="P246" s="632"/>
      <c r="Q246" s="2131"/>
      <c r="R246" s="2192"/>
    </row>
    <row r="247" spans="1:19" ht="15.75">
      <c r="A247" s="8">
        <f>+A245+1</f>
        <v>140</v>
      </c>
      <c r="C247" s="249" t="s">
        <v>272</v>
      </c>
      <c r="D247" s="28"/>
      <c r="F247" s="242" t="str">
        <f>"(Line "&amp;A139&amp;")"</f>
        <v>(Line 75)</v>
      </c>
      <c r="G247" s="349"/>
      <c r="H247" s="632">
        <f>H139</f>
        <v>75555222.325598583</v>
      </c>
      <c r="I247"/>
      <c r="J247" s="632">
        <v>60959586.422687441</v>
      </c>
      <c r="K247" s="1094">
        <f>$H247-J247</f>
        <v>14595635.902911142</v>
      </c>
      <c r="L247" s="1579">
        <f>IF(J247=0,"n/m",K247/ABS(J247))</f>
        <v>0.23943134721594925</v>
      </c>
      <c r="M247" s="346"/>
      <c r="N247" s="632">
        <v>69887252.685854971</v>
      </c>
      <c r="O247" s="1094">
        <f>$H247-N247</f>
        <v>5667969.6397436112</v>
      </c>
      <c r="P247" s="1579">
        <f>IF(N247=0,"n/m",O247/ABS(N247))</f>
        <v>8.1101623284882629E-2</v>
      </c>
      <c r="Q247" s="2131"/>
      <c r="R247" s="2192"/>
    </row>
    <row r="248" spans="1:19" ht="15.75">
      <c r="A248" s="8">
        <f>+A247+1</f>
        <v>141</v>
      </c>
      <c r="C248" s="332" t="s">
        <v>268</v>
      </c>
      <c r="D248" s="28"/>
      <c r="F248" s="242" t="str">
        <f>"(Line "&amp;A154&amp;")"</f>
        <v>(Line 83)</v>
      </c>
      <c r="G248" s="349"/>
      <c r="H248" s="632">
        <f>H154</f>
        <v>111477278.67054871</v>
      </c>
      <c r="I248"/>
      <c r="J248" s="632">
        <v>98292242.147757933</v>
      </c>
      <c r="K248" s="1094">
        <f>$H248-J248</f>
        <v>13185036.522790775</v>
      </c>
      <c r="L248" s="1579">
        <f>IF(J248=0,"n/m",K248/ABS(J248))</f>
        <v>0.13414117161932629</v>
      </c>
      <c r="M248" s="346"/>
      <c r="N248" s="632">
        <v>105285179.31209183</v>
      </c>
      <c r="O248" s="1094">
        <f>$H248-N248</f>
        <v>6192099.3584568799</v>
      </c>
      <c r="P248" s="1579">
        <f>IF(N248=0,"n/m",O248/ABS(N248))</f>
        <v>5.8812640097253725E-2</v>
      </c>
      <c r="Q248" s="2131"/>
      <c r="R248" s="2192"/>
    </row>
    <row r="249" spans="1:19" ht="15.75">
      <c r="A249" s="8">
        <f>+A248+1</f>
        <v>142</v>
      </c>
      <c r="B249" s="8"/>
      <c r="C249" s="249" t="s">
        <v>212</v>
      </c>
      <c r="D249" s="37"/>
      <c r="E249" s="157"/>
      <c r="F249" s="242" t="str">
        <f>"(Line "&amp;A160&amp;")"</f>
        <v>(Line 85)</v>
      </c>
      <c r="G249" s="9"/>
      <c r="H249" s="632">
        <f>H160</f>
        <v>36464995.716510817</v>
      </c>
      <c r="I249"/>
      <c r="J249" s="632">
        <v>31806190.35901561</v>
      </c>
      <c r="K249" s="1094">
        <f>$H249-J249</f>
        <v>4658805.3574952073</v>
      </c>
      <c r="L249" s="1579">
        <f>IF(J249=0,"n/m",K249/ABS(J249))</f>
        <v>0.14647479955657902</v>
      </c>
      <c r="M249" s="346"/>
      <c r="N249" s="632">
        <v>35960263.950502515</v>
      </c>
      <c r="O249" s="1094">
        <f>$H249-N249</f>
        <v>504731.76600830257</v>
      </c>
      <c r="P249" s="1579">
        <f>IF(N249=0,"n/m",O249/ABS(N249))</f>
        <v>1.4035819278274495E-2</v>
      </c>
      <c r="Q249" s="2131"/>
      <c r="R249" s="2192"/>
    </row>
    <row r="250" spans="1:19" ht="15.75">
      <c r="A250" s="8">
        <f>+A249+1</f>
        <v>143</v>
      </c>
      <c r="B250" s="8"/>
      <c r="C250" s="546" t="s">
        <v>289</v>
      </c>
      <c r="D250" s="37"/>
      <c r="E250" s="157"/>
      <c r="F250" s="242" t="str">
        <f>"(Line "&amp;A221&amp;")"</f>
        <v>(Line 127)</v>
      </c>
      <c r="G250" s="9"/>
      <c r="H250" s="632">
        <f>H221</f>
        <v>258642457.60118899</v>
      </c>
      <c r="I250"/>
      <c r="J250" s="632">
        <v>254548239.92618042</v>
      </c>
      <c r="K250" s="1094">
        <f>$H250-J250</f>
        <v>4094217.6750085652</v>
      </c>
      <c r="L250" s="1579">
        <f>IF(J250=0,"n/m",K250/ABS(J250))</f>
        <v>1.6084250577398995E-2</v>
      </c>
      <c r="M250" s="346"/>
      <c r="N250" s="632">
        <v>262623424.65825579</v>
      </c>
      <c r="O250" s="1094">
        <f>$H250-N250</f>
        <v>-3980967.0570667982</v>
      </c>
      <c r="P250" s="1579">
        <f>IF(N250=0,"n/m",O250/ABS(N250))</f>
        <v>-1.5158461444355601E-2</v>
      </c>
      <c r="Q250" s="2131"/>
      <c r="R250" s="2192"/>
    </row>
    <row r="251" spans="1:19" ht="15.75">
      <c r="A251" s="8">
        <f>+A250+1</f>
        <v>144</v>
      </c>
      <c r="B251" s="8"/>
      <c r="C251" s="546" t="s">
        <v>290</v>
      </c>
      <c r="D251" s="37"/>
      <c r="E251" s="157"/>
      <c r="F251" s="242" t="str">
        <f>"(Line "&amp;A238&amp;")"</f>
        <v>(Line 136)</v>
      </c>
      <c r="G251" s="9"/>
      <c r="H251" s="632">
        <f>H238</f>
        <v>103247398.49330078</v>
      </c>
      <c r="I251"/>
      <c r="J251" s="632">
        <v>101707715.2944546</v>
      </c>
      <c r="K251" s="1094">
        <f>$H251-J251</f>
        <v>1539683.1988461763</v>
      </c>
      <c r="L251" s="1579">
        <f>IF(J251=0,"n/m",K251/ABS(J251))</f>
        <v>1.5138312707041255E-2</v>
      </c>
      <c r="M251" s="346"/>
      <c r="N251" s="632">
        <v>104552538.24303603</v>
      </c>
      <c r="O251" s="1094">
        <f>$H251-N251</f>
        <v>-1305139.7497352511</v>
      </c>
      <c r="P251" s="1579">
        <f>IF(N251=0,"n/m",O251/ABS(N251))</f>
        <v>-1.2483099613530262E-2</v>
      </c>
      <c r="Q251" s="2131"/>
      <c r="R251" s="2192"/>
    </row>
    <row r="252" spans="1:19" ht="16.5" thickBot="1">
      <c r="A252" s="8"/>
      <c r="B252" s="8"/>
      <c r="C252" s="546"/>
      <c r="D252" s="37"/>
      <c r="E252" s="157"/>
      <c r="F252" s="22"/>
      <c r="G252" s="9"/>
      <c r="H252" s="632"/>
      <c r="I252"/>
      <c r="J252" s="632"/>
      <c r="K252" s="632"/>
      <c r="L252" s="632"/>
      <c r="M252" s="346"/>
      <c r="N252" s="632"/>
      <c r="O252" s="632"/>
      <c r="P252" s="632"/>
      <c r="Q252" s="2131"/>
      <c r="R252" s="2192"/>
    </row>
    <row r="253" spans="1:19" ht="18.75" thickBot="1">
      <c r="A253" s="74">
        <f>+A251+1</f>
        <v>145</v>
      </c>
      <c r="B253" s="72"/>
      <c r="C253" s="195" t="s">
        <v>301</v>
      </c>
      <c r="D253" s="547"/>
      <c r="E253" s="548"/>
      <c r="F253" s="970" t="str">
        <f>"(Sum Lines "&amp;A247&amp;" to "&amp;A251&amp;")"</f>
        <v>(Sum Lines 140 to 144)</v>
      </c>
      <c r="G253" s="73"/>
      <c r="H253" s="1074">
        <f>SUM(H247:H251)</f>
        <v>585387352.80714786</v>
      </c>
      <c r="I253"/>
      <c r="J253" s="1281">
        <v>547313974.15009594</v>
      </c>
      <c r="K253" s="1637">
        <f>$H253-J253</f>
        <v>38073378.657051921</v>
      </c>
      <c r="L253" s="1611">
        <f>IF(J253=0,"n/m",K253/ABS(J253))</f>
        <v>6.9564053642472201E-2</v>
      </c>
      <c r="M253" s="346"/>
      <c r="N253" s="1281">
        <v>578308658.8497411</v>
      </c>
      <c r="O253" s="1637">
        <f>$H253-N253</f>
        <v>7078693.9574067593</v>
      </c>
      <c r="P253" s="1611">
        <f>IF(N253=0,"n/m",O253/ABS(N253))</f>
        <v>1.2240338872819782E-2</v>
      </c>
      <c r="Q253" s="330"/>
      <c r="R253" s="2192"/>
      <c r="S253" s="42"/>
    </row>
    <row r="254" spans="1:19" ht="18">
      <c r="A254" s="80"/>
      <c r="B254" s="105"/>
      <c r="C254" s="196"/>
      <c r="D254" s="398"/>
      <c r="E254" s="549"/>
      <c r="F254" s="40"/>
      <c r="G254" s="106"/>
      <c r="H254" s="657"/>
      <c r="I254"/>
      <c r="J254" s="657"/>
      <c r="K254" s="657"/>
      <c r="L254" s="657"/>
      <c r="M254" s="346"/>
      <c r="N254" s="657"/>
      <c r="O254" s="657"/>
      <c r="P254" s="657"/>
      <c r="Q254" s="330"/>
      <c r="R254" s="2192"/>
    </row>
    <row r="255" spans="1:19" ht="18">
      <c r="A255" s="80"/>
      <c r="B255" s="82" t="s">
        <v>237</v>
      </c>
      <c r="C255" s="196"/>
      <c r="D255" s="398"/>
      <c r="E255" s="549"/>
      <c r="F255" s="40"/>
      <c r="G255" s="106"/>
      <c r="H255" s="658"/>
      <c r="I255"/>
      <c r="J255" s="658"/>
      <c r="K255" s="658"/>
      <c r="L255" s="658"/>
      <c r="M255" s="346"/>
      <c r="N255" s="658"/>
      <c r="O255" s="658"/>
      <c r="P255" s="658"/>
      <c r="Q255" s="2131"/>
      <c r="R255" s="2192"/>
    </row>
    <row r="256" spans="1:19" ht="18">
      <c r="A256" s="464">
        <f>+A253+1</f>
        <v>146</v>
      </c>
      <c r="B256" s="464"/>
      <c r="C256" s="249" t="str">
        <f>+C38</f>
        <v>Transmission Plant In Service</v>
      </c>
      <c r="D256" s="398"/>
      <c r="E256" s="549"/>
      <c r="F256" s="242" t="str">
        <f>"(Line "&amp;A38&amp;")"</f>
        <v>(Line 15)</v>
      </c>
      <c r="G256" s="106"/>
      <c r="H256" s="659">
        <f>H38</f>
        <v>5978969781.9130754</v>
      </c>
      <c r="I256"/>
      <c r="J256" s="659">
        <v>5387870876.6499996</v>
      </c>
      <c r="K256" s="1094">
        <f>$H256-J256</f>
        <v>591098905.26307583</v>
      </c>
      <c r="L256" s="1579">
        <f>IF(J256=0,"n/m",K256/ABS(J256))</f>
        <v>0.10970918175206931</v>
      </c>
      <c r="M256" s="346"/>
      <c r="N256" s="659">
        <v>5910756444.3699999</v>
      </c>
      <c r="O256" s="1094">
        <f>$H256-N256</f>
        <v>68213337.543075562</v>
      </c>
      <c r="P256" s="1579">
        <f>IF(N256=0,"n/m",O256/ABS(N256))</f>
        <v>1.1540542768946066E-2</v>
      </c>
      <c r="Q256" s="2131"/>
      <c r="R256" s="2192"/>
    </row>
    <row r="257" spans="1:18" ht="18">
      <c r="A257" s="464">
        <f>+A256+1</f>
        <v>147</v>
      </c>
      <c r="B257" s="464"/>
      <c r="C257" s="510" t="s">
        <v>238</v>
      </c>
      <c r="D257" s="550"/>
      <c r="E257" s="102" t="str">
        <f>"(Note "&amp;B$315&amp;")"</f>
        <v>(Note J)</v>
      </c>
      <c r="F257" s="478" t="s">
        <v>474</v>
      </c>
      <c r="G257" s="218"/>
      <c r="H257" s="660">
        <f>'Att 15 - GSU and Assoc''d Equip'!C27</f>
        <v>244927582.07000023</v>
      </c>
      <c r="I257"/>
      <c r="J257" s="1279">
        <v>239989390.75</v>
      </c>
      <c r="K257" s="1094">
        <f>$H257-J257</f>
        <v>4938191.3200002313</v>
      </c>
      <c r="L257" s="1579">
        <f>IF(J257=0,"n/m",K257/ABS(J257))</f>
        <v>2.0576706764276958E-2</v>
      </c>
      <c r="M257" s="346"/>
      <c r="N257" s="1279">
        <v>242640976.00425023</v>
      </c>
      <c r="O257" s="1094">
        <f>$H257-N257</f>
        <v>2286606.0657500029</v>
      </c>
      <c r="P257" s="1579">
        <f>IF(N257=0,"n/m",O257/ABS(N257))</f>
        <v>9.4238248765944194E-3</v>
      </c>
      <c r="Q257" s="2131"/>
      <c r="R257" s="2192"/>
    </row>
    <row r="258" spans="1:18" ht="18">
      <c r="A258" s="464">
        <f>+A257+1</f>
        <v>148</v>
      </c>
      <c r="B258" s="464"/>
      <c r="C258" s="249" t="s">
        <v>239</v>
      </c>
      <c r="D258" s="398"/>
      <c r="E258" s="551"/>
      <c r="F258" s="242" t="str">
        <f>"(Line "&amp;A256&amp;" - Line "&amp;A257&amp;")"</f>
        <v>(Line 146 - Line 147)</v>
      </c>
      <c r="G258" s="106"/>
      <c r="H258" s="659">
        <f>H256-H257</f>
        <v>5734042199.8430748</v>
      </c>
      <c r="I258"/>
      <c r="J258" s="659">
        <v>5147881485.8999996</v>
      </c>
      <c r="K258" s="1613">
        <f>$H258-J258</f>
        <v>586160713.94307518</v>
      </c>
      <c r="L258" s="1605">
        <f>IF(J258=0,"n/m",K258/ABS(J258))</f>
        <v>0.11386445386292672</v>
      </c>
      <c r="M258" s="346"/>
      <c r="N258" s="659">
        <v>5668115468.3657494</v>
      </c>
      <c r="O258" s="1613">
        <f>$H258-N258</f>
        <v>65926731.477325439</v>
      </c>
      <c r="P258" s="1605">
        <f>IF(N258=0,"n/m",O258/ABS(N258))</f>
        <v>1.1631155336419719E-2</v>
      </c>
      <c r="Q258" s="2131"/>
      <c r="R258" s="2192"/>
    </row>
    <row r="259" spans="1:18" ht="18">
      <c r="A259" s="464">
        <f>+A258+1</f>
        <v>149</v>
      </c>
      <c r="B259" s="464"/>
      <c r="C259" s="249" t="s">
        <v>240</v>
      </c>
      <c r="D259" s="398"/>
      <c r="E259" s="549"/>
      <c r="F259" s="242" t="str">
        <f>"(Line "&amp;A258&amp;" / Line "&amp;A256&amp;")"</f>
        <v>(Line 148 / Line 146)</v>
      </c>
      <c r="G259" s="106"/>
      <c r="H259" s="552">
        <f>H258/H256</f>
        <v>0.95903515304410325</v>
      </c>
      <c r="I259"/>
      <c r="J259" s="552">
        <v>0.95545747174638718</v>
      </c>
      <c r="K259" s="552"/>
      <c r="L259" s="552"/>
      <c r="M259" s="346"/>
      <c r="N259" s="552">
        <v>0.95894925154032251</v>
      </c>
      <c r="O259" s="1582"/>
      <c r="P259" s="1582"/>
      <c r="Q259" s="2131"/>
      <c r="R259" s="2192"/>
    </row>
    <row r="260" spans="1:18" ht="18">
      <c r="A260" s="464">
        <f>+A259+1</f>
        <v>150</v>
      </c>
      <c r="B260" s="464"/>
      <c r="C260" s="510" t="s">
        <v>301</v>
      </c>
      <c r="D260" s="550"/>
      <c r="E260" s="553"/>
      <c r="F260" s="478" t="str">
        <f>"(Line "&amp;A253&amp;")"</f>
        <v>(Line 145)</v>
      </c>
      <c r="G260" s="218"/>
      <c r="H260" s="660">
        <f>H253</f>
        <v>585387352.80714786</v>
      </c>
      <c r="I260"/>
      <c r="J260" s="660">
        <v>547313974.15009594</v>
      </c>
      <c r="K260" s="1094">
        <f>$H260-J260</f>
        <v>38073378.657051921</v>
      </c>
      <c r="L260" s="1579">
        <f>IF(J260=0,"n/m",K260/ABS(J260))</f>
        <v>6.9564053642472201E-2</v>
      </c>
      <c r="M260" s="346"/>
      <c r="N260" s="660">
        <v>578308658.8497411</v>
      </c>
      <c r="O260" s="1094">
        <f>$H260-N260</f>
        <v>7078693.9574067593</v>
      </c>
      <c r="P260" s="1579">
        <f>IF(N260=0,"n/m",O260/ABS(N260))</f>
        <v>1.2240338872819782E-2</v>
      </c>
      <c r="Q260" s="2131"/>
      <c r="R260" s="2192"/>
    </row>
    <row r="261" spans="1:18" ht="18">
      <c r="A261" s="464">
        <f>+A260+1</f>
        <v>151</v>
      </c>
      <c r="B261" s="464"/>
      <c r="C261" s="17" t="s">
        <v>241</v>
      </c>
      <c r="D261" s="398"/>
      <c r="E261" s="549"/>
      <c r="F261" s="242" t="str">
        <f>"(Line "&amp;A259&amp;" * Line "&amp;A260&amp;")"</f>
        <v>(Line 149 * Line 150)</v>
      </c>
      <c r="G261" s="106"/>
      <c r="H261" s="661">
        <f>H259*H260</f>
        <v>561407049.4894855</v>
      </c>
      <c r="I261"/>
      <c r="J261" s="661">
        <v>522935225.99291819</v>
      </c>
      <c r="K261" s="1613">
        <f>$H261-J261</f>
        <v>38471823.496567309</v>
      </c>
      <c r="L261" s="1605">
        <f>IF(J261=0,"n/m",K261/ABS(J261))</f>
        <v>7.3569003548229719E-2</v>
      </c>
      <c r="M261" s="346"/>
      <c r="N261" s="661">
        <v>554568655.56324697</v>
      </c>
      <c r="O261" s="1613">
        <f>$H261-N261</f>
        <v>6838393.9262385368</v>
      </c>
      <c r="P261" s="1605">
        <f>IF(N261=0,"n/m",O261/ABS(N261))</f>
        <v>1.2331014127174444E-2</v>
      </c>
      <c r="Q261" s="2131"/>
      <c r="R261" s="2192"/>
    </row>
    <row r="262" spans="1:18" ht="15.75">
      <c r="A262" s="113"/>
      <c r="B262" s="8"/>
      <c r="C262" s="249"/>
      <c r="D262" s="37"/>
      <c r="E262" s="157"/>
      <c r="F262" s="22"/>
      <c r="G262" s="9"/>
      <c r="H262" s="643"/>
      <c r="I262"/>
      <c r="J262" s="643"/>
      <c r="K262" s="643"/>
      <c r="L262" s="643"/>
      <c r="M262" s="346"/>
      <c r="N262" s="643"/>
      <c r="O262" s="643"/>
      <c r="P262" s="643"/>
      <c r="Q262" s="2131"/>
      <c r="R262" s="2192"/>
    </row>
    <row r="263" spans="1:18" ht="15.75">
      <c r="A263" s="113"/>
      <c r="B263" s="49" t="s">
        <v>214</v>
      </c>
      <c r="C263" s="249"/>
      <c r="D263" s="37"/>
      <c r="E263" s="157"/>
      <c r="F263" s="22"/>
      <c r="G263" s="9"/>
      <c r="H263" s="643"/>
      <c r="I263"/>
      <c r="J263" s="643"/>
      <c r="K263" s="643"/>
      <c r="L263" s="643"/>
      <c r="M263" s="346"/>
      <c r="N263" s="643"/>
      <c r="O263" s="643"/>
      <c r="P263" s="643"/>
      <c r="Q263" s="2131"/>
      <c r="R263" s="2192"/>
    </row>
    <row r="264" spans="1:18" ht="15.75">
      <c r="A264" s="34">
        <f>+A261+1</f>
        <v>152</v>
      </c>
      <c r="B264" s="349"/>
      <c r="C264" s="49" t="s">
        <v>214</v>
      </c>
      <c r="D264" s="174"/>
      <c r="E264" s="327"/>
      <c r="F264" s="22" t="s">
        <v>178</v>
      </c>
      <c r="G264" s="9"/>
      <c r="H264" s="653">
        <f>'Att 3 - Revenue Credits'!E22</f>
        <v>132780097.41754204</v>
      </c>
      <c r="I264"/>
      <c r="J264" s="1280">
        <v>148180554.20885769</v>
      </c>
      <c r="K264" s="1094">
        <f>$H264-J264</f>
        <v>-15400456.791315645</v>
      </c>
      <c r="L264" s="1579">
        <f>IF(J264=0,"n/m",K264/ABS(J264))</f>
        <v>-0.10393034952217139</v>
      </c>
      <c r="M264" s="346"/>
      <c r="N264" s="1280">
        <v>152695083.38861677</v>
      </c>
      <c r="O264" s="1094">
        <f>$H264-N264</f>
        <v>-19914985.97107473</v>
      </c>
      <c r="P264" s="1579">
        <f>IF(N264=0,"n/m",O264/ABS(N264))</f>
        <v>-0.13042322993720809</v>
      </c>
      <c r="Q264" s="2131"/>
      <c r="R264" s="2192"/>
    </row>
    <row r="265" spans="1:18" ht="16.5" thickBot="1">
      <c r="A265" s="8"/>
      <c r="B265" s="8"/>
      <c r="C265" s="51"/>
      <c r="D265" s="51"/>
      <c r="F265" s="9"/>
      <c r="G265" s="9"/>
      <c r="H265" s="646"/>
      <c r="I265"/>
      <c r="J265" s="646"/>
      <c r="K265" s="646"/>
      <c r="L265" s="646"/>
      <c r="M265" s="346"/>
      <c r="N265" s="646"/>
      <c r="O265" s="646"/>
      <c r="P265" s="646"/>
      <c r="Q265" s="2131"/>
      <c r="R265" s="2192"/>
    </row>
    <row r="266" spans="1:18" s="1" customFormat="1" ht="18.75" thickBot="1">
      <c r="A266" s="74">
        <f>A264+1</f>
        <v>153</v>
      </c>
      <c r="B266" s="79"/>
      <c r="C266" s="75" t="s">
        <v>308</v>
      </c>
      <c r="D266" s="76"/>
      <c r="E266" s="97"/>
      <c r="F266" s="971" t="str">
        <f>"(Line "&amp;A261&amp;" - Line "&amp;A264&amp;")"</f>
        <v>(Line 151 - Line 152)</v>
      </c>
      <c r="G266" s="77"/>
      <c r="H266" s="1075">
        <f>H261-H264</f>
        <v>428626952.07194346</v>
      </c>
      <c r="I266"/>
      <c r="J266" s="1281">
        <v>374754671.78406048</v>
      </c>
      <c r="K266" s="1637">
        <f>$H266-J266</f>
        <v>53872280.287882984</v>
      </c>
      <c r="L266" s="1611">
        <f>IF(J266=0,"n/m",K266/ABS(J266))</f>
        <v>0.14375345884660523</v>
      </c>
      <c r="M266" s="346"/>
      <c r="N266" s="1281">
        <v>401873572.17463017</v>
      </c>
      <c r="O266" s="1637">
        <f>$H266-N266</f>
        <v>26753379.897313297</v>
      </c>
      <c r="P266" s="1611">
        <f>IF(N266=0,"n/m",O266/ABS(N266))</f>
        <v>6.6571632845983414E-2</v>
      </c>
      <c r="Q266" s="2131"/>
      <c r="R266" s="2192"/>
    </row>
    <row r="267" spans="1:18" ht="15.75">
      <c r="A267" s="113"/>
      <c r="B267" s="8"/>
      <c r="C267" s="51"/>
      <c r="D267" s="51"/>
      <c r="F267" s="9"/>
      <c r="G267" s="9"/>
      <c r="H267" s="646"/>
      <c r="I267"/>
      <c r="J267" s="646"/>
      <c r="K267" s="646"/>
      <c r="L267" s="646"/>
      <c r="M267" s="346"/>
      <c r="N267" s="646"/>
      <c r="O267" s="646"/>
      <c r="P267" s="646"/>
      <c r="Q267" s="2131"/>
      <c r="R267" s="2192"/>
    </row>
    <row r="268" spans="1:18" ht="15.75">
      <c r="A268" s="34"/>
      <c r="B268" s="108" t="s">
        <v>48</v>
      </c>
      <c r="C268" s="23"/>
      <c r="D268" s="51"/>
      <c r="F268" s="22"/>
      <c r="G268" s="9"/>
      <c r="H268" s="646"/>
      <c r="I268"/>
      <c r="J268" s="646"/>
      <c r="K268" s="646"/>
      <c r="L268" s="646"/>
      <c r="M268" s="346"/>
      <c r="N268" s="646"/>
      <c r="O268" s="646"/>
      <c r="P268" s="646"/>
      <c r="Q268" s="2131"/>
      <c r="R268" s="2192"/>
    </row>
    <row r="269" spans="1:18" ht="15.75">
      <c r="A269" s="34">
        <f>+A266+1</f>
        <v>154</v>
      </c>
      <c r="B269" s="34"/>
      <c r="C269" s="51" t="str">
        <f>+C260</f>
        <v>Gross Revenue Requirement</v>
      </c>
      <c r="D269" s="51"/>
      <c r="F269" s="22" t="str">
        <f>"(Line "&amp;A260&amp;")"</f>
        <v>(Line 150)</v>
      </c>
      <c r="G269" s="9"/>
      <c r="H269" s="704">
        <f>H260</f>
        <v>585387352.80714786</v>
      </c>
      <c r="I269"/>
      <c r="J269" s="704">
        <v>547313974.15009594</v>
      </c>
      <c r="K269" s="1094">
        <f>$H269-J269</f>
        <v>38073378.657051921</v>
      </c>
      <c r="L269" s="1579">
        <f>IF(J269=0,"n/m",K269/ABS(J269))</f>
        <v>6.9564053642472201E-2</v>
      </c>
      <c r="M269" s="346"/>
      <c r="N269" s="704">
        <v>578308658.8497411</v>
      </c>
      <c r="O269" s="1094">
        <f>$H269-N269</f>
        <v>7078693.9574067593</v>
      </c>
      <c r="P269" s="1579">
        <f>IF(N269=0,"n/m",O269/ABS(N269))</f>
        <v>1.2240338872819782E-2</v>
      </c>
      <c r="Q269" s="2131"/>
      <c r="R269" s="2192"/>
    </row>
    <row r="270" spans="1:18" ht="15.75">
      <c r="A270" s="34">
        <f>+A269+1</f>
        <v>155</v>
      </c>
      <c r="B270" s="34"/>
      <c r="C270" s="51" t="s">
        <v>260</v>
      </c>
      <c r="D270" s="51"/>
      <c r="F270" s="22" t="str">
        <f>"(Line "&amp;A40&amp;" - Line "&amp;A54&amp;" + Line "&amp;A72&amp;")"</f>
        <v>(Line 17 - Line 25 + Line 34)</v>
      </c>
      <c r="G270" s="22"/>
      <c r="H270" s="705">
        <f>(H40-H54)+H72</f>
        <v>4430592345.3523064</v>
      </c>
      <c r="I270"/>
      <c r="J270" s="705">
        <v>4267491522.9283619</v>
      </c>
      <c r="K270" s="1094">
        <f>$H270-J270</f>
        <v>163100822.42394447</v>
      </c>
      <c r="L270" s="1579">
        <f>IF(J270=0,"n/m",K270/ABS(J270))</f>
        <v>3.821936647035782E-2</v>
      </c>
      <c r="M270" s="346"/>
      <c r="N270" s="705">
        <v>4485390618.7532234</v>
      </c>
      <c r="O270" s="1094">
        <f>$H270-N270</f>
        <v>-54798273.400917053</v>
      </c>
      <c r="P270" s="1579">
        <f>IF(N270=0,"n/m",O270/ABS(N270))</f>
        <v>-1.2217057121359252E-2</v>
      </c>
      <c r="Q270" s="2131"/>
      <c r="R270" s="2192"/>
    </row>
    <row r="271" spans="1:18" ht="15.75">
      <c r="A271" s="34">
        <f>+A270+1</f>
        <v>156</v>
      </c>
      <c r="B271" s="34"/>
      <c r="C271" s="51" t="s">
        <v>53</v>
      </c>
      <c r="D271" s="51"/>
      <c r="F271" s="22" t="str">
        <f>"(Line "&amp;A269&amp;" / Line "&amp;A270&amp;")"</f>
        <v>(Line 154 / Line 155)</v>
      </c>
      <c r="G271" s="22"/>
      <c r="H271" s="511">
        <f>H269/H270</f>
        <v>0.13212394803625288</v>
      </c>
      <c r="I271"/>
      <c r="J271" s="511">
        <v>0.12825191830129937</v>
      </c>
      <c r="K271" s="1661">
        <f>$H271-J271</f>
        <v>3.8720297349535138E-3</v>
      </c>
      <c r="L271" s="511"/>
      <c r="M271" s="346"/>
      <c r="N271" s="511">
        <v>0.12893161555023941</v>
      </c>
      <c r="O271" s="1661">
        <f>$H271-N271</f>
        <v>3.1923324860134716E-3</v>
      </c>
      <c r="P271" s="1618"/>
      <c r="Q271" s="2131"/>
      <c r="R271" s="2192"/>
    </row>
    <row r="272" spans="1:18" ht="15.75">
      <c r="A272" s="34">
        <f>+A271+1</f>
        <v>157</v>
      </c>
      <c r="B272" s="34"/>
      <c r="C272" s="51" t="s">
        <v>54</v>
      </c>
      <c r="D272" s="51"/>
      <c r="F272" s="22" t="str">
        <f>"(Line "&amp;A269&amp;" - Line "&amp;A144&amp;") / Line "&amp;A270</f>
        <v>(Line 154 - Line 76) / Line 155</v>
      </c>
      <c r="G272" s="22"/>
      <c r="H272" s="511">
        <f>(H269-H144)/H270</f>
        <v>0.10850295160001265</v>
      </c>
      <c r="I272"/>
      <c r="J272" s="511">
        <v>0.10667352160027661</v>
      </c>
      <c r="K272" s="1661">
        <f>$H272-J272</f>
        <v>1.8294299997360375E-3</v>
      </c>
      <c r="L272" s="511"/>
      <c r="M272" s="346"/>
      <c r="N272" s="511">
        <v>0.1068067483012004</v>
      </c>
      <c r="O272" s="1661">
        <f>$H272-N272</f>
        <v>1.6962032988122461E-3</v>
      </c>
      <c r="P272" s="1618"/>
      <c r="Q272" s="2131"/>
      <c r="R272" s="2192"/>
    </row>
    <row r="273" spans="1:242" ht="15.75">
      <c r="A273" s="34">
        <f>+A272+1</f>
        <v>158</v>
      </c>
      <c r="B273" s="34"/>
      <c r="C273" s="51" t="s">
        <v>55</v>
      </c>
      <c r="D273" s="51"/>
      <c r="E273" s="45"/>
      <c r="F273" s="22" t="str">
        <f>"(Line "&amp;A269&amp;" - Line "&amp;A144&amp;" - Line "&amp;A221&amp;" - Line "&amp;A238&amp;") / Line "&amp;A270</f>
        <v>(Line 154 - Line 76 - Line 127 - Line 136) / Line 155</v>
      </c>
      <c r="G273" s="22"/>
      <c r="H273" s="511">
        <f>(H269-H144-H221-H238)/H270</f>
        <v>2.6823160753510517E-2</v>
      </c>
      <c r="I273"/>
      <c r="J273" s="511">
        <v>2.3192171184805505E-2</v>
      </c>
      <c r="K273" s="1661">
        <f>$H273-J273</f>
        <v>3.6309895687050113E-3</v>
      </c>
      <c r="L273" s="511"/>
      <c r="M273" s="346"/>
      <c r="N273" s="511">
        <v>2.4946327635462836E-2</v>
      </c>
      <c r="O273" s="1661">
        <f>$H273-N273</f>
        <v>1.8768331180476806E-3</v>
      </c>
      <c r="P273" s="1618"/>
      <c r="Q273" s="2131"/>
      <c r="R273" s="2192"/>
    </row>
    <row r="274" spans="1:242" ht="15.75">
      <c r="A274" s="34"/>
      <c r="B274" s="34"/>
      <c r="C274" s="51"/>
      <c r="D274" s="51"/>
      <c r="F274" s="22"/>
      <c r="G274" s="22"/>
      <c r="H274" s="318"/>
      <c r="I274"/>
      <c r="J274" s="318"/>
      <c r="K274" s="318"/>
      <c r="L274" s="318"/>
      <c r="M274" s="346"/>
      <c r="N274" s="318"/>
      <c r="O274" s="1622"/>
      <c r="P274" s="1622"/>
      <c r="Q274" s="2131"/>
      <c r="R274" s="2192"/>
    </row>
    <row r="275" spans="1:242" ht="15.75">
      <c r="A275" s="34"/>
      <c r="B275" s="108" t="s">
        <v>49</v>
      </c>
      <c r="C275" s="51"/>
      <c r="D275" s="51"/>
      <c r="F275" s="22"/>
      <c r="G275" s="22"/>
      <c r="H275" s="318"/>
      <c r="I275"/>
      <c r="J275" s="318"/>
      <c r="K275" s="318"/>
      <c r="L275" s="318"/>
      <c r="M275" s="346"/>
      <c r="N275" s="318"/>
      <c r="O275" s="1622"/>
      <c r="P275" s="1622"/>
      <c r="Q275" s="2131"/>
      <c r="R275" s="2192"/>
    </row>
    <row r="276" spans="1:242" ht="15.75">
      <c r="A276" s="34">
        <f>+A273+1</f>
        <v>159</v>
      </c>
      <c r="B276" s="34"/>
      <c r="C276" s="51" t="s">
        <v>261</v>
      </c>
      <c r="D276" s="51"/>
      <c r="F276" s="22" t="str">
        <f>"(Line "&amp;A260&amp;" - Line "&amp;A250&amp;" - Line "&amp;A251&amp;")"</f>
        <v>(Line 150 - Line 143 - Line 144)</v>
      </c>
      <c r="G276" s="22"/>
      <c r="H276" s="706">
        <f>H260-H250-H251</f>
        <v>223497496.71265805</v>
      </c>
      <c r="I276"/>
      <c r="J276" s="706">
        <v>191058018.92946091</v>
      </c>
      <c r="K276" s="1094">
        <f>$H276-J276</f>
        <v>32439477.783197135</v>
      </c>
      <c r="L276" s="1579">
        <f>IF(J276=0,"n/m",K276/ABS(J276))</f>
        <v>0.16978862214191529</v>
      </c>
      <c r="M276" s="346"/>
      <c r="N276" s="706">
        <v>211132695.94844925</v>
      </c>
      <c r="O276" s="1094">
        <f>$H276-N276</f>
        <v>12364800.764208794</v>
      </c>
      <c r="P276" s="1579">
        <f>IF(N276=0,"n/m",O276/ABS(N276))</f>
        <v>5.8564121055072485E-2</v>
      </c>
      <c r="Q276" s="2131"/>
      <c r="R276" s="2192"/>
    </row>
    <row r="277" spans="1:242" ht="15.75">
      <c r="A277" s="34">
        <f>+A276+1</f>
        <v>160</v>
      </c>
      <c r="B277" s="34"/>
      <c r="C277" s="51" t="s">
        <v>130</v>
      </c>
      <c r="D277" s="51"/>
      <c r="F277" s="22" t="s">
        <v>179</v>
      </c>
      <c r="G277" s="22"/>
      <c r="H277" s="706">
        <f>'Att 4 - 100 Basis Point ROE'!I8</f>
        <v>390133550.91564906</v>
      </c>
      <c r="I277"/>
      <c r="J277" s="1282">
        <v>384158377.18577975</v>
      </c>
      <c r="K277" s="1094">
        <f>$H277-J277</f>
        <v>5975173.7298693061</v>
      </c>
      <c r="L277" s="1579">
        <f>IF(J277=0,"n/m",K277/ABS(J277))</f>
        <v>1.5553933181521382E-2</v>
      </c>
      <c r="M277" s="346"/>
      <c r="N277" s="1282">
        <v>395822607.8505637</v>
      </c>
      <c r="O277" s="1094">
        <f>$H277-N277</f>
        <v>-5689056.9349146485</v>
      </c>
      <c r="P277" s="1579">
        <f>IF(N277=0,"n/m",O277/ABS(N277))</f>
        <v>-1.4372743805130145E-2</v>
      </c>
      <c r="Q277" s="2131"/>
      <c r="R277" s="2192"/>
    </row>
    <row r="278" spans="1:242" ht="15.75">
      <c r="A278" s="34">
        <f>+A277+1</f>
        <v>161</v>
      </c>
      <c r="B278" s="34"/>
      <c r="C278" s="51" t="s">
        <v>50</v>
      </c>
      <c r="D278" s="51"/>
      <c r="F278" s="22" t="str">
        <f>"(Line "&amp;A276&amp;" + Line "&amp;A277&amp;")"</f>
        <v>(Line 159 + Line 160)</v>
      </c>
      <c r="G278" s="22"/>
      <c r="H278" s="706">
        <f>H276+H277</f>
        <v>613631047.6283071</v>
      </c>
      <c r="I278"/>
      <c r="J278" s="706">
        <v>575216396.11524069</v>
      </c>
      <c r="K278" s="1094">
        <f>$H278-J278</f>
        <v>38414651.513066411</v>
      </c>
      <c r="L278" s="1579">
        <f>IF(J278=0,"n/m",K278/ABS(J278))</f>
        <v>6.6782956418666301E-2</v>
      </c>
      <c r="M278" s="346"/>
      <c r="N278" s="706">
        <v>606955303.7990129</v>
      </c>
      <c r="O278" s="1094">
        <f>$H278-N278</f>
        <v>6675743.8292942047</v>
      </c>
      <c r="P278" s="1579">
        <f>IF(N278=0,"n/m",O278/ABS(N278))</f>
        <v>1.0998740413849007E-2</v>
      </c>
      <c r="Q278" s="2131"/>
      <c r="R278" s="2192"/>
    </row>
    <row r="279" spans="1:242" ht="15.75">
      <c r="A279" s="34">
        <f>+A278+1</f>
        <v>162</v>
      </c>
      <c r="B279" s="34"/>
      <c r="C279" s="51" t="str">
        <f>+C270</f>
        <v xml:space="preserve">Net Transmission Plant </v>
      </c>
      <c r="D279" s="51"/>
      <c r="F279" s="22" t="str">
        <f>"(Line "&amp;A40&amp;" - Line "&amp;A54&amp;" + Line "&amp;A72&amp;")"</f>
        <v>(Line 17 - Line 25 + Line 34)</v>
      </c>
      <c r="G279" s="22"/>
      <c r="H279" s="705">
        <f>(H40-H54)+H72</f>
        <v>4430592345.3523064</v>
      </c>
      <c r="I279"/>
      <c r="J279" s="705">
        <v>4267491522.9283619</v>
      </c>
      <c r="K279" s="1094">
        <f>$H279-J279</f>
        <v>163100822.42394447</v>
      </c>
      <c r="L279" s="1579">
        <f>IF(J279=0,"n/m",K279/ABS(J279))</f>
        <v>3.821936647035782E-2</v>
      </c>
      <c r="M279" s="346"/>
      <c r="N279" s="705">
        <v>4485390618.7532234</v>
      </c>
      <c r="O279" s="1094">
        <f>$H279-N279</f>
        <v>-54798273.400917053</v>
      </c>
      <c r="P279" s="1579">
        <f>IF(N279=0,"n/m",O279/ABS(N279))</f>
        <v>-1.2217057121359252E-2</v>
      </c>
      <c r="Q279" s="2131"/>
      <c r="R279" s="2192"/>
    </row>
    <row r="280" spans="1:242" ht="15.75">
      <c r="A280" s="34">
        <f>+A279+1</f>
        <v>163</v>
      </c>
      <c r="B280" s="34"/>
      <c r="C280" s="51" t="s">
        <v>51</v>
      </c>
      <c r="D280" s="51"/>
      <c r="F280" s="22" t="str">
        <f>"(Line "&amp;A278&amp;" / Line "&amp;A279&amp;")"</f>
        <v>(Line 161 / Line 162)</v>
      </c>
      <c r="G280" s="9"/>
      <c r="H280" s="707">
        <f>H278/H279</f>
        <v>0.13849864753908275</v>
      </c>
      <c r="I280"/>
      <c r="J280" s="707">
        <v>0.13479028441526369</v>
      </c>
      <c r="K280" s="707"/>
      <c r="L280" s="707"/>
      <c r="M280" s="346"/>
      <c r="N280" s="707">
        <v>0.13531827111363703</v>
      </c>
      <c r="O280" s="707"/>
      <c r="P280" s="707"/>
      <c r="Q280" s="2131"/>
      <c r="R280" s="2192"/>
    </row>
    <row r="281" spans="1:242" ht="15.75">
      <c r="A281" s="34">
        <f>+A280+1</f>
        <v>164</v>
      </c>
      <c r="B281" s="34"/>
      <c r="C281" s="51" t="s">
        <v>52</v>
      </c>
      <c r="D281" s="51"/>
      <c r="F281" s="22" t="str">
        <f>"(Line "&amp;A278&amp;" - Line "&amp;A144&amp;") /  Line "&amp;A279</f>
        <v>(Line 161 - Line 76) /  Line 162</v>
      </c>
      <c r="G281" s="9"/>
      <c r="H281" s="707">
        <f>(H278-H144)/H279</f>
        <v>0.11487765110284254</v>
      </c>
      <c r="I281"/>
      <c r="J281" s="707">
        <v>0.11321188771424093</v>
      </c>
      <c r="K281" s="707"/>
      <c r="L281" s="707"/>
      <c r="M281" s="346"/>
      <c r="N281" s="707">
        <v>0.11319340386459803</v>
      </c>
      <c r="O281" s="707"/>
      <c r="P281" s="707"/>
      <c r="Q281" s="2131"/>
      <c r="R281" s="2192"/>
      <c r="S281" s="51"/>
    </row>
    <row r="282" spans="1:242" ht="15.75">
      <c r="A282" s="34"/>
      <c r="B282" s="34"/>
      <c r="C282" s="51"/>
      <c r="D282" s="51"/>
      <c r="F282" s="22"/>
      <c r="G282" s="9"/>
      <c r="H282" s="11"/>
      <c r="I282"/>
      <c r="J282" s="11"/>
      <c r="K282" s="11"/>
      <c r="L282" s="11"/>
      <c r="M282" s="346"/>
      <c r="N282" s="11"/>
      <c r="O282" s="1633"/>
      <c r="P282" s="1633"/>
      <c r="Q282" s="2131"/>
      <c r="R282" s="2192"/>
      <c r="S282" s="51"/>
    </row>
    <row r="283" spans="1:242" ht="15.75">
      <c r="A283" s="34">
        <f>+A281+1</f>
        <v>165</v>
      </c>
      <c r="B283" s="34"/>
      <c r="C283" s="108" t="s">
        <v>308</v>
      </c>
      <c r="D283" s="51"/>
      <c r="E283" s="45"/>
      <c r="F283" s="22" t="str">
        <f>"(Line "&amp;A266&amp;")"</f>
        <v>(Line 153)</v>
      </c>
      <c r="G283" s="9"/>
      <c r="H283" s="706">
        <f>H266</f>
        <v>428626952.07194346</v>
      </c>
      <c r="I283"/>
      <c r="J283" s="706">
        <v>374754671.78406048</v>
      </c>
      <c r="K283" s="1094">
        <f>$H283-J283</f>
        <v>53872280.287882984</v>
      </c>
      <c r="L283" s="1579">
        <f>IF(J283=0,"n/m",K283/ABS(J283))</f>
        <v>0.14375345884660523</v>
      </c>
      <c r="M283" s="346"/>
      <c r="N283" s="706">
        <v>401873572.17463017</v>
      </c>
      <c r="O283" s="1094">
        <f>$H283-N283</f>
        <v>26753379.897313297</v>
      </c>
      <c r="P283" s="1579">
        <f>IF(N283=0,"n/m",O283/ABS(N283))</f>
        <v>6.6571632845983414E-2</v>
      </c>
      <c r="Q283" s="2131"/>
      <c r="R283" s="2192"/>
      <c r="S283" s="51"/>
    </row>
    <row r="284" spans="1:242" ht="15.75">
      <c r="A284" s="34">
        <f>+A283+1</f>
        <v>166</v>
      </c>
      <c r="B284" s="34"/>
      <c r="C284" s="37" t="s">
        <v>361</v>
      </c>
      <c r="D284" s="170"/>
      <c r="E284" s="99"/>
      <c r="F284" s="37" t="s">
        <v>202</v>
      </c>
      <c r="G284" s="9"/>
      <c r="H284" s="706">
        <f>'Att 5 - Cost Support'!H258</f>
        <v>0</v>
      </c>
      <c r="I284"/>
      <c r="J284" s="1282">
        <v>0</v>
      </c>
      <c r="K284" s="1094">
        <f>$H284-J284</f>
        <v>0</v>
      </c>
      <c r="L284" s="1579" t="str">
        <f>IF(J284=0,"n/m",K284/ABS(J284))</f>
        <v>n/m</v>
      </c>
      <c r="M284" s="346"/>
      <c r="N284" s="1282">
        <v>0</v>
      </c>
      <c r="O284" s="1094">
        <f>$H284-N284</f>
        <v>0</v>
      </c>
      <c r="P284" s="1579" t="str">
        <f>IF(N284=0,"n/m",O284/ABS(N284))</f>
        <v>n/m</v>
      </c>
      <c r="Q284" s="2131"/>
      <c r="R284" s="2192"/>
      <c r="S284" s="51"/>
      <c r="IH284" s="18">
        <f>SUM(A284:IG284)</f>
        <v>166</v>
      </c>
    </row>
    <row r="285" spans="1:242" ht="15.75">
      <c r="A285" s="34">
        <f>A284+1</f>
        <v>167</v>
      </c>
      <c r="B285" s="34"/>
      <c r="C285" s="37" t="s">
        <v>377</v>
      </c>
      <c r="D285" s="170"/>
      <c r="E285" s="99"/>
      <c r="F285" s="37" t="s">
        <v>378</v>
      </c>
      <c r="G285" s="9"/>
      <c r="H285" s="706">
        <f>INDEX('Att 7 - Trans Enhance Charge'!$D$30:$T$71,MATCH(IF(Toggle=Projection,data_year+1,data_year)&amp;'Att 7 - Trans Enhance Charge'!$C$31,'Att 7 - Trans Enhance Charge'!$B$30:$B$69,0),MATCH('Att 7 - Trans Enhance Charge'!$T$29,'Att 7 - Trans Enhance Charge'!$D$29:$T$29,0))</f>
        <v>4663281.0387433171</v>
      </c>
      <c r="I285"/>
      <c r="J285" s="1282">
        <v>4418737.5563373268</v>
      </c>
      <c r="K285" s="1094">
        <f>$H285-J285</f>
        <v>244543.48240599036</v>
      </c>
      <c r="L285" s="1579">
        <f>IF(J285=0,"n/m",K285/ABS(J285))</f>
        <v>5.5342386663192425E-2</v>
      </c>
      <c r="M285" s="23"/>
      <c r="N285" s="1282">
        <v>4677132.4473536313</v>
      </c>
      <c r="O285" s="1094">
        <f>$H285-N285</f>
        <v>-13851.408610314131</v>
      </c>
      <c r="P285" s="1579">
        <f>IF(N285=0,"n/m",O285/ABS(N285))</f>
        <v>-2.9615172899692841E-3</v>
      </c>
      <c r="Q285" s="2131"/>
      <c r="R285" s="2192"/>
      <c r="S285" s="51"/>
    </row>
    <row r="286" spans="1:242" ht="15.75">
      <c r="A286" s="34">
        <f>A285+1</f>
        <v>168</v>
      </c>
      <c r="B286" s="34"/>
      <c r="C286" s="37" t="s">
        <v>427</v>
      </c>
      <c r="D286" s="170"/>
      <c r="E286" s="99"/>
      <c r="F286" s="37" t="s">
        <v>202</v>
      </c>
      <c r="G286" s="9"/>
      <c r="H286" s="706">
        <f>'Att 5 - Cost Support'!H259</f>
        <v>1047559.3999999999</v>
      </c>
      <c r="I286"/>
      <c r="J286" s="1282">
        <v>1751603.6500000001</v>
      </c>
      <c r="K286" s="1094">
        <f>$H286-J286</f>
        <v>-704044.25000000023</v>
      </c>
      <c r="L286" s="1579">
        <f>IF(J286=0,"n/m",K286/ABS(J286))</f>
        <v>-0.40194267122017024</v>
      </c>
      <c r="M286" s="346"/>
      <c r="N286" s="1282">
        <v>1520802.88</v>
      </c>
      <c r="O286" s="1094">
        <f>$H286-N286</f>
        <v>-473243.48</v>
      </c>
      <c r="P286" s="1579">
        <f>IF(N286=0,"n/m",O286/ABS(N286))</f>
        <v>-0.31118002617143914</v>
      </c>
      <c r="Q286" s="2131"/>
      <c r="R286" s="2192"/>
      <c r="S286" s="51"/>
    </row>
    <row r="287" spans="1:242" ht="15.75">
      <c r="A287" s="34">
        <f>A286+1</f>
        <v>169</v>
      </c>
      <c r="B287" s="34"/>
      <c r="C287" s="108" t="s">
        <v>101</v>
      </c>
      <c r="D287" s="51"/>
      <c r="E287" s="45"/>
      <c r="F287" s="22" t="str">
        <f>"(Line "&amp;A283&amp;" + "&amp;A284&amp;" + "&amp;A285&amp;" + "&amp;A286&amp;")"</f>
        <v>(Line 165 + 166 + 167 + 168)</v>
      </c>
      <c r="G287" s="9"/>
      <c r="H287" s="706">
        <f>(H283+H284+H285+H286)</f>
        <v>434337792.51068676</v>
      </c>
      <c r="I287"/>
      <c r="J287" s="706">
        <v>380925012.99039781</v>
      </c>
      <c r="K287" s="1094">
        <f>$H287-J287</f>
        <v>53412779.520288944</v>
      </c>
      <c r="L287" s="1579">
        <f>IF(J287=0,"n/m",K287/ABS(J287))</f>
        <v>0.14021861967262136</v>
      </c>
      <c r="M287" s="346"/>
      <c r="N287" s="706">
        <v>408071507.50198376</v>
      </c>
      <c r="O287" s="1094">
        <f>$H287-N287</f>
        <v>26266285.008702993</v>
      </c>
      <c r="P287" s="1579">
        <f>IF(N287=0,"n/m",O287/ABS(N287))</f>
        <v>6.4366868369449451E-2</v>
      </c>
      <c r="Q287" s="2131"/>
      <c r="R287" s="2192"/>
      <c r="S287" s="51"/>
    </row>
    <row r="288" spans="1:242" ht="15.75">
      <c r="A288" s="34"/>
      <c r="B288" s="8"/>
      <c r="C288" s="51"/>
      <c r="D288" s="51"/>
      <c r="F288" s="22"/>
      <c r="G288" s="9"/>
      <c r="H288" s="653"/>
      <c r="I288"/>
      <c r="J288" s="653"/>
      <c r="K288" s="653"/>
      <c r="L288" s="653"/>
      <c r="M288" s="346"/>
      <c r="N288" s="653"/>
      <c r="O288" s="653"/>
      <c r="P288" s="653"/>
      <c r="Q288" s="2131"/>
      <c r="R288" s="2192"/>
      <c r="S288" s="51"/>
    </row>
    <row r="289" spans="1:19" ht="15.75">
      <c r="A289" s="34"/>
      <c r="B289" s="182" t="s">
        <v>929</v>
      </c>
      <c r="C289" s="51"/>
      <c r="D289" s="51"/>
      <c r="E289" s="327"/>
      <c r="F289" s="22"/>
      <c r="G289" s="9"/>
      <c r="H289" s="653"/>
      <c r="I289"/>
      <c r="J289" s="653"/>
      <c r="K289" s="653"/>
      <c r="L289" s="653"/>
      <c r="M289" s="349"/>
      <c r="N289" s="653"/>
      <c r="O289" s="653"/>
      <c r="P289" s="653"/>
      <c r="Q289" s="2131"/>
      <c r="R289" s="2192"/>
      <c r="S289" s="51"/>
    </row>
    <row r="290" spans="1:19" ht="15.75">
      <c r="A290" s="34">
        <f>+A287+1</f>
        <v>170</v>
      </c>
      <c r="B290" s="8"/>
      <c r="C290" s="22" t="s">
        <v>641</v>
      </c>
      <c r="E290" s="99" t="str">
        <f>"(Note "&amp;B$313&amp;")"</f>
        <v>(Note I)</v>
      </c>
      <c r="F290" s="51" t="s">
        <v>1041</v>
      </c>
      <c r="G290" s="51"/>
      <c r="H290" s="653">
        <f>IF(Toggle=Projection,'Att 9a - 2017 Projection'!AF43,IF(Toggle=True_up,'Att 9b - 2016 True-up'!AF43,"Set Toggle!"))</f>
        <v>13413.906183183331</v>
      </c>
      <c r="I290"/>
      <c r="J290" s="1280">
        <v>13378.773209999999</v>
      </c>
      <c r="K290" s="1094">
        <f>$H290-J290</f>
        <v>35.132973183332069</v>
      </c>
      <c r="L290" s="1579">
        <f>IF(J290=0,"n/m",K290/ABS(J290))</f>
        <v>2.626023524867873E-3</v>
      </c>
      <c r="M290" s="885"/>
      <c r="N290" s="1280">
        <v>13738.341975833333</v>
      </c>
      <c r="O290" s="1094">
        <f>$H290-N290</f>
        <v>-324.43579265000153</v>
      </c>
      <c r="P290" s="1579">
        <f>IF(N290=0,"n/m",O290/ABS(N290))</f>
        <v>-2.3615352800265554E-2</v>
      </c>
      <c r="Q290" s="2131"/>
      <c r="R290" s="2192"/>
      <c r="S290" s="51"/>
    </row>
    <row r="291" spans="1:19" ht="15.75">
      <c r="A291" s="34">
        <f>+A290+1</f>
        <v>171</v>
      </c>
      <c r="B291" s="8"/>
      <c r="C291" s="9" t="s">
        <v>482</v>
      </c>
      <c r="D291" s="554"/>
      <c r="E291" s="227"/>
      <c r="F291" s="242" t="str">
        <f>"(Line "&amp;A287&amp;" / "&amp;A290&amp;")"</f>
        <v>(Line 169 / 170)</v>
      </c>
      <c r="G291" s="226"/>
      <c r="H291" s="662">
        <f>H287/H290</f>
        <v>32379.665295050658</v>
      </c>
      <c r="I291"/>
      <c r="J291" s="662">
        <v>28472.342494427994</v>
      </c>
      <c r="K291" s="1094">
        <f>$H291-J291</f>
        <v>3907.3228006226636</v>
      </c>
      <c r="L291" s="1579">
        <f>IF(J291=0,"n/m",K291/ABS(J291))</f>
        <v>0.13723222110675729</v>
      </c>
      <c r="M291" s="346"/>
      <c r="N291" s="662">
        <v>29703.111788875904</v>
      </c>
      <c r="O291" s="1094">
        <f>$H291-N291</f>
        <v>2676.5535061747541</v>
      </c>
      <c r="P291" s="1579">
        <f>IF(N291=0,"n/m",O291/ABS(N291))</f>
        <v>9.0110205462619192E-2</v>
      </c>
      <c r="Q291" s="2131"/>
      <c r="R291" s="2192"/>
      <c r="S291" s="51"/>
    </row>
    <row r="292" spans="1:19" ht="16.5" thickBot="1">
      <c r="A292" s="8"/>
      <c r="B292" s="8"/>
      <c r="E292" s="225"/>
      <c r="F292" s="555"/>
      <c r="G292" s="226"/>
      <c r="H292" s="190"/>
      <c r="I292"/>
      <c r="J292" s="190"/>
      <c r="K292" s="190"/>
      <c r="L292" s="190"/>
      <c r="M292" s="51"/>
      <c r="N292" s="190"/>
      <c r="O292" s="190"/>
      <c r="P292" s="190"/>
      <c r="Q292" s="2131"/>
      <c r="R292" s="2192"/>
      <c r="S292" s="51"/>
    </row>
    <row r="293" spans="1:19" s="38" customFormat="1" ht="18.75" thickBot="1">
      <c r="A293" s="74">
        <f>+A291+1</f>
        <v>172</v>
      </c>
      <c r="B293" s="81"/>
      <c r="C293" s="698" t="s">
        <v>969</v>
      </c>
      <c r="D293" s="699"/>
      <c r="E293" s="699"/>
      <c r="F293" s="972" t="str">
        <f>"(Line "&amp;A291&amp;")"</f>
        <v>(Line 171)</v>
      </c>
      <c r="G293" s="699"/>
      <c r="H293" s="1076">
        <f>H291</f>
        <v>32379.665295050658</v>
      </c>
      <c r="I293"/>
      <c r="J293" s="1281">
        <v>28472.342494427994</v>
      </c>
      <c r="K293" s="1637">
        <f>$H293-J293</f>
        <v>3907.3228006226636</v>
      </c>
      <c r="L293" s="1611">
        <f>IF(J293=0,"n/m",K293/ABS(J293))</f>
        <v>0.13723222110675729</v>
      </c>
      <c r="M293" s="51"/>
      <c r="N293" s="1281">
        <v>29703.111788875904</v>
      </c>
      <c r="O293" s="1637">
        <f>$H293-N293</f>
        <v>2676.5535061747541</v>
      </c>
      <c r="P293" s="1611">
        <f>IF(N293=0,"n/m",O293/ABS(N293))</f>
        <v>9.0110205462619192E-2</v>
      </c>
      <c r="Q293" s="2131"/>
      <c r="R293" s="2192"/>
      <c r="S293" s="51"/>
    </row>
    <row r="294" spans="1:19" s="38" customFormat="1" ht="15.75">
      <c r="A294" s="113"/>
      <c r="B294" s="35"/>
      <c r="C294" s="28"/>
      <c r="D294" s="28"/>
      <c r="E294" s="225"/>
      <c r="F294" s="226"/>
      <c r="G294" s="226"/>
      <c r="H294" s="190"/>
      <c r="I294"/>
      <c r="J294" s="190"/>
      <c r="K294" s="190"/>
      <c r="L294" s="190"/>
      <c r="M294" s="51"/>
      <c r="N294" s="190"/>
      <c r="O294" s="190"/>
      <c r="P294" s="190"/>
      <c r="Q294" s="2131"/>
      <c r="R294" s="2192"/>
      <c r="S294" s="51"/>
    </row>
    <row r="295" spans="1:19" s="38" customFormat="1" ht="15.75">
      <c r="A295" s="625" t="s">
        <v>304</v>
      </c>
      <c r="B295" s="56"/>
      <c r="C295" s="56"/>
      <c r="D295" s="56"/>
      <c r="E295" s="509"/>
      <c r="F295" s="57"/>
      <c r="G295" s="57"/>
      <c r="H295" s="63"/>
      <c r="I295"/>
      <c r="J295" s="63"/>
      <c r="K295" s="63"/>
      <c r="L295" s="63"/>
      <c r="M295" s="51"/>
      <c r="N295" s="63"/>
      <c r="O295" s="63"/>
      <c r="P295" s="63"/>
      <c r="Q295" s="2131"/>
      <c r="R295" s="2192"/>
      <c r="S295" s="51"/>
    </row>
    <row r="296" spans="1:19" s="38" customFormat="1" ht="20.25">
      <c r="A296" s="204"/>
      <c r="B296" s="377"/>
      <c r="C296" s="356"/>
      <c r="D296" s="355"/>
      <c r="E296" s="214"/>
      <c r="F296" s="556"/>
      <c r="G296" s="427"/>
      <c r="H296" s="406"/>
      <c r="I296"/>
      <c r="J296" s="406"/>
      <c r="K296" s="406"/>
      <c r="L296" s="406"/>
      <c r="M296" s="51"/>
      <c r="N296" s="406"/>
      <c r="O296" s="1604"/>
      <c r="P296" s="1604"/>
      <c r="Q296" s="2131"/>
      <c r="R296" s="2192"/>
      <c r="S296" s="51"/>
    </row>
    <row r="297" spans="1:19" s="38" customFormat="1" ht="20.25">
      <c r="A297" s="204"/>
      <c r="B297" s="377" t="s">
        <v>227</v>
      </c>
      <c r="C297" s="277" t="str">
        <f>"Line "&amp;A39&amp;" includes New Transmission Plant to be placed in service in the current calendar year.   Projected capital additions will include only the capital costs associated "</f>
        <v xml:space="preserve">Line 16 includes New Transmission Plant to be placed in service in the current calendar year.   Projected capital additions will include only the capital costs associated </v>
      </c>
      <c r="D297" s="355"/>
      <c r="E297" s="214"/>
      <c r="F297" s="427"/>
      <c r="G297" s="427"/>
      <c r="H297" s="213"/>
      <c r="I297"/>
      <c r="J297" s="213"/>
      <c r="K297" s="213"/>
      <c r="L297" s="213"/>
      <c r="M297" s="51"/>
      <c r="N297" s="213"/>
      <c r="O297" s="213"/>
      <c r="P297" s="213"/>
      <c r="Q297" s="2131"/>
      <c r="R297" s="2192"/>
      <c r="S297" s="51"/>
    </row>
    <row r="298" spans="1:19" s="38" customFormat="1" ht="20.25">
      <c r="A298" s="204"/>
      <c r="B298" s="426"/>
      <c r="C298" s="887" t="s">
        <v>666</v>
      </c>
      <c r="D298" s="355"/>
      <c r="E298" s="214"/>
      <c r="F298" s="427"/>
      <c r="G298" s="427"/>
      <c r="H298" s="213"/>
      <c r="I298"/>
      <c r="J298" s="213"/>
      <c r="K298" s="213"/>
      <c r="L298" s="213"/>
      <c r="M298" s="678"/>
      <c r="N298" s="213"/>
      <c r="O298" s="213"/>
      <c r="P298" s="213"/>
      <c r="Q298" s="2131"/>
      <c r="R298" s="2192"/>
      <c r="S298" s="51"/>
    </row>
    <row r="299" spans="1:19" s="38" customFormat="1" ht="20.25">
      <c r="A299" s="204"/>
      <c r="B299" s="426"/>
      <c r="C299" s="887" t="s">
        <v>689</v>
      </c>
      <c r="D299" s="355"/>
      <c r="E299" s="214"/>
      <c r="F299" s="427"/>
      <c r="G299" s="427"/>
      <c r="H299" s="213"/>
      <c r="I299"/>
      <c r="J299" s="213"/>
      <c r="K299" s="213"/>
      <c r="L299" s="213"/>
      <c r="M299" s="51"/>
      <c r="N299" s="213"/>
      <c r="O299" s="213"/>
      <c r="P299" s="213"/>
      <c r="Q299" s="2131"/>
      <c r="R299" s="2192"/>
      <c r="S299" s="51"/>
    </row>
    <row r="300" spans="1:19" s="38" customFormat="1" ht="20.25">
      <c r="A300" s="204"/>
      <c r="B300" s="377" t="s">
        <v>283</v>
      </c>
      <c r="C300" s="277" t="s">
        <v>110</v>
      </c>
      <c r="D300" s="355"/>
      <c r="E300" s="214"/>
      <c r="F300" s="427"/>
      <c r="G300" s="427"/>
      <c r="H300" s="213"/>
      <c r="I300"/>
      <c r="J300" s="213"/>
      <c r="K300" s="213"/>
      <c r="L300" s="213"/>
      <c r="M300" s="51"/>
      <c r="N300" s="213"/>
      <c r="O300" s="213"/>
      <c r="P300" s="213"/>
      <c r="Q300" s="2131"/>
      <c r="R300" s="2192"/>
      <c r="S300" s="51"/>
    </row>
    <row r="301" spans="1:19" s="38" customFormat="1" ht="20.25" customHeight="1">
      <c r="A301" s="204"/>
      <c r="B301" s="377" t="s">
        <v>215</v>
      </c>
      <c r="C301" s="1078" t="str">
        <f>"Annual membership dues (e.g., for EPRI, NEETRAC, SEPA and NCTA) are excluded from the calculation of the ATRR and charges under the Formula Rate and are subtracted from "</f>
        <v xml:space="preserve">Annual membership dues (e.g., for EPRI, NEETRAC, SEPA and NCTA) are excluded from the calculation of the ATRR and charges under the Formula Rate and are subtracted from </v>
      </c>
      <c r="D301" s="1077"/>
      <c r="E301" s="1077"/>
      <c r="F301" s="1077"/>
      <c r="G301" s="1077"/>
      <c r="H301" s="1077"/>
      <c r="I301"/>
      <c r="J301" s="213"/>
      <c r="K301" s="213"/>
      <c r="L301" s="213"/>
      <c r="M301" s="677"/>
      <c r="N301" s="1077"/>
      <c r="O301" s="1077"/>
      <c r="P301" s="1077"/>
      <c r="Q301" s="2131"/>
      <c r="R301" s="2192"/>
      <c r="S301" s="51"/>
    </row>
    <row r="302" spans="1:19" s="38" customFormat="1" ht="20.25" customHeight="1">
      <c r="A302" s="204"/>
      <c r="B302" s="377"/>
      <c r="C302" s="1078" t="str">
        <f>"Total A&amp;G.  Total A&amp;G does not include lobbying expenses."</f>
        <v>Total A&amp;G.  Total A&amp;G does not include lobbying expenses.</v>
      </c>
      <c r="D302" s="1077"/>
      <c r="E302" s="1077"/>
      <c r="F302" s="1077"/>
      <c r="G302" s="1077"/>
      <c r="H302" s="1077"/>
      <c r="I302" s="1077"/>
      <c r="J302" s="213"/>
      <c r="K302" s="213"/>
      <c r="L302" s="213"/>
      <c r="M302" s="677"/>
      <c r="N302" s="1077"/>
      <c r="O302" s="1077"/>
      <c r="P302" s="1077"/>
      <c r="Q302" s="2131"/>
      <c r="R302" s="2192"/>
      <c r="S302" s="51"/>
    </row>
    <row r="303" spans="1:19" s="38" customFormat="1" ht="20.25">
      <c r="A303" s="204"/>
      <c r="B303" s="377" t="s">
        <v>228</v>
      </c>
      <c r="C303" s="279" t="s">
        <v>656</v>
      </c>
      <c r="D303" s="355"/>
      <c r="E303" s="214"/>
      <c r="F303" s="427"/>
      <c r="G303" s="427"/>
      <c r="H303" s="213"/>
      <c r="I303" s="213"/>
      <c r="J303" s="213"/>
      <c r="K303" s="213"/>
      <c r="L303" s="213"/>
      <c r="M303" s="51"/>
      <c r="N303" s="213"/>
      <c r="O303" s="213"/>
      <c r="P303" s="213"/>
      <c r="Q303" s="2131"/>
      <c r="R303" s="2192"/>
      <c r="S303" s="51"/>
    </row>
    <row r="304" spans="1:19" s="38" customFormat="1" ht="20.25">
      <c r="A304" s="204"/>
      <c r="B304" s="377" t="s">
        <v>226</v>
      </c>
      <c r="C304" s="312" t="s">
        <v>555</v>
      </c>
      <c r="D304" s="355"/>
      <c r="E304" s="214"/>
      <c r="F304" s="427"/>
      <c r="G304" s="427"/>
      <c r="H304" s="213"/>
      <c r="I304" s="213"/>
      <c r="J304" s="213"/>
      <c r="K304" s="213"/>
      <c r="L304" s="213"/>
      <c r="M304" s="51"/>
      <c r="N304" s="213"/>
      <c r="O304" s="213"/>
      <c r="P304" s="213"/>
      <c r="Q304" s="2131"/>
      <c r="R304" s="2192"/>
      <c r="S304" s="51"/>
    </row>
    <row r="305" spans="1:19" s="38" customFormat="1" ht="20.25">
      <c r="A305" s="204"/>
      <c r="B305" s="377" t="s">
        <v>107</v>
      </c>
      <c r="C305" s="355" t="s">
        <v>2</v>
      </c>
      <c r="D305" s="355"/>
      <c r="E305" s="214"/>
      <c r="F305" s="427"/>
      <c r="G305" s="427"/>
      <c r="H305" s="213"/>
      <c r="I305" s="213"/>
      <c r="J305" s="213"/>
      <c r="K305" s="213"/>
      <c r="L305" s="213"/>
      <c r="M305" s="51"/>
      <c r="N305" s="213"/>
      <c r="O305" s="213"/>
      <c r="P305" s="213"/>
      <c r="Q305" s="2131"/>
      <c r="R305" s="2192"/>
      <c r="S305" s="51"/>
    </row>
    <row r="306" spans="1:19" s="38" customFormat="1" ht="20.25">
      <c r="A306" s="204"/>
      <c r="B306" s="377" t="s">
        <v>229</v>
      </c>
      <c r="C306" s="557" t="s">
        <v>300</v>
      </c>
      <c r="D306" s="355"/>
      <c r="E306" s="214"/>
      <c r="F306" s="427"/>
      <c r="G306" s="427"/>
      <c r="H306" s="213"/>
      <c r="I306" s="213"/>
      <c r="J306" s="213"/>
      <c r="K306" s="213"/>
      <c r="L306" s="213"/>
      <c r="M306" s="51"/>
      <c r="N306" s="213"/>
      <c r="O306" s="213"/>
      <c r="P306" s="213"/>
      <c r="Q306" s="2131"/>
      <c r="R306" s="2192"/>
      <c r="S306" s="51"/>
    </row>
    <row r="307" spans="1:19" s="38" customFormat="1" ht="20.25">
      <c r="A307" s="204"/>
      <c r="B307" s="377"/>
      <c r="C307" s="312" t="s">
        <v>652</v>
      </c>
      <c r="D307" s="355"/>
      <c r="E307" s="214"/>
      <c r="F307" s="427"/>
      <c r="G307" s="427"/>
      <c r="H307" s="213"/>
      <c r="I307" s="213"/>
      <c r="J307" s="213"/>
      <c r="K307" s="213"/>
      <c r="L307" s="213"/>
      <c r="M307" s="51"/>
      <c r="N307" s="213"/>
      <c r="O307" s="213"/>
      <c r="P307" s="213"/>
      <c r="Q307" s="2131"/>
      <c r="R307" s="2192"/>
      <c r="S307" s="51"/>
    </row>
    <row r="308" spans="1:19" s="38" customFormat="1" ht="20.25">
      <c r="A308" s="204"/>
      <c r="B308" s="426"/>
      <c r="C308" s="312" t="s">
        <v>661</v>
      </c>
      <c r="D308" s="355"/>
      <c r="E308" s="214"/>
      <c r="F308" s="427"/>
      <c r="G308" s="427"/>
      <c r="H308" s="213"/>
      <c r="I308" s="213"/>
      <c r="J308" s="213"/>
      <c r="K308" s="213"/>
      <c r="L308" s="213"/>
      <c r="M308" s="51"/>
      <c r="N308" s="213"/>
      <c r="O308" s="213"/>
      <c r="P308" s="213"/>
      <c r="Q308" s="2131"/>
      <c r="R308" s="2192"/>
      <c r="S308" s="51"/>
    </row>
    <row r="309" spans="1:19" s="38" customFormat="1" ht="20.25">
      <c r="A309" s="204"/>
      <c r="B309" s="426"/>
      <c r="C309" s="376" t="s">
        <v>102</v>
      </c>
      <c r="D309" s="355"/>
      <c r="E309" s="214"/>
      <c r="F309" s="427"/>
      <c r="G309" s="427"/>
      <c r="H309" s="213"/>
      <c r="I309" s="213"/>
      <c r="J309" s="213"/>
      <c r="K309" s="213"/>
      <c r="L309" s="213"/>
      <c r="M309" s="51"/>
      <c r="N309" s="213"/>
      <c r="O309" s="213"/>
      <c r="P309" s="213"/>
      <c r="Q309" s="2131"/>
      <c r="R309" s="2192"/>
      <c r="S309" s="51"/>
    </row>
    <row r="310" spans="1:19" s="38" customFormat="1" ht="20.25">
      <c r="A310" s="204"/>
      <c r="B310" s="377" t="s">
        <v>25</v>
      </c>
      <c r="C310" s="355" t="s">
        <v>554</v>
      </c>
      <c r="D310" s="355"/>
      <c r="E310" s="214"/>
      <c r="F310" s="427"/>
      <c r="G310" s="427"/>
      <c r="H310" s="213"/>
      <c r="I310" s="213"/>
      <c r="J310" s="213"/>
      <c r="K310" s="213"/>
      <c r="L310" s="213"/>
      <c r="M310" s="51"/>
      <c r="N310" s="213"/>
      <c r="O310" s="213"/>
      <c r="P310" s="213"/>
      <c r="Q310" s="2131"/>
      <c r="R310" s="2192"/>
      <c r="S310" s="51"/>
    </row>
    <row r="311" spans="1:19" s="38" customFormat="1" ht="38.25" customHeight="1">
      <c r="A311" s="204"/>
      <c r="B311" s="377"/>
      <c r="C311" s="2664" t="s">
        <v>1852</v>
      </c>
      <c r="D311" s="2664"/>
      <c r="E311" s="2664"/>
      <c r="F311" s="2664"/>
      <c r="G311" s="2664"/>
      <c r="H311" s="2664"/>
      <c r="I311" s="213"/>
      <c r="J311" s="213"/>
      <c r="K311" s="213"/>
      <c r="L311" s="213"/>
      <c r="M311" s="51"/>
      <c r="N311" s="213"/>
      <c r="O311" s="213"/>
      <c r="P311" s="213"/>
      <c r="Q311" s="2131"/>
      <c r="R311" s="2192"/>
      <c r="S311" s="51"/>
    </row>
    <row r="312" spans="1:19" s="38" customFormat="1" ht="20.25">
      <c r="A312" s="204"/>
      <c r="B312" s="377"/>
      <c r="C312" s="355" t="s">
        <v>1148</v>
      </c>
      <c r="D312" s="355"/>
      <c r="E312" s="214"/>
      <c r="F312" s="427"/>
      <c r="G312" s="427"/>
      <c r="H312" s="213"/>
      <c r="I312" s="213"/>
      <c r="J312" s="213"/>
      <c r="K312" s="213"/>
      <c r="L312" s="213"/>
      <c r="M312" s="51"/>
      <c r="N312" s="213"/>
      <c r="O312" s="213"/>
      <c r="P312" s="213"/>
      <c r="Q312" s="2131"/>
      <c r="R312" s="2192"/>
      <c r="S312" s="51"/>
    </row>
    <row r="313" spans="1:19" s="38" customFormat="1" ht="20.25">
      <c r="A313" s="204"/>
      <c r="B313" s="377" t="s">
        <v>27</v>
      </c>
      <c r="C313" s="355" t="s">
        <v>653</v>
      </c>
      <c r="D313" s="355"/>
      <c r="E313" s="214"/>
      <c r="F313" s="427"/>
      <c r="G313" s="427"/>
      <c r="H313" s="213"/>
      <c r="I313" s="213"/>
      <c r="J313" s="213"/>
      <c r="K313" s="213"/>
      <c r="L313" s="213"/>
      <c r="M313" s="51"/>
      <c r="N313" s="213"/>
      <c r="O313" s="213"/>
      <c r="P313" s="213"/>
      <c r="Q313" s="2131"/>
      <c r="R313" s="2192"/>
      <c r="S313" s="51"/>
    </row>
    <row r="314" spans="1:19" s="38" customFormat="1" ht="20.25">
      <c r="A314" s="204"/>
      <c r="B314" s="378"/>
      <c r="C314" s="279" t="s">
        <v>660</v>
      </c>
      <c r="D314" s="355"/>
      <c r="E314" s="214"/>
      <c r="F314" s="427"/>
      <c r="G314" s="427"/>
      <c r="H314" s="213"/>
      <c r="I314" s="213"/>
      <c r="J314" s="213"/>
      <c r="K314" s="213"/>
      <c r="L314" s="213"/>
      <c r="M314" s="51"/>
      <c r="N314" s="213"/>
      <c r="O314" s="213"/>
      <c r="P314" s="213"/>
      <c r="Q314" s="2131"/>
      <c r="R314" s="2192"/>
      <c r="S314" s="51"/>
    </row>
    <row r="315" spans="1:19" s="38" customFormat="1" ht="20.25">
      <c r="A315" s="204"/>
      <c r="B315" s="432" t="s">
        <v>219</v>
      </c>
      <c r="C315" s="278" t="s">
        <v>1151</v>
      </c>
      <c r="D315" s="355"/>
      <c r="E315" s="214"/>
      <c r="F315" s="427"/>
      <c r="G315" s="427"/>
      <c r="H315" s="213"/>
      <c r="I315" s="213"/>
      <c r="J315" s="213"/>
      <c r="K315" s="213"/>
      <c r="L315" s="213"/>
      <c r="M315" s="51"/>
      <c r="N315" s="213"/>
      <c r="O315" s="213"/>
      <c r="P315" s="213"/>
      <c r="Q315" s="2131"/>
      <c r="R315" s="2192"/>
      <c r="S315" s="51"/>
    </row>
    <row r="316" spans="1:19" s="38" customFormat="1" ht="20.25">
      <c r="A316" s="204"/>
      <c r="B316" s="432" t="s">
        <v>231</v>
      </c>
      <c r="C316" s="278" t="s">
        <v>657</v>
      </c>
      <c r="D316" s="355"/>
      <c r="E316" s="214"/>
      <c r="F316" s="427"/>
      <c r="G316" s="427"/>
      <c r="H316" s="213"/>
      <c r="I316" s="213"/>
      <c r="J316" s="213"/>
      <c r="K316" s="213"/>
      <c r="L316" s="213"/>
      <c r="M316" s="51"/>
      <c r="N316" s="213"/>
      <c r="O316" s="213"/>
      <c r="P316" s="213"/>
      <c r="Q316" s="2131"/>
      <c r="R316" s="2192"/>
      <c r="S316" s="51"/>
    </row>
    <row r="317" spans="1:19" s="38" customFormat="1" ht="20.25">
      <c r="A317" s="204"/>
      <c r="B317" s="432" t="s">
        <v>269</v>
      </c>
      <c r="C317" s="279" t="s">
        <v>654</v>
      </c>
      <c r="D317" s="355"/>
      <c r="E317" s="214"/>
      <c r="F317" s="427"/>
      <c r="G317" s="427"/>
      <c r="H317" s="213"/>
      <c r="I317" s="213"/>
      <c r="J317" s="213"/>
      <c r="K317" s="213"/>
      <c r="L317" s="213"/>
      <c r="M317" s="51"/>
      <c r="N317" s="213"/>
      <c r="O317" s="213"/>
      <c r="P317" s="213"/>
      <c r="Q317" s="2131"/>
      <c r="R317" s="2192"/>
      <c r="S317" s="51"/>
    </row>
    <row r="318" spans="1:19" s="38" customFormat="1" ht="20.25">
      <c r="A318" s="204"/>
      <c r="B318" s="377"/>
      <c r="C318" s="355" t="s">
        <v>655</v>
      </c>
      <c r="D318" s="355"/>
      <c r="E318" s="214"/>
      <c r="F318" s="427"/>
      <c r="G318" s="427"/>
      <c r="H318" s="213"/>
      <c r="I318" s="213"/>
      <c r="J318" s="213"/>
      <c r="K318" s="213"/>
      <c r="L318" s="213"/>
      <c r="M318" s="51"/>
      <c r="N318" s="213"/>
      <c r="O318" s="213"/>
      <c r="P318" s="213"/>
      <c r="Q318" s="2131"/>
      <c r="R318" s="2192"/>
      <c r="S318" s="51"/>
    </row>
    <row r="319" spans="1:19" s="38" customFormat="1" ht="20.25">
      <c r="A319" s="204"/>
      <c r="B319" s="377" t="s">
        <v>635</v>
      </c>
      <c r="C319" s="355" t="s">
        <v>659</v>
      </c>
      <c r="D319" s="355"/>
      <c r="E319" s="214"/>
      <c r="F319" s="427"/>
      <c r="G319" s="427"/>
      <c r="H319" s="213"/>
      <c r="I319" s="213"/>
      <c r="J319" s="213"/>
      <c r="K319" s="213"/>
      <c r="L319" s="213"/>
      <c r="M319" s="51"/>
      <c r="N319" s="213"/>
      <c r="O319" s="213"/>
      <c r="P319" s="213"/>
      <c r="Q319" s="2131"/>
      <c r="R319" s="2192"/>
      <c r="S319" s="51"/>
    </row>
    <row r="320" spans="1:19" s="38" customFormat="1" ht="20.25">
      <c r="A320" s="204"/>
      <c r="B320" s="377" t="s">
        <v>636</v>
      </c>
      <c r="C320" s="355" t="s">
        <v>1042</v>
      </c>
      <c r="D320" s="355"/>
      <c r="E320" s="214"/>
      <c r="F320" s="427"/>
      <c r="G320" s="427"/>
      <c r="H320" s="213"/>
      <c r="I320" s="213"/>
      <c r="J320" s="213"/>
      <c r="K320" s="213"/>
      <c r="L320" s="213"/>
      <c r="M320" s="51"/>
      <c r="N320" s="213"/>
      <c r="O320" s="213"/>
      <c r="P320" s="213"/>
      <c r="Q320" s="2131"/>
      <c r="R320" s="2192"/>
      <c r="S320" s="51"/>
    </row>
    <row r="321" spans="1:19" ht="20.25">
      <c r="A321" s="558"/>
      <c r="B321" s="377" t="s">
        <v>637</v>
      </c>
      <c r="C321" s="355" t="s">
        <v>658</v>
      </c>
      <c r="D321" s="279"/>
      <c r="E321" s="214"/>
      <c r="F321" s="427"/>
      <c r="G321" s="427"/>
      <c r="H321" s="213"/>
      <c r="I321" s="213"/>
      <c r="J321" s="213"/>
      <c r="K321" s="213"/>
      <c r="L321" s="213"/>
      <c r="M321" s="23"/>
      <c r="N321" s="213"/>
      <c r="O321" s="213"/>
      <c r="P321" s="213"/>
      <c r="Q321" s="2131"/>
      <c r="R321" s="2192"/>
      <c r="S321" s="23"/>
    </row>
    <row r="322" spans="1:19" ht="20.25" customHeight="1">
      <c r="A322" s="558"/>
      <c r="B322" s="432" t="s">
        <v>690</v>
      </c>
      <c r="C322" s="2655" t="s">
        <v>691</v>
      </c>
      <c r="D322" s="2655"/>
      <c r="E322" s="2655"/>
      <c r="F322" s="2655"/>
      <c r="G322" s="2655"/>
      <c r="H322" s="2655"/>
      <c r="I322" s="1257"/>
      <c r="J322" s="1257"/>
      <c r="K322" s="1257"/>
      <c r="L322" s="1257"/>
      <c r="M322" s="23"/>
      <c r="N322" s="1257"/>
      <c r="O322" s="1386"/>
      <c r="P322" s="1386"/>
      <c r="Q322" s="2131"/>
      <c r="R322" s="2192"/>
      <c r="S322" s="23"/>
    </row>
    <row r="323" spans="1:19" ht="18" customHeight="1">
      <c r="A323" s="558"/>
      <c r="B323" s="378"/>
      <c r="C323" s="2655"/>
      <c r="D323" s="2655"/>
      <c r="E323" s="2655"/>
      <c r="F323" s="2655"/>
      <c r="G323" s="2655"/>
      <c r="H323" s="2655"/>
      <c r="I323" s="1257"/>
      <c r="J323" s="1257"/>
      <c r="K323" s="1257"/>
      <c r="L323" s="1257"/>
      <c r="M323" s="23"/>
      <c r="N323" s="1257"/>
      <c r="O323" s="1386"/>
      <c r="P323" s="1386"/>
      <c r="Q323" s="2131"/>
      <c r="R323" s="2192"/>
      <c r="S323" s="23"/>
    </row>
    <row r="324" spans="1:19" ht="20.25">
      <c r="A324" s="559"/>
      <c r="B324" s="432" t="s">
        <v>704</v>
      </c>
      <c r="C324" s="2655" t="s">
        <v>1011</v>
      </c>
      <c r="D324" s="2655"/>
      <c r="E324" s="2655"/>
      <c r="F324" s="2655"/>
      <c r="G324" s="2655"/>
      <c r="H324" s="2655"/>
      <c r="I324" s="1257"/>
      <c r="J324" s="1257"/>
      <c r="K324" s="1257"/>
      <c r="L324" s="1257"/>
      <c r="M324" s="23"/>
      <c r="N324" s="1257"/>
      <c r="O324" s="1386"/>
      <c r="P324" s="1386"/>
      <c r="Q324" s="2131"/>
      <c r="R324" s="2192"/>
      <c r="S324" s="23"/>
    </row>
    <row r="325" spans="1:19" ht="20.25">
      <c r="A325" s="559"/>
      <c r="B325" s="432" t="s">
        <v>705</v>
      </c>
      <c r="C325" s="2655" t="s">
        <v>1070</v>
      </c>
      <c r="D325" s="2655"/>
      <c r="E325" s="2655"/>
      <c r="F325" s="2655"/>
      <c r="G325" s="2655"/>
      <c r="H325" s="2655"/>
      <c r="I325" s="1257"/>
      <c r="J325" s="1257"/>
      <c r="K325" s="1257"/>
      <c r="L325" s="1257"/>
      <c r="M325" s="462"/>
      <c r="N325" s="1257"/>
      <c r="O325" s="1386"/>
      <c r="P325" s="1386"/>
      <c r="Q325" s="2131"/>
      <c r="R325" s="2192"/>
    </row>
    <row r="326" spans="1:19" ht="20.25">
      <c r="A326" s="559"/>
      <c r="B326" s="432"/>
      <c r="C326" s="2655"/>
      <c r="D326" s="2655"/>
      <c r="E326" s="2655"/>
      <c r="F326" s="2655"/>
      <c r="G326" s="2655"/>
      <c r="H326" s="2655"/>
      <c r="I326" s="1257"/>
      <c r="J326" s="1257"/>
      <c r="K326" s="1257"/>
      <c r="L326" s="1257"/>
      <c r="M326" s="462"/>
      <c r="N326" s="1257"/>
      <c r="O326" s="1386"/>
      <c r="P326" s="1386"/>
      <c r="Q326" s="2131"/>
      <c r="R326" s="2192"/>
    </row>
    <row r="327" spans="1:19" ht="20.25" customHeight="1">
      <c r="A327" s="559"/>
      <c r="B327" s="432" t="s">
        <v>706</v>
      </c>
      <c r="C327" s="2665" t="s">
        <v>1077</v>
      </c>
      <c r="D327" s="2665"/>
      <c r="E327" s="2665"/>
      <c r="F327" s="2665"/>
      <c r="G327" s="2665"/>
      <c r="H327" s="2665"/>
      <c r="I327" s="1258"/>
      <c r="J327" s="1258"/>
      <c r="K327" s="1258"/>
      <c r="L327" s="1258"/>
      <c r="N327" s="1258"/>
      <c r="O327" s="1384"/>
      <c r="P327" s="1384"/>
      <c r="Q327" s="2131"/>
      <c r="R327" s="2192"/>
    </row>
    <row r="328" spans="1:19" ht="57" customHeight="1">
      <c r="A328" s="559"/>
      <c r="B328" s="432"/>
      <c r="C328" s="2666" t="s">
        <v>1078</v>
      </c>
      <c r="D328" s="2666"/>
      <c r="E328" s="2666"/>
      <c r="F328" s="2666"/>
      <c r="G328" s="2666"/>
      <c r="H328" s="2666"/>
      <c r="I328" s="1259"/>
      <c r="J328" s="1259"/>
      <c r="K328" s="1259"/>
      <c r="L328" s="1259"/>
      <c r="N328" s="1259"/>
      <c r="O328" s="1385"/>
      <c r="P328" s="1385"/>
      <c r="Q328" s="2131"/>
      <c r="R328" s="2192"/>
    </row>
    <row r="329" spans="1:19" ht="21" customHeight="1">
      <c r="A329" s="559"/>
      <c r="B329" s="432"/>
      <c r="C329" s="2666" t="s">
        <v>1076</v>
      </c>
      <c r="D329" s="2666"/>
      <c r="E329" s="2666"/>
      <c r="F329" s="2666"/>
      <c r="G329" s="2666"/>
      <c r="H329" s="2666"/>
      <c r="I329" s="1259"/>
      <c r="J329" s="1259"/>
      <c r="K329" s="1259"/>
      <c r="L329" s="1259"/>
      <c r="N329" s="1259"/>
      <c r="O329" s="1385"/>
      <c r="P329" s="1385"/>
      <c r="Q329" s="2131"/>
      <c r="R329" s="2192"/>
    </row>
    <row r="330" spans="1:19" s="349" customFormat="1" ht="39.75" customHeight="1">
      <c r="A330" s="559"/>
      <c r="B330" s="432"/>
      <c r="C330" s="2666" t="s">
        <v>1149</v>
      </c>
      <c r="D330" s="2666"/>
      <c r="E330" s="2666"/>
      <c r="F330" s="2666"/>
      <c r="G330" s="2666"/>
      <c r="H330" s="2666"/>
      <c r="I330" s="1259"/>
      <c r="J330" s="1259"/>
      <c r="K330" s="1259"/>
      <c r="L330" s="1259"/>
      <c r="N330" s="1259"/>
      <c r="O330" s="1385"/>
      <c r="P330" s="1385"/>
      <c r="Q330" s="2131"/>
      <c r="R330" s="2192"/>
    </row>
    <row r="331" spans="1:19" ht="20.25">
      <c r="A331" s="559"/>
      <c r="B331" s="432" t="s">
        <v>307</v>
      </c>
      <c r="C331" s="278" t="s">
        <v>831</v>
      </c>
      <c r="D331" s="279"/>
      <c r="E331" s="432"/>
      <c r="F331" s="278"/>
      <c r="G331" s="278"/>
      <c r="H331" s="278"/>
      <c r="I331" s="278"/>
      <c r="J331" s="278"/>
      <c r="K331" s="278"/>
      <c r="L331" s="278"/>
      <c r="N331" s="278"/>
      <c r="O331" s="278"/>
      <c r="P331" s="278"/>
      <c r="Q331" s="2131"/>
      <c r="R331" s="2192"/>
    </row>
    <row r="332" spans="1:19" ht="21" thickBot="1">
      <c r="A332" s="562"/>
      <c r="B332" s="563"/>
      <c r="C332" s="564"/>
      <c r="D332" s="563"/>
      <c r="E332" s="565"/>
      <c r="F332" s="566"/>
      <c r="G332" s="564"/>
      <c r="H332" s="564"/>
      <c r="I332" s="1266"/>
      <c r="J332" s="1266"/>
      <c r="K332" s="1266"/>
      <c r="L332" s="1266"/>
      <c r="N332" s="1266"/>
      <c r="O332" s="1266"/>
      <c r="P332" s="1266"/>
      <c r="Q332" s="2131"/>
      <c r="R332" s="2192"/>
    </row>
    <row r="333" spans="1:19" ht="20.25">
      <c r="A333" s="559"/>
      <c r="B333" s="279"/>
      <c r="C333" s="431"/>
      <c r="D333" s="279"/>
      <c r="E333" s="432"/>
      <c r="F333" s="278"/>
      <c r="G333" s="431"/>
      <c r="H333" s="431"/>
      <c r="I333" s="431"/>
      <c r="J333" s="431"/>
      <c r="K333" s="431"/>
      <c r="L333" s="431"/>
      <c r="N333" s="431"/>
      <c r="O333" s="431"/>
      <c r="P333" s="431"/>
      <c r="Q333" s="2131"/>
      <c r="R333" s="2192"/>
    </row>
    <row r="334" spans="1:19" ht="20.25">
      <c r="A334" s="559"/>
      <c r="B334" s="279"/>
      <c r="C334" s="431"/>
      <c r="D334" s="279"/>
      <c r="E334" s="432"/>
      <c r="F334" s="278"/>
      <c r="G334" s="431"/>
      <c r="H334" s="431"/>
      <c r="I334" s="431"/>
      <c r="J334" s="431"/>
      <c r="K334" s="431"/>
      <c r="L334" s="431"/>
      <c r="N334" s="431"/>
      <c r="O334" s="431"/>
      <c r="P334" s="431"/>
      <c r="Q334" s="2131"/>
      <c r="R334" s="2192"/>
    </row>
    <row r="335" spans="1:19" ht="20.25">
      <c r="A335" s="559"/>
      <c r="B335" s="279"/>
      <c r="C335" s="279"/>
      <c r="D335" s="279"/>
      <c r="E335" s="432"/>
      <c r="F335" s="278"/>
      <c r="G335" s="431"/>
      <c r="H335" s="431"/>
      <c r="I335" s="431"/>
      <c r="J335" s="431"/>
      <c r="K335" s="431"/>
      <c r="L335" s="431"/>
      <c r="N335" s="431"/>
      <c r="O335" s="431"/>
      <c r="P335" s="431"/>
      <c r="Q335" s="2131"/>
      <c r="R335" s="2192"/>
    </row>
    <row r="336" spans="1:19" ht="20.25">
      <c r="A336" s="559"/>
      <c r="B336" s="279"/>
      <c r="C336" s="279"/>
      <c r="D336" s="279"/>
      <c r="E336" s="432"/>
      <c r="F336" s="278"/>
      <c r="G336" s="431"/>
      <c r="H336" s="431"/>
      <c r="I336" s="431"/>
      <c r="J336" s="431"/>
      <c r="K336" s="431"/>
      <c r="L336" s="431"/>
      <c r="N336" s="431"/>
      <c r="O336" s="431"/>
      <c r="P336" s="431"/>
      <c r="Q336" s="2131"/>
      <c r="R336" s="2192"/>
    </row>
    <row r="337" spans="1:18" ht="20.25">
      <c r="A337" s="559"/>
      <c r="B337" s="279"/>
      <c r="C337" s="279"/>
      <c r="D337" s="279"/>
      <c r="E337" s="432"/>
      <c r="F337" s="278"/>
      <c r="G337" s="431"/>
      <c r="H337" s="431"/>
      <c r="I337" s="431"/>
      <c r="J337" s="431"/>
      <c r="K337" s="431"/>
      <c r="L337" s="431"/>
      <c r="N337" s="431"/>
      <c r="O337" s="431"/>
      <c r="P337" s="431"/>
      <c r="Q337" s="2131"/>
      <c r="R337" s="2192"/>
    </row>
    <row r="338" spans="1:18" ht="20.25">
      <c r="A338" s="559"/>
      <c r="B338" s="279"/>
      <c r="C338" s="279"/>
      <c r="D338" s="279"/>
      <c r="E338" s="432"/>
      <c r="F338" s="278"/>
      <c r="G338" s="431"/>
      <c r="H338" s="431"/>
      <c r="I338" s="431"/>
      <c r="J338" s="431"/>
      <c r="K338" s="431"/>
      <c r="L338" s="431"/>
      <c r="N338" s="431"/>
      <c r="O338" s="431"/>
      <c r="P338" s="431"/>
      <c r="Q338" s="2131"/>
      <c r="R338" s="2192"/>
    </row>
    <row r="339" spans="1:18" ht="20.25">
      <c r="A339" s="559"/>
      <c r="B339" s="279"/>
      <c r="C339" s="279"/>
      <c r="D339" s="279"/>
      <c r="E339" s="432"/>
      <c r="F339" s="278"/>
      <c r="G339" s="431"/>
      <c r="H339" s="431"/>
      <c r="I339" s="431"/>
      <c r="J339" s="431"/>
      <c r="K339" s="431"/>
      <c r="L339" s="431"/>
      <c r="N339" s="431"/>
      <c r="O339" s="431"/>
      <c r="P339" s="431"/>
      <c r="Q339" s="2131"/>
      <c r="R339" s="2192"/>
    </row>
    <row r="340" spans="1:18" ht="20.25">
      <c r="A340" s="559"/>
      <c r="B340" s="279"/>
      <c r="C340" s="279"/>
      <c r="D340" s="279"/>
      <c r="E340" s="432"/>
      <c r="F340" s="278"/>
      <c r="G340" s="431"/>
      <c r="H340" s="431"/>
      <c r="I340" s="431"/>
      <c r="J340" s="431"/>
      <c r="K340" s="431"/>
      <c r="L340" s="431"/>
      <c r="N340" s="431"/>
      <c r="O340" s="431"/>
      <c r="P340" s="431"/>
      <c r="Q340" s="2131"/>
      <c r="R340" s="2192"/>
    </row>
    <row r="341" spans="1:18" ht="20.25">
      <c r="A341" s="559"/>
      <c r="B341" s="279"/>
      <c r="C341" s="279"/>
      <c r="D341" s="279"/>
      <c r="E341" s="432"/>
      <c r="F341" s="278"/>
      <c r="G341" s="431"/>
      <c r="H341" s="431"/>
      <c r="I341" s="431"/>
      <c r="J341" s="431"/>
      <c r="K341" s="431"/>
      <c r="L341" s="431"/>
      <c r="N341" s="431"/>
      <c r="O341" s="431"/>
      <c r="P341" s="431"/>
      <c r="Q341" s="2131"/>
      <c r="R341" s="2192"/>
    </row>
    <row r="342" spans="1:18" ht="20.25">
      <c r="A342" s="559"/>
      <c r="B342" s="279"/>
      <c r="C342" s="279"/>
      <c r="D342" s="279"/>
      <c r="E342" s="432"/>
      <c r="F342" s="278"/>
      <c r="G342" s="431"/>
      <c r="H342" s="431"/>
      <c r="I342" s="431"/>
      <c r="J342" s="431"/>
      <c r="K342" s="431"/>
      <c r="L342" s="431"/>
      <c r="N342" s="431"/>
      <c r="O342" s="431"/>
      <c r="P342" s="431"/>
      <c r="Q342" s="2131"/>
      <c r="R342" s="2192"/>
    </row>
    <row r="343" spans="1:18" ht="20.25">
      <c r="A343" s="559"/>
      <c r="B343" s="279"/>
      <c r="C343" s="279"/>
      <c r="D343" s="279"/>
      <c r="E343" s="432"/>
      <c r="F343" s="278"/>
      <c r="G343" s="431"/>
      <c r="H343" s="431"/>
      <c r="I343" s="431"/>
      <c r="J343" s="431"/>
      <c r="K343" s="431"/>
      <c r="L343" s="431"/>
      <c r="N343" s="431"/>
      <c r="O343" s="431"/>
      <c r="P343" s="431"/>
      <c r="Q343" s="2131"/>
      <c r="R343" s="2192"/>
    </row>
    <row r="344" spans="1:18" ht="20.25">
      <c r="A344" s="559"/>
      <c r="B344" s="279"/>
      <c r="C344" s="279"/>
      <c r="D344" s="279"/>
      <c r="E344" s="432"/>
      <c r="F344" s="278"/>
      <c r="G344" s="431"/>
      <c r="H344" s="431"/>
      <c r="I344" s="431"/>
      <c r="J344" s="431"/>
      <c r="K344" s="431"/>
      <c r="L344" s="431"/>
      <c r="N344" s="431"/>
      <c r="O344" s="431"/>
      <c r="P344" s="431"/>
      <c r="Q344" s="2131"/>
      <c r="R344" s="2192"/>
    </row>
    <row r="345" spans="1:18" ht="20.25">
      <c r="A345" s="559"/>
      <c r="B345" s="279"/>
      <c r="C345" s="279"/>
      <c r="D345" s="279"/>
      <c r="E345" s="432"/>
      <c r="F345" s="278"/>
      <c r="G345" s="431"/>
      <c r="H345" s="431"/>
      <c r="I345" s="431"/>
      <c r="J345" s="431"/>
      <c r="K345" s="431"/>
      <c r="L345" s="431"/>
      <c r="N345" s="431"/>
      <c r="O345" s="431"/>
      <c r="P345" s="431"/>
      <c r="Q345" s="2131"/>
      <c r="R345" s="2192"/>
    </row>
    <row r="346" spans="1:18" ht="20.25">
      <c r="A346" s="207"/>
      <c r="B346" s="205"/>
      <c r="C346" s="205"/>
      <c r="D346" s="205"/>
      <c r="E346" s="208"/>
      <c r="F346" s="206"/>
      <c r="Q346" s="2131"/>
      <c r="R346" s="2192"/>
    </row>
    <row r="347" spans="1:18" ht="20.25">
      <c r="A347" s="207"/>
      <c r="B347" s="205"/>
      <c r="C347" s="205"/>
      <c r="D347" s="205"/>
      <c r="E347" s="208"/>
      <c r="F347" s="206"/>
      <c r="Q347" s="2131"/>
      <c r="R347" s="2192"/>
    </row>
    <row r="348" spans="1:18" ht="20.25">
      <c r="A348" s="207"/>
      <c r="B348" s="205"/>
      <c r="C348" s="205"/>
      <c r="D348" s="205"/>
      <c r="E348" s="208"/>
      <c r="F348" s="206"/>
      <c r="Q348" s="2131"/>
      <c r="R348" s="2192"/>
    </row>
    <row r="349" spans="1:18" ht="20.25">
      <c r="A349" s="207"/>
      <c r="B349" s="205"/>
      <c r="C349" s="205"/>
      <c r="D349" s="205"/>
      <c r="E349" s="208"/>
      <c r="F349" s="206"/>
      <c r="Q349" s="2131"/>
      <c r="R349" s="2192"/>
    </row>
    <row r="350" spans="1:18" ht="20.25">
      <c r="A350" s="207"/>
      <c r="B350" s="205"/>
      <c r="C350" s="205"/>
      <c r="D350" s="205"/>
      <c r="E350" s="208"/>
      <c r="F350" s="206"/>
      <c r="Q350" s="2131"/>
      <c r="R350" s="2192"/>
    </row>
    <row r="351" spans="1:18" ht="20.25">
      <c r="A351" s="207"/>
      <c r="B351" s="205"/>
      <c r="C351" s="205"/>
      <c r="D351" s="205"/>
      <c r="E351" s="208"/>
      <c r="F351" s="206"/>
      <c r="Q351" s="2131"/>
      <c r="R351" s="2192"/>
    </row>
    <row r="352" spans="1:18" ht="20.25">
      <c r="A352" s="207"/>
      <c r="B352" s="205"/>
      <c r="C352" s="205"/>
      <c r="D352" s="205"/>
      <c r="E352" s="208"/>
      <c r="F352" s="206"/>
      <c r="Q352" s="2131"/>
      <c r="R352" s="2192"/>
    </row>
    <row r="353" spans="1:18" ht="20.25">
      <c r="A353" s="207"/>
      <c r="B353" s="205"/>
      <c r="C353" s="205"/>
      <c r="D353" s="205"/>
      <c r="E353" s="208"/>
      <c r="F353" s="206"/>
      <c r="Q353" s="2131"/>
      <c r="R353" s="2192"/>
    </row>
    <row r="354" spans="1:18" ht="20.25">
      <c r="A354" s="207"/>
      <c r="B354" s="205"/>
      <c r="C354" s="205"/>
      <c r="D354" s="205"/>
      <c r="E354" s="208"/>
      <c r="F354" s="206"/>
      <c r="Q354" s="2131"/>
      <c r="R354" s="2192"/>
    </row>
    <row r="355" spans="1:18" ht="20.25">
      <c r="A355" s="207"/>
      <c r="B355" s="205"/>
      <c r="C355" s="205"/>
      <c r="D355" s="205"/>
      <c r="E355" s="208"/>
      <c r="F355" s="206"/>
      <c r="Q355" s="2234"/>
      <c r="R355" s="2192"/>
    </row>
    <row r="356" spans="1:18" ht="20.25">
      <c r="A356" s="207"/>
      <c r="B356" s="205"/>
      <c r="C356" s="205"/>
      <c r="D356" s="205"/>
      <c r="E356" s="208"/>
      <c r="F356" s="206"/>
      <c r="Q356" s="2234"/>
      <c r="R356" s="2192"/>
    </row>
    <row r="357" spans="1:18" ht="20.25">
      <c r="A357" s="207"/>
      <c r="B357" s="205"/>
      <c r="C357" s="205"/>
      <c r="D357" s="205"/>
      <c r="E357" s="208"/>
      <c r="F357" s="206"/>
      <c r="Q357" s="2234"/>
      <c r="R357" s="2192"/>
    </row>
    <row r="358" spans="1:18" ht="20.25">
      <c r="A358" s="207"/>
      <c r="B358" s="205"/>
      <c r="C358" s="205"/>
      <c r="D358" s="205"/>
      <c r="E358" s="208"/>
      <c r="F358" s="206"/>
      <c r="Q358" s="2234"/>
      <c r="R358" s="2192"/>
    </row>
    <row r="359" spans="1:18" ht="20.25">
      <c r="A359" s="207"/>
      <c r="B359" s="205"/>
      <c r="C359" s="205"/>
      <c r="D359" s="205"/>
      <c r="E359" s="208"/>
      <c r="F359" s="206"/>
      <c r="Q359" s="2234"/>
      <c r="R359" s="2192"/>
    </row>
    <row r="360" spans="1:18" ht="20.25">
      <c r="A360" s="207"/>
      <c r="B360" s="205"/>
      <c r="C360" s="205"/>
      <c r="D360" s="205"/>
      <c r="E360" s="208"/>
      <c r="F360" s="206"/>
      <c r="Q360" s="2234"/>
      <c r="R360" s="2192"/>
    </row>
    <row r="361" spans="1:18" ht="20.25">
      <c r="A361" s="207"/>
      <c r="B361" s="205"/>
      <c r="C361" s="205"/>
      <c r="D361" s="205"/>
      <c r="E361" s="208"/>
      <c r="F361" s="206"/>
      <c r="Q361" s="2234"/>
      <c r="R361" s="2192"/>
    </row>
    <row r="362" spans="1:18" ht="20.25">
      <c r="A362" s="207"/>
      <c r="B362" s="205"/>
      <c r="C362" s="205"/>
      <c r="D362" s="205"/>
      <c r="E362" s="208"/>
      <c r="F362" s="206"/>
      <c r="Q362" s="2234"/>
      <c r="R362" s="2192"/>
    </row>
    <row r="363" spans="1:18" ht="20.25">
      <c r="A363" s="207"/>
      <c r="B363" s="205"/>
      <c r="C363" s="205"/>
      <c r="D363" s="205"/>
      <c r="E363" s="208"/>
      <c r="F363" s="206"/>
      <c r="Q363" s="2234"/>
      <c r="R363" s="2192"/>
    </row>
    <row r="364" spans="1:18" ht="20.25">
      <c r="A364" s="207"/>
      <c r="B364" s="205"/>
      <c r="C364" s="205"/>
      <c r="D364" s="205"/>
      <c r="E364" s="208"/>
      <c r="F364" s="206"/>
      <c r="Q364" s="2234"/>
      <c r="R364" s="2192"/>
    </row>
    <row r="365" spans="1:18" ht="20.25">
      <c r="A365" s="207"/>
      <c r="B365" s="205"/>
      <c r="C365" s="205"/>
      <c r="D365" s="205"/>
      <c r="E365" s="208"/>
      <c r="F365" s="206"/>
      <c r="Q365" s="2234"/>
      <c r="R365" s="2192"/>
    </row>
    <row r="366" spans="1:18" ht="20.25">
      <c r="A366" s="207"/>
      <c r="B366" s="205"/>
      <c r="C366" s="205"/>
      <c r="D366" s="205"/>
      <c r="E366" s="208"/>
      <c r="F366" s="206"/>
      <c r="Q366" s="2234"/>
      <c r="R366" s="2192"/>
    </row>
    <row r="367" spans="1:18" ht="20.25">
      <c r="A367" s="207"/>
      <c r="B367" s="205"/>
      <c r="C367" s="205"/>
      <c r="D367" s="205"/>
      <c r="E367" s="208"/>
      <c r="F367" s="206"/>
      <c r="Q367" s="2234"/>
      <c r="R367" s="2192"/>
    </row>
    <row r="368" spans="1:18" ht="20.25">
      <c r="A368" s="207"/>
      <c r="B368" s="205"/>
      <c r="C368" s="205"/>
      <c r="D368" s="205"/>
      <c r="E368" s="208"/>
      <c r="F368" s="206"/>
      <c r="Q368" s="2234"/>
      <c r="R368" s="2192"/>
    </row>
    <row r="369" spans="1:18" ht="20.25">
      <c r="A369" s="207"/>
      <c r="B369" s="205"/>
      <c r="C369" s="205"/>
      <c r="D369" s="205"/>
      <c r="E369" s="208"/>
      <c r="F369" s="206"/>
      <c r="Q369" s="2234"/>
      <c r="R369" s="2192"/>
    </row>
    <row r="370" spans="1:18" ht="20.25">
      <c r="A370" s="207"/>
      <c r="B370" s="205"/>
      <c r="C370" s="205"/>
      <c r="D370" s="205"/>
      <c r="E370" s="208"/>
      <c r="F370" s="206"/>
      <c r="Q370" s="2234"/>
      <c r="R370" s="2192"/>
    </row>
    <row r="371" spans="1:18" ht="20.25">
      <c r="A371" s="207"/>
      <c r="B371" s="205"/>
      <c r="C371" s="205"/>
      <c r="D371" s="205"/>
      <c r="E371" s="208"/>
      <c r="F371" s="206"/>
      <c r="Q371" s="2234"/>
      <c r="R371" s="2192"/>
    </row>
    <row r="372" spans="1:18" ht="20.25">
      <c r="A372" s="207"/>
      <c r="B372" s="205"/>
      <c r="C372" s="205"/>
      <c r="D372" s="205"/>
      <c r="E372" s="208"/>
      <c r="F372" s="206"/>
      <c r="Q372" s="2234"/>
      <c r="R372" s="2192"/>
    </row>
    <row r="373" spans="1:18" ht="20.25">
      <c r="A373" s="207"/>
      <c r="B373" s="205"/>
      <c r="C373" s="205"/>
      <c r="D373" s="205"/>
      <c r="E373" s="208"/>
      <c r="F373" s="206"/>
      <c r="Q373" s="2234"/>
      <c r="R373" s="2192"/>
    </row>
    <row r="374" spans="1:18" ht="20.25">
      <c r="A374" s="207"/>
      <c r="B374" s="205"/>
      <c r="C374" s="205"/>
      <c r="D374" s="205"/>
      <c r="E374" s="208"/>
      <c r="F374" s="206"/>
      <c r="Q374" s="2234"/>
      <c r="R374" s="2192"/>
    </row>
    <row r="375" spans="1:18" ht="20.25">
      <c r="A375" s="207"/>
      <c r="B375" s="205"/>
      <c r="C375" s="205"/>
      <c r="D375" s="205"/>
      <c r="E375" s="208"/>
      <c r="F375" s="206"/>
      <c r="Q375" s="2234"/>
      <c r="R375" s="2192"/>
    </row>
    <row r="376" spans="1:18" ht="20.25">
      <c r="A376" s="207"/>
      <c r="B376" s="205"/>
      <c r="C376" s="205"/>
      <c r="D376" s="205"/>
      <c r="E376" s="208"/>
      <c r="F376" s="206"/>
      <c r="Q376" s="2234"/>
      <c r="R376" s="2192"/>
    </row>
    <row r="377" spans="1:18" ht="20.25">
      <c r="A377" s="207"/>
      <c r="B377" s="205"/>
      <c r="C377" s="205"/>
      <c r="D377" s="205"/>
      <c r="E377" s="208"/>
      <c r="F377" s="206"/>
      <c r="Q377" s="2234"/>
      <c r="R377" s="2192"/>
    </row>
    <row r="378" spans="1:18" ht="20.25">
      <c r="A378" s="207"/>
      <c r="B378" s="205"/>
      <c r="C378" s="205"/>
      <c r="D378" s="205"/>
      <c r="E378" s="208"/>
      <c r="F378" s="206"/>
      <c r="Q378" s="2234"/>
      <c r="R378" s="2192"/>
    </row>
    <row r="379" spans="1:18" ht="20.25">
      <c r="A379" s="207"/>
      <c r="B379" s="205"/>
      <c r="C379" s="205"/>
      <c r="D379" s="205"/>
      <c r="E379" s="208"/>
      <c r="F379" s="206"/>
      <c r="Q379" s="2234"/>
      <c r="R379" s="2192"/>
    </row>
    <row r="380" spans="1:18" ht="20.25">
      <c r="A380" s="207"/>
      <c r="B380" s="205"/>
      <c r="C380" s="205"/>
      <c r="D380" s="205"/>
      <c r="E380" s="208"/>
      <c r="F380" s="206"/>
      <c r="Q380" s="2234"/>
      <c r="R380" s="2192"/>
    </row>
    <row r="381" spans="1:18" ht="20.25">
      <c r="A381" s="207"/>
      <c r="B381" s="205"/>
      <c r="C381" s="205"/>
      <c r="D381" s="205"/>
      <c r="E381" s="208"/>
      <c r="F381" s="206"/>
      <c r="Q381" s="2234"/>
      <c r="R381" s="2192"/>
    </row>
    <row r="382" spans="1:18" ht="20.25">
      <c r="A382" s="207"/>
      <c r="B382" s="205"/>
      <c r="C382" s="205"/>
      <c r="D382" s="205"/>
      <c r="E382" s="208"/>
      <c r="F382" s="206"/>
      <c r="Q382" s="2234"/>
      <c r="R382" s="2192"/>
    </row>
    <row r="383" spans="1:18" ht="20.25">
      <c r="A383" s="207"/>
      <c r="B383" s="205"/>
      <c r="C383" s="205"/>
      <c r="D383" s="205"/>
      <c r="E383" s="208"/>
      <c r="F383" s="206"/>
      <c r="Q383" s="2234"/>
      <c r="R383" s="2192"/>
    </row>
    <row r="384" spans="1:18" ht="20.25">
      <c r="A384" s="207"/>
      <c r="B384" s="205"/>
      <c r="C384" s="205"/>
      <c r="D384" s="205"/>
      <c r="E384" s="208"/>
      <c r="F384" s="206"/>
      <c r="Q384" s="2234"/>
      <c r="R384" s="2192"/>
    </row>
    <row r="385" spans="1:18" ht="20.25">
      <c r="A385" s="207"/>
      <c r="B385" s="205"/>
      <c r="C385" s="205"/>
      <c r="D385" s="205"/>
      <c r="E385" s="208"/>
      <c r="F385" s="206"/>
      <c r="Q385" s="2234"/>
      <c r="R385" s="2192"/>
    </row>
    <row r="386" spans="1:18" ht="20.25">
      <c r="A386" s="207"/>
      <c r="B386" s="205"/>
      <c r="C386" s="205"/>
      <c r="D386" s="205"/>
      <c r="E386" s="208"/>
      <c r="F386" s="206"/>
      <c r="Q386" s="2234"/>
      <c r="R386" s="2192"/>
    </row>
    <row r="387" spans="1:18" ht="20.25">
      <c r="A387" s="207"/>
      <c r="B387" s="205"/>
      <c r="C387" s="205"/>
      <c r="D387" s="205"/>
      <c r="E387" s="208"/>
      <c r="F387" s="206"/>
      <c r="Q387" s="2234"/>
      <c r="R387" s="2192"/>
    </row>
    <row r="388" spans="1:18" ht="20.25">
      <c r="A388" s="207"/>
      <c r="B388" s="205"/>
      <c r="C388" s="205"/>
      <c r="D388" s="205"/>
      <c r="E388" s="208"/>
      <c r="F388" s="206"/>
      <c r="Q388" s="2234"/>
      <c r="R388" s="2192"/>
    </row>
    <row r="389" spans="1:18" ht="20.25">
      <c r="A389" s="207"/>
      <c r="B389" s="205"/>
      <c r="C389" s="205"/>
      <c r="D389" s="205"/>
      <c r="E389" s="208"/>
      <c r="F389" s="206"/>
      <c r="Q389" s="2234"/>
      <c r="R389" s="2192"/>
    </row>
    <row r="390" spans="1:18" ht="20.25">
      <c r="A390" s="207"/>
      <c r="B390" s="205"/>
      <c r="C390" s="205"/>
      <c r="D390" s="205"/>
      <c r="E390" s="208"/>
      <c r="F390" s="206"/>
      <c r="Q390" s="2234"/>
      <c r="R390" s="2192"/>
    </row>
    <row r="391" spans="1:18" ht="20.25">
      <c r="A391" s="207"/>
      <c r="B391" s="205"/>
      <c r="C391" s="205"/>
      <c r="D391" s="205"/>
      <c r="E391" s="208"/>
      <c r="F391" s="206"/>
      <c r="Q391" s="2234"/>
      <c r="R391" s="2192"/>
    </row>
    <row r="392" spans="1:18" ht="20.25">
      <c r="A392" s="207"/>
      <c r="B392" s="205"/>
      <c r="C392" s="205"/>
      <c r="D392" s="205"/>
      <c r="E392" s="208"/>
      <c r="F392" s="206"/>
      <c r="Q392" s="2234"/>
      <c r="R392" s="2192"/>
    </row>
    <row r="393" spans="1:18" ht="20.25">
      <c r="A393" s="207"/>
      <c r="B393" s="205"/>
      <c r="C393" s="205"/>
      <c r="D393" s="205"/>
      <c r="E393" s="208"/>
      <c r="F393" s="206"/>
      <c r="Q393" s="2234"/>
      <c r="R393" s="2192"/>
    </row>
    <row r="394" spans="1:18" ht="20.25">
      <c r="A394" s="207"/>
      <c r="B394" s="205"/>
      <c r="C394" s="205"/>
      <c r="D394" s="205"/>
      <c r="E394" s="208"/>
      <c r="F394" s="206"/>
      <c r="Q394" s="2234"/>
      <c r="R394" s="2192"/>
    </row>
    <row r="395" spans="1:18" ht="20.25">
      <c r="A395" s="207"/>
      <c r="B395" s="205"/>
      <c r="C395" s="205"/>
      <c r="D395" s="205"/>
      <c r="E395" s="208"/>
      <c r="F395" s="206"/>
      <c r="Q395" s="2234"/>
      <c r="R395" s="2192"/>
    </row>
    <row r="396" spans="1:18" ht="20.25">
      <c r="A396" s="207"/>
      <c r="B396" s="205"/>
      <c r="C396" s="205"/>
      <c r="D396" s="205"/>
      <c r="E396" s="208"/>
      <c r="F396" s="206"/>
      <c r="Q396" s="2234"/>
      <c r="R396" s="2192"/>
    </row>
    <row r="397" spans="1:18" ht="20.25">
      <c r="A397" s="207"/>
      <c r="B397" s="205"/>
      <c r="C397" s="205"/>
      <c r="D397" s="205"/>
      <c r="E397" s="208"/>
      <c r="F397" s="206"/>
      <c r="Q397" s="2234"/>
      <c r="R397" s="2192"/>
    </row>
    <row r="398" spans="1:18" ht="20.25">
      <c r="A398" s="207"/>
      <c r="B398" s="205"/>
      <c r="C398" s="205"/>
      <c r="D398" s="205"/>
      <c r="E398" s="208"/>
      <c r="F398" s="206"/>
      <c r="Q398" s="2234"/>
      <c r="R398" s="2192"/>
    </row>
    <row r="399" spans="1:18" ht="20.25">
      <c r="A399" s="207"/>
      <c r="B399" s="205"/>
      <c r="C399" s="205"/>
      <c r="D399" s="205"/>
      <c r="E399" s="208"/>
      <c r="F399" s="206"/>
      <c r="Q399" s="2234"/>
      <c r="R399" s="2192"/>
    </row>
    <row r="400" spans="1:18" ht="20.25">
      <c r="A400" s="207"/>
      <c r="B400" s="205"/>
      <c r="C400" s="205"/>
      <c r="D400" s="205"/>
      <c r="E400" s="208"/>
      <c r="F400" s="206"/>
      <c r="Q400" s="2234"/>
      <c r="R400" s="2192"/>
    </row>
    <row r="401" spans="1:18" ht="20.25">
      <c r="A401" s="207"/>
      <c r="B401" s="205"/>
      <c r="C401" s="205"/>
      <c r="D401" s="205"/>
      <c r="E401" s="208"/>
      <c r="F401" s="206"/>
      <c r="Q401" s="2234"/>
      <c r="R401" s="2192"/>
    </row>
    <row r="402" spans="1:18" ht="20.25">
      <c r="A402" s="207"/>
      <c r="B402" s="205"/>
      <c r="C402" s="205"/>
      <c r="D402" s="205"/>
      <c r="E402" s="208"/>
      <c r="F402" s="206"/>
      <c r="Q402" s="2234"/>
      <c r="R402" s="2192"/>
    </row>
    <row r="403" spans="1:18" ht="20.25">
      <c r="A403" s="207"/>
      <c r="B403" s="205"/>
      <c r="C403" s="205"/>
      <c r="D403" s="205"/>
      <c r="E403" s="208"/>
      <c r="F403" s="206"/>
      <c r="Q403" s="2234"/>
      <c r="R403" s="2192"/>
    </row>
    <row r="404" spans="1:18" ht="20.25">
      <c r="A404" s="207"/>
      <c r="B404" s="205"/>
      <c r="C404" s="205"/>
      <c r="D404" s="205"/>
      <c r="E404" s="208"/>
      <c r="F404" s="206"/>
      <c r="Q404" s="2234"/>
      <c r="R404" s="2192"/>
    </row>
    <row r="405" spans="1:18" ht="20.25">
      <c r="A405" s="207"/>
      <c r="B405" s="205"/>
      <c r="C405" s="205"/>
      <c r="D405" s="205"/>
      <c r="E405" s="208"/>
      <c r="F405" s="206"/>
      <c r="Q405" s="2234"/>
      <c r="R405" s="2192"/>
    </row>
    <row r="406" spans="1:18" ht="20.25">
      <c r="A406" s="207"/>
      <c r="B406" s="205"/>
      <c r="C406" s="205"/>
      <c r="D406" s="205"/>
      <c r="E406" s="208"/>
      <c r="F406" s="206"/>
      <c r="Q406" s="2234"/>
      <c r="R406" s="2192"/>
    </row>
    <row r="407" spans="1:18" ht="20.25">
      <c r="A407" s="207"/>
      <c r="B407" s="205"/>
      <c r="C407" s="205"/>
      <c r="D407" s="205"/>
      <c r="E407" s="208"/>
      <c r="F407" s="206"/>
      <c r="Q407" s="2234"/>
      <c r="R407" s="2192"/>
    </row>
    <row r="408" spans="1:18" ht="20.25">
      <c r="A408" s="207"/>
      <c r="B408" s="205"/>
      <c r="C408" s="205"/>
      <c r="D408" s="205"/>
      <c r="E408" s="208"/>
      <c r="F408" s="206"/>
      <c r="Q408" s="2234"/>
      <c r="R408" s="2192"/>
    </row>
    <row r="409" spans="1:18" ht="20.25">
      <c r="A409" s="207"/>
      <c r="B409" s="205"/>
      <c r="C409" s="205"/>
      <c r="D409" s="205"/>
      <c r="E409" s="208"/>
      <c r="F409" s="206"/>
      <c r="Q409" s="2234"/>
      <c r="R409" s="2192"/>
    </row>
    <row r="410" spans="1:18" ht="20.25">
      <c r="A410" s="207"/>
      <c r="B410" s="205"/>
      <c r="C410" s="205"/>
      <c r="D410" s="205"/>
      <c r="E410" s="208"/>
      <c r="F410" s="206"/>
      <c r="Q410" s="2234"/>
      <c r="R410" s="2192"/>
    </row>
    <row r="411" spans="1:18" ht="20.25">
      <c r="A411" s="207"/>
      <c r="B411" s="205"/>
      <c r="C411" s="205"/>
      <c r="D411" s="205"/>
      <c r="E411" s="208"/>
      <c r="F411" s="206"/>
      <c r="Q411" s="2234"/>
      <c r="R411" s="2192"/>
    </row>
    <row r="412" spans="1:18" ht="20.25">
      <c r="A412" s="207"/>
      <c r="B412" s="205"/>
      <c r="C412" s="205"/>
      <c r="D412" s="205"/>
      <c r="E412" s="208"/>
      <c r="F412" s="206"/>
      <c r="Q412" s="2234"/>
      <c r="R412" s="2192"/>
    </row>
    <row r="413" spans="1:18" ht="20.25">
      <c r="A413" s="207"/>
      <c r="B413" s="205"/>
      <c r="C413" s="205"/>
      <c r="D413" s="205"/>
      <c r="E413" s="208"/>
      <c r="F413" s="206"/>
      <c r="Q413" s="2234"/>
      <c r="R413" s="2192"/>
    </row>
    <row r="414" spans="1:18" ht="20.25">
      <c r="A414" s="207"/>
      <c r="B414" s="205"/>
      <c r="C414" s="205"/>
      <c r="D414" s="205"/>
      <c r="E414" s="208"/>
      <c r="F414" s="206"/>
      <c r="Q414" s="2234"/>
      <c r="R414" s="2192"/>
    </row>
    <row r="415" spans="1:18" ht="20.25">
      <c r="A415" s="207"/>
      <c r="B415" s="205"/>
      <c r="C415" s="205"/>
      <c r="D415" s="205"/>
      <c r="E415" s="208"/>
      <c r="F415" s="206"/>
      <c r="Q415" s="2234"/>
      <c r="R415" s="2192"/>
    </row>
    <row r="416" spans="1:18" ht="20.25">
      <c r="A416" s="207"/>
      <c r="B416" s="205"/>
      <c r="C416" s="205"/>
      <c r="D416" s="205"/>
      <c r="E416" s="208"/>
      <c r="F416" s="206"/>
      <c r="Q416" s="2234"/>
      <c r="R416" s="2192"/>
    </row>
    <row r="417" spans="1:18" ht="20.25">
      <c r="A417" s="207"/>
      <c r="B417" s="205"/>
      <c r="C417" s="205"/>
      <c r="D417" s="205"/>
      <c r="E417" s="208"/>
      <c r="F417" s="206"/>
      <c r="Q417" s="2234"/>
      <c r="R417" s="2192"/>
    </row>
    <row r="418" spans="1:18" ht="20.25">
      <c r="A418" s="207"/>
      <c r="B418" s="205"/>
      <c r="C418" s="205"/>
      <c r="D418" s="205"/>
      <c r="E418" s="208"/>
      <c r="F418" s="206"/>
      <c r="Q418" s="2234"/>
      <c r="R418" s="2192"/>
    </row>
    <row r="419" spans="1:18" ht="20.25">
      <c r="A419" s="207"/>
      <c r="B419" s="205"/>
      <c r="C419" s="205"/>
      <c r="D419" s="205"/>
      <c r="E419" s="208"/>
      <c r="F419" s="206"/>
      <c r="Q419" s="2234"/>
      <c r="R419" s="2192"/>
    </row>
    <row r="420" spans="1:18" ht="20.25">
      <c r="A420" s="207"/>
      <c r="B420" s="205"/>
      <c r="C420" s="205"/>
      <c r="D420" s="205"/>
      <c r="E420" s="208"/>
      <c r="F420" s="206"/>
      <c r="Q420" s="2234"/>
      <c r="R420" s="2192"/>
    </row>
    <row r="421" spans="1:18" ht="20.25">
      <c r="A421" s="207"/>
      <c r="B421" s="205"/>
      <c r="C421" s="205"/>
      <c r="D421" s="205"/>
      <c r="E421" s="208"/>
      <c r="F421" s="206"/>
      <c r="Q421" s="2234"/>
      <c r="R421" s="2192"/>
    </row>
    <row r="422" spans="1:18" ht="20.25">
      <c r="A422" s="207"/>
      <c r="B422" s="205"/>
      <c r="C422" s="205"/>
      <c r="D422" s="205"/>
      <c r="E422" s="208"/>
      <c r="F422" s="206"/>
      <c r="Q422" s="2234"/>
      <c r="R422" s="2192"/>
    </row>
    <row r="423" spans="1:18" ht="20.25">
      <c r="A423" s="207"/>
      <c r="B423" s="205"/>
      <c r="C423" s="205"/>
      <c r="D423" s="205"/>
      <c r="E423" s="208"/>
      <c r="F423" s="206"/>
      <c r="Q423" s="2234"/>
      <c r="R423" s="2192"/>
    </row>
    <row r="424" spans="1:18" ht="20.25">
      <c r="A424" s="207"/>
      <c r="B424" s="205"/>
      <c r="C424" s="205"/>
      <c r="D424" s="205"/>
      <c r="E424" s="208"/>
      <c r="F424" s="206"/>
      <c r="Q424" s="2234"/>
      <c r="R424" s="2192"/>
    </row>
    <row r="425" spans="1:18" ht="20.25">
      <c r="A425" s="207"/>
      <c r="B425" s="205"/>
      <c r="C425" s="205"/>
      <c r="D425" s="205"/>
      <c r="E425" s="208"/>
      <c r="F425" s="206"/>
      <c r="Q425" s="2234"/>
      <c r="R425" s="2192"/>
    </row>
    <row r="426" spans="1:18" ht="20.25">
      <c r="A426" s="207"/>
      <c r="B426" s="205"/>
      <c r="C426" s="205"/>
      <c r="D426" s="205"/>
      <c r="E426" s="208"/>
      <c r="F426" s="206"/>
      <c r="Q426" s="2234"/>
      <c r="R426" s="2192"/>
    </row>
    <row r="427" spans="1:18" ht="20.25">
      <c r="A427" s="207"/>
      <c r="B427" s="205"/>
      <c r="C427" s="205"/>
      <c r="D427" s="205"/>
      <c r="E427" s="208"/>
      <c r="F427" s="206"/>
      <c r="Q427" s="2234"/>
      <c r="R427" s="2192"/>
    </row>
    <row r="428" spans="1:18" ht="20.25">
      <c r="A428" s="207"/>
      <c r="B428" s="205"/>
      <c r="C428" s="205"/>
      <c r="D428" s="205"/>
      <c r="E428" s="208"/>
      <c r="F428" s="206"/>
      <c r="Q428" s="2234"/>
      <c r="R428" s="2192"/>
    </row>
    <row r="429" spans="1:18" ht="20.25">
      <c r="A429" s="207"/>
      <c r="B429" s="205"/>
      <c r="C429" s="205"/>
      <c r="D429" s="205"/>
      <c r="E429" s="208"/>
      <c r="F429" s="206"/>
      <c r="Q429" s="2234"/>
      <c r="R429" s="2192"/>
    </row>
    <row r="430" spans="1:18" ht="20.25">
      <c r="A430" s="207"/>
      <c r="B430" s="205"/>
      <c r="C430" s="205"/>
      <c r="D430" s="205"/>
      <c r="E430" s="208"/>
      <c r="F430" s="206"/>
      <c r="Q430" s="2234"/>
      <c r="R430" s="2192"/>
    </row>
    <row r="431" spans="1:18" ht="20.25">
      <c r="A431" s="207"/>
      <c r="B431" s="205"/>
      <c r="C431" s="205"/>
      <c r="D431" s="205"/>
      <c r="E431" s="208"/>
      <c r="F431" s="206"/>
      <c r="Q431" s="2234"/>
      <c r="R431" s="2192"/>
    </row>
    <row r="432" spans="1:18" ht="20.25">
      <c r="A432" s="207"/>
      <c r="B432" s="205"/>
      <c r="C432" s="205"/>
      <c r="D432" s="205"/>
      <c r="E432" s="208"/>
      <c r="F432" s="206"/>
      <c r="Q432" s="2234"/>
      <c r="R432" s="2192"/>
    </row>
    <row r="433" spans="1:18" ht="20.25">
      <c r="A433" s="207"/>
      <c r="B433" s="205"/>
      <c r="C433" s="205"/>
      <c r="D433" s="205"/>
      <c r="E433" s="208"/>
      <c r="F433" s="206"/>
      <c r="Q433" s="2234"/>
      <c r="R433" s="2192"/>
    </row>
    <row r="434" spans="1:18" ht="20.25">
      <c r="A434" s="207"/>
      <c r="B434" s="205"/>
      <c r="C434" s="205"/>
      <c r="D434" s="205"/>
      <c r="E434" s="208"/>
      <c r="F434" s="206"/>
      <c r="Q434" s="2234"/>
      <c r="R434" s="2192"/>
    </row>
    <row r="435" spans="1:18" ht="20.25">
      <c r="A435" s="207"/>
      <c r="B435" s="205"/>
      <c r="C435" s="205"/>
      <c r="D435" s="205"/>
      <c r="E435" s="208"/>
      <c r="F435" s="206"/>
      <c r="Q435" s="2234"/>
      <c r="R435" s="2192"/>
    </row>
    <row r="436" spans="1:18" ht="20.25">
      <c r="A436" s="207"/>
      <c r="B436" s="205"/>
      <c r="C436" s="205"/>
      <c r="D436" s="205"/>
      <c r="E436" s="208"/>
      <c r="F436" s="206"/>
      <c r="Q436" s="2234"/>
      <c r="R436" s="2192"/>
    </row>
    <row r="437" spans="1:18" ht="20.25">
      <c r="A437" s="207"/>
      <c r="B437" s="205"/>
      <c r="C437" s="205"/>
      <c r="D437" s="205"/>
      <c r="E437" s="208"/>
      <c r="F437" s="206"/>
      <c r="Q437" s="2234"/>
      <c r="R437" s="2192"/>
    </row>
    <row r="438" spans="1:18" ht="20.25">
      <c r="A438" s="207"/>
      <c r="B438" s="205"/>
      <c r="C438" s="205"/>
      <c r="D438" s="205"/>
      <c r="E438" s="208"/>
      <c r="F438" s="206"/>
      <c r="Q438" s="2234"/>
      <c r="R438" s="2192"/>
    </row>
    <row r="439" spans="1:18" ht="20.25">
      <c r="A439" s="207"/>
      <c r="B439" s="205"/>
      <c r="C439" s="205"/>
      <c r="D439" s="205"/>
      <c r="E439" s="208"/>
      <c r="F439" s="206"/>
      <c r="Q439" s="2234"/>
      <c r="R439" s="2192"/>
    </row>
    <row r="440" spans="1:18" ht="20.25">
      <c r="A440" s="207"/>
      <c r="B440" s="205"/>
      <c r="C440" s="205"/>
      <c r="D440" s="205"/>
      <c r="E440" s="208"/>
      <c r="F440" s="206"/>
      <c r="Q440" s="2234"/>
      <c r="R440" s="2192"/>
    </row>
    <row r="441" spans="1:18" ht="20.25">
      <c r="A441" s="207"/>
      <c r="B441" s="205"/>
      <c r="C441" s="205"/>
      <c r="D441" s="205"/>
      <c r="E441" s="208"/>
      <c r="F441" s="206"/>
      <c r="Q441" s="2234"/>
      <c r="R441" s="2192"/>
    </row>
    <row r="442" spans="1:18" ht="20.25">
      <c r="A442" s="207"/>
      <c r="B442" s="205"/>
      <c r="C442" s="205"/>
      <c r="D442" s="205"/>
      <c r="E442" s="208"/>
      <c r="F442" s="206"/>
      <c r="Q442" s="2234"/>
      <c r="R442" s="2192"/>
    </row>
    <row r="443" spans="1:18" ht="20.25">
      <c r="A443" s="207"/>
      <c r="B443" s="205"/>
      <c r="C443" s="205"/>
      <c r="D443" s="205"/>
      <c r="E443" s="208"/>
      <c r="F443" s="206"/>
      <c r="Q443" s="2234"/>
      <c r="R443" s="2192"/>
    </row>
    <row r="444" spans="1:18" ht="20.25">
      <c r="A444" s="207"/>
      <c r="B444" s="205"/>
      <c r="C444" s="205"/>
      <c r="D444" s="205"/>
      <c r="E444" s="208"/>
      <c r="F444" s="206"/>
      <c r="Q444" s="2234"/>
      <c r="R444" s="2192"/>
    </row>
    <row r="445" spans="1:18" ht="20.25">
      <c r="A445" s="207"/>
      <c r="B445" s="205"/>
      <c r="C445" s="205"/>
      <c r="D445" s="205"/>
      <c r="E445" s="208"/>
      <c r="F445" s="206"/>
      <c r="Q445" s="2234"/>
      <c r="R445" s="2192"/>
    </row>
    <row r="446" spans="1:18" ht="20.25">
      <c r="A446" s="207"/>
      <c r="B446" s="205"/>
      <c r="C446" s="205"/>
      <c r="D446" s="205"/>
      <c r="E446" s="208"/>
      <c r="F446" s="206"/>
      <c r="Q446" s="2234"/>
      <c r="R446" s="2192"/>
    </row>
    <row r="447" spans="1:18" ht="20.25">
      <c r="A447" s="207"/>
      <c r="B447" s="205"/>
      <c r="C447" s="205"/>
      <c r="D447" s="205"/>
      <c r="E447" s="208"/>
      <c r="F447" s="206"/>
      <c r="Q447" s="2234"/>
      <c r="R447" s="2192"/>
    </row>
    <row r="448" spans="1:18" ht="20.25">
      <c r="A448" s="207"/>
      <c r="B448" s="205"/>
      <c r="C448" s="205"/>
      <c r="D448" s="205"/>
      <c r="E448" s="208"/>
      <c r="F448" s="206"/>
      <c r="Q448" s="2234"/>
      <c r="R448" s="2192"/>
    </row>
    <row r="449" spans="1:18" ht="20.25">
      <c r="A449" s="207"/>
      <c r="B449" s="205"/>
      <c r="C449" s="205"/>
      <c r="D449" s="205"/>
      <c r="E449" s="208"/>
      <c r="F449" s="206"/>
      <c r="Q449" s="2234"/>
      <c r="R449" s="2192"/>
    </row>
    <row r="450" spans="1:18" ht="20.25">
      <c r="A450" s="207"/>
      <c r="B450" s="205"/>
      <c r="C450" s="205"/>
      <c r="D450" s="205"/>
      <c r="E450" s="208"/>
      <c r="F450" s="206"/>
      <c r="Q450" s="2234"/>
      <c r="R450" s="2192"/>
    </row>
    <row r="451" spans="1:18" ht="20.25">
      <c r="A451" s="207"/>
      <c r="B451" s="205"/>
      <c r="C451" s="205"/>
      <c r="D451" s="205"/>
      <c r="E451" s="208"/>
      <c r="F451" s="206"/>
      <c r="Q451" s="2234"/>
      <c r="R451" s="2192"/>
    </row>
    <row r="452" spans="1:18" ht="20.25">
      <c r="A452" s="207"/>
      <c r="B452" s="205"/>
      <c r="C452" s="205"/>
      <c r="D452" s="205"/>
      <c r="E452" s="208"/>
      <c r="F452" s="206"/>
      <c r="Q452" s="2234"/>
      <c r="R452" s="2192"/>
    </row>
    <row r="453" spans="1:18" ht="20.25">
      <c r="A453" s="207"/>
      <c r="B453" s="205"/>
      <c r="C453" s="205"/>
      <c r="D453" s="205"/>
      <c r="E453" s="208"/>
      <c r="F453" s="206"/>
      <c r="Q453" s="2234"/>
      <c r="R453" s="2192"/>
    </row>
    <row r="454" spans="1:18" ht="20.25">
      <c r="A454" s="207"/>
      <c r="B454" s="205"/>
      <c r="C454" s="205"/>
      <c r="D454" s="205"/>
      <c r="E454" s="208"/>
      <c r="F454" s="206"/>
      <c r="Q454" s="2234"/>
      <c r="R454" s="2192"/>
    </row>
    <row r="455" spans="1:18" ht="20.25">
      <c r="A455" s="207"/>
      <c r="B455" s="205"/>
      <c r="C455" s="205"/>
      <c r="D455" s="205"/>
      <c r="E455" s="208"/>
      <c r="F455" s="206"/>
      <c r="Q455" s="2234"/>
      <c r="R455" s="2192"/>
    </row>
    <row r="456" spans="1:18" ht="20.25">
      <c r="A456" s="207"/>
      <c r="B456" s="205"/>
      <c r="C456" s="205"/>
      <c r="D456" s="205"/>
      <c r="E456" s="208"/>
      <c r="F456" s="206"/>
      <c r="Q456" s="2234"/>
      <c r="R456" s="2192"/>
    </row>
    <row r="457" spans="1:18" ht="20.25">
      <c r="A457" s="207"/>
      <c r="B457" s="205"/>
      <c r="C457" s="205"/>
      <c r="D457" s="205"/>
      <c r="E457" s="208"/>
      <c r="F457" s="206"/>
      <c r="Q457" s="2234"/>
      <c r="R457" s="2192"/>
    </row>
    <row r="458" spans="1:18" ht="20.25">
      <c r="A458" s="207"/>
      <c r="B458" s="205"/>
      <c r="C458" s="205"/>
      <c r="D458" s="205"/>
      <c r="E458" s="208"/>
      <c r="F458" s="206"/>
      <c r="Q458" s="2234"/>
      <c r="R458" s="2192"/>
    </row>
    <row r="459" spans="1:18" ht="20.25">
      <c r="A459" s="207"/>
      <c r="B459" s="205"/>
      <c r="C459" s="205"/>
      <c r="D459" s="205"/>
      <c r="E459" s="208"/>
      <c r="F459" s="206"/>
      <c r="Q459" s="2234"/>
      <c r="R459" s="2192"/>
    </row>
    <row r="460" spans="1:18" ht="20.25">
      <c r="A460" s="207"/>
      <c r="B460" s="205"/>
      <c r="C460" s="205"/>
      <c r="D460" s="205"/>
      <c r="E460" s="208"/>
      <c r="F460" s="206"/>
      <c r="Q460" s="2234"/>
      <c r="R460" s="2192"/>
    </row>
    <row r="461" spans="1:18" ht="20.25">
      <c r="A461" s="207"/>
      <c r="B461" s="205"/>
      <c r="C461" s="205"/>
      <c r="D461" s="205"/>
      <c r="E461" s="208"/>
      <c r="F461" s="206"/>
      <c r="Q461" s="2234"/>
      <c r="R461" s="2192"/>
    </row>
    <row r="462" spans="1:18" ht="20.25">
      <c r="A462" s="207"/>
      <c r="B462" s="205"/>
      <c r="C462" s="205"/>
      <c r="D462" s="205"/>
      <c r="E462" s="208"/>
      <c r="F462" s="206"/>
      <c r="Q462" s="2234"/>
      <c r="R462" s="2192"/>
    </row>
    <row r="463" spans="1:18" ht="20.25">
      <c r="A463" s="207"/>
      <c r="B463" s="205"/>
      <c r="C463" s="205"/>
      <c r="D463" s="205"/>
      <c r="E463" s="208"/>
      <c r="F463" s="206"/>
      <c r="Q463" s="2234"/>
      <c r="R463" s="2192"/>
    </row>
    <row r="464" spans="1:18" ht="20.25">
      <c r="A464" s="207"/>
      <c r="B464" s="205"/>
      <c r="C464" s="205"/>
      <c r="D464" s="205"/>
      <c r="E464" s="208"/>
      <c r="F464" s="206"/>
      <c r="Q464" s="2234"/>
      <c r="R464" s="2192"/>
    </row>
    <row r="465" spans="1:18" ht="20.25">
      <c r="A465" s="207"/>
      <c r="B465" s="205"/>
      <c r="C465" s="205"/>
      <c r="D465" s="205"/>
      <c r="E465" s="208"/>
      <c r="F465" s="206"/>
      <c r="Q465" s="2234"/>
      <c r="R465" s="2192"/>
    </row>
    <row r="466" spans="1:18" ht="20.25">
      <c r="A466" s="207"/>
      <c r="B466" s="205"/>
      <c r="C466" s="205"/>
      <c r="D466" s="205"/>
      <c r="E466" s="208"/>
      <c r="F466" s="206"/>
      <c r="Q466" s="2234"/>
      <c r="R466" s="2192"/>
    </row>
    <row r="467" spans="1:18" ht="20.25">
      <c r="A467" s="207"/>
      <c r="B467" s="205"/>
      <c r="C467" s="205"/>
      <c r="D467" s="205"/>
      <c r="E467" s="208"/>
      <c r="F467" s="206"/>
      <c r="Q467" s="2234"/>
      <c r="R467" s="2192"/>
    </row>
    <row r="468" spans="1:18" ht="20.25">
      <c r="A468" s="207"/>
      <c r="B468" s="205"/>
      <c r="C468" s="205"/>
      <c r="D468" s="205"/>
      <c r="E468" s="208"/>
      <c r="F468" s="206"/>
      <c r="Q468" s="2234"/>
      <c r="R468" s="2192"/>
    </row>
    <row r="469" spans="1:18" ht="20.25">
      <c r="A469" s="207"/>
      <c r="B469" s="205"/>
      <c r="C469" s="205"/>
      <c r="D469" s="205"/>
      <c r="E469" s="208"/>
      <c r="F469" s="206"/>
      <c r="Q469" s="2234"/>
      <c r="R469" s="2192"/>
    </row>
    <row r="470" spans="1:18" ht="20.25">
      <c r="A470" s="207"/>
      <c r="B470" s="205"/>
      <c r="C470" s="205"/>
      <c r="D470" s="205"/>
      <c r="E470" s="208"/>
      <c r="F470" s="206"/>
      <c r="Q470" s="2234"/>
      <c r="R470" s="2192"/>
    </row>
    <row r="471" spans="1:18" ht="20.25">
      <c r="A471" s="207"/>
      <c r="B471" s="205"/>
      <c r="C471" s="205"/>
      <c r="D471" s="205"/>
      <c r="E471" s="208"/>
      <c r="F471" s="206"/>
      <c r="Q471" s="2234"/>
      <c r="R471" s="2192"/>
    </row>
    <row r="472" spans="1:18" ht="20.25">
      <c r="A472" s="207"/>
      <c r="B472" s="205"/>
      <c r="C472" s="205"/>
      <c r="D472" s="205"/>
      <c r="E472" s="208"/>
      <c r="F472" s="206"/>
      <c r="Q472" s="2234"/>
      <c r="R472" s="2192"/>
    </row>
    <row r="473" spans="1:18" ht="20.25">
      <c r="A473" s="207"/>
      <c r="B473" s="205"/>
      <c r="C473" s="205"/>
      <c r="D473" s="205"/>
      <c r="E473" s="208"/>
      <c r="F473" s="206"/>
      <c r="Q473" s="2234"/>
      <c r="R473" s="2192"/>
    </row>
    <row r="474" spans="1:18" ht="20.25">
      <c r="A474" s="207"/>
      <c r="B474" s="205"/>
      <c r="C474" s="205"/>
      <c r="D474" s="205"/>
      <c r="E474" s="208"/>
      <c r="F474" s="206"/>
      <c r="Q474" s="2234"/>
      <c r="R474" s="2232"/>
    </row>
    <row r="475" spans="1:18" ht="20.25">
      <c r="A475" s="207"/>
      <c r="B475" s="205"/>
      <c r="C475" s="205"/>
      <c r="D475" s="205"/>
      <c r="E475" s="208"/>
      <c r="F475" s="206"/>
      <c r="Q475" s="2234"/>
      <c r="R475" s="2232"/>
    </row>
    <row r="476" spans="1:18" ht="20.25">
      <c r="A476" s="207"/>
      <c r="B476" s="205"/>
      <c r="C476" s="205"/>
      <c r="D476" s="205"/>
      <c r="E476" s="208"/>
      <c r="F476" s="206"/>
      <c r="Q476" s="2234"/>
      <c r="R476" s="2232"/>
    </row>
    <row r="477" spans="1:18" ht="20.25">
      <c r="A477" s="207"/>
      <c r="B477" s="205"/>
      <c r="C477" s="205"/>
      <c r="D477" s="205"/>
      <c r="E477" s="208"/>
      <c r="F477" s="206"/>
      <c r="Q477" s="2234"/>
      <c r="R477" s="2232"/>
    </row>
    <row r="478" spans="1:18" ht="20.25">
      <c r="A478" s="207"/>
      <c r="B478" s="205"/>
      <c r="C478" s="205"/>
      <c r="D478" s="205"/>
      <c r="E478" s="208"/>
      <c r="F478" s="206"/>
      <c r="Q478" s="2234"/>
      <c r="R478" s="2232"/>
    </row>
    <row r="479" spans="1:18" ht="20.25">
      <c r="A479" s="207"/>
      <c r="B479" s="205"/>
      <c r="C479" s="205"/>
      <c r="D479" s="205"/>
      <c r="E479" s="208"/>
      <c r="F479" s="206"/>
      <c r="Q479" s="2234"/>
      <c r="R479" s="2232"/>
    </row>
    <row r="480" spans="1:18" ht="20.25">
      <c r="A480" s="207"/>
      <c r="B480" s="205"/>
      <c r="C480" s="205"/>
      <c r="D480" s="205"/>
      <c r="E480" s="208"/>
      <c r="F480" s="206"/>
      <c r="Q480" s="2234"/>
      <c r="R480" s="2232"/>
    </row>
    <row r="481" spans="1:18" ht="20.25">
      <c r="A481" s="207"/>
      <c r="B481" s="205"/>
      <c r="C481" s="205"/>
      <c r="D481" s="205"/>
      <c r="E481" s="208"/>
      <c r="F481" s="206"/>
      <c r="Q481" s="2234"/>
      <c r="R481" s="2232"/>
    </row>
    <row r="482" spans="1:18" ht="20.25">
      <c r="A482" s="207"/>
      <c r="B482" s="205"/>
      <c r="C482" s="205"/>
      <c r="D482" s="205"/>
      <c r="E482" s="208"/>
      <c r="F482" s="206"/>
      <c r="Q482" s="2234"/>
      <c r="R482" s="2232"/>
    </row>
    <row r="483" spans="1:18" ht="20.25">
      <c r="A483" s="207"/>
      <c r="B483" s="205"/>
      <c r="C483" s="205"/>
      <c r="D483" s="205"/>
      <c r="E483" s="208"/>
      <c r="F483" s="206"/>
      <c r="Q483" s="2234"/>
      <c r="R483" s="2232"/>
    </row>
    <row r="484" spans="1:18" ht="20.25">
      <c r="A484" s="207"/>
      <c r="B484" s="205"/>
      <c r="C484" s="205"/>
      <c r="D484" s="205"/>
      <c r="E484" s="208"/>
      <c r="F484" s="206"/>
      <c r="Q484" s="2234"/>
      <c r="R484" s="2232"/>
    </row>
    <row r="485" spans="1:18" ht="20.25">
      <c r="A485" s="207"/>
      <c r="B485" s="205"/>
      <c r="C485" s="205"/>
      <c r="D485" s="205"/>
      <c r="E485" s="208"/>
      <c r="F485" s="206"/>
      <c r="Q485" s="2234"/>
      <c r="R485" s="2232"/>
    </row>
    <row r="486" spans="1:18" ht="20.25">
      <c r="A486" s="207"/>
      <c r="B486" s="205"/>
      <c r="C486" s="205"/>
      <c r="D486" s="205"/>
      <c r="E486" s="208"/>
      <c r="F486" s="206"/>
      <c r="Q486" s="2234"/>
      <c r="R486" s="2232"/>
    </row>
    <row r="487" spans="1:18" ht="20.25">
      <c r="A487" s="207"/>
      <c r="B487" s="205"/>
      <c r="C487" s="205"/>
      <c r="D487" s="205"/>
      <c r="E487" s="208"/>
      <c r="F487" s="206"/>
      <c r="Q487" s="2234"/>
      <c r="R487" s="2232"/>
    </row>
    <row r="488" spans="1:18" ht="20.25">
      <c r="A488" s="207"/>
      <c r="B488" s="205"/>
      <c r="C488" s="205"/>
      <c r="D488" s="205"/>
      <c r="E488" s="208"/>
      <c r="F488" s="206"/>
      <c r="Q488" s="2234"/>
      <c r="R488" s="2232"/>
    </row>
    <row r="489" spans="1:18" ht="20.25">
      <c r="A489" s="207"/>
      <c r="B489" s="205"/>
      <c r="C489" s="205"/>
      <c r="D489" s="205"/>
      <c r="E489" s="208"/>
      <c r="F489" s="206"/>
      <c r="Q489" s="2234"/>
      <c r="R489" s="2232"/>
    </row>
    <row r="490" spans="1:18" ht="20.25">
      <c r="A490" s="207"/>
      <c r="B490" s="205"/>
      <c r="C490" s="205"/>
      <c r="D490" s="205"/>
      <c r="E490" s="208"/>
      <c r="F490" s="206"/>
      <c r="Q490" s="2234"/>
      <c r="R490" s="2232"/>
    </row>
    <row r="491" spans="1:18" ht="20.25">
      <c r="A491" s="207"/>
      <c r="B491" s="205"/>
      <c r="C491" s="205"/>
      <c r="D491" s="205"/>
      <c r="E491" s="208"/>
      <c r="F491" s="206"/>
      <c r="Q491" s="2234"/>
      <c r="R491" s="2232"/>
    </row>
    <row r="492" spans="1:18" ht="20.25">
      <c r="A492" s="207"/>
      <c r="B492" s="205"/>
      <c r="C492" s="205"/>
      <c r="D492" s="205"/>
      <c r="E492" s="208"/>
      <c r="F492" s="206"/>
      <c r="Q492" s="2234"/>
      <c r="R492" s="2232"/>
    </row>
    <row r="493" spans="1:18" ht="20.25">
      <c r="A493" s="207"/>
      <c r="B493" s="205"/>
      <c r="C493" s="205"/>
      <c r="D493" s="205"/>
      <c r="E493" s="208"/>
      <c r="F493" s="206"/>
      <c r="Q493" s="2234"/>
      <c r="R493" s="2232"/>
    </row>
    <row r="494" spans="1:18" ht="20.25">
      <c r="A494" s="207"/>
      <c r="B494" s="205"/>
      <c r="C494" s="205"/>
      <c r="D494" s="205"/>
      <c r="E494" s="208"/>
      <c r="F494" s="206"/>
      <c r="Q494" s="2234"/>
      <c r="R494" s="2232"/>
    </row>
    <row r="495" spans="1:18" ht="20.25">
      <c r="A495" s="207"/>
      <c r="B495" s="205"/>
      <c r="C495" s="205"/>
      <c r="D495" s="205"/>
      <c r="E495" s="208"/>
      <c r="F495" s="206"/>
      <c r="Q495" s="2234"/>
      <c r="R495" s="2232"/>
    </row>
    <row r="496" spans="1:18" ht="20.25">
      <c r="A496" s="207"/>
      <c r="B496" s="205"/>
      <c r="C496" s="205"/>
      <c r="D496" s="205"/>
      <c r="E496" s="208"/>
      <c r="F496" s="206"/>
      <c r="Q496" s="2234"/>
      <c r="R496" s="2232"/>
    </row>
    <row r="497" spans="1:18" ht="20.25">
      <c r="A497" s="207"/>
      <c r="B497" s="205"/>
      <c r="C497" s="205"/>
      <c r="D497" s="205"/>
      <c r="E497" s="208"/>
      <c r="F497" s="206"/>
      <c r="Q497" s="2234"/>
      <c r="R497" s="2232"/>
    </row>
    <row r="498" spans="1:18" ht="20.25">
      <c r="A498" s="207"/>
      <c r="B498" s="205"/>
      <c r="C498" s="205"/>
      <c r="D498" s="205"/>
      <c r="E498" s="208"/>
      <c r="F498" s="206"/>
      <c r="Q498" s="2234"/>
      <c r="R498" s="2232"/>
    </row>
    <row r="499" spans="1:18" ht="20.25">
      <c r="A499" s="207"/>
      <c r="B499" s="205"/>
      <c r="C499" s="205"/>
      <c r="D499" s="205"/>
      <c r="E499" s="208"/>
      <c r="F499" s="206"/>
      <c r="Q499" s="2234"/>
      <c r="R499" s="2232"/>
    </row>
    <row r="500" spans="1:18" ht="20.25">
      <c r="A500" s="207"/>
      <c r="B500" s="205"/>
      <c r="C500" s="205"/>
      <c r="D500" s="205"/>
      <c r="E500" s="208"/>
      <c r="F500" s="206"/>
      <c r="Q500" s="2234"/>
      <c r="R500" s="2232"/>
    </row>
    <row r="501" spans="1:18" ht="20.25">
      <c r="A501" s="207"/>
      <c r="B501" s="205"/>
      <c r="C501" s="205"/>
      <c r="D501" s="205"/>
      <c r="E501" s="208"/>
      <c r="F501" s="206"/>
      <c r="Q501" s="2234"/>
      <c r="R501" s="2232"/>
    </row>
    <row r="502" spans="1:18" ht="20.25">
      <c r="A502" s="207"/>
      <c r="B502" s="205"/>
      <c r="C502" s="205"/>
      <c r="D502" s="205"/>
      <c r="E502" s="208"/>
      <c r="F502" s="206"/>
      <c r="Q502" s="2234"/>
      <c r="R502" s="2232"/>
    </row>
    <row r="503" spans="1:18" ht="20.25">
      <c r="A503" s="207"/>
      <c r="B503" s="205"/>
      <c r="C503" s="205"/>
      <c r="D503" s="205"/>
      <c r="E503" s="208"/>
      <c r="F503" s="206"/>
      <c r="Q503" s="2234"/>
      <c r="R503" s="2232"/>
    </row>
    <row r="504" spans="1:18" ht="20.25">
      <c r="A504" s="207"/>
      <c r="B504" s="205"/>
      <c r="C504" s="205"/>
      <c r="D504" s="205"/>
      <c r="E504" s="208"/>
      <c r="F504" s="206"/>
      <c r="Q504" s="2234"/>
      <c r="R504" s="2232"/>
    </row>
    <row r="505" spans="1:18" ht="20.25">
      <c r="A505" s="207"/>
      <c r="B505" s="205"/>
      <c r="C505" s="205"/>
      <c r="D505" s="205"/>
      <c r="E505" s="208"/>
      <c r="F505" s="206"/>
      <c r="Q505" s="2234"/>
      <c r="R505" s="2232"/>
    </row>
    <row r="506" spans="1:18" ht="20.25">
      <c r="A506" s="207"/>
      <c r="B506" s="205"/>
      <c r="C506" s="205"/>
      <c r="D506" s="205"/>
      <c r="E506" s="208"/>
      <c r="F506" s="206"/>
      <c r="Q506" s="2234"/>
      <c r="R506" s="2232"/>
    </row>
    <row r="507" spans="1:18" ht="20.25">
      <c r="A507" s="207"/>
      <c r="B507" s="205"/>
      <c r="C507" s="205"/>
      <c r="D507" s="205"/>
      <c r="E507" s="208"/>
      <c r="F507" s="206"/>
      <c r="Q507" s="2234"/>
      <c r="R507" s="2232"/>
    </row>
    <row r="508" spans="1:18" ht="20.25">
      <c r="A508" s="207"/>
      <c r="B508" s="205"/>
      <c r="C508" s="205"/>
      <c r="D508" s="205"/>
      <c r="E508" s="208"/>
      <c r="F508" s="206"/>
      <c r="Q508" s="2234"/>
      <c r="R508" s="2232"/>
    </row>
    <row r="509" spans="1:18" ht="20.25">
      <c r="A509" s="207"/>
      <c r="B509" s="205"/>
      <c r="C509" s="205"/>
      <c r="D509" s="205"/>
      <c r="E509" s="208"/>
      <c r="F509" s="206"/>
      <c r="Q509" s="2234"/>
      <c r="R509" s="2232"/>
    </row>
    <row r="510" spans="1:18" ht="20.25">
      <c r="A510" s="207"/>
      <c r="B510" s="205"/>
      <c r="C510" s="205"/>
      <c r="D510" s="205"/>
      <c r="E510" s="208"/>
      <c r="F510" s="206"/>
    </row>
    <row r="511" spans="1:18" ht="20.25">
      <c r="A511" s="207"/>
      <c r="B511" s="205"/>
      <c r="C511" s="205"/>
      <c r="D511" s="205"/>
      <c r="E511" s="208"/>
      <c r="F511" s="206"/>
    </row>
    <row r="512" spans="1:18" ht="20.25">
      <c r="A512" s="207"/>
      <c r="B512" s="205"/>
      <c r="C512" s="205"/>
      <c r="D512" s="205"/>
      <c r="E512" s="208"/>
      <c r="F512" s="206"/>
    </row>
    <row r="513" spans="1:6" ht="20.25">
      <c r="A513" s="207"/>
      <c r="B513" s="205"/>
      <c r="C513" s="205"/>
      <c r="D513" s="205"/>
      <c r="E513" s="208"/>
      <c r="F513" s="206"/>
    </row>
    <row r="514" spans="1:6" ht="20.25">
      <c r="A514" s="207"/>
      <c r="B514" s="205"/>
      <c r="C514" s="205"/>
      <c r="D514" s="205"/>
      <c r="E514" s="208"/>
      <c r="F514" s="206"/>
    </row>
    <row r="515" spans="1:6" ht="20.25">
      <c r="A515" s="207"/>
      <c r="B515" s="205"/>
      <c r="C515" s="205"/>
      <c r="D515" s="205"/>
      <c r="E515" s="208"/>
      <c r="F515" s="206"/>
    </row>
    <row r="516" spans="1:6" ht="20.25">
      <c r="A516" s="207"/>
      <c r="B516" s="205"/>
      <c r="C516" s="205"/>
      <c r="D516" s="205"/>
      <c r="E516" s="208"/>
      <c r="F516" s="206"/>
    </row>
    <row r="517" spans="1:6" ht="20.25">
      <c r="A517" s="207"/>
      <c r="B517" s="205"/>
      <c r="C517" s="205"/>
      <c r="D517" s="205"/>
      <c r="E517" s="208"/>
      <c r="F517" s="206"/>
    </row>
    <row r="518" spans="1:6" ht="20.25">
      <c r="A518" s="207"/>
      <c r="B518" s="205"/>
      <c r="C518" s="205"/>
      <c r="D518" s="205"/>
      <c r="E518" s="208"/>
      <c r="F518" s="206"/>
    </row>
    <row r="519" spans="1:6" ht="20.25">
      <c r="A519" s="207"/>
      <c r="B519" s="205"/>
      <c r="C519" s="205"/>
      <c r="D519" s="205"/>
      <c r="E519" s="208"/>
      <c r="F519" s="206"/>
    </row>
    <row r="520" spans="1:6" ht="20.25">
      <c r="A520" s="207"/>
      <c r="B520" s="205"/>
      <c r="C520" s="205"/>
      <c r="D520" s="205"/>
      <c r="E520" s="208"/>
      <c r="F520" s="206"/>
    </row>
    <row r="521" spans="1:6" ht="20.25">
      <c r="A521" s="207"/>
      <c r="B521" s="205"/>
      <c r="C521" s="205"/>
      <c r="D521" s="205"/>
      <c r="E521" s="208"/>
      <c r="F521" s="206"/>
    </row>
    <row r="522" spans="1:6" ht="20.25">
      <c r="A522" s="207"/>
      <c r="B522" s="205"/>
      <c r="C522" s="205"/>
      <c r="D522" s="205"/>
      <c r="E522" s="208"/>
      <c r="F522" s="206"/>
    </row>
    <row r="523" spans="1:6" ht="20.25">
      <c r="A523" s="207"/>
      <c r="B523" s="205"/>
      <c r="C523" s="205"/>
      <c r="D523" s="205"/>
      <c r="E523" s="208"/>
      <c r="F523" s="206"/>
    </row>
    <row r="524" spans="1:6" ht="20.25">
      <c r="A524" s="207"/>
      <c r="B524" s="205"/>
      <c r="C524" s="205"/>
      <c r="D524" s="205"/>
      <c r="E524" s="208"/>
      <c r="F524" s="206"/>
    </row>
    <row r="525" spans="1:6" ht="20.25">
      <c r="A525" s="207"/>
      <c r="B525" s="205"/>
      <c r="C525" s="205"/>
      <c r="D525" s="205"/>
      <c r="E525" s="208"/>
      <c r="F525" s="206"/>
    </row>
    <row r="526" spans="1:6" ht="20.25">
      <c r="A526" s="207"/>
      <c r="B526" s="205"/>
      <c r="C526" s="205"/>
      <c r="D526" s="205"/>
      <c r="E526" s="208"/>
      <c r="F526" s="206"/>
    </row>
    <row r="527" spans="1:6" ht="20.25">
      <c r="A527" s="207"/>
      <c r="B527" s="205"/>
      <c r="C527" s="205"/>
      <c r="D527" s="205"/>
      <c r="E527" s="208"/>
      <c r="F527" s="206"/>
    </row>
    <row r="528" spans="1:6" ht="20.25">
      <c r="A528" s="207"/>
      <c r="B528" s="205"/>
      <c r="C528" s="205"/>
      <c r="D528" s="205"/>
      <c r="E528" s="208"/>
      <c r="F528" s="206"/>
    </row>
    <row r="529" spans="1:6" ht="20.25">
      <c r="A529" s="207"/>
      <c r="B529" s="205"/>
      <c r="C529" s="205"/>
      <c r="D529" s="205"/>
      <c r="E529" s="208"/>
      <c r="F529" s="206"/>
    </row>
    <row r="530" spans="1:6" ht="20.25">
      <c r="A530" s="207"/>
      <c r="B530" s="205"/>
      <c r="C530" s="205"/>
      <c r="D530" s="205"/>
      <c r="E530" s="208"/>
      <c r="F530" s="206"/>
    </row>
    <row r="531" spans="1:6" ht="20.25">
      <c r="A531" s="207"/>
      <c r="B531" s="205"/>
      <c r="C531" s="205"/>
      <c r="D531" s="205"/>
      <c r="E531" s="208"/>
      <c r="F531" s="206"/>
    </row>
    <row r="532" spans="1:6" ht="20.25">
      <c r="A532" s="207"/>
      <c r="B532" s="205"/>
      <c r="C532" s="205"/>
      <c r="D532" s="205"/>
      <c r="E532" s="208"/>
      <c r="F532" s="206"/>
    </row>
    <row r="533" spans="1:6" ht="20.25">
      <c r="A533" s="207"/>
      <c r="B533" s="205"/>
      <c r="C533" s="205"/>
      <c r="D533" s="205"/>
      <c r="E533" s="208"/>
      <c r="F533" s="206"/>
    </row>
    <row r="534" spans="1:6" ht="20.25">
      <c r="A534" s="207"/>
      <c r="B534" s="205"/>
      <c r="C534" s="205"/>
      <c r="D534" s="205"/>
      <c r="E534" s="208"/>
      <c r="F534" s="206"/>
    </row>
    <row r="535" spans="1:6" ht="20.25">
      <c r="A535" s="207"/>
      <c r="B535" s="205"/>
      <c r="C535" s="205"/>
      <c r="D535" s="205"/>
      <c r="E535" s="208"/>
      <c r="F535" s="206"/>
    </row>
    <row r="536" spans="1:6" ht="20.25">
      <c r="A536" s="207"/>
      <c r="B536" s="205"/>
      <c r="C536" s="205"/>
      <c r="D536" s="205"/>
      <c r="E536" s="208"/>
      <c r="F536" s="206"/>
    </row>
    <row r="537" spans="1:6" ht="20.25">
      <c r="A537" s="207"/>
      <c r="B537" s="205"/>
      <c r="C537" s="205"/>
      <c r="D537" s="205"/>
      <c r="E537" s="208"/>
      <c r="F537" s="206"/>
    </row>
    <row r="538" spans="1:6" ht="20.25">
      <c r="A538" s="207"/>
      <c r="B538" s="205"/>
      <c r="C538" s="205"/>
      <c r="D538" s="205"/>
      <c r="E538" s="208"/>
      <c r="F538" s="206"/>
    </row>
    <row r="539" spans="1:6" ht="20.25">
      <c r="A539" s="207"/>
      <c r="B539" s="205"/>
      <c r="C539" s="205"/>
      <c r="D539" s="205"/>
      <c r="E539" s="208"/>
      <c r="F539" s="206"/>
    </row>
    <row r="540" spans="1:6" ht="20.25">
      <c r="A540" s="207"/>
      <c r="B540" s="205"/>
      <c r="C540" s="205"/>
      <c r="D540" s="205"/>
      <c r="E540" s="208"/>
      <c r="F540" s="206"/>
    </row>
    <row r="541" spans="1:6" ht="20.25">
      <c r="A541" s="207"/>
      <c r="B541" s="205"/>
      <c r="C541" s="205"/>
      <c r="D541" s="205"/>
      <c r="E541" s="208"/>
      <c r="F541" s="206"/>
    </row>
    <row r="542" spans="1:6" ht="20.25">
      <c r="A542" s="207"/>
      <c r="B542" s="205"/>
      <c r="C542" s="205"/>
      <c r="D542" s="205"/>
      <c r="E542" s="208"/>
      <c r="F542" s="206"/>
    </row>
    <row r="543" spans="1:6" ht="20.25">
      <c r="A543" s="207"/>
      <c r="B543" s="205"/>
      <c r="C543" s="205"/>
      <c r="D543" s="205"/>
      <c r="E543" s="208"/>
      <c r="F543" s="206"/>
    </row>
    <row r="544" spans="1:6" ht="20.25">
      <c r="A544" s="207"/>
      <c r="B544" s="205"/>
      <c r="C544" s="205"/>
      <c r="D544" s="205"/>
      <c r="E544" s="208"/>
      <c r="F544" s="206"/>
    </row>
    <row r="545" spans="1:6" ht="20.25">
      <c r="A545" s="207"/>
      <c r="B545" s="205"/>
      <c r="C545" s="205"/>
      <c r="D545" s="205"/>
      <c r="E545" s="208"/>
      <c r="F545" s="206"/>
    </row>
    <row r="546" spans="1:6" ht="20.25">
      <c r="A546" s="207"/>
      <c r="B546" s="205"/>
      <c r="C546" s="205"/>
      <c r="D546" s="205"/>
      <c r="E546" s="208"/>
      <c r="F546" s="206"/>
    </row>
    <row r="547" spans="1:6" ht="20.25">
      <c r="A547" s="207"/>
      <c r="B547" s="205"/>
      <c r="C547" s="205"/>
      <c r="D547" s="205"/>
      <c r="E547" s="208"/>
      <c r="F547" s="206"/>
    </row>
    <row r="548" spans="1:6" ht="20.25">
      <c r="A548" s="207"/>
      <c r="B548" s="205"/>
      <c r="C548" s="205"/>
      <c r="D548" s="205"/>
      <c r="E548" s="208"/>
      <c r="F548" s="206"/>
    </row>
    <row r="549" spans="1:6" ht="20.25">
      <c r="A549" s="207"/>
      <c r="B549" s="205"/>
      <c r="C549" s="205"/>
      <c r="D549" s="205"/>
      <c r="E549" s="208"/>
      <c r="F549" s="206"/>
    </row>
    <row r="550" spans="1:6" ht="20.25">
      <c r="A550" s="207"/>
      <c r="B550" s="205"/>
      <c r="C550" s="205"/>
      <c r="D550" s="205"/>
      <c r="E550" s="208"/>
      <c r="F550" s="206"/>
    </row>
    <row r="551" spans="1:6" ht="20.25">
      <c r="A551" s="207"/>
      <c r="B551" s="205"/>
      <c r="C551" s="205"/>
      <c r="D551" s="205"/>
      <c r="E551" s="208"/>
      <c r="F551" s="206"/>
    </row>
    <row r="552" spans="1:6" ht="20.25">
      <c r="A552" s="207"/>
      <c r="B552" s="205"/>
      <c r="C552" s="205"/>
      <c r="D552" s="205"/>
      <c r="E552" s="208"/>
      <c r="F552" s="206"/>
    </row>
    <row r="553" spans="1:6" ht="20.25">
      <c r="A553" s="207"/>
      <c r="B553" s="205"/>
      <c r="C553" s="205"/>
      <c r="D553" s="205"/>
      <c r="E553" s="208"/>
      <c r="F553" s="206"/>
    </row>
    <row r="554" spans="1:6" ht="20.25">
      <c r="A554" s="207"/>
      <c r="B554" s="205"/>
      <c r="C554" s="205"/>
      <c r="D554" s="205"/>
      <c r="E554" s="208"/>
      <c r="F554" s="206"/>
    </row>
    <row r="555" spans="1:6" ht="20.25">
      <c r="A555" s="207"/>
      <c r="B555" s="205"/>
      <c r="C555" s="205"/>
      <c r="D555" s="205"/>
      <c r="E555" s="208"/>
      <c r="F555" s="206"/>
    </row>
    <row r="556" spans="1:6" ht="20.25">
      <c r="A556" s="207"/>
      <c r="B556" s="205"/>
      <c r="C556" s="205"/>
      <c r="D556" s="205"/>
      <c r="E556" s="208"/>
      <c r="F556" s="206"/>
    </row>
    <row r="557" spans="1:6" ht="20.25">
      <c r="A557" s="207"/>
      <c r="B557" s="205"/>
      <c r="C557" s="205"/>
      <c r="D557" s="205"/>
      <c r="E557" s="208"/>
      <c r="F557" s="206"/>
    </row>
    <row r="558" spans="1:6" ht="20.25">
      <c r="A558" s="207"/>
      <c r="B558" s="205"/>
      <c r="C558" s="205"/>
      <c r="D558" s="205"/>
      <c r="E558" s="208"/>
      <c r="F558" s="206"/>
    </row>
    <row r="559" spans="1:6" ht="20.25">
      <c r="A559" s="207"/>
      <c r="B559" s="205"/>
      <c r="C559" s="205"/>
      <c r="D559" s="205"/>
      <c r="E559" s="208"/>
      <c r="F559" s="206"/>
    </row>
    <row r="560" spans="1:6" ht="20.25">
      <c r="A560" s="207"/>
      <c r="B560" s="205"/>
      <c r="C560" s="205"/>
      <c r="D560" s="205"/>
      <c r="E560" s="208"/>
      <c r="F560" s="206"/>
    </row>
    <row r="561" spans="1:6" ht="20.25">
      <c r="A561" s="207"/>
      <c r="B561" s="205"/>
      <c r="C561" s="205"/>
      <c r="D561" s="205"/>
      <c r="E561" s="208"/>
      <c r="F561" s="206"/>
    </row>
    <row r="562" spans="1:6" ht="20.25">
      <c r="A562" s="207"/>
      <c r="B562" s="205"/>
      <c r="C562" s="205"/>
      <c r="D562" s="205"/>
      <c r="E562" s="208"/>
      <c r="F562" s="206"/>
    </row>
    <row r="563" spans="1:6" ht="20.25">
      <c r="A563" s="207"/>
      <c r="B563" s="205"/>
      <c r="C563" s="205"/>
      <c r="D563" s="205"/>
      <c r="E563" s="208"/>
      <c r="F563" s="206"/>
    </row>
    <row r="564" spans="1:6" ht="20.25">
      <c r="A564" s="207"/>
      <c r="B564" s="205"/>
      <c r="C564" s="205"/>
      <c r="D564" s="205"/>
      <c r="E564" s="208"/>
      <c r="F564" s="206"/>
    </row>
    <row r="565" spans="1:6" ht="20.25">
      <c r="A565" s="207"/>
      <c r="B565" s="205"/>
      <c r="C565" s="205"/>
      <c r="D565" s="205"/>
      <c r="E565" s="208"/>
      <c r="F565" s="206"/>
    </row>
    <row r="566" spans="1:6" ht="20.25">
      <c r="A566" s="207"/>
      <c r="B566" s="205"/>
      <c r="C566" s="205"/>
      <c r="D566" s="205"/>
      <c r="E566" s="208"/>
      <c r="F566" s="206"/>
    </row>
    <row r="567" spans="1:6" ht="20.25">
      <c r="A567" s="207"/>
      <c r="B567" s="205"/>
      <c r="C567" s="205"/>
      <c r="D567" s="205"/>
      <c r="E567" s="208"/>
      <c r="F567" s="206"/>
    </row>
    <row r="568" spans="1:6" ht="20.25">
      <c r="A568" s="207"/>
      <c r="B568" s="205"/>
      <c r="C568" s="205"/>
      <c r="D568" s="205"/>
      <c r="E568" s="208"/>
      <c r="F568" s="206"/>
    </row>
    <row r="569" spans="1:6" ht="20.25">
      <c r="A569" s="207"/>
      <c r="B569" s="205"/>
      <c r="C569" s="205"/>
      <c r="D569" s="205"/>
      <c r="E569" s="208"/>
      <c r="F569" s="206"/>
    </row>
    <row r="570" spans="1:6" ht="20.25">
      <c r="A570" s="207"/>
      <c r="B570" s="205"/>
      <c r="C570" s="205"/>
      <c r="D570" s="205"/>
      <c r="E570" s="208"/>
      <c r="F570" s="206"/>
    </row>
    <row r="571" spans="1:6" ht="20.25">
      <c r="A571" s="207"/>
      <c r="B571" s="205"/>
      <c r="C571" s="205"/>
      <c r="D571" s="205"/>
      <c r="E571" s="208"/>
      <c r="F571" s="206"/>
    </row>
    <row r="572" spans="1:6" ht="20.25">
      <c r="A572" s="207"/>
      <c r="B572" s="205"/>
      <c r="C572" s="205"/>
      <c r="D572" s="205"/>
      <c r="E572" s="208"/>
      <c r="F572" s="206"/>
    </row>
    <row r="573" spans="1:6" ht="20.25">
      <c r="A573" s="207"/>
      <c r="B573" s="205"/>
      <c r="C573" s="205"/>
      <c r="D573" s="205"/>
      <c r="E573" s="208"/>
      <c r="F573" s="206"/>
    </row>
    <row r="574" spans="1:6" ht="20.25">
      <c r="A574" s="207"/>
      <c r="B574" s="205"/>
      <c r="C574" s="205"/>
      <c r="D574" s="205"/>
      <c r="E574" s="208"/>
      <c r="F574" s="206"/>
    </row>
    <row r="575" spans="1:6" ht="20.25">
      <c r="A575" s="207"/>
      <c r="B575" s="205"/>
      <c r="C575" s="205"/>
      <c r="D575" s="205"/>
      <c r="E575" s="208"/>
      <c r="F575" s="206"/>
    </row>
    <row r="576" spans="1:6" ht="20.25">
      <c r="A576" s="207"/>
      <c r="B576" s="205"/>
      <c r="C576" s="205"/>
      <c r="D576" s="205"/>
      <c r="E576" s="208"/>
      <c r="F576" s="206"/>
    </row>
    <row r="577" spans="1:6" ht="20.25">
      <c r="A577" s="207"/>
      <c r="B577" s="205"/>
      <c r="C577" s="205"/>
      <c r="D577" s="205"/>
      <c r="E577" s="208"/>
      <c r="F577" s="206"/>
    </row>
    <row r="578" spans="1:6" ht="20.25">
      <c r="A578" s="207"/>
      <c r="B578" s="205"/>
      <c r="C578" s="205"/>
      <c r="D578" s="205"/>
      <c r="E578" s="208"/>
      <c r="F578" s="206"/>
    </row>
    <row r="579" spans="1:6" ht="20.25">
      <c r="A579" s="207"/>
      <c r="B579" s="205"/>
      <c r="C579" s="205"/>
      <c r="D579" s="205"/>
      <c r="E579" s="208"/>
      <c r="F579" s="206"/>
    </row>
    <row r="580" spans="1:6" ht="20.25">
      <c r="A580" s="207"/>
      <c r="B580" s="205"/>
      <c r="C580" s="205"/>
      <c r="D580" s="205"/>
      <c r="E580" s="208"/>
      <c r="F580" s="206"/>
    </row>
    <row r="581" spans="1:6" ht="20.25">
      <c r="A581" s="207"/>
      <c r="B581" s="205"/>
      <c r="C581" s="205"/>
      <c r="D581" s="205"/>
      <c r="E581" s="208"/>
      <c r="F581" s="206"/>
    </row>
    <row r="582" spans="1:6" ht="20.25">
      <c r="A582" s="207"/>
      <c r="B582" s="205"/>
      <c r="C582" s="205"/>
      <c r="D582" s="205"/>
      <c r="E582" s="208"/>
      <c r="F582" s="206"/>
    </row>
    <row r="583" spans="1:6" ht="20.25">
      <c r="A583" s="207"/>
      <c r="B583" s="205"/>
      <c r="C583" s="205"/>
      <c r="D583" s="205"/>
      <c r="E583" s="208"/>
      <c r="F583" s="206"/>
    </row>
    <row r="584" spans="1:6" ht="20.25">
      <c r="A584" s="207"/>
      <c r="B584" s="205"/>
      <c r="C584" s="205"/>
      <c r="D584" s="205"/>
      <c r="E584" s="208"/>
      <c r="F584" s="206"/>
    </row>
    <row r="585" spans="1:6" ht="20.25">
      <c r="A585" s="207"/>
      <c r="B585" s="205"/>
      <c r="C585" s="205"/>
      <c r="D585" s="205"/>
      <c r="E585" s="208"/>
      <c r="F585" s="206"/>
    </row>
    <row r="586" spans="1:6" ht="20.25">
      <c r="A586" s="207"/>
      <c r="B586" s="205"/>
      <c r="C586" s="205"/>
      <c r="D586" s="205"/>
      <c r="E586" s="208"/>
      <c r="F586" s="206"/>
    </row>
    <row r="587" spans="1:6" ht="20.25">
      <c r="A587" s="207"/>
      <c r="B587" s="205"/>
      <c r="C587" s="205"/>
      <c r="D587" s="205"/>
      <c r="E587" s="208"/>
      <c r="F587" s="206"/>
    </row>
    <row r="588" spans="1:6" ht="20.25">
      <c r="A588" s="207"/>
      <c r="B588" s="205"/>
      <c r="C588" s="205"/>
      <c r="D588" s="205"/>
      <c r="E588" s="208"/>
      <c r="F588" s="206"/>
    </row>
    <row r="589" spans="1:6" ht="20.25">
      <c r="A589" s="207"/>
      <c r="B589" s="205"/>
      <c r="C589" s="205"/>
      <c r="D589" s="205"/>
      <c r="E589" s="208"/>
      <c r="F589" s="206"/>
    </row>
    <row r="590" spans="1:6" ht="20.25">
      <c r="A590" s="207"/>
      <c r="B590" s="205"/>
      <c r="C590" s="205"/>
      <c r="D590" s="205"/>
      <c r="E590" s="208"/>
      <c r="F590" s="206"/>
    </row>
    <row r="591" spans="1:6" ht="20.25">
      <c r="A591" s="207"/>
      <c r="B591" s="205"/>
      <c r="C591" s="205"/>
      <c r="D591" s="205"/>
      <c r="E591" s="208"/>
      <c r="F591" s="206"/>
    </row>
    <row r="592" spans="1:6" ht="20.25">
      <c r="A592" s="207"/>
      <c r="B592" s="205"/>
      <c r="C592" s="205"/>
      <c r="D592" s="205"/>
      <c r="E592" s="208"/>
      <c r="F592" s="206"/>
    </row>
    <row r="593" spans="1:6" ht="20.25">
      <c r="A593" s="207"/>
      <c r="B593" s="205"/>
      <c r="C593" s="205"/>
      <c r="D593" s="205"/>
      <c r="E593" s="208"/>
      <c r="F593" s="206"/>
    </row>
    <row r="594" spans="1:6" ht="20.25">
      <c r="A594" s="207"/>
      <c r="B594" s="205"/>
      <c r="C594" s="205"/>
      <c r="D594" s="205"/>
      <c r="E594" s="208"/>
      <c r="F594" s="206"/>
    </row>
    <row r="595" spans="1:6" ht="20.25">
      <c r="A595" s="207"/>
      <c r="B595" s="205"/>
      <c r="C595" s="205"/>
      <c r="D595" s="205"/>
      <c r="E595" s="208"/>
      <c r="F595" s="206"/>
    </row>
    <row r="596" spans="1:6" ht="20.25">
      <c r="A596" s="207"/>
      <c r="B596" s="205"/>
      <c r="C596" s="205"/>
      <c r="D596" s="205"/>
      <c r="E596" s="208"/>
      <c r="F596" s="206"/>
    </row>
    <row r="597" spans="1:6" ht="20.25">
      <c r="A597" s="207"/>
      <c r="B597" s="205"/>
      <c r="C597" s="205"/>
      <c r="D597" s="205"/>
      <c r="E597" s="208"/>
      <c r="F597" s="206"/>
    </row>
    <row r="598" spans="1:6" ht="20.25">
      <c r="A598" s="207"/>
      <c r="B598" s="205"/>
      <c r="C598" s="205"/>
      <c r="D598" s="205"/>
      <c r="E598" s="208"/>
      <c r="F598" s="206"/>
    </row>
    <row r="599" spans="1:6" ht="20.25">
      <c r="A599" s="207"/>
      <c r="B599" s="205"/>
      <c r="C599" s="205"/>
      <c r="D599" s="205"/>
      <c r="E599" s="208"/>
      <c r="F599" s="206"/>
    </row>
    <row r="600" spans="1:6" ht="20.25">
      <c r="A600" s="207"/>
      <c r="B600" s="205"/>
      <c r="C600" s="205"/>
      <c r="D600" s="205"/>
      <c r="E600" s="208"/>
      <c r="F600" s="206"/>
    </row>
    <row r="601" spans="1:6" ht="20.25">
      <c r="A601" s="207"/>
      <c r="B601" s="205"/>
      <c r="C601" s="205"/>
      <c r="D601" s="205"/>
      <c r="E601" s="208"/>
      <c r="F601" s="206"/>
    </row>
    <row r="602" spans="1:6" ht="20.25">
      <c r="A602" s="207"/>
      <c r="B602" s="205"/>
      <c r="C602" s="205"/>
      <c r="D602" s="205"/>
      <c r="E602" s="208"/>
      <c r="F602" s="206"/>
    </row>
    <row r="603" spans="1:6" ht="20.25">
      <c r="A603" s="207"/>
      <c r="B603" s="205"/>
      <c r="C603" s="205"/>
      <c r="D603" s="205"/>
      <c r="E603" s="208"/>
      <c r="F603" s="206"/>
    </row>
    <row r="604" spans="1:6" ht="20.25">
      <c r="A604" s="207"/>
      <c r="B604" s="205"/>
      <c r="C604" s="205"/>
      <c r="D604" s="205"/>
      <c r="E604" s="208"/>
      <c r="F604" s="206"/>
    </row>
    <row r="605" spans="1:6" ht="20.25">
      <c r="A605" s="207"/>
      <c r="B605" s="205"/>
      <c r="C605" s="205"/>
      <c r="D605" s="205"/>
      <c r="E605" s="208"/>
      <c r="F605" s="206"/>
    </row>
    <row r="606" spans="1:6" ht="20.25">
      <c r="A606" s="207"/>
      <c r="B606" s="205"/>
      <c r="C606" s="205"/>
      <c r="D606" s="205"/>
      <c r="E606" s="208"/>
      <c r="F606" s="206"/>
    </row>
    <row r="607" spans="1:6" ht="20.25">
      <c r="A607" s="207"/>
      <c r="B607" s="205"/>
      <c r="C607" s="205"/>
      <c r="D607" s="205"/>
      <c r="E607" s="208"/>
      <c r="F607" s="206"/>
    </row>
    <row r="608" spans="1:6" ht="20.25">
      <c r="A608" s="207"/>
      <c r="B608" s="205"/>
      <c r="C608" s="205"/>
      <c r="D608" s="205"/>
      <c r="E608" s="208"/>
      <c r="F608" s="206"/>
    </row>
    <row r="609" spans="1:6" ht="20.25">
      <c r="A609" s="207"/>
      <c r="B609" s="205"/>
      <c r="C609" s="205"/>
      <c r="D609" s="205"/>
      <c r="E609" s="208"/>
      <c r="F609" s="206"/>
    </row>
    <row r="610" spans="1:6" ht="20.25">
      <c r="A610" s="207"/>
      <c r="B610" s="205"/>
      <c r="C610" s="205"/>
      <c r="D610" s="205"/>
      <c r="E610" s="208"/>
      <c r="F610" s="206"/>
    </row>
    <row r="611" spans="1:6" ht="20.25">
      <c r="A611" s="207"/>
      <c r="B611" s="205"/>
      <c r="C611" s="205"/>
      <c r="D611" s="205"/>
      <c r="E611" s="208"/>
      <c r="F611" s="206"/>
    </row>
    <row r="612" spans="1:6" ht="20.25">
      <c r="A612" s="207"/>
      <c r="B612" s="205"/>
      <c r="C612" s="205"/>
      <c r="D612" s="205"/>
      <c r="E612" s="208"/>
      <c r="F612" s="206"/>
    </row>
    <row r="613" spans="1:6" ht="20.25">
      <c r="A613" s="207"/>
      <c r="B613" s="205"/>
      <c r="C613" s="205"/>
      <c r="D613" s="205"/>
      <c r="E613" s="208"/>
      <c r="F613" s="206"/>
    </row>
    <row r="614" spans="1:6" ht="20.25">
      <c r="A614" s="207"/>
      <c r="B614" s="205"/>
      <c r="C614" s="205"/>
      <c r="D614" s="205"/>
      <c r="E614" s="208"/>
      <c r="F614" s="206"/>
    </row>
    <row r="615" spans="1:6" ht="20.25">
      <c r="A615" s="207"/>
      <c r="B615" s="205"/>
      <c r="C615" s="205"/>
      <c r="D615" s="205"/>
      <c r="E615" s="208"/>
      <c r="F615" s="206"/>
    </row>
    <row r="616" spans="1:6" ht="20.25">
      <c r="A616" s="207"/>
      <c r="B616" s="205"/>
      <c r="C616" s="205"/>
      <c r="D616" s="205"/>
      <c r="E616" s="208"/>
      <c r="F616" s="206"/>
    </row>
    <row r="617" spans="1:6" ht="20.25">
      <c r="A617" s="207"/>
      <c r="B617" s="205"/>
      <c r="C617" s="205"/>
      <c r="D617" s="205"/>
      <c r="E617" s="208"/>
      <c r="F617" s="206"/>
    </row>
    <row r="618" spans="1:6" ht="20.25">
      <c r="A618" s="207"/>
      <c r="B618" s="205"/>
      <c r="C618" s="205"/>
      <c r="D618" s="205"/>
      <c r="E618" s="208"/>
      <c r="F618" s="206"/>
    </row>
    <row r="619" spans="1:6" ht="20.25">
      <c r="A619" s="207"/>
      <c r="B619" s="205"/>
      <c r="C619" s="205"/>
      <c r="D619" s="205"/>
      <c r="E619" s="208"/>
      <c r="F619" s="206"/>
    </row>
    <row r="620" spans="1:6" ht="20.25">
      <c r="A620" s="207"/>
      <c r="B620" s="205"/>
      <c r="C620" s="205"/>
      <c r="D620" s="205"/>
      <c r="E620" s="208"/>
      <c r="F620" s="206"/>
    </row>
    <row r="621" spans="1:6" ht="20.25">
      <c r="A621" s="207"/>
      <c r="B621" s="205"/>
      <c r="C621" s="205"/>
      <c r="D621" s="205"/>
      <c r="E621" s="208"/>
      <c r="F621" s="206"/>
    </row>
    <row r="622" spans="1:6" ht="20.25">
      <c r="A622" s="207"/>
      <c r="B622" s="205"/>
      <c r="C622" s="205"/>
      <c r="D622" s="205"/>
      <c r="E622" s="208"/>
      <c r="F622" s="206"/>
    </row>
    <row r="623" spans="1:6" ht="20.25">
      <c r="A623" s="207"/>
      <c r="B623" s="205"/>
      <c r="C623" s="205"/>
      <c r="D623" s="205"/>
      <c r="E623" s="208"/>
      <c r="F623" s="206"/>
    </row>
    <row r="624" spans="1:6" ht="20.25">
      <c r="A624" s="207"/>
      <c r="B624" s="205"/>
      <c r="C624" s="205"/>
      <c r="D624" s="205"/>
      <c r="E624" s="208"/>
      <c r="F624" s="206"/>
    </row>
    <row r="625" spans="1:6" ht="20.25">
      <c r="A625" s="207"/>
      <c r="B625" s="205"/>
      <c r="C625" s="205"/>
      <c r="D625" s="205"/>
      <c r="E625" s="208"/>
      <c r="F625" s="206"/>
    </row>
    <row r="626" spans="1:6" ht="20.25">
      <c r="A626" s="207"/>
      <c r="B626" s="205"/>
      <c r="C626" s="205"/>
      <c r="D626" s="205"/>
      <c r="E626" s="208"/>
      <c r="F626" s="206"/>
    </row>
    <row r="627" spans="1:6" ht="20.25">
      <c r="A627" s="207"/>
      <c r="B627" s="205"/>
      <c r="C627" s="205"/>
      <c r="D627" s="205"/>
      <c r="E627" s="208"/>
      <c r="F627" s="206"/>
    </row>
    <row r="628" spans="1:6" ht="20.25">
      <c r="A628" s="207"/>
      <c r="B628" s="205"/>
      <c r="C628" s="205"/>
      <c r="D628" s="205"/>
      <c r="E628" s="208"/>
      <c r="F628" s="206"/>
    </row>
    <row r="629" spans="1:6" ht="20.25">
      <c r="A629" s="207"/>
      <c r="B629" s="205"/>
      <c r="C629" s="205"/>
      <c r="D629" s="205"/>
      <c r="E629" s="208"/>
      <c r="F629" s="206"/>
    </row>
    <row r="630" spans="1:6" ht="20.25">
      <c r="A630" s="207"/>
      <c r="B630" s="205"/>
      <c r="C630" s="205"/>
      <c r="D630" s="205"/>
      <c r="E630" s="208"/>
      <c r="F630" s="206"/>
    </row>
    <row r="631" spans="1:6" ht="20.25">
      <c r="A631" s="207"/>
      <c r="B631" s="205"/>
      <c r="C631" s="205"/>
      <c r="D631" s="205"/>
      <c r="E631" s="208"/>
      <c r="F631" s="206"/>
    </row>
    <row r="632" spans="1:6" ht="20.25">
      <c r="A632" s="207"/>
      <c r="B632" s="205"/>
      <c r="C632" s="205"/>
      <c r="D632" s="205"/>
      <c r="E632" s="208"/>
      <c r="F632" s="206"/>
    </row>
    <row r="633" spans="1:6" ht="20.25">
      <c r="A633" s="207"/>
      <c r="B633" s="205"/>
      <c r="C633" s="205"/>
      <c r="D633" s="205"/>
      <c r="E633" s="208"/>
      <c r="F633" s="206"/>
    </row>
    <row r="634" spans="1:6" ht="20.25">
      <c r="A634" s="207"/>
      <c r="B634" s="205"/>
      <c r="C634" s="205"/>
      <c r="D634" s="205"/>
      <c r="E634" s="208"/>
      <c r="F634" s="206"/>
    </row>
    <row r="635" spans="1:6" ht="20.25">
      <c r="A635" s="207"/>
      <c r="B635" s="205"/>
      <c r="C635" s="205"/>
      <c r="D635" s="205"/>
      <c r="E635" s="208"/>
      <c r="F635" s="206"/>
    </row>
    <row r="636" spans="1:6" ht="20.25">
      <c r="A636" s="207"/>
      <c r="B636" s="205"/>
      <c r="C636" s="205"/>
      <c r="D636" s="205"/>
      <c r="E636" s="208"/>
      <c r="F636" s="206"/>
    </row>
    <row r="637" spans="1:6" ht="20.25">
      <c r="A637" s="207"/>
      <c r="B637" s="205"/>
      <c r="C637" s="205"/>
      <c r="D637" s="205"/>
      <c r="E637" s="208"/>
      <c r="F637" s="206"/>
    </row>
    <row r="638" spans="1:6" ht="20.25">
      <c r="A638" s="207"/>
      <c r="B638" s="205"/>
      <c r="C638" s="205"/>
      <c r="D638" s="205"/>
      <c r="E638" s="208"/>
      <c r="F638" s="206"/>
    </row>
    <row r="639" spans="1:6" ht="20.25">
      <c r="A639" s="207"/>
      <c r="B639" s="205"/>
      <c r="C639" s="205"/>
      <c r="D639" s="205"/>
      <c r="E639" s="208"/>
      <c r="F639" s="206"/>
    </row>
    <row r="640" spans="1:6" ht="20.25">
      <c r="A640" s="207"/>
      <c r="B640" s="205"/>
      <c r="C640" s="205"/>
      <c r="D640" s="205"/>
      <c r="E640" s="208"/>
      <c r="F640" s="206"/>
    </row>
    <row r="641" spans="1:6" ht="20.25">
      <c r="A641" s="207"/>
      <c r="B641" s="205"/>
      <c r="C641" s="205"/>
      <c r="D641" s="205"/>
      <c r="E641" s="208"/>
      <c r="F641" s="206"/>
    </row>
    <row r="642" spans="1:6" ht="20.25">
      <c r="A642" s="207"/>
      <c r="B642" s="205"/>
      <c r="C642" s="205"/>
      <c r="D642" s="205"/>
      <c r="E642" s="208"/>
      <c r="F642" s="206"/>
    </row>
    <row r="643" spans="1:6" ht="20.25">
      <c r="A643" s="207"/>
      <c r="B643" s="205"/>
      <c r="C643" s="205"/>
      <c r="D643" s="205"/>
      <c r="E643" s="208"/>
      <c r="F643" s="206"/>
    </row>
    <row r="644" spans="1:6" ht="20.25">
      <c r="A644" s="207"/>
      <c r="B644" s="205"/>
      <c r="C644" s="205"/>
      <c r="D644" s="205"/>
      <c r="E644" s="208"/>
      <c r="F644" s="206"/>
    </row>
    <row r="645" spans="1:6" ht="20.25">
      <c r="A645" s="207"/>
      <c r="B645" s="205"/>
      <c r="C645" s="205"/>
      <c r="D645" s="205"/>
      <c r="E645" s="208"/>
      <c r="F645" s="206"/>
    </row>
    <row r="646" spans="1:6" ht="20.25">
      <c r="A646" s="207"/>
      <c r="B646" s="205"/>
      <c r="C646" s="205"/>
      <c r="D646" s="205"/>
      <c r="E646" s="208"/>
      <c r="F646" s="206"/>
    </row>
    <row r="647" spans="1:6" ht="20.25">
      <c r="A647" s="207"/>
      <c r="B647" s="205"/>
      <c r="C647" s="205"/>
      <c r="D647" s="205"/>
      <c r="E647" s="208"/>
      <c r="F647" s="206"/>
    </row>
    <row r="648" spans="1:6" ht="20.25">
      <c r="A648" s="207"/>
      <c r="B648" s="205"/>
      <c r="C648" s="205"/>
      <c r="D648" s="205"/>
      <c r="E648" s="208"/>
      <c r="F648" s="206"/>
    </row>
    <row r="649" spans="1:6" ht="20.25">
      <c r="A649" s="207"/>
      <c r="B649" s="205"/>
      <c r="C649" s="205"/>
      <c r="D649" s="205"/>
      <c r="E649" s="208"/>
      <c r="F649" s="206"/>
    </row>
    <row r="650" spans="1:6" ht="20.25">
      <c r="A650" s="207"/>
      <c r="B650" s="205"/>
      <c r="C650" s="205"/>
      <c r="D650" s="205"/>
      <c r="E650" s="208"/>
      <c r="F650" s="206"/>
    </row>
    <row r="651" spans="1:6" ht="20.25">
      <c r="A651" s="207"/>
      <c r="B651" s="205"/>
      <c r="C651" s="205"/>
      <c r="D651" s="205"/>
      <c r="E651" s="208"/>
      <c r="F651" s="206"/>
    </row>
    <row r="652" spans="1:6" ht="20.25">
      <c r="A652" s="207"/>
      <c r="B652" s="205"/>
      <c r="C652" s="205"/>
      <c r="D652" s="205"/>
      <c r="E652" s="208"/>
      <c r="F652" s="206"/>
    </row>
    <row r="653" spans="1:6" ht="20.25">
      <c r="A653" s="207"/>
      <c r="B653" s="205"/>
      <c r="C653" s="205"/>
      <c r="D653" s="205"/>
      <c r="E653" s="208"/>
      <c r="F653" s="206"/>
    </row>
    <row r="654" spans="1:6" ht="20.25">
      <c r="A654" s="207"/>
      <c r="B654" s="205"/>
      <c r="C654" s="205"/>
      <c r="D654" s="205"/>
      <c r="E654" s="208"/>
      <c r="F654" s="206"/>
    </row>
    <row r="655" spans="1:6" ht="20.25">
      <c r="A655" s="207"/>
      <c r="B655" s="205"/>
      <c r="C655" s="205"/>
      <c r="D655" s="205"/>
      <c r="E655" s="208"/>
      <c r="F655" s="206"/>
    </row>
    <row r="656" spans="1:6" ht="20.25">
      <c r="A656" s="207"/>
      <c r="B656" s="205"/>
      <c r="C656" s="205"/>
      <c r="D656" s="205"/>
      <c r="E656" s="208"/>
      <c r="F656" s="206"/>
    </row>
    <row r="657" spans="1:6" ht="20.25">
      <c r="A657" s="207"/>
      <c r="B657" s="205"/>
      <c r="C657" s="205"/>
      <c r="D657" s="205"/>
      <c r="E657" s="208"/>
      <c r="F657" s="206"/>
    </row>
    <row r="658" spans="1:6" ht="20.25">
      <c r="A658" s="207"/>
      <c r="B658" s="205"/>
      <c r="C658" s="205"/>
      <c r="D658" s="205"/>
      <c r="E658" s="208"/>
      <c r="F658" s="206"/>
    </row>
    <row r="659" spans="1:6" ht="20.25">
      <c r="A659" s="207"/>
      <c r="B659" s="205"/>
      <c r="C659" s="205"/>
      <c r="D659" s="205"/>
      <c r="E659" s="208"/>
      <c r="F659" s="206"/>
    </row>
    <row r="660" spans="1:6" ht="20.25">
      <c r="A660" s="207"/>
      <c r="B660" s="205"/>
      <c r="C660" s="205"/>
      <c r="D660" s="205"/>
      <c r="E660" s="208"/>
      <c r="F660" s="206"/>
    </row>
    <row r="661" spans="1:6" ht="20.25">
      <c r="A661" s="207"/>
      <c r="B661" s="205"/>
      <c r="C661" s="205"/>
      <c r="D661" s="205"/>
      <c r="E661" s="208"/>
      <c r="F661" s="206"/>
    </row>
    <row r="662" spans="1:6" ht="20.25">
      <c r="A662" s="207"/>
      <c r="B662" s="205"/>
      <c r="C662" s="205"/>
      <c r="D662" s="205"/>
      <c r="E662" s="208"/>
      <c r="F662" s="206"/>
    </row>
    <row r="663" spans="1:6" ht="20.25">
      <c r="A663" s="207"/>
      <c r="B663" s="205"/>
      <c r="C663" s="205"/>
      <c r="D663" s="205"/>
      <c r="E663" s="208"/>
      <c r="F663" s="206"/>
    </row>
    <row r="664" spans="1:6" ht="20.25">
      <c r="A664" s="207"/>
      <c r="B664" s="205"/>
      <c r="C664" s="205"/>
      <c r="D664" s="205"/>
      <c r="E664" s="208"/>
      <c r="F664" s="206"/>
    </row>
    <row r="665" spans="1:6" ht="20.25">
      <c r="A665" s="207"/>
      <c r="B665" s="205"/>
      <c r="C665" s="205"/>
      <c r="D665" s="205"/>
      <c r="E665" s="208"/>
      <c r="F665" s="206"/>
    </row>
    <row r="666" spans="1:6" ht="20.25">
      <c r="A666" s="207"/>
      <c r="B666" s="205"/>
      <c r="C666" s="205"/>
      <c r="D666" s="205"/>
      <c r="E666" s="208"/>
      <c r="F666" s="206"/>
    </row>
    <row r="667" spans="1:6" ht="20.25">
      <c r="A667" s="207"/>
      <c r="B667" s="205"/>
      <c r="C667" s="205"/>
      <c r="D667" s="205"/>
      <c r="E667" s="208"/>
      <c r="F667" s="206"/>
    </row>
    <row r="668" spans="1:6" ht="20.25">
      <c r="A668" s="207"/>
      <c r="B668" s="205"/>
      <c r="C668" s="205"/>
      <c r="D668" s="205"/>
      <c r="E668" s="208"/>
      <c r="F668" s="206"/>
    </row>
    <row r="669" spans="1:6" ht="20.25">
      <c r="A669" s="207"/>
      <c r="B669" s="205"/>
      <c r="C669" s="205"/>
      <c r="D669" s="205"/>
      <c r="E669" s="208"/>
      <c r="F669" s="206"/>
    </row>
    <row r="670" spans="1:6" ht="20.25">
      <c r="A670" s="207"/>
      <c r="B670" s="205"/>
      <c r="C670" s="205"/>
      <c r="D670" s="205"/>
      <c r="E670" s="208"/>
      <c r="F670" s="206"/>
    </row>
    <row r="671" spans="1:6" ht="20.25">
      <c r="A671" s="207"/>
      <c r="B671" s="205"/>
      <c r="C671" s="205"/>
      <c r="D671" s="205"/>
      <c r="E671" s="208"/>
      <c r="F671" s="206"/>
    </row>
    <row r="672" spans="1:6" ht="20.25">
      <c r="A672" s="207"/>
      <c r="B672" s="205"/>
      <c r="C672" s="205"/>
      <c r="D672" s="205"/>
      <c r="E672" s="208"/>
      <c r="F672" s="206"/>
    </row>
    <row r="673" spans="1:6" ht="20.25">
      <c r="A673" s="207"/>
      <c r="B673" s="205"/>
      <c r="C673" s="205"/>
      <c r="D673" s="205"/>
      <c r="E673" s="208"/>
      <c r="F673" s="206"/>
    </row>
    <row r="674" spans="1:6" ht="20.25">
      <c r="A674" s="207"/>
      <c r="B674" s="205"/>
      <c r="C674" s="205"/>
      <c r="D674" s="205"/>
      <c r="E674" s="208"/>
      <c r="F674" s="206"/>
    </row>
    <row r="675" spans="1:6" ht="20.25">
      <c r="A675" s="207"/>
      <c r="B675" s="205"/>
      <c r="C675" s="205"/>
      <c r="D675" s="205"/>
      <c r="E675" s="208"/>
      <c r="F675" s="206"/>
    </row>
    <row r="676" spans="1:6" ht="20.25">
      <c r="A676" s="207"/>
      <c r="B676" s="205"/>
      <c r="C676" s="205"/>
      <c r="D676" s="205"/>
      <c r="E676" s="208"/>
      <c r="F676" s="206"/>
    </row>
    <row r="677" spans="1:6" ht="20.25">
      <c r="A677" s="207"/>
      <c r="B677" s="205"/>
      <c r="C677" s="205"/>
      <c r="D677" s="205"/>
      <c r="E677" s="208"/>
      <c r="F677" s="206"/>
    </row>
    <row r="678" spans="1:6" ht="20.25">
      <c r="A678" s="207"/>
      <c r="B678" s="205"/>
      <c r="C678" s="205"/>
      <c r="D678" s="205"/>
      <c r="E678" s="208"/>
      <c r="F678" s="206"/>
    </row>
    <row r="679" spans="1:6" ht="20.25">
      <c r="A679" s="207"/>
      <c r="B679" s="205"/>
      <c r="C679" s="205"/>
      <c r="D679" s="205"/>
      <c r="E679" s="208"/>
      <c r="F679" s="206"/>
    </row>
    <row r="680" spans="1:6" ht="20.25">
      <c r="A680" s="207"/>
      <c r="B680" s="205"/>
      <c r="C680" s="205"/>
      <c r="D680" s="205"/>
      <c r="E680" s="208"/>
      <c r="F680" s="206"/>
    </row>
    <row r="681" spans="1:6" ht="20.25">
      <c r="A681" s="207"/>
      <c r="B681" s="205"/>
      <c r="C681" s="205"/>
      <c r="D681" s="205"/>
      <c r="E681" s="208"/>
      <c r="F681" s="206"/>
    </row>
    <row r="682" spans="1:6" ht="20.25">
      <c r="A682" s="207"/>
      <c r="B682" s="205"/>
      <c r="C682" s="205"/>
      <c r="D682" s="205"/>
      <c r="E682" s="208"/>
      <c r="F682" s="206"/>
    </row>
    <row r="683" spans="1:6" ht="20.25">
      <c r="A683" s="207"/>
      <c r="B683" s="205"/>
      <c r="C683" s="205"/>
      <c r="D683" s="205"/>
      <c r="E683" s="208"/>
      <c r="F683" s="206"/>
    </row>
    <row r="684" spans="1:6" ht="20.25">
      <c r="A684" s="207"/>
      <c r="B684" s="205"/>
      <c r="C684" s="205"/>
      <c r="D684" s="205"/>
      <c r="E684" s="208"/>
      <c r="F684" s="206"/>
    </row>
    <row r="685" spans="1:6" ht="20.25">
      <c r="A685" s="207"/>
      <c r="B685" s="205"/>
      <c r="C685" s="205"/>
      <c r="D685" s="205"/>
      <c r="E685" s="208"/>
      <c r="F685" s="206"/>
    </row>
    <row r="686" spans="1:6" ht="20.25">
      <c r="A686" s="207"/>
      <c r="B686" s="205"/>
      <c r="C686" s="205"/>
      <c r="D686" s="205"/>
      <c r="E686" s="208"/>
      <c r="F686" s="206"/>
    </row>
    <row r="687" spans="1:6" ht="20.25">
      <c r="A687" s="207"/>
      <c r="B687" s="205"/>
      <c r="C687" s="205"/>
      <c r="D687" s="205"/>
      <c r="E687" s="208"/>
      <c r="F687" s="206"/>
    </row>
    <row r="688" spans="1:6" ht="20.25">
      <c r="A688" s="207"/>
      <c r="B688" s="205"/>
      <c r="C688" s="205"/>
      <c r="D688" s="205"/>
      <c r="E688" s="208"/>
      <c r="F688" s="206"/>
    </row>
    <row r="689" spans="1:6" ht="20.25">
      <c r="A689" s="207"/>
      <c r="B689" s="205"/>
      <c r="C689" s="205"/>
      <c r="D689" s="205"/>
      <c r="E689" s="208"/>
      <c r="F689" s="206"/>
    </row>
    <row r="690" spans="1:6" ht="20.25">
      <c r="A690" s="207"/>
      <c r="B690" s="205"/>
      <c r="C690" s="205"/>
      <c r="D690" s="205"/>
      <c r="E690" s="208"/>
      <c r="F690" s="206"/>
    </row>
    <row r="691" spans="1:6" ht="20.25">
      <c r="A691" s="207"/>
      <c r="B691" s="205"/>
      <c r="C691" s="205"/>
      <c r="D691" s="205"/>
      <c r="E691" s="208"/>
      <c r="F691" s="206"/>
    </row>
    <row r="692" spans="1:6" ht="20.25">
      <c r="A692" s="207"/>
      <c r="B692" s="205"/>
      <c r="C692" s="205"/>
      <c r="D692" s="205"/>
      <c r="E692" s="208"/>
      <c r="F692" s="206"/>
    </row>
    <row r="693" spans="1:6" ht="20.25">
      <c r="A693" s="207"/>
      <c r="B693" s="205"/>
      <c r="C693" s="205"/>
      <c r="D693" s="205"/>
      <c r="E693" s="208"/>
      <c r="F693" s="206"/>
    </row>
    <row r="694" spans="1:6" ht="20.25">
      <c r="A694" s="207"/>
      <c r="B694" s="205"/>
      <c r="C694" s="205"/>
      <c r="D694" s="205"/>
      <c r="E694" s="208"/>
      <c r="F694" s="206"/>
    </row>
    <row r="695" spans="1:6" ht="20.25">
      <c r="A695" s="207"/>
      <c r="B695" s="205"/>
      <c r="C695" s="205"/>
      <c r="D695" s="205"/>
      <c r="E695" s="208"/>
      <c r="F695" s="206"/>
    </row>
    <row r="696" spans="1:6" ht="20.25">
      <c r="A696" s="207"/>
      <c r="B696" s="205"/>
      <c r="C696" s="205"/>
      <c r="D696" s="205"/>
      <c r="E696" s="208"/>
      <c r="F696" s="206"/>
    </row>
    <row r="697" spans="1:6" ht="20.25">
      <c r="A697" s="207"/>
      <c r="B697" s="205"/>
      <c r="C697" s="205"/>
      <c r="D697" s="205"/>
      <c r="E697" s="208"/>
      <c r="F697" s="206"/>
    </row>
    <row r="698" spans="1:6" ht="20.25">
      <c r="A698" s="207"/>
      <c r="B698" s="205"/>
      <c r="C698" s="205"/>
      <c r="D698" s="205"/>
      <c r="E698" s="208"/>
      <c r="F698" s="206"/>
    </row>
    <row r="699" spans="1:6" ht="20.25">
      <c r="A699" s="207"/>
      <c r="B699" s="205"/>
      <c r="C699" s="205"/>
      <c r="D699" s="205"/>
      <c r="E699" s="208"/>
      <c r="F699" s="206"/>
    </row>
    <row r="700" spans="1:6" ht="20.25">
      <c r="A700" s="207"/>
      <c r="B700" s="205"/>
      <c r="C700" s="205"/>
      <c r="D700" s="205"/>
      <c r="E700" s="208"/>
      <c r="F700" s="206"/>
    </row>
    <row r="701" spans="1:6" ht="20.25">
      <c r="A701" s="207"/>
      <c r="B701" s="205"/>
      <c r="C701" s="205"/>
      <c r="D701" s="205"/>
      <c r="E701" s="208"/>
      <c r="F701" s="206"/>
    </row>
    <row r="702" spans="1:6" ht="20.25">
      <c r="A702" s="207"/>
      <c r="B702" s="205"/>
      <c r="C702" s="205"/>
      <c r="D702" s="205"/>
      <c r="E702" s="208"/>
      <c r="F702" s="206"/>
    </row>
    <row r="703" spans="1:6" ht="20.25">
      <c r="A703" s="209"/>
      <c r="B703" s="210"/>
      <c r="C703" s="205"/>
      <c r="D703" s="210"/>
      <c r="E703" s="211"/>
      <c r="F703" s="212"/>
    </row>
    <row r="704" spans="1:6" ht="20.25">
      <c r="A704" s="209"/>
      <c r="B704" s="210"/>
      <c r="C704" s="210"/>
      <c r="D704" s="210"/>
      <c r="E704" s="211"/>
      <c r="F704" s="212"/>
    </row>
    <row r="705" spans="1:6" ht="20.25">
      <c r="A705" s="209"/>
      <c r="B705" s="210"/>
      <c r="C705" s="210"/>
      <c r="D705" s="210"/>
      <c r="E705" s="211"/>
      <c r="F705" s="212"/>
    </row>
    <row r="706" spans="1:6" ht="20.25">
      <c r="A706" s="209"/>
      <c r="B706" s="210"/>
      <c r="C706" s="210"/>
      <c r="D706" s="210"/>
      <c r="E706" s="211"/>
      <c r="F706" s="212"/>
    </row>
    <row r="707" spans="1:6" ht="20.25">
      <c r="A707" s="209"/>
      <c r="B707" s="210"/>
      <c r="C707" s="210"/>
      <c r="D707" s="210"/>
      <c r="E707" s="211"/>
      <c r="F707" s="212"/>
    </row>
    <row r="708" spans="1:6" ht="20.25">
      <c r="A708" s="209"/>
      <c r="B708" s="210"/>
      <c r="C708" s="210"/>
      <c r="D708" s="210"/>
      <c r="E708" s="211"/>
      <c r="F708" s="212"/>
    </row>
    <row r="709" spans="1:6" ht="20.25">
      <c r="A709" s="209"/>
      <c r="B709" s="210"/>
      <c r="C709" s="210"/>
      <c r="D709" s="210"/>
      <c r="E709" s="211"/>
      <c r="F709" s="212"/>
    </row>
    <row r="710" spans="1:6" ht="20.25">
      <c r="A710" s="209"/>
      <c r="B710" s="210"/>
      <c r="C710" s="210"/>
      <c r="D710" s="210"/>
      <c r="E710" s="211"/>
      <c r="F710" s="212"/>
    </row>
    <row r="711" spans="1:6" ht="20.25">
      <c r="A711" s="209"/>
      <c r="B711" s="210"/>
      <c r="C711" s="210"/>
      <c r="D711" s="210"/>
      <c r="E711" s="211"/>
      <c r="F711" s="212"/>
    </row>
    <row r="712" spans="1:6" ht="20.25">
      <c r="A712" s="209"/>
      <c r="B712" s="210"/>
      <c r="C712" s="210"/>
      <c r="D712" s="210"/>
      <c r="E712" s="211"/>
      <c r="F712" s="212"/>
    </row>
    <row r="713" spans="1:6" ht="20.25">
      <c r="A713" s="209"/>
      <c r="B713" s="210"/>
      <c r="C713" s="210"/>
      <c r="D713" s="210"/>
      <c r="E713" s="211"/>
      <c r="F713" s="212"/>
    </row>
    <row r="714" spans="1:6" ht="20.25">
      <c r="A714" s="209"/>
      <c r="B714" s="210"/>
      <c r="C714" s="210"/>
      <c r="D714" s="210"/>
      <c r="E714" s="211"/>
      <c r="F714" s="212"/>
    </row>
    <row r="715" spans="1:6" ht="20.25">
      <c r="A715" s="209"/>
      <c r="B715" s="210"/>
      <c r="C715" s="210"/>
      <c r="D715" s="210"/>
      <c r="E715" s="211"/>
      <c r="F715" s="212"/>
    </row>
    <row r="716" spans="1:6" ht="20.25">
      <c r="A716" s="209"/>
      <c r="B716" s="210"/>
      <c r="C716" s="210"/>
      <c r="D716" s="210"/>
      <c r="E716" s="211"/>
      <c r="F716" s="212"/>
    </row>
    <row r="717" spans="1:6" ht="20.25">
      <c r="A717" s="209"/>
      <c r="B717" s="210"/>
      <c r="C717" s="210"/>
      <c r="D717" s="210"/>
      <c r="E717" s="211"/>
      <c r="F717" s="212"/>
    </row>
    <row r="718" spans="1:6" ht="20.25">
      <c r="A718" s="209"/>
      <c r="B718" s="210"/>
      <c r="C718" s="210"/>
      <c r="D718" s="210"/>
      <c r="E718" s="211"/>
      <c r="F718" s="212"/>
    </row>
    <row r="719" spans="1:6" ht="20.25">
      <c r="A719" s="209"/>
      <c r="B719" s="210"/>
      <c r="C719" s="210"/>
      <c r="D719" s="210"/>
      <c r="E719" s="211"/>
      <c r="F719" s="212"/>
    </row>
    <row r="720" spans="1:6" ht="20.25">
      <c r="A720" s="209"/>
      <c r="B720" s="210"/>
      <c r="C720" s="210"/>
      <c r="D720" s="210"/>
      <c r="E720" s="211"/>
      <c r="F720" s="212"/>
    </row>
    <row r="721" spans="1:6" ht="20.25">
      <c r="A721" s="209"/>
      <c r="B721" s="210"/>
      <c r="C721" s="210"/>
      <c r="D721" s="210"/>
      <c r="E721" s="211"/>
      <c r="F721" s="212"/>
    </row>
    <row r="722" spans="1:6" ht="20.25">
      <c r="A722" s="209"/>
      <c r="B722" s="210"/>
      <c r="C722" s="210"/>
      <c r="D722" s="210"/>
      <c r="E722" s="211"/>
      <c r="F722" s="212"/>
    </row>
    <row r="723" spans="1:6" ht="20.25">
      <c r="A723" s="209"/>
      <c r="B723" s="210"/>
      <c r="C723" s="210"/>
      <c r="D723" s="210"/>
      <c r="E723" s="211"/>
      <c r="F723" s="212"/>
    </row>
    <row r="724" spans="1:6" ht="20.25">
      <c r="A724" s="209"/>
      <c r="B724" s="210"/>
      <c r="C724" s="210"/>
      <c r="D724" s="210"/>
      <c r="E724" s="211"/>
      <c r="F724" s="212"/>
    </row>
    <row r="725" spans="1:6" ht="20.25">
      <c r="A725" s="209"/>
      <c r="B725" s="210"/>
      <c r="C725" s="210"/>
      <c r="D725" s="210"/>
      <c r="E725" s="211"/>
      <c r="F725" s="212"/>
    </row>
    <row r="726" spans="1:6" ht="20.25">
      <c r="A726" s="209"/>
      <c r="B726" s="210"/>
      <c r="C726" s="210"/>
      <c r="D726" s="210"/>
      <c r="E726" s="211"/>
      <c r="F726" s="212"/>
    </row>
    <row r="727" spans="1:6" ht="20.25">
      <c r="A727" s="209"/>
      <c r="B727" s="210"/>
      <c r="C727" s="210"/>
      <c r="D727" s="210"/>
      <c r="E727" s="211"/>
      <c r="F727" s="212"/>
    </row>
    <row r="728" spans="1:6" ht="20.25">
      <c r="A728" s="209"/>
      <c r="B728" s="210"/>
      <c r="C728" s="210"/>
      <c r="D728" s="210"/>
      <c r="E728" s="211"/>
      <c r="F728" s="212"/>
    </row>
    <row r="729" spans="1:6" ht="20.25">
      <c r="A729" s="209"/>
      <c r="B729" s="210"/>
      <c r="C729" s="210"/>
      <c r="D729" s="210"/>
      <c r="E729" s="211"/>
      <c r="F729" s="212"/>
    </row>
    <row r="730" spans="1:6" ht="20.25">
      <c r="A730" s="209"/>
      <c r="B730" s="210"/>
      <c r="C730" s="210"/>
      <c r="D730" s="210"/>
      <c r="E730" s="211"/>
      <c r="F730" s="212"/>
    </row>
    <row r="731" spans="1:6" ht="20.25">
      <c r="A731" s="209"/>
      <c r="B731" s="210"/>
      <c r="C731" s="210"/>
      <c r="D731" s="210"/>
      <c r="E731" s="211"/>
      <c r="F731" s="212"/>
    </row>
    <row r="732" spans="1:6" ht="20.25">
      <c r="A732" s="209"/>
      <c r="B732" s="210"/>
      <c r="C732" s="210"/>
      <c r="D732" s="210"/>
      <c r="E732" s="211"/>
      <c r="F732" s="212"/>
    </row>
    <row r="733" spans="1:6" ht="20.25">
      <c r="A733" s="209"/>
      <c r="B733" s="210"/>
      <c r="C733" s="210"/>
      <c r="D733" s="210"/>
      <c r="E733" s="211"/>
      <c r="F733" s="212"/>
    </row>
    <row r="734" spans="1:6" ht="20.25">
      <c r="A734" s="209"/>
      <c r="B734" s="210"/>
      <c r="C734" s="210"/>
      <c r="D734" s="210"/>
      <c r="E734" s="211"/>
      <c r="F734" s="212"/>
    </row>
    <row r="735" spans="1:6" ht="20.25">
      <c r="A735" s="209"/>
      <c r="B735" s="210"/>
      <c r="C735" s="210"/>
      <c r="D735" s="210"/>
      <c r="E735" s="211"/>
      <c r="F735" s="212"/>
    </row>
    <row r="736" spans="1:6" ht="20.25">
      <c r="A736" s="209"/>
      <c r="B736" s="210"/>
      <c r="C736" s="210"/>
      <c r="D736" s="210"/>
      <c r="E736" s="211"/>
      <c r="F736" s="212"/>
    </row>
    <row r="737" spans="1:6" ht="20.25">
      <c r="A737" s="209"/>
      <c r="B737" s="210"/>
      <c r="C737" s="210"/>
      <c r="D737" s="210"/>
      <c r="E737" s="211"/>
      <c r="F737" s="212"/>
    </row>
    <row r="738" spans="1:6" ht="20.25">
      <c r="A738" s="209"/>
      <c r="B738" s="210"/>
      <c r="C738" s="210"/>
      <c r="D738" s="210"/>
      <c r="E738" s="211"/>
      <c r="F738" s="212"/>
    </row>
    <row r="739" spans="1:6" ht="20.25">
      <c r="A739" s="209"/>
      <c r="B739" s="210"/>
      <c r="C739" s="210"/>
      <c r="D739" s="210"/>
      <c r="E739" s="211"/>
      <c r="F739" s="212"/>
    </row>
    <row r="740" spans="1:6" ht="20.25">
      <c r="A740" s="209"/>
      <c r="B740" s="210"/>
      <c r="C740" s="210"/>
      <c r="D740" s="210"/>
      <c r="E740" s="211"/>
      <c r="F740" s="212"/>
    </row>
    <row r="741" spans="1:6" ht="20.25">
      <c r="A741" s="209"/>
      <c r="B741" s="210"/>
      <c r="C741" s="210"/>
      <c r="D741" s="210"/>
      <c r="E741" s="211"/>
      <c r="F741" s="212"/>
    </row>
    <row r="742" spans="1:6" ht="20.25">
      <c r="A742" s="209"/>
      <c r="B742" s="210"/>
      <c r="C742" s="210"/>
      <c r="D742" s="210"/>
      <c r="E742" s="211"/>
      <c r="F742" s="212"/>
    </row>
    <row r="743" spans="1:6" ht="20.25">
      <c r="A743" s="209"/>
      <c r="B743" s="210"/>
      <c r="C743" s="210"/>
      <c r="D743" s="210"/>
      <c r="E743" s="211"/>
      <c r="F743" s="212"/>
    </row>
    <row r="744" spans="1:6" ht="20.25">
      <c r="A744" s="209"/>
      <c r="B744" s="210"/>
      <c r="C744" s="210"/>
      <c r="D744" s="210"/>
      <c r="E744" s="211"/>
      <c r="F744" s="212"/>
    </row>
    <row r="745" spans="1:6" ht="20.25">
      <c r="A745" s="209"/>
      <c r="B745" s="210"/>
      <c r="C745" s="210"/>
      <c r="D745" s="210"/>
      <c r="E745" s="211"/>
      <c r="F745" s="212"/>
    </row>
    <row r="746" spans="1:6" ht="20.25">
      <c r="A746" s="209"/>
      <c r="B746" s="210"/>
      <c r="C746" s="210"/>
      <c r="D746" s="210"/>
      <c r="E746" s="211"/>
      <c r="F746" s="212"/>
    </row>
    <row r="747" spans="1:6" ht="20.25">
      <c r="A747" s="209"/>
      <c r="B747" s="210"/>
      <c r="C747" s="210"/>
      <c r="D747" s="210"/>
      <c r="E747" s="211"/>
      <c r="F747" s="212"/>
    </row>
    <row r="748" spans="1:6" ht="20.25">
      <c r="A748" s="209"/>
      <c r="B748" s="210"/>
      <c r="C748" s="210"/>
      <c r="D748" s="210"/>
      <c r="E748" s="211"/>
      <c r="F748" s="212"/>
    </row>
    <row r="749" spans="1:6" ht="20.25">
      <c r="A749" s="209"/>
      <c r="B749" s="210"/>
      <c r="C749" s="210"/>
      <c r="D749" s="210"/>
      <c r="E749" s="211"/>
      <c r="F749" s="212"/>
    </row>
    <row r="750" spans="1:6" ht="20.25">
      <c r="A750" s="209"/>
      <c r="B750" s="210"/>
      <c r="C750" s="210"/>
      <c r="D750" s="210"/>
      <c r="E750" s="211"/>
      <c r="F750" s="212"/>
    </row>
    <row r="751" spans="1:6" ht="20.25">
      <c r="A751" s="209"/>
      <c r="B751" s="210"/>
      <c r="C751" s="210"/>
      <c r="D751" s="210"/>
      <c r="E751" s="211"/>
      <c r="F751" s="212"/>
    </row>
    <row r="752" spans="1:6" ht="20.25">
      <c r="A752" s="209"/>
      <c r="B752" s="210"/>
      <c r="C752" s="210"/>
      <c r="D752" s="210"/>
      <c r="E752" s="211"/>
      <c r="F752" s="212"/>
    </row>
    <row r="753" spans="1:6" ht="20.25">
      <c r="A753" s="209"/>
      <c r="B753" s="210"/>
      <c r="C753" s="210"/>
      <c r="D753" s="210"/>
      <c r="E753" s="211"/>
      <c r="F753" s="212"/>
    </row>
    <row r="754" spans="1:6" ht="20.25">
      <c r="A754" s="209"/>
      <c r="B754" s="210"/>
      <c r="C754" s="210"/>
      <c r="D754" s="210"/>
      <c r="E754" s="211"/>
      <c r="F754" s="212"/>
    </row>
    <row r="755" spans="1:6" ht="20.25">
      <c r="A755" s="209"/>
      <c r="B755" s="210"/>
      <c r="C755" s="210"/>
      <c r="D755" s="210"/>
      <c r="E755" s="211"/>
      <c r="F755" s="212"/>
    </row>
    <row r="756" spans="1:6" ht="20.25">
      <c r="A756" s="209"/>
      <c r="B756" s="210"/>
      <c r="C756" s="210"/>
      <c r="D756" s="210"/>
      <c r="E756" s="211"/>
      <c r="F756" s="212"/>
    </row>
    <row r="757" spans="1:6" ht="20.25">
      <c r="A757" s="209"/>
      <c r="B757" s="210"/>
      <c r="C757" s="210"/>
      <c r="D757" s="210"/>
      <c r="E757" s="211"/>
      <c r="F757" s="212"/>
    </row>
    <row r="758" spans="1:6" ht="20.25">
      <c r="A758" s="209"/>
      <c r="B758" s="210"/>
      <c r="C758" s="210"/>
      <c r="D758" s="210"/>
      <c r="E758" s="211"/>
      <c r="F758" s="212"/>
    </row>
    <row r="759" spans="1:6" ht="20.25">
      <c r="A759" s="209"/>
      <c r="B759" s="210"/>
      <c r="C759" s="210"/>
      <c r="D759" s="210"/>
      <c r="E759" s="211"/>
      <c r="F759" s="212"/>
    </row>
    <row r="760" spans="1:6" ht="20.25">
      <c r="A760" s="209"/>
      <c r="B760" s="210"/>
      <c r="C760" s="210"/>
      <c r="D760" s="210"/>
      <c r="E760" s="211"/>
      <c r="F760" s="212"/>
    </row>
    <row r="761" spans="1:6" ht="20.25">
      <c r="A761" s="209"/>
      <c r="B761" s="210"/>
      <c r="C761" s="210"/>
      <c r="D761" s="210"/>
      <c r="E761" s="211"/>
      <c r="F761" s="212"/>
    </row>
    <row r="762" spans="1:6" ht="20.25">
      <c r="A762" s="209"/>
      <c r="B762" s="210"/>
      <c r="C762" s="210"/>
      <c r="D762" s="210"/>
      <c r="E762" s="211"/>
      <c r="F762" s="212"/>
    </row>
    <row r="763" spans="1:6" ht="20.25">
      <c r="A763" s="209"/>
      <c r="B763" s="210"/>
      <c r="C763" s="210"/>
      <c r="D763" s="210"/>
      <c r="E763" s="211"/>
      <c r="F763" s="212"/>
    </row>
    <row r="764" spans="1:6" ht="20.25">
      <c r="A764" s="209"/>
      <c r="B764" s="210"/>
      <c r="C764" s="210"/>
      <c r="D764" s="210"/>
      <c r="E764" s="211"/>
      <c r="F764" s="212"/>
    </row>
    <row r="765" spans="1:6" ht="20.25">
      <c r="A765" s="209"/>
      <c r="B765" s="210"/>
      <c r="C765" s="210"/>
      <c r="D765" s="210"/>
      <c r="E765" s="211"/>
      <c r="F765" s="212"/>
    </row>
    <row r="766" spans="1:6" ht="20.25">
      <c r="A766" s="209"/>
      <c r="B766" s="210"/>
      <c r="C766" s="210"/>
      <c r="D766" s="210"/>
      <c r="E766" s="211"/>
      <c r="F766" s="212"/>
    </row>
    <row r="767" spans="1:6" ht="20.25">
      <c r="A767" s="209"/>
      <c r="B767" s="210"/>
      <c r="C767" s="210"/>
      <c r="D767" s="210"/>
      <c r="E767" s="211"/>
      <c r="F767" s="212"/>
    </row>
    <row r="768" spans="1:6" ht="20.25">
      <c r="A768" s="209"/>
      <c r="B768" s="210"/>
      <c r="C768" s="210"/>
      <c r="D768" s="210"/>
      <c r="E768" s="211"/>
      <c r="F768" s="212"/>
    </row>
    <row r="769" spans="1:6" ht="20.25">
      <c r="A769" s="209"/>
      <c r="B769" s="210"/>
      <c r="C769" s="210"/>
      <c r="D769" s="210"/>
      <c r="E769" s="211"/>
      <c r="F769" s="212"/>
    </row>
    <row r="770" spans="1:6" ht="20.25">
      <c r="A770" s="209"/>
      <c r="B770" s="210"/>
      <c r="C770" s="210"/>
      <c r="D770" s="210"/>
      <c r="E770" s="211"/>
      <c r="F770" s="212"/>
    </row>
    <row r="771" spans="1:6" ht="20.25">
      <c r="A771" s="209"/>
      <c r="B771" s="210"/>
      <c r="C771" s="210"/>
      <c r="D771" s="210"/>
      <c r="E771" s="211"/>
      <c r="F771" s="212"/>
    </row>
    <row r="772" spans="1:6" ht="20.25">
      <c r="A772" s="209"/>
      <c r="B772" s="210"/>
      <c r="C772" s="210"/>
      <c r="D772" s="210"/>
      <c r="E772" s="211"/>
      <c r="F772" s="212"/>
    </row>
    <row r="773" spans="1:6" ht="20.25">
      <c r="A773" s="209"/>
      <c r="B773" s="210"/>
      <c r="C773" s="210"/>
      <c r="D773" s="210"/>
      <c r="E773" s="211"/>
      <c r="F773" s="212"/>
    </row>
    <row r="774" spans="1:6" ht="20.25">
      <c r="A774" s="209"/>
      <c r="B774" s="210"/>
      <c r="C774" s="210"/>
      <c r="D774" s="210"/>
      <c r="E774" s="211"/>
      <c r="F774" s="212"/>
    </row>
    <row r="775" spans="1:6" ht="20.25">
      <c r="A775" s="209"/>
      <c r="B775" s="210"/>
      <c r="C775" s="210"/>
      <c r="D775" s="210"/>
      <c r="E775" s="211"/>
      <c r="F775" s="212"/>
    </row>
    <row r="776" spans="1:6" ht="20.25">
      <c r="A776" s="209"/>
      <c r="B776" s="210"/>
      <c r="C776" s="210"/>
      <c r="D776" s="210"/>
      <c r="E776" s="211"/>
      <c r="F776" s="212"/>
    </row>
    <row r="777" spans="1:6" ht="20.25">
      <c r="A777" s="209"/>
      <c r="B777" s="210"/>
      <c r="C777" s="210"/>
      <c r="D777" s="210"/>
      <c r="E777" s="211"/>
      <c r="F777" s="212"/>
    </row>
    <row r="778" spans="1:6" ht="20.25">
      <c r="A778" s="209"/>
      <c r="B778" s="210"/>
      <c r="C778" s="210"/>
      <c r="D778" s="210"/>
      <c r="E778" s="211"/>
      <c r="F778" s="212"/>
    </row>
    <row r="779" spans="1:6" ht="20.25">
      <c r="A779" s="209"/>
      <c r="B779" s="210"/>
      <c r="C779" s="210"/>
      <c r="D779" s="210"/>
      <c r="E779" s="211"/>
      <c r="F779" s="212"/>
    </row>
    <row r="780" spans="1:6" ht="20.25">
      <c r="A780" s="209"/>
      <c r="B780" s="210"/>
      <c r="C780" s="210"/>
      <c r="D780" s="210"/>
      <c r="E780" s="211"/>
      <c r="F780" s="212"/>
    </row>
    <row r="781" spans="1:6" ht="20.25">
      <c r="A781" s="209"/>
      <c r="B781" s="210"/>
      <c r="C781" s="210"/>
      <c r="D781" s="210"/>
      <c r="E781" s="211"/>
      <c r="F781" s="212"/>
    </row>
    <row r="782" spans="1:6" ht="20.25">
      <c r="A782" s="209"/>
      <c r="B782" s="210"/>
      <c r="C782" s="210"/>
      <c r="D782" s="210"/>
      <c r="E782" s="211"/>
      <c r="F782" s="212"/>
    </row>
    <row r="783" spans="1:6" ht="20.25">
      <c r="A783" s="209"/>
      <c r="B783" s="210"/>
      <c r="C783" s="210"/>
      <c r="D783" s="210"/>
      <c r="E783" s="211"/>
      <c r="F783" s="212"/>
    </row>
    <row r="784" spans="1:6" ht="20.25">
      <c r="A784" s="209"/>
      <c r="B784" s="210"/>
      <c r="C784" s="210"/>
      <c r="D784" s="210"/>
      <c r="E784" s="211"/>
      <c r="F784" s="212"/>
    </row>
    <row r="785" spans="1:6" ht="20.25">
      <c r="A785" s="209"/>
      <c r="B785" s="210"/>
      <c r="C785" s="210"/>
      <c r="D785" s="210"/>
      <c r="E785" s="211"/>
      <c r="F785" s="212"/>
    </row>
    <row r="786" spans="1:6" ht="20.25">
      <c r="A786" s="209"/>
      <c r="B786" s="210"/>
      <c r="C786" s="210"/>
      <c r="D786" s="210"/>
      <c r="E786" s="211"/>
      <c r="F786" s="212"/>
    </row>
    <row r="787" spans="1:6" ht="20.25">
      <c r="A787" s="209"/>
      <c r="B787" s="210"/>
      <c r="C787" s="210"/>
      <c r="D787" s="210"/>
      <c r="E787" s="211"/>
      <c r="F787" s="212"/>
    </row>
    <row r="788" spans="1:6" ht="20.25">
      <c r="A788" s="209"/>
      <c r="B788" s="210"/>
      <c r="C788" s="210"/>
      <c r="D788" s="210"/>
      <c r="E788" s="211"/>
      <c r="F788" s="212"/>
    </row>
    <row r="789" spans="1:6" ht="20.25">
      <c r="A789" s="209"/>
      <c r="B789" s="210"/>
      <c r="C789" s="210"/>
      <c r="D789" s="210"/>
      <c r="E789" s="211"/>
      <c r="F789" s="212"/>
    </row>
    <row r="790" spans="1:6" ht="20.25">
      <c r="A790" s="209"/>
      <c r="B790" s="210"/>
      <c r="C790" s="210"/>
      <c r="D790" s="210"/>
      <c r="E790" s="211"/>
      <c r="F790" s="212"/>
    </row>
    <row r="791" spans="1:6" ht="20.25">
      <c r="A791" s="209"/>
      <c r="B791" s="210"/>
      <c r="C791" s="210"/>
      <c r="D791" s="210"/>
      <c r="E791" s="211"/>
      <c r="F791" s="212"/>
    </row>
    <row r="792" spans="1:6" ht="20.25">
      <c r="A792" s="209"/>
      <c r="B792" s="210"/>
      <c r="C792" s="210"/>
      <c r="D792" s="210"/>
      <c r="E792" s="211"/>
      <c r="F792" s="212"/>
    </row>
    <row r="793" spans="1:6" ht="20.25">
      <c r="A793" s="209"/>
      <c r="B793" s="210"/>
      <c r="C793" s="210"/>
      <c r="D793" s="210"/>
      <c r="E793" s="211"/>
      <c r="F793" s="212"/>
    </row>
    <row r="794" spans="1:6" ht="20.25">
      <c r="A794" s="209"/>
      <c r="B794" s="210"/>
      <c r="C794" s="210"/>
      <c r="D794" s="210"/>
      <c r="E794" s="211"/>
      <c r="F794" s="212"/>
    </row>
    <row r="795" spans="1:6" ht="20.25">
      <c r="A795" s="209"/>
      <c r="B795" s="210"/>
      <c r="C795" s="210"/>
      <c r="D795" s="210"/>
      <c r="E795" s="211"/>
      <c r="F795" s="212"/>
    </row>
    <row r="796" spans="1:6" ht="20.25">
      <c r="A796" s="209"/>
      <c r="B796" s="210"/>
      <c r="C796" s="210"/>
      <c r="D796" s="210"/>
      <c r="E796" s="211"/>
      <c r="F796" s="212"/>
    </row>
    <row r="797" spans="1:6" ht="20.25">
      <c r="A797" s="209"/>
      <c r="B797" s="210"/>
      <c r="C797" s="210"/>
      <c r="D797" s="210"/>
      <c r="E797" s="211"/>
      <c r="F797" s="212"/>
    </row>
    <row r="798" spans="1:6" ht="20.25">
      <c r="A798" s="209"/>
      <c r="B798" s="210"/>
      <c r="C798" s="210"/>
      <c r="D798" s="210"/>
      <c r="E798" s="211"/>
      <c r="F798" s="212"/>
    </row>
    <row r="799" spans="1:6" ht="20.25">
      <c r="A799" s="209"/>
      <c r="B799" s="210"/>
      <c r="C799" s="210"/>
      <c r="D799" s="210"/>
      <c r="E799" s="211"/>
      <c r="F799" s="212"/>
    </row>
    <row r="800" spans="1:6" ht="20.25">
      <c r="A800" s="209"/>
      <c r="B800" s="210"/>
      <c r="C800" s="210"/>
      <c r="D800" s="210"/>
      <c r="E800" s="211"/>
      <c r="F800" s="212"/>
    </row>
    <row r="801" spans="1:6" ht="20.25">
      <c r="A801" s="209"/>
      <c r="B801" s="210"/>
      <c r="C801" s="210"/>
      <c r="D801" s="210"/>
      <c r="E801" s="211"/>
      <c r="F801" s="212"/>
    </row>
    <row r="802" spans="1:6" ht="20.25">
      <c r="A802" s="209"/>
      <c r="B802" s="210"/>
      <c r="C802" s="210"/>
      <c r="D802" s="210"/>
      <c r="E802" s="211"/>
      <c r="F802" s="212"/>
    </row>
    <row r="803" spans="1:6" ht="20.25">
      <c r="A803" s="209"/>
      <c r="B803" s="210"/>
      <c r="C803" s="210"/>
      <c r="D803" s="210"/>
      <c r="E803" s="211"/>
      <c r="F803" s="212"/>
    </row>
    <row r="804" spans="1:6" ht="20.25">
      <c r="A804" s="209"/>
      <c r="B804" s="210"/>
      <c r="C804" s="210"/>
      <c r="D804" s="210"/>
      <c r="E804" s="211"/>
      <c r="F804" s="212"/>
    </row>
    <row r="805" spans="1:6" ht="20.25">
      <c r="A805" s="209"/>
      <c r="B805" s="210"/>
      <c r="C805" s="210"/>
      <c r="D805" s="210"/>
      <c r="E805" s="211"/>
      <c r="F805" s="212"/>
    </row>
    <row r="806" spans="1:6" ht="20.25">
      <c r="A806" s="209"/>
      <c r="B806" s="210"/>
      <c r="C806" s="210"/>
      <c r="D806" s="210"/>
      <c r="E806" s="211"/>
      <c r="F806" s="212"/>
    </row>
    <row r="807" spans="1:6" ht="20.25">
      <c r="A807" s="209"/>
      <c r="B807" s="210"/>
      <c r="C807" s="210"/>
      <c r="D807" s="210"/>
      <c r="E807" s="211"/>
      <c r="F807" s="212"/>
    </row>
    <row r="808" spans="1:6" ht="20.25">
      <c r="A808" s="209"/>
      <c r="B808" s="210"/>
      <c r="C808" s="210"/>
      <c r="D808" s="210"/>
      <c r="E808" s="211"/>
      <c r="F808" s="212"/>
    </row>
    <row r="809" spans="1:6" ht="20.25">
      <c r="A809" s="209"/>
      <c r="B809" s="210"/>
      <c r="C809" s="210"/>
      <c r="D809" s="210"/>
      <c r="E809" s="211"/>
      <c r="F809" s="212"/>
    </row>
    <row r="810" spans="1:6" ht="20.25">
      <c r="A810" s="209"/>
      <c r="B810" s="210"/>
      <c r="C810" s="210"/>
      <c r="D810" s="210"/>
      <c r="E810" s="211"/>
      <c r="F810" s="212"/>
    </row>
    <row r="811" spans="1:6" ht="20.25">
      <c r="A811" s="209"/>
      <c r="B811" s="210"/>
      <c r="C811" s="210"/>
      <c r="D811" s="210"/>
      <c r="E811" s="211"/>
      <c r="F811" s="212"/>
    </row>
    <row r="812" spans="1:6" ht="20.25">
      <c r="A812" s="209"/>
      <c r="B812" s="210"/>
      <c r="C812" s="210"/>
      <c r="D812" s="210"/>
      <c r="E812" s="211"/>
      <c r="F812" s="212"/>
    </row>
    <row r="813" spans="1:6" ht="20.25">
      <c r="A813" s="209"/>
      <c r="B813" s="210"/>
      <c r="C813" s="210"/>
      <c r="D813" s="210"/>
      <c r="E813" s="211"/>
      <c r="F813" s="212"/>
    </row>
    <row r="814" spans="1:6" ht="20.25">
      <c r="A814" s="209"/>
      <c r="B814" s="210"/>
      <c r="C814" s="210"/>
      <c r="D814" s="210"/>
      <c r="E814" s="211"/>
      <c r="F814" s="212"/>
    </row>
    <row r="815" spans="1:6" ht="20.25">
      <c r="A815" s="209"/>
      <c r="B815" s="210"/>
      <c r="C815" s="210"/>
      <c r="D815" s="210"/>
      <c r="E815" s="211"/>
      <c r="F815" s="212"/>
    </row>
    <row r="816" spans="1:6" ht="20.25">
      <c r="A816" s="209"/>
      <c r="B816" s="210"/>
      <c r="C816" s="210"/>
      <c r="D816" s="210"/>
      <c r="E816" s="211"/>
      <c r="F816" s="212"/>
    </row>
    <row r="817" spans="1:6" ht="20.25">
      <c r="A817" s="209"/>
      <c r="B817" s="210"/>
      <c r="C817" s="210"/>
      <c r="D817" s="210"/>
      <c r="E817" s="211"/>
      <c r="F817" s="212"/>
    </row>
    <row r="818" spans="1:6" ht="20.25">
      <c r="A818" s="209"/>
      <c r="B818" s="210"/>
      <c r="C818" s="210"/>
      <c r="D818" s="210"/>
      <c r="E818" s="211"/>
      <c r="F818" s="212"/>
    </row>
    <row r="819" spans="1:6" ht="20.25">
      <c r="A819" s="209"/>
      <c r="B819" s="210"/>
      <c r="C819" s="210"/>
      <c r="D819" s="210"/>
      <c r="E819" s="211"/>
      <c r="F819" s="212"/>
    </row>
    <row r="820" spans="1:6" ht="20.25">
      <c r="A820" s="209"/>
      <c r="B820" s="210"/>
      <c r="C820" s="210"/>
      <c r="D820" s="210"/>
      <c r="E820" s="211"/>
      <c r="F820" s="212"/>
    </row>
    <row r="821" spans="1:6" ht="20.25">
      <c r="A821" s="209"/>
      <c r="B821" s="210"/>
      <c r="C821" s="210"/>
      <c r="D821" s="210"/>
      <c r="E821" s="211"/>
      <c r="F821" s="212"/>
    </row>
    <row r="822" spans="1:6" ht="20.25">
      <c r="A822" s="209"/>
      <c r="B822" s="210"/>
      <c r="C822" s="210"/>
      <c r="D822" s="210"/>
      <c r="E822" s="211"/>
      <c r="F822" s="212"/>
    </row>
    <row r="823" spans="1:6" ht="20.25">
      <c r="A823" s="209"/>
      <c r="B823" s="210"/>
      <c r="C823" s="210"/>
      <c r="D823" s="210"/>
      <c r="E823" s="211"/>
      <c r="F823" s="212"/>
    </row>
    <row r="824" spans="1:6" ht="20.25">
      <c r="A824" s="209"/>
      <c r="B824" s="210"/>
      <c r="C824" s="210"/>
      <c r="D824" s="210"/>
      <c r="E824" s="211"/>
      <c r="F824" s="212"/>
    </row>
    <row r="825" spans="1:6" ht="20.25">
      <c r="A825" s="209"/>
      <c r="B825" s="210"/>
      <c r="C825" s="210"/>
      <c r="D825" s="210"/>
      <c r="E825" s="211"/>
      <c r="F825" s="212"/>
    </row>
    <row r="826" spans="1:6" ht="20.25">
      <c r="A826" s="209"/>
      <c r="B826" s="210"/>
      <c r="C826" s="210"/>
      <c r="D826" s="210"/>
      <c r="E826" s="211"/>
      <c r="F826" s="212"/>
    </row>
    <row r="827" spans="1:6" ht="20.25">
      <c r="A827" s="209"/>
      <c r="B827" s="210"/>
      <c r="C827" s="210"/>
      <c r="D827" s="210"/>
      <c r="E827" s="211"/>
      <c r="F827" s="212"/>
    </row>
    <row r="828" spans="1:6" ht="20.25">
      <c r="A828" s="209"/>
      <c r="B828" s="210"/>
      <c r="C828" s="210"/>
      <c r="D828" s="210"/>
      <c r="E828" s="211"/>
      <c r="F828" s="212"/>
    </row>
    <row r="829" spans="1:6" ht="20.25">
      <c r="A829" s="209"/>
      <c r="B829" s="210"/>
      <c r="C829" s="210"/>
      <c r="D829" s="210"/>
      <c r="E829" s="211"/>
      <c r="F829" s="212"/>
    </row>
    <row r="830" spans="1:6" ht="20.25">
      <c r="A830" s="209"/>
      <c r="B830" s="210"/>
      <c r="C830" s="210"/>
      <c r="D830" s="210"/>
      <c r="E830" s="211"/>
      <c r="F830" s="212"/>
    </row>
    <row r="831" spans="1:6" ht="20.25">
      <c r="A831" s="209"/>
      <c r="B831" s="210"/>
      <c r="C831" s="210"/>
      <c r="D831" s="210"/>
      <c r="E831" s="211"/>
      <c r="F831" s="212"/>
    </row>
    <row r="832" spans="1:6" ht="20.25">
      <c r="A832" s="209"/>
      <c r="B832" s="210"/>
      <c r="C832" s="210"/>
      <c r="D832" s="210"/>
      <c r="E832" s="211"/>
      <c r="F832" s="212"/>
    </row>
    <row r="833" spans="1:6" ht="20.25">
      <c r="A833" s="209"/>
      <c r="B833" s="210"/>
      <c r="C833" s="210"/>
      <c r="D833" s="210"/>
      <c r="E833" s="211"/>
      <c r="F833" s="212"/>
    </row>
    <row r="834" spans="1:6" ht="20.25">
      <c r="A834" s="209"/>
      <c r="B834" s="210"/>
      <c r="C834" s="210"/>
      <c r="D834" s="210"/>
      <c r="E834" s="211"/>
      <c r="F834" s="212"/>
    </row>
    <row r="835" spans="1:6" ht="20.25">
      <c r="A835" s="209"/>
      <c r="B835" s="210"/>
      <c r="C835" s="210"/>
      <c r="D835" s="210"/>
      <c r="E835" s="211"/>
      <c r="F835" s="212"/>
    </row>
    <row r="836" spans="1:6" ht="20.25">
      <c r="A836" s="209"/>
      <c r="B836" s="210"/>
      <c r="C836" s="210"/>
      <c r="D836" s="210"/>
      <c r="E836" s="211"/>
      <c r="F836" s="212"/>
    </row>
    <row r="837" spans="1:6" ht="20.25">
      <c r="A837" s="209"/>
      <c r="B837" s="210"/>
      <c r="C837" s="210"/>
      <c r="D837" s="210"/>
      <c r="E837" s="211"/>
      <c r="F837" s="212"/>
    </row>
    <row r="838" spans="1:6" ht="20.25">
      <c r="A838" s="209"/>
      <c r="B838" s="210"/>
      <c r="C838" s="210"/>
      <c r="D838" s="210"/>
      <c r="E838" s="211"/>
      <c r="F838" s="212"/>
    </row>
    <row r="839" spans="1:6" ht="20.25">
      <c r="A839" s="209"/>
      <c r="B839" s="210"/>
      <c r="C839" s="210"/>
      <c r="D839" s="210"/>
      <c r="E839" s="211"/>
      <c r="F839" s="212"/>
    </row>
    <row r="840" spans="1:6" ht="20.25">
      <c r="A840" s="209"/>
      <c r="B840" s="210"/>
      <c r="C840" s="210"/>
      <c r="D840" s="210"/>
      <c r="E840" s="211"/>
      <c r="F840" s="212"/>
    </row>
    <row r="841" spans="1:6" ht="20.25">
      <c r="A841" s="209"/>
      <c r="B841" s="210"/>
      <c r="C841" s="210"/>
      <c r="D841" s="210"/>
      <c r="E841" s="211"/>
      <c r="F841" s="212"/>
    </row>
    <row r="842" spans="1:6" ht="20.25">
      <c r="A842" s="209"/>
      <c r="B842" s="210"/>
      <c r="C842" s="210"/>
      <c r="D842" s="210"/>
      <c r="E842" s="211"/>
      <c r="F842" s="212"/>
    </row>
    <row r="843" spans="1:6" ht="20.25">
      <c r="A843" s="209"/>
      <c r="B843" s="210"/>
      <c r="C843" s="210"/>
      <c r="D843" s="210"/>
      <c r="E843" s="211"/>
      <c r="F843" s="212"/>
    </row>
    <row r="844" spans="1:6" ht="20.25">
      <c r="A844" s="209"/>
      <c r="B844" s="210"/>
      <c r="C844" s="210"/>
      <c r="D844" s="210"/>
      <c r="E844" s="211"/>
      <c r="F844" s="212"/>
    </row>
    <row r="845" spans="1:6" ht="20.25">
      <c r="A845" s="209"/>
      <c r="B845" s="210"/>
      <c r="C845" s="210"/>
      <c r="D845" s="210"/>
      <c r="E845" s="211"/>
      <c r="F845" s="212"/>
    </row>
    <row r="846" spans="1:6" ht="20.25">
      <c r="A846" s="209"/>
      <c r="B846" s="210"/>
      <c r="C846" s="210"/>
      <c r="D846" s="210"/>
      <c r="E846" s="211"/>
      <c r="F846" s="212"/>
    </row>
    <row r="847" spans="1:6" ht="20.25">
      <c r="A847" s="209"/>
      <c r="B847" s="210"/>
      <c r="C847" s="210"/>
      <c r="D847" s="210"/>
      <c r="E847" s="211"/>
      <c r="F847" s="212"/>
    </row>
    <row r="848" spans="1:6" ht="20.25">
      <c r="A848" s="209"/>
      <c r="B848" s="210"/>
      <c r="C848" s="210"/>
      <c r="D848" s="210"/>
      <c r="E848" s="211"/>
      <c r="F848" s="212"/>
    </row>
    <row r="849" spans="1:6" ht="20.25">
      <c r="A849" s="209"/>
      <c r="B849" s="210"/>
      <c r="C849" s="210"/>
      <c r="D849" s="210"/>
      <c r="E849" s="211"/>
      <c r="F849" s="212"/>
    </row>
    <row r="850" spans="1:6" ht="20.25">
      <c r="A850" s="209"/>
      <c r="B850" s="210"/>
      <c r="C850" s="210"/>
      <c r="D850" s="210"/>
      <c r="E850" s="211"/>
      <c r="F850" s="212"/>
    </row>
    <row r="851" spans="1:6" ht="20.25">
      <c r="A851" s="209"/>
      <c r="B851" s="210"/>
      <c r="C851" s="210"/>
      <c r="D851" s="210"/>
      <c r="E851" s="211"/>
      <c r="F851" s="212"/>
    </row>
    <row r="852" spans="1:6" ht="20.25">
      <c r="A852" s="209"/>
      <c r="B852" s="210"/>
      <c r="C852" s="210"/>
      <c r="D852" s="210"/>
      <c r="E852" s="211"/>
      <c r="F852" s="212"/>
    </row>
    <row r="853" spans="1:6" ht="20.25">
      <c r="A853" s="209"/>
      <c r="B853" s="210"/>
      <c r="C853" s="210"/>
      <c r="D853" s="210"/>
      <c r="E853" s="211"/>
      <c r="F853" s="212"/>
    </row>
    <row r="854" spans="1:6" ht="20.25">
      <c r="A854" s="209"/>
      <c r="B854" s="210"/>
      <c r="C854" s="210"/>
      <c r="D854" s="210"/>
      <c r="E854" s="211"/>
      <c r="F854" s="212"/>
    </row>
    <row r="855" spans="1:6" ht="20.25">
      <c r="A855" s="209"/>
      <c r="B855" s="210"/>
      <c r="C855" s="210"/>
      <c r="D855" s="210"/>
      <c r="E855" s="211"/>
      <c r="F855" s="212"/>
    </row>
    <row r="856" spans="1:6" ht="20.25">
      <c r="A856" s="209"/>
      <c r="B856" s="210"/>
      <c r="C856" s="210"/>
      <c r="D856" s="210"/>
      <c r="E856" s="211"/>
      <c r="F856" s="212"/>
    </row>
    <row r="857" spans="1:6" ht="20.25">
      <c r="A857" s="209"/>
      <c r="B857" s="210"/>
      <c r="C857" s="210"/>
      <c r="D857" s="210"/>
      <c r="E857" s="211"/>
      <c r="F857" s="212"/>
    </row>
    <row r="858" spans="1:6" ht="20.25">
      <c r="A858" s="209"/>
      <c r="B858" s="210"/>
      <c r="C858" s="210"/>
      <c r="D858" s="210"/>
      <c r="E858" s="211"/>
      <c r="F858" s="212"/>
    </row>
    <row r="859" spans="1:6" ht="20.25">
      <c r="A859" s="209"/>
      <c r="B859" s="210"/>
      <c r="C859" s="210"/>
      <c r="D859" s="210"/>
      <c r="E859" s="211"/>
      <c r="F859" s="212"/>
    </row>
    <row r="860" spans="1:6" ht="20.25">
      <c r="A860" s="209"/>
      <c r="B860" s="210"/>
      <c r="C860" s="210"/>
      <c r="D860" s="210"/>
      <c r="E860" s="211"/>
      <c r="F860" s="212"/>
    </row>
    <row r="861" spans="1:6" ht="20.25">
      <c r="A861" s="209"/>
      <c r="B861" s="210"/>
      <c r="C861" s="210"/>
      <c r="D861" s="210"/>
      <c r="E861" s="211"/>
      <c r="F861" s="212"/>
    </row>
    <row r="862" spans="1:6" ht="20.25">
      <c r="A862" s="209"/>
      <c r="B862" s="210"/>
      <c r="C862" s="210"/>
      <c r="D862" s="210"/>
      <c r="E862" s="211"/>
      <c r="F862" s="212"/>
    </row>
    <row r="863" spans="1:6" ht="20.25">
      <c r="A863" s="209"/>
      <c r="B863" s="210"/>
      <c r="C863" s="210"/>
      <c r="D863" s="210"/>
      <c r="E863" s="211"/>
      <c r="F863" s="212"/>
    </row>
    <row r="864" spans="1:6" ht="20.25">
      <c r="A864" s="209"/>
      <c r="B864" s="210"/>
      <c r="C864" s="210"/>
      <c r="D864" s="210"/>
      <c r="E864" s="211"/>
      <c r="F864" s="212"/>
    </row>
    <row r="865" spans="1:6" ht="20.25">
      <c r="A865" s="209"/>
      <c r="B865" s="210"/>
      <c r="C865" s="210"/>
      <c r="D865" s="210"/>
      <c r="E865" s="211"/>
      <c r="F865" s="212"/>
    </row>
    <row r="866" spans="1:6" ht="20.25">
      <c r="A866" s="209"/>
      <c r="B866" s="210"/>
      <c r="C866" s="210"/>
      <c r="D866" s="210"/>
      <c r="E866" s="211"/>
      <c r="F866" s="212"/>
    </row>
    <row r="867" spans="1:6" ht="20.25">
      <c r="A867" s="209"/>
      <c r="B867" s="210"/>
      <c r="C867" s="210"/>
      <c r="D867" s="210"/>
      <c r="E867" s="211"/>
      <c r="F867" s="212"/>
    </row>
    <row r="868" spans="1:6" ht="20.25">
      <c r="A868" s="209"/>
      <c r="B868" s="210"/>
      <c r="C868" s="210"/>
      <c r="D868" s="210"/>
      <c r="E868" s="211"/>
      <c r="F868" s="212"/>
    </row>
    <row r="869" spans="1:6" ht="20.25">
      <c r="A869" s="209"/>
      <c r="B869" s="210"/>
      <c r="C869" s="210"/>
      <c r="D869" s="210"/>
      <c r="E869" s="211"/>
      <c r="F869" s="212"/>
    </row>
    <row r="870" spans="1:6" ht="20.25">
      <c r="A870" s="209"/>
      <c r="B870" s="210"/>
      <c r="C870" s="210"/>
      <c r="D870" s="210"/>
      <c r="E870" s="211"/>
      <c r="F870" s="212"/>
    </row>
    <row r="871" spans="1:6" ht="20.25">
      <c r="A871" s="209"/>
      <c r="B871" s="210"/>
      <c r="C871" s="210"/>
      <c r="D871" s="210"/>
      <c r="E871" s="211"/>
      <c r="F871" s="212"/>
    </row>
    <row r="872" spans="1:6" ht="20.25">
      <c r="A872" s="209"/>
      <c r="B872" s="210"/>
      <c r="C872" s="210"/>
      <c r="D872" s="210"/>
      <c r="E872" s="211"/>
      <c r="F872" s="212"/>
    </row>
    <row r="873" spans="1:6" ht="20.25">
      <c r="A873" s="209"/>
      <c r="B873" s="210"/>
      <c r="C873" s="210"/>
      <c r="D873" s="210"/>
      <c r="E873" s="211"/>
      <c r="F873" s="212"/>
    </row>
    <row r="874" spans="1:6" ht="20.25">
      <c r="A874" s="209"/>
      <c r="B874" s="210"/>
      <c r="C874" s="210"/>
      <c r="D874" s="210"/>
      <c r="E874" s="211"/>
      <c r="F874" s="212"/>
    </row>
    <row r="875" spans="1:6" ht="20.25">
      <c r="A875" s="209"/>
      <c r="B875" s="210"/>
      <c r="C875" s="210"/>
      <c r="D875" s="210"/>
      <c r="E875" s="211"/>
      <c r="F875" s="212"/>
    </row>
    <row r="876" spans="1:6" ht="20.25">
      <c r="A876" s="209"/>
      <c r="B876" s="210"/>
      <c r="C876" s="210"/>
      <c r="D876" s="210"/>
      <c r="E876" s="211"/>
      <c r="F876" s="212"/>
    </row>
    <row r="877" spans="1:6" ht="20.25">
      <c r="A877" s="209"/>
      <c r="B877" s="210"/>
      <c r="C877" s="210"/>
      <c r="D877" s="210"/>
      <c r="E877" s="211"/>
      <c r="F877" s="212"/>
    </row>
    <row r="878" spans="1:6" ht="20.25">
      <c r="A878" s="209"/>
      <c r="B878" s="210"/>
      <c r="C878" s="210"/>
      <c r="D878" s="210"/>
      <c r="E878" s="211"/>
      <c r="F878" s="212"/>
    </row>
    <row r="879" spans="1:6" ht="20.25">
      <c r="A879" s="209"/>
      <c r="B879" s="210"/>
      <c r="C879" s="210"/>
      <c r="D879" s="210"/>
      <c r="E879" s="211"/>
      <c r="F879" s="212"/>
    </row>
    <row r="880" spans="1:6" ht="20.25">
      <c r="A880" s="209"/>
      <c r="B880" s="210"/>
      <c r="C880" s="210"/>
      <c r="D880" s="210"/>
      <c r="E880" s="211"/>
      <c r="F880" s="212"/>
    </row>
    <row r="881" spans="1:6" ht="20.25">
      <c r="A881" s="209"/>
      <c r="B881" s="210"/>
      <c r="C881" s="210"/>
      <c r="D881" s="210"/>
      <c r="E881" s="211"/>
      <c r="F881" s="212"/>
    </row>
    <row r="882" spans="1:6" ht="20.25">
      <c r="A882" s="209"/>
      <c r="B882" s="210"/>
      <c r="C882" s="210"/>
      <c r="D882" s="210"/>
      <c r="E882" s="211"/>
      <c r="F882" s="212"/>
    </row>
    <row r="883" spans="1:6" ht="20.25">
      <c r="A883" s="209"/>
      <c r="B883" s="210"/>
      <c r="C883" s="210"/>
      <c r="D883" s="210"/>
      <c r="E883" s="211"/>
      <c r="F883" s="212"/>
    </row>
    <row r="884" spans="1:6" ht="20.25">
      <c r="A884" s="209"/>
      <c r="B884" s="210"/>
      <c r="C884" s="210"/>
      <c r="D884" s="210"/>
      <c r="E884" s="211"/>
      <c r="F884" s="212"/>
    </row>
    <row r="885" spans="1:6" ht="20.25">
      <c r="A885" s="209"/>
      <c r="B885" s="210"/>
      <c r="C885" s="210"/>
      <c r="D885" s="210"/>
      <c r="E885" s="211"/>
      <c r="F885" s="212"/>
    </row>
    <row r="886" spans="1:6" ht="20.25">
      <c r="A886" s="209"/>
      <c r="B886" s="210"/>
      <c r="C886" s="210"/>
      <c r="D886" s="210"/>
      <c r="E886" s="211"/>
      <c r="F886" s="212"/>
    </row>
    <row r="887" spans="1:6" ht="20.25">
      <c r="A887" s="209"/>
      <c r="B887" s="210"/>
      <c r="C887" s="210"/>
      <c r="D887" s="210"/>
      <c r="E887" s="211"/>
      <c r="F887" s="212"/>
    </row>
    <row r="888" spans="1:6" ht="20.25">
      <c r="A888" s="209"/>
      <c r="B888" s="210"/>
      <c r="C888" s="210"/>
      <c r="D888" s="210"/>
      <c r="E888" s="211"/>
      <c r="F888" s="212"/>
    </row>
    <row r="889" spans="1:6" ht="20.25">
      <c r="A889" s="209"/>
      <c r="B889" s="210"/>
      <c r="C889" s="210"/>
      <c r="D889" s="210"/>
      <c r="E889" s="211"/>
      <c r="F889" s="212"/>
    </row>
    <row r="890" spans="1:6" ht="20.25">
      <c r="A890" s="209"/>
      <c r="B890" s="210"/>
      <c r="C890" s="210"/>
      <c r="D890" s="210"/>
      <c r="E890" s="211"/>
      <c r="F890" s="212"/>
    </row>
    <row r="891" spans="1:6" ht="20.25">
      <c r="A891" s="209"/>
      <c r="B891" s="210"/>
      <c r="C891" s="210"/>
      <c r="D891" s="210"/>
      <c r="E891" s="211"/>
      <c r="F891" s="212"/>
    </row>
    <row r="892" spans="1:6" ht="20.25">
      <c r="A892" s="209"/>
      <c r="B892" s="210"/>
      <c r="C892" s="210"/>
      <c r="D892" s="210"/>
      <c r="E892" s="211"/>
      <c r="F892" s="212"/>
    </row>
    <row r="893" spans="1:6" ht="20.25">
      <c r="A893" s="209"/>
      <c r="B893" s="210"/>
      <c r="C893" s="210"/>
      <c r="D893" s="210"/>
      <c r="E893" s="211"/>
      <c r="F893" s="212"/>
    </row>
    <row r="894" spans="1:6" ht="20.25">
      <c r="A894" s="209"/>
      <c r="B894" s="210"/>
      <c r="C894" s="210"/>
      <c r="D894" s="210"/>
      <c r="E894" s="211"/>
      <c r="F894" s="212"/>
    </row>
    <row r="895" spans="1:6" ht="20.25">
      <c r="A895" s="209"/>
      <c r="B895" s="210"/>
      <c r="C895" s="210"/>
      <c r="D895" s="210"/>
      <c r="E895" s="211"/>
      <c r="F895" s="212"/>
    </row>
    <row r="896" spans="1:6" ht="20.25">
      <c r="A896" s="209"/>
      <c r="B896" s="210"/>
      <c r="C896" s="210"/>
      <c r="D896" s="210"/>
      <c r="E896" s="211"/>
      <c r="F896" s="212"/>
    </row>
    <row r="897" spans="1:6" ht="20.25">
      <c r="A897" s="209"/>
      <c r="B897" s="210"/>
      <c r="C897" s="210"/>
      <c r="D897" s="210"/>
      <c r="E897" s="211"/>
      <c r="F897" s="212"/>
    </row>
    <row r="898" spans="1:6" ht="20.25">
      <c r="A898" s="209"/>
      <c r="B898" s="210"/>
      <c r="C898" s="210"/>
      <c r="D898" s="210"/>
      <c r="E898" s="211"/>
      <c r="F898" s="212"/>
    </row>
    <row r="899" spans="1:6" ht="20.25">
      <c r="A899" s="209"/>
      <c r="B899" s="210"/>
      <c r="C899" s="210"/>
      <c r="D899" s="210"/>
      <c r="E899" s="211"/>
      <c r="F899" s="212"/>
    </row>
    <row r="900" spans="1:6" ht="20.25">
      <c r="A900" s="209"/>
      <c r="B900" s="210"/>
      <c r="C900" s="210"/>
      <c r="D900" s="210"/>
      <c r="E900" s="211"/>
      <c r="F900" s="212"/>
    </row>
    <row r="901" spans="1:6" ht="20.25">
      <c r="A901" s="209"/>
      <c r="B901" s="210"/>
      <c r="C901" s="210"/>
      <c r="D901" s="210"/>
      <c r="E901" s="211"/>
      <c r="F901" s="212"/>
    </row>
    <row r="902" spans="1:6" ht="20.25">
      <c r="A902" s="209"/>
      <c r="B902" s="210"/>
      <c r="C902" s="210"/>
      <c r="D902" s="210"/>
      <c r="E902" s="211"/>
      <c r="F902" s="212"/>
    </row>
    <row r="903" spans="1:6" ht="20.25">
      <c r="A903" s="209"/>
      <c r="B903" s="210"/>
      <c r="C903" s="210"/>
      <c r="D903" s="210"/>
      <c r="E903" s="211"/>
      <c r="F903" s="212"/>
    </row>
    <row r="904" spans="1:6" ht="20.25">
      <c r="A904" s="209"/>
      <c r="B904" s="210"/>
      <c r="C904" s="210"/>
      <c r="D904" s="210"/>
      <c r="E904" s="211"/>
      <c r="F904" s="212"/>
    </row>
    <row r="905" spans="1:6" ht="20.25">
      <c r="A905" s="209"/>
      <c r="B905" s="210"/>
      <c r="C905" s="210"/>
      <c r="D905" s="210"/>
      <c r="E905" s="211"/>
      <c r="F905" s="212"/>
    </row>
    <row r="906" spans="1:6" ht="20.25">
      <c r="A906" s="209"/>
      <c r="B906" s="210"/>
      <c r="C906" s="210"/>
      <c r="D906" s="210"/>
      <c r="E906" s="211"/>
      <c r="F906" s="212"/>
    </row>
    <row r="907" spans="1:6" ht="20.25">
      <c r="A907" s="209"/>
      <c r="B907" s="210"/>
      <c r="C907" s="210"/>
      <c r="D907" s="210"/>
      <c r="E907" s="211"/>
      <c r="F907" s="212"/>
    </row>
    <row r="908" spans="1:6" ht="20.25">
      <c r="A908" s="209"/>
      <c r="B908" s="210"/>
      <c r="C908" s="210"/>
      <c r="D908" s="210"/>
      <c r="E908" s="211"/>
      <c r="F908" s="212"/>
    </row>
    <row r="909" spans="1:6" ht="20.25">
      <c r="A909" s="209"/>
      <c r="B909" s="210"/>
      <c r="C909" s="210"/>
      <c r="D909" s="210"/>
      <c r="E909" s="211"/>
      <c r="F909" s="212"/>
    </row>
    <row r="910" spans="1:6" ht="20.25">
      <c r="A910" s="209"/>
      <c r="B910" s="210"/>
      <c r="C910" s="210"/>
      <c r="D910" s="210"/>
      <c r="E910" s="211"/>
      <c r="F910" s="212"/>
    </row>
    <row r="911" spans="1:6" ht="20.25">
      <c r="A911" s="209"/>
      <c r="B911" s="210"/>
      <c r="C911" s="210"/>
      <c r="D911" s="210"/>
      <c r="E911" s="211"/>
      <c r="F911" s="212"/>
    </row>
    <row r="912" spans="1:6" ht="20.25">
      <c r="A912" s="209"/>
      <c r="B912" s="210"/>
      <c r="C912" s="210"/>
      <c r="D912" s="210"/>
      <c r="E912" s="211"/>
      <c r="F912" s="212"/>
    </row>
    <row r="913" spans="1:6" ht="20.25">
      <c r="A913" s="209"/>
      <c r="B913" s="210"/>
      <c r="C913" s="210"/>
      <c r="D913" s="210"/>
      <c r="E913" s="211"/>
      <c r="F913" s="212"/>
    </row>
    <row r="914" spans="1:6" ht="20.25">
      <c r="A914" s="209"/>
      <c r="B914" s="210"/>
      <c r="C914" s="210"/>
      <c r="D914" s="210"/>
      <c r="E914" s="211"/>
      <c r="F914" s="212"/>
    </row>
    <row r="915" spans="1:6" ht="20.25">
      <c r="A915" s="209"/>
      <c r="B915" s="210"/>
      <c r="C915" s="210"/>
      <c r="D915" s="210"/>
      <c r="E915" s="211"/>
      <c r="F915" s="212"/>
    </row>
    <row r="916" spans="1:6" ht="20.25">
      <c r="A916" s="209"/>
      <c r="B916" s="210"/>
      <c r="C916" s="210"/>
      <c r="D916" s="210"/>
      <c r="E916" s="211"/>
      <c r="F916" s="212"/>
    </row>
    <row r="917" spans="1:6" ht="20.25">
      <c r="A917" s="209"/>
      <c r="B917" s="210"/>
      <c r="C917" s="210"/>
      <c r="D917" s="210"/>
      <c r="E917" s="211"/>
      <c r="F917" s="212"/>
    </row>
    <row r="918" spans="1:6" ht="20.25">
      <c r="A918" s="209"/>
      <c r="B918" s="210"/>
      <c r="C918" s="210"/>
      <c r="D918" s="210"/>
      <c r="E918" s="211"/>
      <c r="F918" s="212"/>
    </row>
    <row r="919" spans="1:6" ht="20.25">
      <c r="A919" s="209"/>
      <c r="B919" s="210"/>
      <c r="C919" s="210"/>
      <c r="D919" s="210"/>
      <c r="E919" s="211"/>
      <c r="F919" s="212"/>
    </row>
    <row r="920" spans="1:6" ht="20.25">
      <c r="A920" s="209"/>
      <c r="B920" s="210"/>
      <c r="C920" s="210"/>
      <c r="D920" s="210"/>
      <c r="E920" s="211"/>
      <c r="F920" s="212"/>
    </row>
    <row r="921" spans="1:6" ht="20.25">
      <c r="A921" s="209"/>
      <c r="B921" s="210"/>
      <c r="C921" s="210"/>
      <c r="D921" s="210"/>
      <c r="E921" s="211"/>
      <c r="F921" s="212"/>
    </row>
    <row r="922" spans="1:6" ht="20.25">
      <c r="A922" s="209"/>
      <c r="B922" s="210"/>
      <c r="C922" s="210"/>
      <c r="D922" s="210"/>
      <c r="E922" s="211"/>
      <c r="F922" s="212"/>
    </row>
    <row r="923" spans="1:6" ht="20.25">
      <c r="A923" s="209"/>
      <c r="B923" s="210"/>
      <c r="C923" s="210"/>
      <c r="D923" s="210"/>
      <c r="E923" s="211"/>
      <c r="F923" s="212"/>
    </row>
    <row r="924" spans="1:6" ht="20.25">
      <c r="A924" s="209"/>
      <c r="B924" s="210"/>
      <c r="C924" s="210"/>
      <c r="D924" s="210"/>
      <c r="E924" s="211"/>
      <c r="F924" s="212"/>
    </row>
    <row r="925" spans="1:6" ht="20.25">
      <c r="A925" s="209"/>
      <c r="B925" s="210"/>
      <c r="C925" s="210"/>
      <c r="D925" s="210"/>
      <c r="E925" s="211"/>
      <c r="F925" s="212"/>
    </row>
    <row r="926" spans="1:6" ht="20.25">
      <c r="A926" s="209"/>
      <c r="B926" s="210"/>
      <c r="C926" s="210"/>
      <c r="D926" s="210"/>
      <c r="E926" s="211"/>
      <c r="F926" s="212"/>
    </row>
    <row r="927" spans="1:6" ht="20.25">
      <c r="A927" s="209"/>
      <c r="B927" s="210"/>
      <c r="C927" s="210"/>
      <c r="D927" s="210"/>
      <c r="E927" s="211"/>
      <c r="F927" s="212"/>
    </row>
    <row r="928" spans="1:6" ht="20.25">
      <c r="A928" s="209"/>
      <c r="B928" s="210"/>
      <c r="C928" s="210"/>
      <c r="D928" s="210"/>
      <c r="E928" s="211"/>
      <c r="F928" s="212"/>
    </row>
    <row r="929" spans="1:6" ht="20.25">
      <c r="A929" s="209"/>
      <c r="B929" s="210"/>
      <c r="C929" s="210"/>
      <c r="D929" s="210"/>
      <c r="E929" s="211"/>
      <c r="F929" s="212"/>
    </row>
    <row r="930" spans="1:6" ht="20.25">
      <c r="A930" s="209"/>
      <c r="B930" s="210"/>
      <c r="C930" s="210"/>
      <c r="D930" s="210"/>
      <c r="E930" s="211"/>
      <c r="F930" s="212"/>
    </row>
    <row r="931" spans="1:6" ht="20.25">
      <c r="A931" s="209"/>
      <c r="B931" s="210"/>
      <c r="C931" s="210"/>
      <c r="D931" s="210"/>
      <c r="E931" s="211"/>
      <c r="F931" s="212"/>
    </row>
    <row r="932" spans="1:6" ht="20.25">
      <c r="A932" s="209"/>
      <c r="B932" s="210"/>
      <c r="C932" s="210"/>
      <c r="D932" s="210"/>
      <c r="E932" s="211"/>
      <c r="F932" s="212"/>
    </row>
    <row r="933" spans="1:6" ht="20.25">
      <c r="A933" s="209"/>
      <c r="B933" s="210"/>
      <c r="C933" s="210"/>
      <c r="D933" s="210"/>
      <c r="E933" s="211"/>
      <c r="F933" s="212"/>
    </row>
    <row r="934" spans="1:6" ht="20.25">
      <c r="A934" s="209"/>
      <c r="B934" s="210"/>
      <c r="C934" s="210"/>
      <c r="D934" s="210"/>
      <c r="E934" s="211"/>
      <c r="F934" s="212"/>
    </row>
    <row r="935" spans="1:6" ht="20.25">
      <c r="A935" s="209"/>
      <c r="B935" s="210"/>
      <c r="C935" s="210"/>
      <c r="D935" s="210"/>
      <c r="E935" s="211"/>
      <c r="F935" s="212"/>
    </row>
    <row r="936" spans="1:6" ht="20.25">
      <c r="A936" s="209"/>
      <c r="B936" s="210"/>
      <c r="C936" s="210"/>
      <c r="D936" s="210"/>
      <c r="E936" s="211"/>
      <c r="F936" s="212"/>
    </row>
    <row r="937" spans="1:6" ht="20.25">
      <c r="A937" s="209"/>
      <c r="B937" s="210"/>
      <c r="C937" s="210"/>
      <c r="D937" s="210"/>
      <c r="E937" s="211"/>
      <c r="F937" s="212"/>
    </row>
    <row r="938" spans="1:6" ht="20.25">
      <c r="A938" s="209"/>
      <c r="B938" s="210"/>
      <c r="C938" s="210"/>
      <c r="D938" s="210"/>
      <c r="E938" s="211"/>
      <c r="F938" s="212"/>
    </row>
    <row r="939" spans="1:6" ht="20.25">
      <c r="A939" s="209"/>
      <c r="B939" s="210"/>
      <c r="C939" s="210"/>
      <c r="D939" s="210"/>
      <c r="E939" s="211"/>
      <c r="F939" s="212"/>
    </row>
    <row r="940" spans="1:6" ht="20.25">
      <c r="A940" s="209"/>
      <c r="B940" s="210"/>
      <c r="C940" s="210"/>
      <c r="D940" s="210"/>
      <c r="E940" s="211"/>
      <c r="F940" s="212"/>
    </row>
    <row r="941" spans="1:6" ht="20.25">
      <c r="A941" s="209"/>
      <c r="B941" s="210"/>
      <c r="C941" s="210"/>
      <c r="D941" s="210"/>
      <c r="E941" s="211"/>
      <c r="F941" s="212"/>
    </row>
    <row r="942" spans="1:6" ht="20.25">
      <c r="A942" s="209"/>
      <c r="B942" s="210"/>
      <c r="C942" s="210"/>
      <c r="D942" s="210"/>
      <c r="E942" s="211"/>
      <c r="F942" s="212"/>
    </row>
    <row r="943" spans="1:6" ht="20.25">
      <c r="A943" s="209"/>
      <c r="B943" s="210"/>
      <c r="C943" s="210"/>
      <c r="D943" s="210"/>
      <c r="E943" s="211"/>
      <c r="F943" s="212"/>
    </row>
    <row r="944" spans="1:6" ht="20.25">
      <c r="A944" s="209"/>
      <c r="B944" s="210"/>
      <c r="C944" s="210"/>
      <c r="D944" s="210"/>
      <c r="E944" s="211"/>
      <c r="F944" s="212"/>
    </row>
    <row r="945" spans="1:6" ht="20.25">
      <c r="A945" s="209"/>
      <c r="B945" s="210"/>
      <c r="C945" s="210"/>
      <c r="D945" s="210"/>
      <c r="E945" s="211"/>
      <c r="F945" s="212"/>
    </row>
    <row r="946" spans="1:6" ht="20.25">
      <c r="A946" s="209"/>
      <c r="B946" s="210"/>
      <c r="C946" s="210"/>
      <c r="D946" s="210"/>
      <c r="E946" s="211"/>
      <c r="F946" s="212"/>
    </row>
    <row r="947" spans="1:6" ht="20.25">
      <c r="A947" s="209"/>
      <c r="B947" s="210"/>
      <c r="C947" s="210"/>
      <c r="D947" s="210"/>
      <c r="E947" s="211"/>
      <c r="F947" s="212"/>
    </row>
    <row r="948" spans="1:6" ht="20.25">
      <c r="A948" s="209"/>
      <c r="B948" s="210"/>
      <c r="C948" s="210"/>
      <c r="D948" s="210"/>
      <c r="E948" s="211"/>
      <c r="F948" s="212"/>
    </row>
    <row r="949" spans="1:6" ht="20.25">
      <c r="A949" s="209"/>
      <c r="B949" s="210"/>
      <c r="C949" s="210"/>
      <c r="D949" s="210"/>
      <c r="E949" s="211"/>
      <c r="F949" s="212"/>
    </row>
    <row r="950" spans="1:6" ht="20.25">
      <c r="A950" s="209"/>
      <c r="B950" s="210"/>
      <c r="C950" s="210"/>
      <c r="D950" s="210"/>
      <c r="E950" s="211"/>
      <c r="F950" s="212"/>
    </row>
    <row r="951" spans="1:6" ht="20.25">
      <c r="A951" s="209"/>
      <c r="B951" s="210"/>
      <c r="C951" s="210"/>
      <c r="D951" s="210"/>
      <c r="E951" s="211"/>
      <c r="F951" s="212"/>
    </row>
    <row r="952" spans="1:6" ht="20.25">
      <c r="A952" s="209"/>
      <c r="B952" s="210"/>
      <c r="C952" s="210"/>
      <c r="D952" s="210"/>
      <c r="E952" s="211"/>
      <c r="F952" s="212"/>
    </row>
    <row r="953" spans="1:6" ht="20.25">
      <c r="A953" s="209"/>
      <c r="B953" s="210"/>
      <c r="C953" s="210"/>
      <c r="D953" s="210"/>
      <c r="E953" s="211"/>
      <c r="F953" s="212"/>
    </row>
    <row r="954" spans="1:6" ht="20.25">
      <c r="A954" s="209"/>
      <c r="B954" s="210"/>
      <c r="C954" s="210"/>
      <c r="D954" s="210"/>
      <c r="E954" s="211"/>
      <c r="F954" s="212"/>
    </row>
    <row r="955" spans="1:6" ht="20.25">
      <c r="A955" s="209"/>
      <c r="B955" s="210"/>
      <c r="C955" s="210"/>
      <c r="D955" s="210"/>
      <c r="E955" s="211"/>
      <c r="F955" s="212"/>
    </row>
    <row r="956" spans="1:6" ht="20.25">
      <c r="A956" s="209"/>
      <c r="B956" s="210"/>
      <c r="C956" s="210"/>
      <c r="D956" s="210"/>
      <c r="E956" s="211"/>
      <c r="F956" s="212"/>
    </row>
    <row r="957" spans="1:6" ht="20.25">
      <c r="A957" s="209"/>
      <c r="B957" s="210"/>
      <c r="C957" s="210"/>
      <c r="D957" s="210"/>
      <c r="E957" s="211"/>
      <c r="F957" s="212"/>
    </row>
    <row r="958" spans="1:6" ht="20.25">
      <c r="A958" s="209"/>
      <c r="B958" s="210"/>
      <c r="C958" s="210"/>
      <c r="D958" s="210"/>
      <c r="E958" s="211"/>
      <c r="F958" s="212"/>
    </row>
    <row r="959" spans="1:6" ht="20.25">
      <c r="A959" s="209"/>
      <c r="B959" s="210"/>
      <c r="C959" s="210"/>
      <c r="D959" s="210"/>
      <c r="E959" s="211"/>
      <c r="F959" s="212"/>
    </row>
    <row r="960" spans="1:6" ht="20.25">
      <c r="A960" s="209"/>
      <c r="B960" s="210"/>
      <c r="C960" s="210"/>
      <c r="D960" s="210"/>
      <c r="E960" s="211"/>
      <c r="F960" s="212"/>
    </row>
    <row r="961" spans="1:6" ht="20.25">
      <c r="A961" s="209"/>
      <c r="B961" s="210"/>
      <c r="C961" s="210"/>
      <c r="D961" s="210"/>
      <c r="E961" s="211"/>
      <c r="F961" s="212"/>
    </row>
    <row r="962" spans="1:6" ht="20.25">
      <c r="A962" s="209"/>
      <c r="B962" s="210"/>
      <c r="C962" s="210"/>
      <c r="D962" s="210"/>
      <c r="E962" s="211"/>
      <c r="F962" s="212"/>
    </row>
    <row r="963" spans="1:6" ht="20.25">
      <c r="A963" s="209"/>
      <c r="B963" s="210"/>
      <c r="C963" s="210"/>
      <c r="D963" s="210"/>
      <c r="E963" s="211"/>
      <c r="F963" s="212"/>
    </row>
    <row r="964" spans="1:6" ht="20.25">
      <c r="A964" s="209"/>
      <c r="B964" s="210"/>
      <c r="C964" s="210"/>
      <c r="D964" s="210"/>
      <c r="E964" s="211"/>
      <c r="F964" s="212"/>
    </row>
    <row r="965" spans="1:6" ht="20.25">
      <c r="A965" s="209"/>
      <c r="B965" s="210"/>
      <c r="C965" s="210"/>
      <c r="D965" s="210"/>
      <c r="E965" s="211"/>
      <c r="F965" s="212"/>
    </row>
    <row r="966" spans="1:6" ht="20.25">
      <c r="A966" s="209"/>
      <c r="B966" s="210"/>
      <c r="C966" s="210"/>
      <c r="D966" s="210"/>
      <c r="E966" s="211"/>
      <c r="F966" s="212"/>
    </row>
    <row r="967" spans="1:6" ht="20.25">
      <c r="A967" s="209"/>
      <c r="B967" s="210"/>
      <c r="C967" s="210"/>
      <c r="D967" s="210"/>
      <c r="E967" s="211"/>
      <c r="F967" s="212"/>
    </row>
    <row r="968" spans="1:6" ht="20.25">
      <c r="A968" s="209"/>
      <c r="B968" s="210"/>
      <c r="C968" s="210"/>
      <c r="D968" s="210"/>
      <c r="E968" s="211"/>
      <c r="F968" s="212"/>
    </row>
    <row r="969" spans="1:6" ht="20.25">
      <c r="A969" s="209"/>
      <c r="B969" s="210"/>
      <c r="C969" s="210"/>
      <c r="D969" s="210"/>
      <c r="E969" s="211"/>
      <c r="F969" s="212"/>
    </row>
    <row r="970" spans="1:6" ht="20.25">
      <c r="A970" s="209"/>
      <c r="B970" s="210"/>
      <c r="C970" s="210"/>
      <c r="D970" s="210"/>
      <c r="E970" s="211"/>
      <c r="F970" s="212"/>
    </row>
    <row r="971" spans="1:6" ht="20.25">
      <c r="A971" s="209"/>
      <c r="B971" s="210"/>
      <c r="C971" s="210"/>
      <c r="D971" s="210"/>
      <c r="E971" s="211"/>
      <c r="F971" s="212"/>
    </row>
    <row r="972" spans="1:6" ht="20.25">
      <c r="A972" s="209"/>
      <c r="B972" s="210"/>
      <c r="C972" s="210"/>
      <c r="D972" s="210"/>
      <c r="E972" s="211"/>
      <c r="F972" s="212"/>
    </row>
    <row r="973" spans="1:6" ht="20.25">
      <c r="A973" s="209"/>
      <c r="B973" s="210"/>
      <c r="C973" s="210"/>
      <c r="D973" s="210"/>
      <c r="E973" s="211"/>
      <c r="F973" s="212"/>
    </row>
    <row r="974" spans="1:6" ht="20.25">
      <c r="A974" s="209"/>
      <c r="B974" s="210"/>
      <c r="C974" s="210"/>
      <c r="D974" s="210"/>
      <c r="E974" s="211"/>
      <c r="F974" s="212"/>
    </row>
    <row r="975" spans="1:6" ht="20.25">
      <c r="A975" s="209"/>
      <c r="B975" s="210"/>
      <c r="C975" s="210"/>
      <c r="D975" s="210"/>
      <c r="E975" s="211"/>
      <c r="F975" s="212"/>
    </row>
    <row r="976" spans="1:6" ht="20.25">
      <c r="A976" s="209"/>
      <c r="B976" s="210"/>
      <c r="C976" s="210"/>
      <c r="D976" s="210"/>
      <c r="E976" s="211"/>
      <c r="F976" s="212"/>
    </row>
    <row r="977" spans="1:6" ht="20.25">
      <c r="A977" s="209"/>
      <c r="B977" s="210"/>
      <c r="C977" s="210"/>
      <c r="D977" s="210"/>
      <c r="E977" s="211"/>
      <c r="F977" s="212"/>
    </row>
    <row r="978" spans="1:6" ht="20.25">
      <c r="A978" s="209"/>
      <c r="B978" s="210"/>
      <c r="C978" s="210"/>
      <c r="D978" s="210"/>
      <c r="E978" s="211"/>
      <c r="F978" s="212"/>
    </row>
    <row r="979" spans="1:6" ht="20.25">
      <c r="A979" s="209"/>
      <c r="B979" s="210"/>
      <c r="C979" s="210"/>
      <c r="D979" s="210"/>
      <c r="E979" s="211"/>
      <c r="F979" s="212"/>
    </row>
    <row r="980" spans="1:6" ht="20.25">
      <c r="A980" s="209"/>
      <c r="B980" s="210"/>
      <c r="C980" s="210"/>
      <c r="D980" s="210"/>
      <c r="E980" s="211"/>
      <c r="F980" s="212"/>
    </row>
    <row r="981" spans="1:6" ht="20.25">
      <c r="A981" s="209"/>
      <c r="B981" s="210"/>
      <c r="C981" s="210"/>
      <c r="D981" s="210"/>
      <c r="E981" s="211"/>
      <c r="F981" s="212"/>
    </row>
    <row r="982" spans="1:6" ht="20.25">
      <c r="A982" s="209"/>
      <c r="B982" s="210"/>
      <c r="C982" s="210"/>
      <c r="D982" s="210"/>
      <c r="E982" s="211"/>
      <c r="F982" s="212"/>
    </row>
    <row r="983" spans="1:6" ht="20.25">
      <c r="A983" s="209"/>
      <c r="B983" s="210"/>
      <c r="C983" s="210"/>
      <c r="D983" s="210"/>
      <c r="E983" s="211"/>
      <c r="F983" s="212"/>
    </row>
    <row r="984" spans="1:6" ht="20.25">
      <c r="A984" s="209"/>
      <c r="B984" s="210"/>
      <c r="C984" s="210"/>
      <c r="D984" s="210"/>
      <c r="E984" s="211"/>
      <c r="F984" s="212"/>
    </row>
    <row r="985" spans="1:6" ht="20.25">
      <c r="A985" s="209"/>
      <c r="B985" s="210"/>
      <c r="C985" s="210"/>
      <c r="D985" s="210"/>
      <c r="E985" s="211"/>
      <c r="F985" s="212"/>
    </row>
    <row r="986" spans="1:6" ht="20.25">
      <c r="A986" s="209"/>
      <c r="B986" s="210"/>
      <c r="C986" s="210"/>
      <c r="D986" s="210"/>
      <c r="E986" s="211"/>
      <c r="F986" s="212"/>
    </row>
    <row r="987" spans="1:6" ht="20.25">
      <c r="A987" s="209"/>
      <c r="B987" s="210"/>
      <c r="C987" s="210"/>
      <c r="D987" s="210"/>
      <c r="E987" s="211"/>
      <c r="F987" s="212"/>
    </row>
    <row r="988" spans="1:6" ht="20.25">
      <c r="A988" s="209"/>
      <c r="B988" s="210"/>
      <c r="C988" s="210"/>
      <c r="D988" s="210"/>
      <c r="E988" s="211"/>
      <c r="F988" s="212"/>
    </row>
    <row r="989" spans="1:6" ht="20.25">
      <c r="A989" s="209"/>
      <c r="B989" s="210"/>
      <c r="C989" s="210"/>
      <c r="D989" s="210"/>
      <c r="E989" s="211"/>
      <c r="F989" s="212"/>
    </row>
    <row r="990" spans="1:6" ht="20.25">
      <c r="A990" s="209"/>
      <c r="B990" s="210"/>
      <c r="C990" s="210"/>
      <c r="D990" s="210"/>
      <c r="E990" s="211"/>
      <c r="F990" s="212"/>
    </row>
    <row r="991" spans="1:6" ht="20.25">
      <c r="A991" s="209"/>
      <c r="B991" s="210"/>
      <c r="C991" s="210"/>
      <c r="D991" s="210"/>
      <c r="E991" s="211"/>
      <c r="F991" s="212"/>
    </row>
    <row r="992" spans="1:6" ht="20.25">
      <c r="A992" s="209"/>
      <c r="B992" s="210"/>
      <c r="C992" s="210"/>
      <c r="D992" s="210"/>
      <c r="E992" s="211"/>
      <c r="F992" s="212"/>
    </row>
    <row r="993" spans="1:6" ht="20.25">
      <c r="A993" s="209"/>
      <c r="B993" s="210"/>
      <c r="C993" s="210"/>
      <c r="D993" s="210"/>
      <c r="E993" s="211"/>
      <c r="F993" s="212"/>
    </row>
    <row r="994" spans="1:6" ht="20.25">
      <c r="A994" s="209"/>
      <c r="B994" s="210"/>
      <c r="C994" s="210"/>
      <c r="D994" s="210"/>
      <c r="E994" s="211"/>
      <c r="F994" s="212"/>
    </row>
    <row r="995" spans="1:6" ht="20.25">
      <c r="A995" s="209"/>
      <c r="B995" s="210"/>
      <c r="C995" s="210"/>
      <c r="D995" s="210"/>
      <c r="E995" s="211"/>
      <c r="F995" s="212"/>
    </row>
    <row r="996" spans="1:6" ht="20.25">
      <c r="A996" s="209"/>
      <c r="B996" s="210"/>
      <c r="C996" s="210"/>
      <c r="D996" s="210"/>
      <c r="E996" s="211"/>
      <c r="F996" s="212"/>
    </row>
    <row r="997" spans="1:6" ht="20.25">
      <c r="A997" s="209"/>
      <c r="B997" s="210"/>
      <c r="C997" s="210"/>
      <c r="D997" s="210"/>
      <c r="E997" s="211"/>
      <c r="F997" s="212"/>
    </row>
    <row r="998" spans="1:6" ht="20.25">
      <c r="A998" s="209"/>
      <c r="B998" s="210"/>
      <c r="C998" s="210"/>
      <c r="D998" s="210"/>
      <c r="E998" s="211"/>
      <c r="F998" s="212"/>
    </row>
    <row r="999" spans="1:6" ht="20.25">
      <c r="A999" s="209"/>
      <c r="B999" s="210"/>
      <c r="C999" s="210"/>
      <c r="D999" s="210"/>
      <c r="E999" s="211"/>
      <c r="F999" s="212"/>
    </row>
    <row r="1000" spans="1:6" ht="20.25">
      <c r="A1000" s="209"/>
      <c r="B1000" s="210"/>
      <c r="C1000" s="210"/>
      <c r="D1000" s="210"/>
      <c r="E1000" s="211"/>
      <c r="F1000" s="212"/>
    </row>
    <row r="1001" spans="1:6" ht="20.25">
      <c r="A1001" s="209"/>
      <c r="B1001" s="210"/>
      <c r="C1001" s="210"/>
      <c r="D1001" s="210"/>
      <c r="E1001" s="211"/>
      <c r="F1001" s="212"/>
    </row>
    <row r="1002" spans="1:6" ht="20.25">
      <c r="A1002" s="209"/>
      <c r="B1002" s="210"/>
      <c r="C1002" s="210"/>
      <c r="D1002" s="210"/>
      <c r="E1002" s="211"/>
      <c r="F1002" s="212"/>
    </row>
    <row r="1003" spans="1:6" ht="20.25">
      <c r="A1003" s="209"/>
      <c r="B1003" s="210"/>
      <c r="C1003" s="210"/>
      <c r="D1003" s="210"/>
      <c r="E1003" s="211"/>
      <c r="F1003" s="212"/>
    </row>
    <row r="1004" spans="1:6" ht="20.25">
      <c r="A1004" s="209"/>
      <c r="B1004" s="210"/>
      <c r="C1004" s="210"/>
      <c r="D1004" s="210"/>
      <c r="E1004" s="211"/>
      <c r="F1004" s="212"/>
    </row>
    <row r="1005" spans="1:6" ht="20.25">
      <c r="A1005" s="209"/>
      <c r="B1005" s="210"/>
      <c r="C1005" s="210"/>
      <c r="D1005" s="210"/>
      <c r="E1005" s="211"/>
      <c r="F1005" s="212"/>
    </row>
    <row r="1006" spans="1:6" ht="20.25">
      <c r="A1006" s="209"/>
      <c r="B1006" s="210"/>
      <c r="C1006" s="210"/>
      <c r="D1006" s="210"/>
      <c r="E1006" s="211"/>
      <c r="F1006" s="212"/>
    </row>
    <row r="1007" spans="1:6" ht="20.25">
      <c r="A1007" s="209"/>
      <c r="B1007" s="210"/>
      <c r="C1007" s="210"/>
      <c r="D1007" s="210"/>
      <c r="E1007" s="211"/>
      <c r="F1007" s="212"/>
    </row>
    <row r="1008" spans="1:6" ht="20.25">
      <c r="A1008" s="209"/>
      <c r="B1008" s="210"/>
      <c r="C1008" s="210"/>
      <c r="D1008" s="210"/>
      <c r="E1008" s="211"/>
      <c r="F1008" s="212"/>
    </row>
    <row r="1009" spans="1:6" ht="20.25">
      <c r="A1009" s="209"/>
      <c r="B1009" s="210"/>
      <c r="C1009" s="210"/>
      <c r="D1009" s="210"/>
      <c r="E1009" s="211"/>
      <c r="F1009" s="212"/>
    </row>
    <row r="1010" spans="1:6" ht="20.25">
      <c r="A1010" s="209"/>
      <c r="B1010" s="210"/>
      <c r="C1010" s="210"/>
      <c r="D1010" s="210"/>
      <c r="E1010" s="211"/>
      <c r="F1010" s="212"/>
    </row>
    <row r="1011" spans="1:6" ht="20.25">
      <c r="A1011" s="209"/>
      <c r="B1011" s="210"/>
      <c r="C1011" s="210"/>
      <c r="D1011" s="210"/>
      <c r="E1011" s="211"/>
      <c r="F1011" s="212"/>
    </row>
    <row r="1012" spans="1:6" ht="20.25">
      <c r="A1012" s="209"/>
      <c r="B1012" s="210"/>
      <c r="C1012" s="210"/>
      <c r="D1012" s="210"/>
      <c r="E1012" s="211"/>
      <c r="F1012" s="212"/>
    </row>
    <row r="1013" spans="1:6" ht="20.25">
      <c r="A1013" s="209"/>
      <c r="B1013" s="210"/>
      <c r="C1013" s="210"/>
      <c r="D1013" s="210"/>
      <c r="E1013" s="211"/>
      <c r="F1013" s="212"/>
    </row>
    <row r="1014" spans="1:6" ht="20.25">
      <c r="A1014" s="209"/>
      <c r="B1014" s="210"/>
      <c r="C1014" s="210"/>
      <c r="D1014" s="210"/>
      <c r="E1014" s="211"/>
      <c r="F1014" s="212"/>
    </row>
    <row r="1015" spans="1:6" ht="20.25">
      <c r="A1015" s="209"/>
      <c r="B1015" s="210"/>
      <c r="C1015" s="210"/>
      <c r="D1015" s="210"/>
      <c r="E1015" s="211"/>
      <c r="F1015" s="212"/>
    </row>
    <row r="1016" spans="1:6" ht="20.25">
      <c r="A1016" s="209"/>
      <c r="B1016" s="210"/>
      <c r="C1016" s="210"/>
      <c r="D1016" s="210"/>
      <c r="E1016" s="211"/>
      <c r="F1016" s="212"/>
    </row>
    <row r="1017" spans="1:6" ht="20.25">
      <c r="A1017" s="209"/>
      <c r="B1017" s="210"/>
      <c r="C1017" s="210"/>
      <c r="D1017" s="210"/>
      <c r="E1017" s="211"/>
      <c r="F1017" s="212"/>
    </row>
    <row r="1018" spans="1:6" ht="20.25">
      <c r="A1018" s="209"/>
      <c r="B1018" s="210"/>
      <c r="C1018" s="210"/>
      <c r="D1018" s="210"/>
      <c r="E1018" s="211"/>
      <c r="F1018" s="212"/>
    </row>
    <row r="1019" spans="1:6" ht="20.25">
      <c r="A1019" s="209"/>
      <c r="B1019" s="210"/>
      <c r="C1019" s="210"/>
      <c r="D1019" s="210"/>
      <c r="E1019" s="211"/>
      <c r="F1019" s="212"/>
    </row>
    <row r="1020" spans="1:6" ht="20.25">
      <c r="A1020" s="209"/>
      <c r="B1020" s="210"/>
      <c r="C1020" s="210"/>
      <c r="D1020" s="210"/>
      <c r="E1020" s="211"/>
      <c r="F1020" s="212"/>
    </row>
    <row r="1021" spans="1:6" ht="20.25">
      <c r="A1021" s="209"/>
      <c r="B1021" s="210"/>
      <c r="C1021" s="210"/>
      <c r="D1021" s="210"/>
      <c r="E1021" s="211"/>
      <c r="F1021" s="212"/>
    </row>
    <row r="1022" spans="1:6" ht="20.25">
      <c r="A1022" s="209"/>
      <c r="B1022" s="210"/>
      <c r="C1022" s="210"/>
      <c r="D1022" s="210"/>
      <c r="E1022" s="211"/>
      <c r="F1022" s="212"/>
    </row>
    <row r="1023" spans="1:6" ht="20.25">
      <c r="A1023" s="209"/>
      <c r="B1023" s="210"/>
      <c r="C1023" s="210"/>
      <c r="D1023" s="210"/>
      <c r="E1023" s="211"/>
      <c r="F1023" s="212"/>
    </row>
    <row r="1024" spans="1:6" ht="20.25">
      <c r="A1024" s="209"/>
      <c r="B1024" s="210"/>
      <c r="C1024" s="210"/>
      <c r="D1024" s="210"/>
      <c r="E1024" s="211"/>
      <c r="F1024" s="212"/>
    </row>
    <row r="1025" spans="1:6" ht="20.25">
      <c r="A1025" s="209"/>
      <c r="B1025" s="210"/>
      <c r="C1025" s="210"/>
      <c r="D1025" s="210"/>
      <c r="E1025" s="211"/>
      <c r="F1025" s="212"/>
    </row>
    <row r="1026" spans="1:6" ht="20.25">
      <c r="A1026" s="209"/>
      <c r="B1026" s="210"/>
      <c r="C1026" s="210"/>
      <c r="D1026" s="210"/>
      <c r="E1026" s="211"/>
      <c r="F1026" s="212"/>
    </row>
    <row r="1027" spans="1:6" ht="20.25">
      <c r="A1027" s="209"/>
      <c r="B1027" s="210"/>
      <c r="C1027" s="210"/>
      <c r="D1027" s="210"/>
      <c r="E1027" s="211"/>
      <c r="F1027" s="212"/>
    </row>
    <row r="1028" spans="1:6" ht="20.25">
      <c r="A1028" s="209"/>
      <c r="B1028" s="210"/>
      <c r="C1028" s="210"/>
      <c r="D1028" s="210"/>
      <c r="E1028" s="211"/>
      <c r="F1028" s="212"/>
    </row>
    <row r="1029" spans="1:6" ht="20.25">
      <c r="A1029" s="209"/>
      <c r="B1029" s="210"/>
      <c r="C1029" s="210"/>
      <c r="D1029" s="210"/>
      <c r="E1029" s="211"/>
      <c r="F1029" s="212"/>
    </row>
    <row r="1030" spans="1:6" ht="20.25">
      <c r="A1030" s="209"/>
      <c r="B1030" s="210"/>
      <c r="C1030" s="210"/>
      <c r="D1030" s="210"/>
      <c r="E1030" s="211"/>
      <c r="F1030" s="212"/>
    </row>
    <row r="1031" spans="1:6" ht="20.25">
      <c r="A1031" s="209"/>
      <c r="B1031" s="210"/>
      <c r="C1031" s="210"/>
      <c r="D1031" s="210"/>
      <c r="E1031" s="211"/>
      <c r="F1031" s="212"/>
    </row>
    <row r="1032" spans="1:6" ht="20.25">
      <c r="A1032" s="209"/>
      <c r="B1032" s="210"/>
      <c r="C1032" s="210"/>
      <c r="D1032" s="210"/>
      <c r="E1032" s="211"/>
      <c r="F1032" s="212"/>
    </row>
    <row r="1033" spans="1:6" ht="20.25">
      <c r="A1033" s="209"/>
      <c r="B1033" s="210"/>
      <c r="C1033" s="210"/>
      <c r="D1033" s="210"/>
      <c r="E1033" s="211"/>
      <c r="F1033" s="212"/>
    </row>
    <row r="1034" spans="1:6" ht="20.25">
      <c r="A1034" s="209"/>
      <c r="B1034" s="210"/>
      <c r="C1034" s="210"/>
      <c r="D1034" s="210"/>
      <c r="E1034" s="211"/>
      <c r="F1034" s="212"/>
    </row>
    <row r="1035" spans="1:6" ht="20.25">
      <c r="A1035" s="209"/>
      <c r="B1035" s="210"/>
      <c r="C1035" s="210"/>
      <c r="D1035" s="210"/>
      <c r="E1035" s="211"/>
      <c r="F1035" s="212"/>
    </row>
    <row r="1036" spans="1:6" ht="20.25">
      <c r="A1036" s="209"/>
      <c r="B1036" s="210"/>
      <c r="C1036" s="210"/>
      <c r="D1036" s="210"/>
      <c r="E1036" s="211"/>
      <c r="F1036" s="212"/>
    </row>
    <row r="1037" spans="1:6" ht="20.25">
      <c r="A1037" s="209"/>
      <c r="B1037" s="210"/>
      <c r="C1037" s="210"/>
      <c r="D1037" s="210"/>
      <c r="E1037" s="211"/>
      <c r="F1037" s="212"/>
    </row>
    <row r="1038" spans="1:6" ht="20.25">
      <c r="A1038" s="209"/>
      <c r="B1038" s="210"/>
      <c r="C1038" s="210"/>
      <c r="D1038" s="210"/>
      <c r="E1038" s="211"/>
      <c r="F1038" s="212"/>
    </row>
    <row r="1039" spans="1:6" ht="20.25">
      <c r="A1039" s="209"/>
      <c r="B1039" s="210"/>
      <c r="C1039" s="210"/>
      <c r="D1039" s="210"/>
      <c r="E1039" s="211"/>
      <c r="F1039" s="212"/>
    </row>
    <row r="1040" spans="1:6" ht="20.25">
      <c r="A1040" s="209"/>
      <c r="B1040" s="210"/>
      <c r="C1040" s="210"/>
      <c r="D1040" s="210"/>
      <c r="E1040" s="211"/>
      <c r="F1040" s="212"/>
    </row>
    <row r="1041" spans="1:6" ht="20.25">
      <c r="A1041" s="209"/>
      <c r="B1041" s="210"/>
      <c r="C1041" s="210"/>
      <c r="D1041" s="210"/>
      <c r="E1041" s="211"/>
      <c r="F1041" s="212"/>
    </row>
    <row r="1042" spans="1:6" ht="20.25">
      <c r="A1042" s="209"/>
      <c r="B1042" s="210"/>
      <c r="C1042" s="210"/>
      <c r="D1042" s="210"/>
      <c r="E1042" s="211"/>
      <c r="F1042" s="212"/>
    </row>
    <row r="1043" spans="1:6" ht="20.25">
      <c r="A1043" s="209"/>
      <c r="B1043" s="210"/>
      <c r="C1043" s="210"/>
      <c r="D1043" s="210"/>
      <c r="E1043" s="211"/>
      <c r="F1043" s="212"/>
    </row>
    <row r="1044" spans="1:6" ht="20.25">
      <c r="A1044" s="209"/>
      <c r="B1044" s="210"/>
      <c r="C1044" s="210"/>
      <c r="D1044" s="210"/>
      <c r="E1044" s="211"/>
      <c r="F1044" s="212"/>
    </row>
    <row r="1045" spans="1:6" ht="20.25">
      <c r="A1045" s="209"/>
      <c r="B1045" s="210"/>
      <c r="C1045" s="210"/>
      <c r="D1045" s="210"/>
      <c r="E1045" s="211"/>
      <c r="F1045" s="212"/>
    </row>
    <row r="1046" spans="1:6" ht="20.25">
      <c r="A1046" s="209"/>
      <c r="B1046" s="210"/>
      <c r="C1046" s="210"/>
      <c r="D1046" s="210"/>
      <c r="E1046" s="211"/>
      <c r="F1046" s="212"/>
    </row>
    <row r="1047" spans="1:6" ht="20.25">
      <c r="A1047" s="209"/>
      <c r="B1047" s="210"/>
      <c r="C1047" s="210"/>
      <c r="D1047" s="210"/>
      <c r="E1047" s="211"/>
      <c r="F1047" s="212"/>
    </row>
    <row r="1048" spans="1:6" ht="20.25">
      <c r="A1048" s="209"/>
      <c r="B1048" s="210"/>
      <c r="C1048" s="210"/>
      <c r="D1048" s="210"/>
      <c r="E1048" s="211"/>
      <c r="F1048" s="212"/>
    </row>
    <row r="1049" spans="1:6" ht="20.25">
      <c r="A1049" s="209"/>
      <c r="B1049" s="210"/>
      <c r="C1049" s="210"/>
      <c r="D1049" s="210"/>
      <c r="E1049" s="211"/>
      <c r="F1049" s="212"/>
    </row>
    <row r="1050" spans="1:6" ht="20.25">
      <c r="A1050" s="209"/>
      <c r="B1050" s="210"/>
      <c r="C1050" s="210"/>
      <c r="D1050" s="210"/>
      <c r="E1050" s="211"/>
      <c r="F1050" s="212"/>
    </row>
    <row r="1051" spans="1:6" ht="20.25">
      <c r="A1051" s="209"/>
      <c r="B1051" s="210"/>
      <c r="C1051" s="210"/>
      <c r="D1051" s="210"/>
      <c r="E1051" s="211"/>
      <c r="F1051" s="212"/>
    </row>
    <row r="1052" spans="1:6" ht="20.25">
      <c r="A1052" s="209"/>
      <c r="B1052" s="210"/>
      <c r="C1052" s="210"/>
      <c r="D1052" s="210"/>
      <c r="E1052" s="211"/>
      <c r="F1052" s="212"/>
    </row>
    <row r="1053" spans="1:6" ht="20.25">
      <c r="A1053" s="209"/>
      <c r="B1053" s="210"/>
      <c r="C1053" s="210"/>
      <c r="D1053" s="210"/>
      <c r="E1053" s="211"/>
      <c r="F1053" s="212"/>
    </row>
    <row r="1054" spans="1:6" ht="20.25">
      <c r="A1054" s="209"/>
      <c r="B1054" s="210"/>
      <c r="C1054" s="210"/>
      <c r="D1054" s="210"/>
      <c r="E1054" s="211"/>
      <c r="F1054" s="212"/>
    </row>
    <row r="1055" spans="1:6" ht="20.25">
      <c r="A1055" s="209"/>
      <c r="B1055" s="210"/>
      <c r="C1055" s="210"/>
      <c r="D1055" s="210"/>
      <c r="E1055" s="211"/>
      <c r="F1055" s="212"/>
    </row>
    <row r="1056" spans="1:6" ht="20.25">
      <c r="A1056" s="209"/>
      <c r="B1056" s="210"/>
      <c r="C1056" s="210"/>
      <c r="D1056" s="210"/>
      <c r="E1056" s="211"/>
      <c r="F1056" s="212"/>
    </row>
    <row r="1057" spans="1:6" ht="20.25">
      <c r="A1057" s="209"/>
      <c r="B1057" s="210"/>
      <c r="C1057" s="210"/>
      <c r="D1057" s="210"/>
      <c r="E1057" s="211"/>
      <c r="F1057" s="212"/>
    </row>
    <row r="1058" spans="1:6" ht="20.25">
      <c r="A1058" s="209"/>
      <c r="B1058" s="210"/>
      <c r="C1058" s="210"/>
      <c r="D1058" s="210"/>
      <c r="E1058" s="211"/>
      <c r="F1058" s="212"/>
    </row>
    <row r="1059" spans="1:6" ht="20.25">
      <c r="A1059" s="209"/>
      <c r="B1059" s="210"/>
      <c r="C1059" s="210"/>
      <c r="D1059" s="210"/>
      <c r="E1059" s="211"/>
      <c r="F1059" s="212"/>
    </row>
    <row r="1060" spans="1:6" ht="20.25">
      <c r="A1060" s="209"/>
      <c r="B1060" s="210"/>
      <c r="C1060" s="210"/>
      <c r="D1060" s="210"/>
      <c r="E1060" s="211"/>
      <c r="F1060" s="212"/>
    </row>
    <row r="1061" spans="1:6" ht="20.25">
      <c r="A1061" s="209"/>
      <c r="B1061" s="210"/>
      <c r="C1061" s="210"/>
      <c r="D1061" s="210"/>
      <c r="E1061" s="211"/>
      <c r="F1061" s="212"/>
    </row>
    <row r="1062" spans="1:6" ht="20.25">
      <c r="A1062" s="209"/>
      <c r="B1062" s="210"/>
      <c r="C1062" s="210"/>
      <c r="D1062" s="210"/>
      <c r="E1062" s="211"/>
      <c r="F1062" s="212"/>
    </row>
    <row r="1063" spans="1:6" ht="20.25">
      <c r="A1063" s="209"/>
      <c r="B1063" s="210"/>
      <c r="C1063" s="210"/>
      <c r="D1063" s="210"/>
      <c r="E1063" s="211"/>
      <c r="F1063" s="212"/>
    </row>
    <row r="1064" spans="1:6" ht="20.25">
      <c r="A1064" s="209"/>
      <c r="B1064" s="210"/>
      <c r="C1064" s="210"/>
      <c r="D1064" s="210"/>
      <c r="E1064" s="211"/>
      <c r="F1064" s="212"/>
    </row>
    <row r="1065" spans="1:6" ht="20.25">
      <c r="A1065" s="209"/>
      <c r="B1065" s="210"/>
      <c r="C1065" s="210"/>
      <c r="D1065" s="210"/>
      <c r="E1065" s="211"/>
      <c r="F1065" s="212"/>
    </row>
    <row r="1066" spans="1:6" ht="20.25">
      <c r="A1066" s="209"/>
      <c r="B1066" s="210"/>
      <c r="C1066" s="210"/>
      <c r="D1066" s="210"/>
      <c r="E1066" s="211"/>
      <c r="F1066" s="212"/>
    </row>
    <row r="1067" spans="1:6" ht="20.25">
      <c r="A1067" s="209"/>
      <c r="B1067" s="210"/>
      <c r="C1067" s="210"/>
      <c r="D1067" s="210"/>
      <c r="E1067" s="211"/>
      <c r="F1067" s="212"/>
    </row>
    <row r="1068" spans="1:6" ht="20.25">
      <c r="A1068" s="209"/>
      <c r="B1068" s="210"/>
      <c r="C1068" s="210"/>
      <c r="D1068" s="210"/>
      <c r="E1068" s="211"/>
      <c r="F1068" s="212"/>
    </row>
    <row r="1069" spans="1:6" ht="20.25">
      <c r="A1069" s="209"/>
      <c r="B1069" s="210"/>
      <c r="C1069" s="210"/>
      <c r="D1069" s="210"/>
      <c r="E1069" s="211"/>
      <c r="F1069" s="212"/>
    </row>
    <row r="1070" spans="1:6" ht="20.25">
      <c r="A1070" s="209"/>
      <c r="B1070" s="210"/>
      <c r="C1070" s="210"/>
      <c r="D1070" s="210"/>
      <c r="E1070" s="211"/>
      <c r="F1070" s="212"/>
    </row>
    <row r="1071" spans="1:6" ht="20.25">
      <c r="A1071" s="209"/>
      <c r="B1071" s="210"/>
      <c r="C1071" s="210"/>
      <c r="D1071" s="210"/>
      <c r="E1071" s="211"/>
      <c r="F1071" s="212"/>
    </row>
    <row r="1072" spans="1:6" ht="20.25">
      <c r="A1072" s="209"/>
      <c r="B1072" s="210"/>
      <c r="C1072" s="210"/>
      <c r="D1072" s="210"/>
      <c r="E1072" s="211"/>
      <c r="F1072" s="212"/>
    </row>
    <row r="1073" spans="1:6" ht="20.25">
      <c r="A1073" s="209"/>
      <c r="B1073" s="210"/>
      <c r="C1073" s="210"/>
      <c r="D1073" s="210"/>
      <c r="E1073" s="211"/>
      <c r="F1073" s="212"/>
    </row>
    <row r="1074" spans="1:6" ht="20.25">
      <c r="A1074" s="209"/>
      <c r="B1074" s="210"/>
      <c r="C1074" s="210"/>
      <c r="D1074" s="210"/>
      <c r="E1074" s="211"/>
      <c r="F1074" s="212"/>
    </row>
    <row r="1075" spans="1:6" ht="20.25">
      <c r="A1075" s="209"/>
      <c r="B1075" s="210"/>
      <c r="C1075" s="210"/>
      <c r="D1075" s="210"/>
      <c r="E1075" s="211"/>
      <c r="F1075" s="212"/>
    </row>
    <row r="1076" spans="1:6" ht="20.25">
      <c r="A1076" s="209"/>
      <c r="B1076" s="210"/>
      <c r="C1076" s="210"/>
      <c r="D1076" s="210"/>
      <c r="E1076" s="211"/>
      <c r="F1076" s="212"/>
    </row>
    <row r="1077" spans="1:6" ht="20.25">
      <c r="A1077" s="209"/>
      <c r="B1077" s="210"/>
      <c r="C1077" s="210"/>
      <c r="D1077" s="210"/>
      <c r="E1077" s="211"/>
      <c r="F1077" s="212"/>
    </row>
    <row r="1078" spans="1:6" ht="20.25">
      <c r="A1078" s="209"/>
      <c r="B1078" s="210"/>
      <c r="C1078" s="210"/>
      <c r="D1078" s="210"/>
      <c r="E1078" s="211"/>
      <c r="F1078" s="212"/>
    </row>
    <row r="1079" spans="1:6" ht="20.25">
      <c r="A1079" s="209"/>
      <c r="B1079" s="210"/>
      <c r="C1079" s="210"/>
      <c r="D1079" s="210"/>
      <c r="E1079" s="211"/>
      <c r="F1079" s="212"/>
    </row>
    <row r="1080" spans="1:6" ht="20.25">
      <c r="A1080" s="209"/>
      <c r="B1080" s="210"/>
      <c r="C1080" s="210"/>
      <c r="D1080" s="210"/>
      <c r="E1080" s="211"/>
      <c r="F1080" s="212"/>
    </row>
    <row r="1081" spans="1:6" ht="20.25">
      <c r="A1081" s="209"/>
      <c r="B1081" s="210"/>
      <c r="C1081" s="210"/>
      <c r="D1081" s="210"/>
      <c r="E1081" s="211"/>
      <c r="F1081" s="212"/>
    </row>
    <row r="1082" spans="1:6" ht="20.25">
      <c r="A1082" s="209"/>
      <c r="B1082" s="210"/>
      <c r="C1082" s="210"/>
      <c r="D1082" s="210"/>
      <c r="E1082" s="211"/>
      <c r="F1082" s="212"/>
    </row>
    <row r="1083" spans="1:6" ht="20.25">
      <c r="A1083" s="209"/>
      <c r="B1083" s="210"/>
      <c r="C1083" s="210"/>
      <c r="D1083" s="210"/>
      <c r="E1083" s="211"/>
      <c r="F1083" s="212"/>
    </row>
    <row r="1084" spans="1:6" ht="20.25">
      <c r="A1084" s="209"/>
      <c r="B1084" s="210"/>
      <c r="C1084" s="210"/>
      <c r="D1084" s="210"/>
      <c r="E1084" s="211"/>
      <c r="F1084" s="212"/>
    </row>
    <row r="1085" spans="1:6" ht="20.25">
      <c r="A1085" s="209"/>
      <c r="B1085" s="210"/>
      <c r="C1085" s="210"/>
      <c r="D1085" s="210"/>
      <c r="E1085" s="211"/>
      <c r="F1085" s="212"/>
    </row>
    <row r="1086" spans="1:6" ht="20.25">
      <c r="A1086" s="209"/>
      <c r="B1086" s="210"/>
      <c r="C1086" s="210"/>
      <c r="D1086" s="210"/>
      <c r="E1086" s="211"/>
      <c r="F1086" s="212"/>
    </row>
    <row r="1087" spans="1:6" ht="20.25">
      <c r="A1087" s="209"/>
      <c r="B1087" s="210"/>
      <c r="C1087" s="210"/>
      <c r="D1087" s="210"/>
      <c r="E1087" s="211"/>
      <c r="F1087" s="212"/>
    </row>
    <row r="1088" spans="1:6" ht="20.25">
      <c r="A1088" s="209"/>
      <c r="B1088" s="210"/>
      <c r="C1088" s="210"/>
      <c r="D1088" s="210"/>
      <c r="E1088" s="211"/>
      <c r="F1088" s="212"/>
    </row>
    <row r="1089" spans="1:6" ht="20.25">
      <c r="A1089" s="209"/>
      <c r="B1089" s="210"/>
      <c r="C1089" s="210"/>
      <c r="D1089" s="210"/>
      <c r="E1089" s="211"/>
      <c r="F1089" s="212"/>
    </row>
    <row r="1090" spans="1:6" ht="20.25">
      <c r="A1090" s="209"/>
      <c r="B1090" s="210"/>
      <c r="C1090" s="210"/>
      <c r="D1090" s="210"/>
      <c r="E1090" s="211"/>
      <c r="F1090" s="212"/>
    </row>
    <row r="1091" spans="1:6" ht="20.25">
      <c r="A1091" s="209"/>
      <c r="B1091" s="210"/>
      <c r="C1091" s="210"/>
      <c r="D1091" s="210"/>
      <c r="E1091" s="211"/>
      <c r="F1091" s="212"/>
    </row>
    <row r="1092" spans="1:6" ht="20.25">
      <c r="A1092" s="209"/>
      <c r="B1092" s="210"/>
      <c r="C1092" s="210"/>
      <c r="D1092" s="210"/>
      <c r="E1092" s="211"/>
      <c r="F1092" s="212"/>
    </row>
    <row r="1093" spans="1:6" ht="20.25">
      <c r="A1093" s="209"/>
      <c r="B1093" s="210"/>
      <c r="C1093" s="210"/>
      <c r="D1093" s="210"/>
      <c r="E1093" s="211"/>
      <c r="F1093" s="212"/>
    </row>
    <row r="1094" spans="1:6" ht="20.25">
      <c r="A1094" s="209"/>
      <c r="B1094" s="210"/>
      <c r="C1094" s="210"/>
      <c r="D1094" s="210"/>
      <c r="E1094" s="211"/>
      <c r="F1094" s="212"/>
    </row>
    <row r="1095" spans="1:6" ht="20.25">
      <c r="A1095" s="209"/>
      <c r="B1095" s="210"/>
      <c r="C1095" s="210"/>
      <c r="D1095" s="210"/>
      <c r="E1095" s="211"/>
      <c r="F1095" s="212"/>
    </row>
    <row r="1096" spans="1:6" ht="20.25">
      <c r="A1096" s="209"/>
      <c r="B1096" s="210"/>
      <c r="C1096" s="210"/>
      <c r="D1096" s="210"/>
      <c r="E1096" s="211"/>
      <c r="F1096" s="212"/>
    </row>
    <row r="1097" spans="1:6" ht="20.25">
      <c r="A1097" s="209"/>
      <c r="B1097" s="210"/>
      <c r="C1097" s="210"/>
      <c r="D1097" s="210"/>
      <c r="E1097" s="211"/>
      <c r="F1097" s="212"/>
    </row>
    <row r="1098" spans="1:6" ht="20.25">
      <c r="A1098" s="209"/>
      <c r="B1098" s="210"/>
      <c r="C1098" s="210"/>
      <c r="D1098" s="210"/>
      <c r="E1098" s="211"/>
      <c r="F1098" s="212"/>
    </row>
    <row r="1099" spans="1:6" ht="20.25">
      <c r="A1099" s="209"/>
      <c r="B1099" s="210"/>
      <c r="C1099" s="210"/>
      <c r="D1099" s="210"/>
      <c r="E1099" s="211"/>
      <c r="F1099" s="212"/>
    </row>
    <row r="1100" spans="1:6" ht="20.25">
      <c r="A1100" s="209"/>
      <c r="B1100" s="210"/>
      <c r="C1100" s="210"/>
      <c r="D1100" s="210"/>
      <c r="E1100" s="211"/>
      <c r="F1100" s="212"/>
    </row>
    <row r="1101" spans="1:6" ht="20.25">
      <c r="A1101" s="209"/>
      <c r="B1101" s="210"/>
      <c r="C1101" s="210"/>
      <c r="D1101" s="210"/>
      <c r="E1101" s="211"/>
      <c r="F1101" s="212"/>
    </row>
    <row r="1102" spans="1:6" ht="20.25">
      <c r="A1102" s="209"/>
      <c r="B1102" s="210"/>
      <c r="C1102" s="210"/>
      <c r="D1102" s="210"/>
      <c r="E1102" s="211"/>
      <c r="F1102" s="212"/>
    </row>
    <row r="1103" spans="1:6" ht="20.25">
      <c r="A1103" s="209"/>
      <c r="B1103" s="210"/>
      <c r="C1103" s="210"/>
      <c r="D1103" s="210"/>
      <c r="E1103" s="211"/>
      <c r="F1103" s="212"/>
    </row>
    <row r="1104" spans="1:6" ht="20.25">
      <c r="A1104" s="209"/>
      <c r="B1104" s="210"/>
      <c r="C1104" s="210"/>
      <c r="D1104" s="210"/>
      <c r="E1104" s="211"/>
      <c r="F1104" s="212"/>
    </row>
    <row r="1105" spans="1:6" ht="20.25">
      <c r="A1105" s="209"/>
      <c r="B1105" s="210"/>
      <c r="C1105" s="210"/>
      <c r="D1105" s="210"/>
      <c r="E1105" s="211"/>
      <c r="F1105" s="212"/>
    </row>
    <row r="1106" spans="1:6" ht="20.25">
      <c r="A1106" s="209"/>
      <c r="B1106" s="210"/>
      <c r="C1106" s="210"/>
      <c r="D1106" s="210"/>
      <c r="E1106" s="211"/>
      <c r="F1106" s="212"/>
    </row>
    <row r="1107" spans="1:6" ht="20.25">
      <c r="A1107" s="209"/>
      <c r="B1107" s="210"/>
      <c r="C1107" s="210"/>
      <c r="D1107" s="210"/>
      <c r="E1107" s="211"/>
      <c r="F1107" s="212"/>
    </row>
    <row r="1108" spans="1:6" ht="20.25">
      <c r="A1108" s="209"/>
      <c r="B1108" s="210"/>
      <c r="C1108" s="210"/>
      <c r="D1108" s="210"/>
      <c r="E1108" s="211"/>
      <c r="F1108" s="212"/>
    </row>
    <row r="1109" spans="1:6" ht="20.25">
      <c r="A1109" s="209"/>
      <c r="B1109" s="210"/>
      <c r="C1109" s="210"/>
      <c r="D1109" s="210"/>
      <c r="E1109" s="211"/>
      <c r="F1109" s="212"/>
    </row>
    <row r="1110" spans="1:6" ht="20.25">
      <c r="A1110" s="209"/>
      <c r="B1110" s="210"/>
      <c r="C1110" s="210"/>
      <c r="D1110" s="210"/>
      <c r="E1110" s="211"/>
      <c r="F1110" s="212"/>
    </row>
    <row r="1111" spans="1:6" ht="20.25">
      <c r="A1111" s="209"/>
      <c r="B1111" s="210"/>
      <c r="C1111" s="210"/>
      <c r="D1111" s="210"/>
      <c r="E1111" s="211"/>
      <c r="F1111" s="212"/>
    </row>
    <row r="1112" spans="1:6" ht="20.25">
      <c r="A1112" s="209"/>
      <c r="B1112" s="210"/>
      <c r="C1112" s="210"/>
      <c r="D1112" s="210"/>
      <c r="E1112" s="211"/>
      <c r="F1112" s="212"/>
    </row>
    <row r="1113" spans="1:6" ht="20.25">
      <c r="A1113" s="209"/>
      <c r="B1113" s="210"/>
      <c r="C1113" s="210"/>
      <c r="D1113" s="210"/>
      <c r="E1113" s="211"/>
      <c r="F1113" s="212"/>
    </row>
    <row r="1114" spans="1:6" ht="20.25">
      <c r="A1114" s="209"/>
      <c r="B1114" s="210"/>
      <c r="C1114" s="210"/>
      <c r="D1114" s="210"/>
      <c r="E1114" s="211"/>
      <c r="F1114" s="212"/>
    </row>
    <row r="1115" spans="1:6" ht="20.25">
      <c r="A1115" s="209"/>
      <c r="B1115" s="210"/>
      <c r="C1115" s="210"/>
      <c r="D1115" s="210"/>
      <c r="E1115" s="211"/>
      <c r="F1115" s="212"/>
    </row>
    <row r="1116" spans="1:6" ht="20.25">
      <c r="A1116" s="209"/>
      <c r="B1116" s="210"/>
      <c r="C1116" s="210"/>
      <c r="D1116" s="210"/>
      <c r="E1116" s="211"/>
      <c r="F1116" s="212"/>
    </row>
    <row r="1117" spans="1:6" ht="20.25">
      <c r="A1117" s="209"/>
      <c r="B1117" s="210"/>
      <c r="C1117" s="210"/>
      <c r="D1117" s="210"/>
      <c r="E1117" s="211"/>
      <c r="F1117" s="212"/>
    </row>
    <row r="1118" spans="1:6" ht="20.25">
      <c r="A1118" s="209"/>
      <c r="B1118" s="210"/>
      <c r="C1118" s="210"/>
      <c r="D1118" s="210"/>
      <c r="E1118" s="211"/>
      <c r="F1118" s="212"/>
    </row>
    <row r="1119" spans="1:6" ht="20.25">
      <c r="A1119" s="209"/>
      <c r="B1119" s="210"/>
      <c r="C1119" s="210"/>
      <c r="D1119" s="210"/>
      <c r="E1119" s="211"/>
      <c r="F1119" s="212"/>
    </row>
    <row r="1120" spans="1:6" ht="20.25">
      <c r="A1120" s="209"/>
      <c r="B1120" s="210"/>
      <c r="C1120" s="210"/>
      <c r="D1120" s="210"/>
      <c r="E1120" s="211"/>
      <c r="F1120" s="212"/>
    </row>
    <row r="1121" spans="1:6" ht="20.25">
      <c r="A1121" s="209"/>
      <c r="B1121" s="210"/>
      <c r="C1121" s="210"/>
      <c r="D1121" s="210"/>
      <c r="E1121" s="211"/>
      <c r="F1121" s="212"/>
    </row>
    <row r="1122" spans="1:6" ht="20.25">
      <c r="A1122" s="209"/>
      <c r="B1122" s="210"/>
      <c r="C1122" s="210"/>
      <c r="D1122" s="210"/>
      <c r="E1122" s="211"/>
      <c r="F1122" s="212"/>
    </row>
    <row r="1123" spans="1:6" ht="20.25">
      <c r="A1123" s="209"/>
      <c r="B1123" s="210"/>
      <c r="C1123" s="210"/>
      <c r="D1123" s="210"/>
      <c r="E1123" s="211"/>
      <c r="F1123" s="212"/>
    </row>
    <row r="1124" spans="1:6" ht="20.25">
      <c r="A1124" s="209"/>
      <c r="B1124" s="210"/>
      <c r="C1124" s="210"/>
      <c r="D1124" s="210"/>
      <c r="E1124" s="211"/>
      <c r="F1124" s="212"/>
    </row>
    <row r="1125" spans="1:6" ht="20.25">
      <c r="A1125" s="209"/>
      <c r="B1125" s="210"/>
      <c r="C1125" s="210"/>
      <c r="D1125" s="210"/>
      <c r="E1125" s="211"/>
      <c r="F1125" s="212"/>
    </row>
    <row r="1126" spans="1:6" ht="20.25">
      <c r="A1126" s="209"/>
      <c r="B1126" s="210"/>
      <c r="C1126" s="210"/>
      <c r="D1126" s="210"/>
      <c r="E1126" s="211"/>
      <c r="F1126" s="212"/>
    </row>
    <row r="1127" spans="1:6" ht="20.25">
      <c r="A1127" s="209"/>
      <c r="B1127" s="210"/>
      <c r="C1127" s="210"/>
      <c r="D1127" s="210"/>
      <c r="E1127" s="211"/>
      <c r="F1127" s="212"/>
    </row>
    <row r="1128" spans="1:6" ht="20.25">
      <c r="A1128" s="209"/>
      <c r="B1128" s="210"/>
      <c r="C1128" s="210"/>
      <c r="D1128" s="210"/>
      <c r="E1128" s="211"/>
      <c r="F1128" s="212"/>
    </row>
    <row r="1129" spans="1:6" ht="20.25">
      <c r="A1129" s="209"/>
      <c r="B1129" s="210"/>
      <c r="C1129" s="210"/>
      <c r="D1129" s="210"/>
      <c r="E1129" s="211"/>
      <c r="F1129" s="212"/>
    </row>
    <row r="1130" spans="1:6" ht="20.25">
      <c r="A1130" s="209"/>
      <c r="B1130" s="210"/>
      <c r="C1130" s="210"/>
      <c r="D1130" s="210"/>
      <c r="E1130" s="211"/>
      <c r="F1130" s="212"/>
    </row>
    <row r="1131" spans="1:6" ht="20.25">
      <c r="A1131" s="209"/>
      <c r="B1131" s="210"/>
      <c r="C1131" s="210"/>
      <c r="D1131" s="210"/>
      <c r="E1131" s="211"/>
      <c r="F1131" s="212"/>
    </row>
    <row r="1132" spans="1:6" ht="20.25">
      <c r="A1132" s="209"/>
      <c r="B1132" s="210"/>
      <c r="C1132" s="210"/>
      <c r="D1132" s="210"/>
      <c r="E1132" s="211"/>
      <c r="F1132" s="212"/>
    </row>
    <row r="1133" spans="1:6" ht="20.25">
      <c r="A1133" s="209"/>
      <c r="B1133" s="210"/>
      <c r="C1133" s="210"/>
      <c r="D1133" s="210"/>
      <c r="E1133" s="211"/>
      <c r="F1133" s="212"/>
    </row>
    <row r="1134" spans="1:6" ht="20.25">
      <c r="A1134" s="209"/>
      <c r="B1134" s="210"/>
      <c r="C1134" s="210"/>
      <c r="D1134" s="210"/>
      <c r="E1134" s="211"/>
      <c r="F1134" s="212"/>
    </row>
    <row r="1135" spans="1:6" ht="20.25">
      <c r="A1135" s="209"/>
      <c r="B1135" s="210"/>
      <c r="C1135" s="210"/>
      <c r="D1135" s="210"/>
      <c r="E1135" s="211"/>
      <c r="F1135" s="212"/>
    </row>
    <row r="1136" spans="1:6" ht="20.25">
      <c r="A1136" s="209"/>
      <c r="B1136" s="210"/>
      <c r="C1136" s="210"/>
      <c r="D1136" s="210"/>
      <c r="E1136" s="211"/>
      <c r="F1136" s="212"/>
    </row>
    <row r="1137" spans="1:6" ht="20.25">
      <c r="A1137" s="209"/>
      <c r="B1137" s="210"/>
      <c r="C1137" s="210"/>
      <c r="D1137" s="210"/>
      <c r="E1137" s="211"/>
      <c r="F1137" s="212"/>
    </row>
    <row r="1138" spans="1:6" ht="20.25">
      <c r="A1138" s="209"/>
      <c r="B1138" s="210"/>
      <c r="C1138" s="210"/>
      <c r="D1138" s="210"/>
      <c r="E1138" s="211"/>
      <c r="F1138" s="212"/>
    </row>
    <row r="1139" spans="1:6" ht="20.25">
      <c r="A1139" s="209"/>
      <c r="B1139" s="210"/>
      <c r="C1139" s="210"/>
      <c r="D1139" s="210"/>
      <c r="E1139" s="211"/>
      <c r="F1139" s="212"/>
    </row>
    <row r="1140" spans="1:6" ht="20.25">
      <c r="A1140" s="209"/>
      <c r="B1140" s="210"/>
      <c r="C1140" s="210"/>
      <c r="D1140" s="210"/>
      <c r="E1140" s="211"/>
      <c r="F1140" s="212"/>
    </row>
    <row r="1141" spans="1:6" ht="20.25">
      <c r="A1141" s="209"/>
      <c r="B1141" s="210"/>
      <c r="C1141" s="210"/>
      <c r="D1141" s="210"/>
      <c r="E1141" s="211"/>
      <c r="F1141" s="212"/>
    </row>
    <row r="1142" spans="1:6" ht="20.25">
      <c r="A1142" s="209"/>
      <c r="B1142" s="210"/>
      <c r="C1142" s="210"/>
      <c r="D1142" s="210"/>
      <c r="E1142" s="211"/>
      <c r="F1142" s="212"/>
    </row>
    <row r="1143" spans="1:6" ht="20.25">
      <c r="A1143" s="209"/>
      <c r="B1143" s="210"/>
      <c r="C1143" s="210"/>
      <c r="D1143" s="210"/>
      <c r="E1143" s="211"/>
      <c r="F1143" s="212"/>
    </row>
    <row r="1144" spans="1:6" ht="20.25">
      <c r="A1144" s="209"/>
      <c r="B1144" s="210"/>
      <c r="C1144" s="210"/>
      <c r="D1144" s="210"/>
      <c r="E1144" s="211"/>
      <c r="F1144" s="212"/>
    </row>
    <row r="1145" spans="1:6" ht="20.25">
      <c r="A1145" s="209"/>
      <c r="B1145" s="210"/>
      <c r="C1145" s="210"/>
      <c r="D1145" s="210"/>
      <c r="E1145" s="211"/>
      <c r="F1145" s="212"/>
    </row>
    <row r="1146" spans="1:6" ht="20.25">
      <c r="A1146" s="209"/>
      <c r="B1146" s="210"/>
      <c r="C1146" s="210"/>
      <c r="D1146" s="210"/>
      <c r="E1146" s="211"/>
      <c r="F1146" s="212"/>
    </row>
    <row r="1147" spans="1:6" ht="20.25">
      <c r="A1147" s="209"/>
      <c r="B1147" s="210"/>
      <c r="C1147" s="210"/>
      <c r="D1147" s="210"/>
      <c r="E1147" s="211"/>
      <c r="F1147" s="212"/>
    </row>
    <row r="1148" spans="1:6" ht="20.25">
      <c r="A1148" s="209"/>
      <c r="B1148" s="210"/>
      <c r="C1148" s="210"/>
      <c r="D1148" s="210"/>
      <c r="E1148" s="211"/>
      <c r="F1148" s="212"/>
    </row>
    <row r="1149" spans="1:6" ht="20.25">
      <c r="A1149" s="209"/>
      <c r="B1149" s="210"/>
      <c r="C1149" s="210"/>
      <c r="D1149" s="210"/>
      <c r="E1149" s="211"/>
      <c r="F1149" s="212"/>
    </row>
    <row r="1150" spans="1:6" ht="20.25">
      <c r="A1150" s="209"/>
      <c r="B1150" s="210"/>
      <c r="C1150" s="210"/>
      <c r="D1150" s="210"/>
      <c r="E1150" s="211"/>
      <c r="F1150" s="212"/>
    </row>
    <row r="1151" spans="1:6" ht="20.25">
      <c r="A1151" s="209"/>
      <c r="B1151" s="210"/>
      <c r="C1151" s="210"/>
      <c r="D1151" s="210"/>
      <c r="E1151" s="211"/>
      <c r="F1151" s="212"/>
    </row>
    <row r="1152" spans="1:6" ht="20.25">
      <c r="A1152" s="209"/>
      <c r="B1152" s="210"/>
      <c r="C1152" s="210"/>
      <c r="D1152" s="210"/>
      <c r="E1152" s="211"/>
      <c r="F1152" s="212"/>
    </row>
    <row r="1153" spans="1:6" ht="20.25">
      <c r="A1153" s="209"/>
      <c r="B1153" s="210"/>
      <c r="C1153" s="210"/>
      <c r="D1153" s="210"/>
      <c r="E1153" s="211"/>
      <c r="F1153" s="212"/>
    </row>
    <row r="1154" spans="1:6" ht="20.25">
      <c r="A1154" s="209"/>
      <c r="B1154" s="210"/>
      <c r="C1154" s="210"/>
      <c r="D1154" s="210"/>
      <c r="E1154" s="211"/>
      <c r="F1154" s="212"/>
    </row>
    <row r="1155" spans="1:6" ht="20.25">
      <c r="A1155" s="209"/>
      <c r="B1155" s="210"/>
      <c r="C1155" s="210"/>
      <c r="D1155" s="210"/>
      <c r="E1155" s="211"/>
      <c r="F1155" s="212"/>
    </row>
    <row r="1156" spans="1:6" ht="20.25">
      <c r="A1156" s="209"/>
      <c r="B1156" s="210"/>
      <c r="C1156" s="210"/>
      <c r="D1156" s="210"/>
      <c r="E1156" s="211"/>
      <c r="F1156" s="212"/>
    </row>
    <row r="1157" spans="1:6" ht="20.25">
      <c r="A1157" s="209"/>
      <c r="B1157" s="210"/>
      <c r="C1157" s="210"/>
      <c r="D1157" s="210"/>
      <c r="E1157" s="211"/>
      <c r="F1157" s="212"/>
    </row>
    <row r="1158" spans="1:6" ht="20.25">
      <c r="A1158" s="209"/>
      <c r="B1158" s="210"/>
      <c r="C1158" s="210"/>
      <c r="D1158" s="210"/>
      <c r="E1158" s="211"/>
      <c r="F1158" s="212"/>
    </row>
    <row r="1159" spans="1:6" ht="20.25">
      <c r="A1159" s="209"/>
      <c r="B1159" s="210"/>
      <c r="C1159" s="210"/>
      <c r="D1159" s="210"/>
      <c r="E1159" s="211"/>
      <c r="F1159" s="212"/>
    </row>
    <row r="1160" spans="1:6" ht="20.25">
      <c r="A1160" s="209"/>
      <c r="B1160" s="210"/>
      <c r="C1160" s="210"/>
      <c r="D1160" s="210"/>
      <c r="E1160" s="211"/>
      <c r="F1160" s="212"/>
    </row>
    <row r="1161" spans="1:6" ht="20.25">
      <c r="A1161" s="209"/>
      <c r="B1161" s="210"/>
      <c r="C1161" s="210"/>
      <c r="D1161" s="210"/>
      <c r="E1161" s="211"/>
      <c r="F1161" s="212"/>
    </row>
    <row r="1162" spans="1:6" ht="20.25">
      <c r="A1162" s="209"/>
      <c r="B1162" s="210"/>
      <c r="C1162" s="210"/>
      <c r="D1162" s="210"/>
      <c r="E1162" s="211"/>
      <c r="F1162" s="212"/>
    </row>
    <row r="1163" spans="1:6" ht="20.25">
      <c r="A1163" s="209"/>
      <c r="B1163" s="210"/>
      <c r="C1163" s="210"/>
      <c r="D1163" s="210"/>
      <c r="E1163" s="211"/>
      <c r="F1163" s="212"/>
    </row>
    <row r="1164" spans="1:6" ht="20.25">
      <c r="A1164" s="209"/>
      <c r="B1164" s="210"/>
      <c r="C1164" s="210"/>
      <c r="D1164" s="210"/>
      <c r="E1164" s="211"/>
      <c r="F1164" s="212"/>
    </row>
    <row r="1165" spans="1:6" ht="20.25">
      <c r="A1165" s="209"/>
      <c r="B1165" s="210"/>
      <c r="C1165" s="210"/>
      <c r="D1165" s="210"/>
      <c r="E1165" s="211"/>
      <c r="F1165" s="212"/>
    </row>
    <row r="1166" spans="1:6" ht="20.25">
      <c r="A1166" s="209"/>
      <c r="B1166" s="210"/>
      <c r="C1166" s="210"/>
      <c r="D1166" s="210"/>
      <c r="E1166" s="211"/>
      <c r="F1166" s="212"/>
    </row>
    <row r="1167" spans="1:6" ht="20.25">
      <c r="A1167" s="209"/>
      <c r="B1167" s="210"/>
      <c r="C1167" s="210"/>
      <c r="D1167" s="210"/>
      <c r="E1167" s="211"/>
      <c r="F1167" s="212"/>
    </row>
    <row r="1168" spans="1:6" ht="20.25">
      <c r="A1168" s="209"/>
      <c r="B1168" s="210"/>
      <c r="C1168" s="210"/>
      <c r="D1168" s="210"/>
      <c r="E1168" s="211"/>
      <c r="F1168" s="212"/>
    </row>
    <row r="1169" spans="1:6" ht="20.25">
      <c r="A1169" s="209"/>
      <c r="B1169" s="210"/>
      <c r="C1169" s="210"/>
      <c r="D1169" s="210"/>
      <c r="E1169" s="211"/>
      <c r="F1169" s="212"/>
    </row>
    <row r="1170" spans="1:6" ht="20.25">
      <c r="A1170" s="209"/>
      <c r="B1170" s="210"/>
      <c r="C1170" s="210"/>
      <c r="D1170" s="210"/>
      <c r="E1170" s="211"/>
      <c r="F1170" s="212"/>
    </row>
    <row r="1171" spans="1:6" ht="20.25">
      <c r="A1171" s="209"/>
      <c r="B1171" s="210"/>
      <c r="C1171" s="210"/>
      <c r="D1171" s="210"/>
      <c r="E1171" s="211"/>
      <c r="F1171" s="212"/>
    </row>
    <row r="1172" spans="1:6" ht="20.25">
      <c r="A1172" s="209"/>
      <c r="B1172" s="210"/>
      <c r="C1172" s="210"/>
      <c r="D1172" s="210"/>
      <c r="E1172" s="211"/>
      <c r="F1172" s="212"/>
    </row>
    <row r="1173" spans="1:6" ht="20.25">
      <c r="A1173" s="209"/>
      <c r="B1173" s="210"/>
      <c r="C1173" s="210"/>
      <c r="D1173" s="210"/>
      <c r="E1173" s="211"/>
      <c r="F1173" s="212"/>
    </row>
    <row r="1174" spans="1:6" ht="20.25">
      <c r="A1174" s="209"/>
      <c r="B1174" s="210"/>
      <c r="C1174" s="210"/>
      <c r="D1174" s="210"/>
      <c r="E1174" s="211"/>
      <c r="F1174" s="212"/>
    </row>
    <row r="1175" spans="1:6" ht="20.25">
      <c r="A1175" s="209"/>
      <c r="B1175" s="210"/>
      <c r="C1175" s="210"/>
      <c r="D1175" s="210"/>
      <c r="E1175" s="211"/>
      <c r="F1175" s="212"/>
    </row>
    <row r="1176" spans="1:6" ht="20.25">
      <c r="A1176" s="209"/>
      <c r="B1176" s="210"/>
      <c r="C1176" s="210"/>
      <c r="D1176" s="210"/>
      <c r="E1176" s="211"/>
      <c r="F1176" s="212"/>
    </row>
    <row r="1177" spans="1:6" ht="20.25">
      <c r="A1177" s="209"/>
      <c r="B1177" s="210"/>
      <c r="C1177" s="210"/>
      <c r="D1177" s="210"/>
      <c r="E1177" s="211"/>
      <c r="F1177" s="212"/>
    </row>
    <row r="1178" spans="1:6" ht="20.25">
      <c r="A1178" s="209"/>
      <c r="B1178" s="210"/>
      <c r="C1178" s="210"/>
      <c r="D1178" s="210"/>
      <c r="E1178" s="211"/>
      <c r="F1178" s="212"/>
    </row>
    <row r="1179" spans="1:6" ht="20.25">
      <c r="A1179" s="209"/>
      <c r="B1179" s="210"/>
      <c r="C1179" s="210"/>
      <c r="D1179" s="210"/>
      <c r="E1179" s="211"/>
      <c r="F1179" s="212"/>
    </row>
    <row r="1180" spans="1:6" ht="20.25">
      <c r="A1180" s="209"/>
      <c r="B1180" s="210"/>
      <c r="C1180" s="210"/>
      <c r="D1180" s="210"/>
      <c r="E1180" s="211"/>
      <c r="F1180" s="212"/>
    </row>
    <row r="1181" spans="1:6" ht="20.25">
      <c r="A1181" s="209"/>
      <c r="B1181" s="210"/>
      <c r="C1181" s="210"/>
      <c r="D1181" s="210"/>
      <c r="E1181" s="211"/>
      <c r="F1181" s="212"/>
    </row>
    <row r="1182" spans="1:6" ht="20.25">
      <c r="A1182" s="209"/>
      <c r="B1182" s="210"/>
      <c r="C1182" s="210"/>
      <c r="D1182" s="210"/>
      <c r="E1182" s="211"/>
      <c r="F1182" s="212"/>
    </row>
    <row r="1183" spans="1:6" ht="20.25">
      <c r="A1183" s="209"/>
      <c r="B1183" s="210"/>
      <c r="C1183" s="210"/>
      <c r="D1183" s="210"/>
      <c r="E1183" s="211"/>
      <c r="F1183" s="212"/>
    </row>
    <row r="1184" spans="1:6" ht="20.25">
      <c r="A1184" s="209"/>
      <c r="B1184" s="210"/>
      <c r="C1184" s="210"/>
      <c r="D1184" s="210"/>
      <c r="E1184" s="211"/>
      <c r="F1184" s="212"/>
    </row>
    <row r="1185" spans="1:6" ht="20.25">
      <c r="A1185" s="209"/>
      <c r="B1185" s="210"/>
      <c r="C1185" s="210"/>
      <c r="D1185" s="210"/>
      <c r="E1185" s="211"/>
      <c r="F1185" s="212"/>
    </row>
    <row r="1186" spans="1:6" ht="20.25">
      <c r="A1186" s="209"/>
      <c r="B1186" s="210"/>
      <c r="C1186" s="210"/>
      <c r="D1186" s="210"/>
      <c r="E1186" s="211"/>
      <c r="F1186" s="212"/>
    </row>
    <row r="1187" spans="1:6" ht="20.25">
      <c r="A1187" s="209"/>
      <c r="B1187" s="210"/>
      <c r="C1187" s="210"/>
      <c r="D1187" s="210"/>
      <c r="E1187" s="211"/>
      <c r="F1187" s="212"/>
    </row>
    <row r="1188" spans="1:6" ht="20.25">
      <c r="A1188" s="209"/>
      <c r="B1188" s="210"/>
      <c r="C1188" s="210"/>
      <c r="D1188" s="210"/>
      <c r="E1188" s="211"/>
      <c r="F1188" s="212"/>
    </row>
    <row r="1189" spans="1:6" ht="20.25">
      <c r="A1189" s="209"/>
      <c r="B1189" s="210"/>
      <c r="C1189" s="210"/>
      <c r="D1189" s="210"/>
      <c r="E1189" s="211"/>
      <c r="F1189" s="212"/>
    </row>
    <row r="1190" spans="1:6" ht="20.25">
      <c r="A1190" s="209"/>
      <c r="B1190" s="210"/>
      <c r="C1190" s="210"/>
      <c r="D1190" s="210"/>
      <c r="E1190" s="211"/>
      <c r="F1190" s="212"/>
    </row>
    <row r="1191" spans="1:6" ht="20.25">
      <c r="A1191" s="209"/>
      <c r="B1191" s="210"/>
      <c r="C1191" s="210"/>
      <c r="D1191" s="210"/>
      <c r="E1191" s="211"/>
      <c r="F1191" s="212"/>
    </row>
    <row r="1192" spans="1:6" ht="20.25">
      <c r="A1192" s="209"/>
      <c r="B1192" s="210"/>
      <c r="C1192" s="210"/>
      <c r="D1192" s="210"/>
      <c r="E1192" s="211"/>
      <c r="F1192" s="212"/>
    </row>
    <row r="1193" spans="1:6" ht="20.25">
      <c r="A1193" s="209"/>
      <c r="B1193" s="210"/>
      <c r="C1193" s="210"/>
      <c r="D1193" s="210"/>
      <c r="E1193" s="211"/>
      <c r="F1193" s="212"/>
    </row>
    <row r="1194" spans="1:6" ht="20.25">
      <c r="A1194" s="209"/>
      <c r="B1194" s="210"/>
      <c r="C1194" s="210"/>
      <c r="D1194" s="210"/>
      <c r="E1194" s="211"/>
      <c r="F1194" s="212"/>
    </row>
    <row r="1195" spans="1:6" ht="20.25">
      <c r="A1195" s="209"/>
      <c r="B1195" s="210"/>
      <c r="C1195" s="210"/>
      <c r="D1195" s="210"/>
      <c r="E1195" s="211"/>
      <c r="F1195" s="212"/>
    </row>
    <row r="1196" spans="1:6" ht="20.25">
      <c r="A1196" s="209"/>
      <c r="B1196" s="210"/>
      <c r="C1196" s="210"/>
      <c r="D1196" s="210"/>
      <c r="E1196" s="211"/>
      <c r="F1196" s="212"/>
    </row>
    <row r="1197" spans="1:6" ht="20.25">
      <c r="A1197" s="209"/>
      <c r="B1197" s="210"/>
      <c r="C1197" s="210"/>
      <c r="D1197" s="210"/>
      <c r="E1197" s="211"/>
      <c r="F1197" s="212"/>
    </row>
    <row r="1198" spans="1:6" ht="20.25">
      <c r="A1198" s="209"/>
      <c r="B1198" s="210"/>
      <c r="C1198" s="210"/>
      <c r="D1198" s="210"/>
      <c r="E1198" s="211"/>
      <c r="F1198" s="212"/>
    </row>
    <row r="1199" spans="1:6" ht="20.25">
      <c r="A1199" s="209"/>
      <c r="B1199" s="210"/>
      <c r="C1199" s="210"/>
      <c r="D1199" s="210"/>
      <c r="E1199" s="211"/>
      <c r="F1199" s="212"/>
    </row>
    <row r="1200" spans="1:6" ht="20.25">
      <c r="A1200" s="209"/>
      <c r="B1200" s="210"/>
      <c r="C1200" s="210"/>
      <c r="D1200" s="210"/>
      <c r="E1200" s="211"/>
      <c r="F1200" s="212"/>
    </row>
    <row r="1201" spans="1:6" ht="20.25">
      <c r="A1201" s="209"/>
      <c r="B1201" s="210"/>
      <c r="C1201" s="210"/>
      <c r="D1201" s="210"/>
      <c r="E1201" s="211"/>
      <c r="F1201" s="212"/>
    </row>
    <row r="1202" spans="1:6" ht="20.25">
      <c r="A1202" s="209"/>
      <c r="B1202" s="210"/>
      <c r="C1202" s="210"/>
      <c r="D1202" s="210"/>
      <c r="E1202" s="211"/>
      <c r="F1202" s="212"/>
    </row>
    <row r="1203" spans="1:6" ht="20.25">
      <c r="A1203" s="209"/>
      <c r="B1203" s="210"/>
      <c r="C1203" s="210"/>
      <c r="D1203" s="210"/>
      <c r="E1203" s="211"/>
      <c r="F1203" s="212"/>
    </row>
    <row r="1204" spans="1:6" ht="20.25">
      <c r="A1204" s="209"/>
      <c r="B1204" s="210"/>
      <c r="C1204" s="210"/>
      <c r="D1204" s="210"/>
      <c r="E1204" s="211"/>
      <c r="F1204" s="212"/>
    </row>
    <row r="1205" spans="1:6" ht="20.25">
      <c r="A1205" s="209"/>
      <c r="B1205" s="210"/>
      <c r="C1205" s="210"/>
      <c r="D1205" s="210"/>
      <c r="E1205" s="211"/>
      <c r="F1205" s="212"/>
    </row>
    <row r="1206" spans="1:6" ht="20.25">
      <c r="A1206" s="209"/>
      <c r="B1206" s="210"/>
      <c r="C1206" s="210"/>
      <c r="D1206" s="210"/>
      <c r="E1206" s="211"/>
      <c r="F1206" s="212"/>
    </row>
    <row r="1207" spans="1:6" ht="20.25">
      <c r="A1207" s="209"/>
      <c r="B1207" s="210"/>
      <c r="C1207" s="210"/>
      <c r="D1207" s="210"/>
      <c r="E1207" s="211"/>
      <c r="F1207" s="212"/>
    </row>
    <row r="1208" spans="1:6" ht="20.25">
      <c r="A1208" s="209"/>
      <c r="B1208" s="210"/>
      <c r="C1208" s="210"/>
      <c r="D1208" s="210"/>
      <c r="E1208" s="211"/>
      <c r="F1208" s="212"/>
    </row>
    <row r="1209" spans="1:6" ht="20.25">
      <c r="A1209" s="209"/>
      <c r="B1209" s="210"/>
      <c r="C1209" s="210"/>
      <c r="D1209" s="210"/>
      <c r="E1209" s="211"/>
      <c r="F1209" s="212"/>
    </row>
    <row r="1210" spans="1:6" ht="20.25">
      <c r="A1210" s="209"/>
      <c r="B1210" s="210"/>
      <c r="C1210" s="210"/>
      <c r="D1210" s="210"/>
      <c r="E1210" s="211"/>
      <c r="F1210" s="212"/>
    </row>
    <row r="1211" spans="1:6" ht="20.25">
      <c r="A1211" s="209"/>
      <c r="B1211" s="210"/>
      <c r="C1211" s="210"/>
      <c r="D1211" s="210"/>
      <c r="E1211" s="211"/>
      <c r="F1211" s="212"/>
    </row>
    <row r="1212" spans="1:6" ht="20.25">
      <c r="A1212" s="209"/>
      <c r="B1212" s="210"/>
      <c r="C1212" s="210"/>
      <c r="D1212" s="210"/>
      <c r="E1212" s="211"/>
      <c r="F1212" s="212"/>
    </row>
    <row r="1213" spans="1:6" ht="20.25">
      <c r="A1213" s="209"/>
      <c r="B1213" s="210"/>
      <c r="C1213" s="210"/>
      <c r="D1213" s="210"/>
      <c r="E1213" s="211"/>
      <c r="F1213" s="212"/>
    </row>
    <row r="1214" spans="1:6" ht="20.25">
      <c r="A1214" s="209"/>
      <c r="B1214" s="210"/>
      <c r="C1214" s="210"/>
      <c r="D1214" s="210"/>
      <c r="E1214" s="211"/>
      <c r="F1214" s="212"/>
    </row>
    <row r="1215" spans="1:6" ht="20.25">
      <c r="A1215" s="209"/>
      <c r="B1215" s="210"/>
      <c r="C1215" s="210"/>
      <c r="D1215" s="210"/>
      <c r="E1215" s="211"/>
      <c r="F1215" s="212"/>
    </row>
    <row r="1216" spans="1:6" ht="20.25">
      <c r="A1216" s="209"/>
      <c r="B1216" s="210"/>
      <c r="C1216" s="210"/>
      <c r="D1216" s="210"/>
      <c r="E1216" s="211"/>
      <c r="F1216" s="212"/>
    </row>
    <row r="1217" spans="1:6" ht="20.25">
      <c r="A1217" s="209"/>
      <c r="B1217" s="210"/>
      <c r="C1217" s="210"/>
      <c r="D1217" s="210"/>
      <c r="E1217" s="211"/>
      <c r="F1217" s="212"/>
    </row>
    <row r="1218" spans="1:6" ht="20.25">
      <c r="A1218" s="209"/>
      <c r="B1218" s="210"/>
      <c r="C1218" s="210"/>
      <c r="D1218" s="210"/>
      <c r="E1218" s="211"/>
      <c r="F1218" s="212"/>
    </row>
    <row r="1219" spans="1:6" ht="20.25">
      <c r="A1219" s="209"/>
      <c r="B1219" s="210"/>
      <c r="C1219" s="210"/>
      <c r="D1219" s="210"/>
      <c r="E1219" s="211"/>
      <c r="F1219" s="212"/>
    </row>
    <row r="1220" spans="1:6" ht="20.25">
      <c r="A1220" s="209"/>
      <c r="B1220" s="210"/>
      <c r="C1220" s="210"/>
      <c r="D1220" s="210"/>
      <c r="E1220" s="211"/>
      <c r="F1220" s="212"/>
    </row>
    <row r="1221" spans="1:6" ht="20.25">
      <c r="A1221" s="209"/>
      <c r="B1221" s="210"/>
      <c r="C1221" s="210"/>
      <c r="D1221" s="210"/>
      <c r="E1221" s="211"/>
      <c r="F1221" s="212"/>
    </row>
    <row r="1222" spans="1:6" ht="20.25">
      <c r="A1222" s="209"/>
      <c r="B1222" s="210"/>
      <c r="C1222" s="210"/>
      <c r="D1222" s="210"/>
      <c r="E1222" s="211"/>
      <c r="F1222" s="212"/>
    </row>
    <row r="1223" spans="1:6" ht="20.25">
      <c r="A1223" s="209"/>
      <c r="B1223" s="210"/>
      <c r="C1223" s="210"/>
      <c r="D1223" s="210"/>
      <c r="E1223" s="211"/>
      <c r="F1223" s="212"/>
    </row>
    <row r="1224" spans="1:6" ht="20.25">
      <c r="A1224" s="209"/>
      <c r="B1224" s="210"/>
      <c r="C1224" s="210"/>
      <c r="D1224" s="210"/>
      <c r="E1224" s="211"/>
      <c r="F1224" s="212"/>
    </row>
    <row r="1225" spans="1:6" ht="20.25">
      <c r="A1225" s="209"/>
      <c r="B1225" s="210"/>
      <c r="C1225" s="210"/>
      <c r="D1225" s="210"/>
      <c r="E1225" s="211"/>
      <c r="F1225" s="212"/>
    </row>
    <row r="1226" spans="1:6" ht="20.25">
      <c r="A1226" s="209"/>
      <c r="B1226" s="210"/>
      <c r="C1226" s="210"/>
      <c r="D1226" s="210"/>
      <c r="E1226" s="211"/>
      <c r="F1226" s="212"/>
    </row>
    <row r="1227" spans="1:6" ht="20.25">
      <c r="A1227" s="209"/>
      <c r="B1227" s="210"/>
      <c r="C1227" s="210"/>
      <c r="D1227" s="210"/>
      <c r="E1227" s="211"/>
      <c r="F1227" s="212"/>
    </row>
    <row r="1228" spans="1:6" ht="20.25">
      <c r="A1228" s="209"/>
      <c r="B1228" s="210"/>
      <c r="C1228" s="210"/>
      <c r="D1228" s="210"/>
      <c r="E1228" s="211"/>
      <c r="F1228" s="212"/>
    </row>
    <row r="1229" spans="1:6" ht="20.25">
      <c r="A1229" s="209"/>
      <c r="B1229" s="210"/>
      <c r="C1229" s="210"/>
      <c r="D1229" s="210"/>
      <c r="E1229" s="211"/>
      <c r="F1229" s="212"/>
    </row>
    <row r="1230" spans="1:6" ht="20.25">
      <c r="A1230" s="209"/>
      <c r="B1230" s="210"/>
      <c r="C1230" s="210"/>
      <c r="D1230" s="210"/>
      <c r="E1230" s="211"/>
      <c r="F1230" s="212"/>
    </row>
    <row r="1231" spans="1:6" ht="20.25">
      <c r="A1231" s="209"/>
      <c r="B1231" s="210"/>
      <c r="C1231" s="210"/>
      <c r="D1231" s="210"/>
      <c r="E1231" s="211"/>
      <c r="F1231" s="212"/>
    </row>
    <row r="1232" spans="1:6" ht="20.25">
      <c r="A1232" s="209"/>
      <c r="B1232" s="210"/>
      <c r="C1232" s="210"/>
      <c r="D1232" s="210"/>
      <c r="E1232" s="211"/>
      <c r="F1232" s="212"/>
    </row>
    <row r="1233" spans="1:6" ht="20.25">
      <c r="A1233" s="209"/>
      <c r="B1233" s="210"/>
      <c r="C1233" s="210"/>
      <c r="D1233" s="210"/>
      <c r="E1233" s="211"/>
      <c r="F1233" s="212"/>
    </row>
    <row r="1234" spans="1:6" ht="20.25">
      <c r="A1234" s="209"/>
      <c r="B1234" s="210"/>
      <c r="C1234" s="210"/>
      <c r="D1234" s="210"/>
      <c r="E1234" s="211"/>
      <c r="F1234" s="212"/>
    </row>
    <row r="1235" spans="1:6" ht="20.25">
      <c r="A1235" s="209"/>
      <c r="B1235" s="210"/>
      <c r="C1235" s="210"/>
      <c r="D1235" s="210"/>
      <c r="E1235" s="211"/>
      <c r="F1235" s="212"/>
    </row>
    <row r="1236" spans="1:6" ht="20.25">
      <c r="A1236" s="209"/>
      <c r="B1236" s="210"/>
      <c r="C1236" s="210"/>
      <c r="D1236" s="210"/>
      <c r="E1236" s="211"/>
      <c r="F1236" s="212"/>
    </row>
    <row r="1237" spans="1:6" ht="20.25">
      <c r="A1237" s="209"/>
      <c r="B1237" s="210"/>
      <c r="C1237" s="210"/>
      <c r="D1237" s="210"/>
      <c r="E1237" s="211"/>
      <c r="F1237" s="212"/>
    </row>
    <row r="1238" spans="1:6" ht="20.25">
      <c r="A1238" s="209"/>
      <c r="B1238" s="210"/>
      <c r="C1238" s="210"/>
      <c r="D1238" s="210"/>
      <c r="E1238" s="211"/>
      <c r="F1238" s="212"/>
    </row>
    <row r="1239" spans="1:6" ht="20.25">
      <c r="A1239" s="209"/>
      <c r="B1239" s="210"/>
      <c r="C1239" s="210"/>
      <c r="D1239" s="210"/>
      <c r="E1239" s="211"/>
      <c r="F1239" s="212"/>
    </row>
    <row r="1240" spans="1:6" ht="20.25">
      <c r="A1240" s="209"/>
      <c r="B1240" s="210"/>
      <c r="C1240" s="210"/>
      <c r="D1240" s="210"/>
      <c r="E1240" s="211"/>
      <c r="F1240" s="212"/>
    </row>
    <row r="1241" spans="1:6" ht="20.25">
      <c r="A1241" s="209"/>
      <c r="B1241" s="210"/>
      <c r="C1241" s="210"/>
      <c r="D1241" s="210"/>
      <c r="E1241" s="211"/>
      <c r="F1241" s="212"/>
    </row>
    <row r="1242" spans="1:6" ht="20.25">
      <c r="A1242" s="209"/>
      <c r="B1242" s="210"/>
      <c r="C1242" s="210"/>
      <c r="D1242" s="210"/>
      <c r="E1242" s="211"/>
      <c r="F1242" s="212"/>
    </row>
    <row r="1243" spans="1:6" ht="20.25">
      <c r="A1243" s="209"/>
      <c r="B1243" s="210"/>
      <c r="C1243" s="210"/>
      <c r="D1243" s="210"/>
      <c r="E1243" s="211"/>
      <c r="F1243" s="212"/>
    </row>
    <row r="1244" spans="1:6" ht="20.25">
      <c r="A1244" s="209"/>
      <c r="B1244" s="210"/>
      <c r="C1244" s="210"/>
      <c r="D1244" s="210"/>
      <c r="E1244" s="211"/>
      <c r="F1244" s="212"/>
    </row>
    <row r="1245" spans="1:6" ht="20.25">
      <c r="A1245" s="209"/>
      <c r="B1245" s="210"/>
      <c r="C1245" s="210"/>
      <c r="D1245" s="210"/>
      <c r="E1245" s="211"/>
      <c r="F1245" s="212"/>
    </row>
    <row r="1246" spans="1:6" ht="20.25">
      <c r="A1246" s="209"/>
      <c r="B1246" s="210"/>
      <c r="C1246" s="210"/>
      <c r="D1246" s="210"/>
      <c r="E1246" s="211"/>
      <c r="F1246" s="212"/>
    </row>
    <row r="1247" spans="1:6" ht="20.25">
      <c r="A1247" s="209"/>
      <c r="B1247" s="210"/>
      <c r="C1247" s="210"/>
      <c r="D1247" s="210"/>
      <c r="E1247" s="211"/>
      <c r="F1247" s="212"/>
    </row>
    <row r="1248" spans="1:6" ht="20.25">
      <c r="A1248" s="209"/>
      <c r="B1248" s="210"/>
      <c r="C1248" s="210"/>
      <c r="D1248" s="210"/>
      <c r="E1248" s="211"/>
      <c r="F1248" s="212"/>
    </row>
    <row r="1249" spans="1:6" ht="20.25">
      <c r="A1249" s="209"/>
      <c r="B1249" s="210"/>
      <c r="C1249" s="210"/>
      <c r="D1249" s="210"/>
      <c r="E1249" s="211"/>
      <c r="F1249" s="212"/>
    </row>
    <row r="1250" spans="1:6" ht="20.25">
      <c r="A1250" s="209"/>
      <c r="B1250" s="210"/>
      <c r="C1250" s="210"/>
      <c r="D1250" s="210"/>
      <c r="E1250" s="211"/>
      <c r="F1250" s="212"/>
    </row>
    <row r="1251" spans="1:6" ht="20.25">
      <c r="A1251" s="209"/>
      <c r="B1251" s="210"/>
      <c r="C1251" s="210"/>
      <c r="D1251" s="210"/>
      <c r="E1251" s="211"/>
      <c r="F1251" s="212"/>
    </row>
    <row r="1252" spans="1:6" ht="20.25">
      <c r="A1252" s="209"/>
      <c r="B1252" s="210"/>
      <c r="C1252" s="210"/>
      <c r="D1252" s="210"/>
      <c r="E1252" s="211"/>
      <c r="F1252" s="212"/>
    </row>
    <row r="1253" spans="1:6" ht="20.25">
      <c r="A1253" s="209"/>
      <c r="B1253" s="210"/>
      <c r="C1253" s="210"/>
      <c r="D1253" s="210"/>
      <c r="E1253" s="211"/>
      <c r="F1253" s="212"/>
    </row>
    <row r="1254" spans="1:6" ht="20.25">
      <c r="A1254" s="209"/>
      <c r="B1254" s="210"/>
      <c r="C1254" s="210"/>
      <c r="D1254" s="210"/>
      <c r="E1254" s="211"/>
      <c r="F1254" s="212"/>
    </row>
    <row r="1255" spans="1:6" ht="20.25">
      <c r="A1255" s="209"/>
      <c r="B1255" s="210"/>
      <c r="C1255" s="210"/>
      <c r="D1255" s="210"/>
      <c r="E1255" s="211"/>
      <c r="F1255" s="212"/>
    </row>
    <row r="1256" spans="1:6" ht="20.25">
      <c r="A1256" s="209"/>
      <c r="B1256" s="210"/>
      <c r="C1256" s="210"/>
      <c r="D1256" s="210"/>
      <c r="E1256" s="211"/>
      <c r="F1256" s="212"/>
    </row>
    <row r="1257" spans="1:6" ht="20.25">
      <c r="A1257" s="209"/>
      <c r="B1257" s="210"/>
      <c r="C1257" s="210"/>
      <c r="D1257" s="210"/>
      <c r="E1257" s="211"/>
      <c r="F1257" s="212"/>
    </row>
    <row r="1258" spans="1:6" ht="20.25">
      <c r="A1258" s="209"/>
      <c r="B1258" s="210"/>
      <c r="C1258" s="210"/>
      <c r="D1258" s="210"/>
      <c r="E1258" s="211"/>
      <c r="F1258" s="212"/>
    </row>
    <row r="1259" spans="1:6" ht="20.25">
      <c r="A1259" s="209"/>
      <c r="B1259" s="210"/>
      <c r="C1259" s="210"/>
      <c r="D1259" s="210"/>
      <c r="E1259" s="211"/>
      <c r="F1259" s="212"/>
    </row>
    <row r="1260" spans="1:6" ht="20.25">
      <c r="A1260" s="209"/>
      <c r="B1260" s="210"/>
      <c r="C1260" s="210"/>
      <c r="D1260" s="210"/>
      <c r="E1260" s="211"/>
      <c r="F1260" s="212"/>
    </row>
    <row r="1261" spans="1:6" ht="20.25">
      <c r="A1261" s="209"/>
      <c r="B1261" s="210"/>
      <c r="C1261" s="210"/>
      <c r="D1261" s="210"/>
      <c r="E1261" s="211"/>
      <c r="F1261" s="212"/>
    </row>
    <row r="1262" spans="1:6" ht="20.25">
      <c r="A1262" s="209"/>
      <c r="B1262" s="210"/>
      <c r="C1262" s="210"/>
      <c r="D1262" s="210"/>
      <c r="E1262" s="211"/>
      <c r="F1262" s="212"/>
    </row>
    <row r="1263" spans="1:6" ht="20.25">
      <c r="A1263" s="209"/>
      <c r="B1263" s="210"/>
      <c r="C1263" s="210"/>
      <c r="D1263" s="210"/>
      <c r="E1263" s="211"/>
      <c r="F1263" s="212"/>
    </row>
    <row r="1264" spans="1:6" ht="20.25">
      <c r="A1264" s="209"/>
      <c r="B1264" s="210"/>
      <c r="C1264" s="210"/>
      <c r="D1264" s="210"/>
      <c r="E1264" s="211"/>
      <c r="F1264" s="212"/>
    </row>
    <row r="1265" spans="1:6" ht="20.25">
      <c r="A1265" s="209"/>
      <c r="B1265" s="210"/>
      <c r="C1265" s="210"/>
      <c r="D1265" s="210"/>
      <c r="E1265" s="211"/>
      <c r="F1265" s="212"/>
    </row>
    <row r="1266" spans="1:6" ht="20.25">
      <c r="A1266" s="209"/>
      <c r="B1266" s="210"/>
      <c r="C1266" s="210"/>
      <c r="D1266" s="210"/>
      <c r="E1266" s="211"/>
      <c r="F1266" s="212"/>
    </row>
    <row r="1267" spans="1:6" ht="20.25">
      <c r="A1267" s="209"/>
      <c r="B1267" s="210"/>
      <c r="C1267" s="210"/>
      <c r="D1267" s="210"/>
      <c r="E1267" s="211"/>
      <c r="F1267" s="212"/>
    </row>
    <row r="1268" spans="1:6" ht="20.25">
      <c r="A1268" s="209"/>
      <c r="B1268" s="210"/>
      <c r="C1268" s="210"/>
      <c r="D1268" s="210"/>
      <c r="E1268" s="211"/>
      <c r="F1268" s="212"/>
    </row>
    <row r="1269" spans="1:6" ht="20.25">
      <c r="A1269" s="209"/>
      <c r="B1269" s="210"/>
      <c r="C1269" s="210"/>
      <c r="D1269" s="210"/>
      <c r="E1269" s="211"/>
      <c r="F1269" s="212"/>
    </row>
    <row r="1270" spans="1:6" ht="20.25">
      <c r="A1270" s="209"/>
      <c r="B1270" s="210"/>
      <c r="C1270" s="210"/>
      <c r="D1270" s="210"/>
      <c r="E1270" s="211"/>
      <c r="F1270" s="212"/>
    </row>
    <row r="1271" spans="1:6" ht="20.25">
      <c r="A1271" s="209"/>
      <c r="B1271" s="210"/>
      <c r="C1271" s="210"/>
      <c r="D1271" s="210"/>
      <c r="E1271" s="211"/>
      <c r="F1271" s="212"/>
    </row>
    <row r="1272" spans="1:6" ht="20.25">
      <c r="A1272" s="209"/>
      <c r="B1272" s="210"/>
      <c r="C1272" s="210"/>
      <c r="D1272" s="210"/>
      <c r="E1272" s="211"/>
      <c r="F1272" s="212"/>
    </row>
    <row r="1273" spans="1:6" ht="20.25">
      <c r="A1273" s="209"/>
      <c r="B1273" s="210"/>
      <c r="C1273" s="210"/>
      <c r="D1273" s="210"/>
      <c r="E1273" s="211"/>
      <c r="F1273" s="212"/>
    </row>
    <row r="1274" spans="1:6" ht="20.25">
      <c r="A1274" s="209"/>
      <c r="B1274" s="210"/>
      <c r="C1274" s="210"/>
      <c r="D1274" s="210"/>
      <c r="E1274" s="211"/>
      <c r="F1274" s="212"/>
    </row>
    <row r="1275" spans="1:6" ht="20.25">
      <c r="A1275" s="209"/>
      <c r="B1275" s="210"/>
      <c r="C1275" s="210"/>
      <c r="D1275" s="210"/>
      <c r="E1275" s="211"/>
      <c r="F1275" s="212"/>
    </row>
    <row r="1276" spans="1:6" ht="20.25">
      <c r="A1276" s="209"/>
      <c r="B1276" s="210"/>
      <c r="C1276" s="210"/>
      <c r="D1276" s="210"/>
      <c r="E1276" s="211"/>
      <c r="F1276" s="212"/>
    </row>
    <row r="1277" spans="1:6" ht="20.25">
      <c r="A1277" s="209"/>
      <c r="B1277" s="210"/>
      <c r="C1277" s="210"/>
      <c r="D1277" s="210"/>
      <c r="E1277" s="211"/>
      <c r="F1277" s="212"/>
    </row>
    <row r="1278" spans="1:6" ht="20.25">
      <c r="A1278" s="209"/>
      <c r="B1278" s="210"/>
      <c r="C1278" s="210"/>
      <c r="D1278" s="210"/>
      <c r="E1278" s="211"/>
      <c r="F1278" s="212"/>
    </row>
    <row r="1279" spans="1:6" ht="20.25">
      <c r="A1279" s="209"/>
      <c r="B1279" s="210"/>
      <c r="C1279" s="210"/>
      <c r="D1279" s="210"/>
      <c r="E1279" s="211"/>
      <c r="F1279" s="212"/>
    </row>
    <row r="1280" spans="1:6" ht="20.25">
      <c r="A1280" s="209"/>
      <c r="B1280" s="210"/>
      <c r="C1280" s="210"/>
      <c r="D1280" s="210"/>
      <c r="E1280" s="211"/>
      <c r="F1280" s="212"/>
    </row>
    <row r="1281" spans="1:6" ht="20.25">
      <c r="A1281" s="209"/>
      <c r="B1281" s="210"/>
      <c r="C1281" s="210"/>
      <c r="D1281" s="210"/>
      <c r="E1281" s="211"/>
      <c r="F1281" s="212"/>
    </row>
    <row r="1282" spans="1:6" ht="20.25">
      <c r="A1282" s="209"/>
      <c r="B1282" s="210"/>
      <c r="C1282" s="210"/>
      <c r="D1282" s="210"/>
      <c r="E1282" s="211"/>
      <c r="F1282" s="212"/>
    </row>
    <row r="1283" spans="1:6" ht="20.25">
      <c r="A1283" s="209"/>
      <c r="B1283" s="210"/>
      <c r="C1283" s="210"/>
      <c r="D1283" s="210"/>
      <c r="E1283" s="211"/>
      <c r="F1283" s="212"/>
    </row>
    <row r="1284" spans="1:6" ht="20.25">
      <c r="A1284" s="209"/>
      <c r="B1284" s="210"/>
      <c r="C1284" s="210"/>
      <c r="D1284" s="210"/>
      <c r="E1284" s="211"/>
      <c r="F1284" s="212"/>
    </row>
    <row r="1285" spans="1:6" ht="20.25">
      <c r="A1285" s="209"/>
      <c r="B1285" s="210"/>
      <c r="C1285" s="210"/>
      <c r="D1285" s="210"/>
      <c r="E1285" s="211"/>
      <c r="F1285" s="212"/>
    </row>
    <row r="1286" spans="1:6" ht="20.25">
      <c r="A1286" s="209"/>
      <c r="B1286" s="210"/>
      <c r="C1286" s="210"/>
      <c r="D1286" s="210"/>
      <c r="E1286" s="211"/>
      <c r="F1286" s="212"/>
    </row>
    <row r="1287" spans="1:6" ht="20.25">
      <c r="A1287" s="209"/>
      <c r="B1287" s="210"/>
      <c r="C1287" s="210"/>
      <c r="D1287" s="210"/>
      <c r="E1287" s="211"/>
      <c r="F1287" s="212"/>
    </row>
    <row r="1288" spans="1:6" ht="20.25">
      <c r="A1288" s="209"/>
      <c r="B1288" s="210"/>
      <c r="C1288" s="210"/>
      <c r="D1288" s="210"/>
      <c r="E1288" s="211"/>
      <c r="F1288" s="212"/>
    </row>
    <row r="1289" spans="1:6" ht="20.25">
      <c r="A1289" s="209"/>
      <c r="B1289" s="210"/>
      <c r="C1289" s="210"/>
      <c r="D1289" s="210"/>
      <c r="E1289" s="211"/>
      <c r="F1289" s="212"/>
    </row>
    <row r="1290" spans="1:6" ht="20.25">
      <c r="A1290" s="209"/>
      <c r="B1290" s="210"/>
      <c r="C1290" s="210"/>
      <c r="D1290" s="210"/>
      <c r="E1290" s="211"/>
      <c r="F1290" s="212"/>
    </row>
    <row r="1291" spans="1:6" ht="20.25">
      <c r="A1291" s="209"/>
      <c r="B1291" s="210"/>
      <c r="C1291" s="210"/>
      <c r="D1291" s="210"/>
      <c r="E1291" s="211"/>
      <c r="F1291" s="212"/>
    </row>
    <row r="1292" spans="1:6" ht="20.25">
      <c r="A1292" s="209"/>
      <c r="B1292" s="210"/>
      <c r="C1292" s="210"/>
      <c r="D1292" s="210"/>
      <c r="E1292" s="211"/>
      <c r="F1292" s="212"/>
    </row>
    <row r="1293" spans="1:6" ht="20.25">
      <c r="A1293" s="209"/>
      <c r="B1293" s="210"/>
      <c r="C1293" s="210"/>
      <c r="D1293" s="210"/>
      <c r="E1293" s="211"/>
      <c r="F1293" s="212"/>
    </row>
    <row r="1294" spans="1:6" ht="20.25">
      <c r="A1294" s="209"/>
      <c r="B1294" s="210"/>
      <c r="C1294" s="210"/>
      <c r="D1294" s="210"/>
      <c r="E1294" s="211"/>
      <c r="F1294" s="212"/>
    </row>
    <row r="1295" spans="1:6" ht="20.25">
      <c r="A1295" s="209"/>
      <c r="B1295" s="210"/>
      <c r="C1295" s="210"/>
      <c r="D1295" s="210"/>
      <c r="E1295" s="211"/>
      <c r="F1295" s="212"/>
    </row>
    <row r="1296" spans="1:6" ht="20.25">
      <c r="A1296" s="209"/>
      <c r="B1296" s="210"/>
      <c r="C1296" s="210"/>
      <c r="D1296" s="210"/>
      <c r="E1296" s="211"/>
      <c r="F1296" s="212"/>
    </row>
    <row r="1297" spans="1:6" ht="20.25">
      <c r="A1297" s="209"/>
      <c r="B1297" s="210"/>
      <c r="C1297" s="210"/>
      <c r="D1297" s="210"/>
      <c r="E1297" s="211"/>
      <c r="F1297" s="212"/>
    </row>
    <row r="1298" spans="1:6" ht="20.25">
      <c r="A1298" s="209"/>
      <c r="B1298" s="210"/>
      <c r="C1298" s="210"/>
      <c r="D1298" s="210"/>
      <c r="E1298" s="211"/>
      <c r="F1298" s="212"/>
    </row>
    <row r="1299" spans="1:6" ht="20.25">
      <c r="A1299" s="209"/>
      <c r="B1299" s="210"/>
      <c r="C1299" s="210"/>
      <c r="D1299" s="210"/>
      <c r="E1299" s="211"/>
      <c r="F1299" s="212"/>
    </row>
    <row r="1300" spans="1:6" ht="20.25">
      <c r="A1300" s="209"/>
      <c r="B1300" s="210"/>
      <c r="C1300" s="210"/>
      <c r="D1300" s="210"/>
      <c r="E1300" s="211"/>
      <c r="F1300" s="212"/>
    </row>
    <row r="1301" spans="1:6" ht="20.25">
      <c r="A1301" s="209"/>
      <c r="B1301" s="210"/>
      <c r="C1301" s="210"/>
      <c r="D1301" s="210"/>
      <c r="E1301" s="211"/>
      <c r="F1301" s="212"/>
    </row>
    <row r="1302" spans="1:6" ht="20.25">
      <c r="A1302" s="209"/>
      <c r="B1302" s="210"/>
      <c r="C1302" s="210"/>
      <c r="D1302" s="210"/>
      <c r="E1302" s="211"/>
      <c r="F1302" s="212"/>
    </row>
    <row r="1303" spans="1:6" ht="20.25">
      <c r="A1303" s="209"/>
      <c r="B1303" s="210"/>
      <c r="C1303" s="210"/>
      <c r="D1303" s="210"/>
      <c r="E1303" s="211"/>
      <c r="F1303" s="212"/>
    </row>
    <row r="1304" spans="1:6" ht="20.25">
      <c r="A1304" s="209"/>
      <c r="B1304" s="210"/>
      <c r="C1304" s="210"/>
      <c r="D1304" s="210"/>
      <c r="E1304" s="211"/>
      <c r="F1304" s="212"/>
    </row>
    <row r="1305" spans="1:6" ht="20.25">
      <c r="A1305" s="209"/>
      <c r="B1305" s="210"/>
      <c r="C1305" s="210"/>
      <c r="D1305" s="210"/>
      <c r="E1305" s="211"/>
      <c r="F1305" s="212"/>
    </row>
    <row r="1306" spans="1:6" ht="20.25">
      <c r="A1306" s="209"/>
      <c r="B1306" s="210"/>
      <c r="C1306" s="210"/>
      <c r="D1306" s="210"/>
      <c r="E1306" s="211"/>
      <c r="F1306" s="212"/>
    </row>
    <row r="1307" spans="1:6" ht="20.25">
      <c r="A1307" s="209"/>
      <c r="B1307" s="210"/>
      <c r="C1307" s="210"/>
      <c r="D1307" s="210"/>
      <c r="E1307" s="211"/>
      <c r="F1307" s="212"/>
    </row>
    <row r="1308" spans="1:6" ht="20.25">
      <c r="A1308" s="209"/>
      <c r="B1308" s="210"/>
      <c r="C1308" s="210"/>
      <c r="D1308" s="210"/>
      <c r="E1308" s="211"/>
      <c r="F1308" s="212"/>
    </row>
    <row r="1309" spans="1:6" ht="20.25">
      <c r="A1309" s="209"/>
      <c r="B1309" s="210"/>
      <c r="C1309" s="210"/>
      <c r="D1309" s="210"/>
      <c r="E1309" s="211"/>
      <c r="F1309" s="212"/>
    </row>
    <row r="1310" spans="1:6" ht="20.25">
      <c r="A1310" s="209"/>
      <c r="B1310" s="210"/>
      <c r="C1310" s="210"/>
      <c r="D1310" s="210"/>
      <c r="E1310" s="211"/>
      <c r="F1310" s="212"/>
    </row>
    <row r="1311" spans="1:6" ht="20.25">
      <c r="A1311" s="209"/>
      <c r="B1311" s="210"/>
      <c r="C1311" s="210"/>
      <c r="D1311" s="210"/>
      <c r="E1311" s="211"/>
      <c r="F1311" s="212"/>
    </row>
    <row r="1312" spans="1:6" ht="20.25">
      <c r="A1312" s="209"/>
      <c r="B1312" s="210"/>
      <c r="C1312" s="210"/>
      <c r="D1312" s="210"/>
      <c r="E1312" s="211"/>
      <c r="F1312" s="212"/>
    </row>
    <row r="1313" spans="1:6" ht="20.25">
      <c r="A1313" s="209"/>
      <c r="B1313" s="210"/>
      <c r="C1313" s="210"/>
      <c r="D1313" s="210"/>
      <c r="E1313" s="211"/>
      <c r="F1313" s="212"/>
    </row>
    <row r="1314" spans="1:6" ht="20.25">
      <c r="A1314" s="209"/>
      <c r="B1314" s="210"/>
      <c r="C1314" s="210"/>
      <c r="D1314" s="210"/>
      <c r="E1314" s="211"/>
      <c r="F1314" s="212"/>
    </row>
    <row r="1315" spans="1:6" ht="20.25">
      <c r="A1315" s="209"/>
      <c r="B1315" s="210"/>
      <c r="C1315" s="210"/>
      <c r="D1315" s="210"/>
      <c r="E1315" s="211"/>
      <c r="F1315" s="212"/>
    </row>
    <row r="1316" spans="1:6" ht="20.25">
      <c r="A1316" s="209"/>
      <c r="B1316" s="210"/>
      <c r="C1316" s="210"/>
      <c r="D1316" s="210"/>
      <c r="E1316" s="211"/>
      <c r="F1316" s="212"/>
    </row>
    <row r="1317" spans="1:6" ht="20.25">
      <c r="A1317" s="209"/>
      <c r="B1317" s="210"/>
      <c r="C1317" s="210"/>
      <c r="D1317" s="210"/>
      <c r="E1317" s="211"/>
      <c r="F1317" s="212"/>
    </row>
    <row r="1318" spans="1:6" ht="20.25">
      <c r="A1318" s="209"/>
      <c r="B1318" s="210"/>
      <c r="C1318" s="210"/>
      <c r="D1318" s="210"/>
      <c r="E1318" s="211"/>
      <c r="F1318" s="212"/>
    </row>
    <row r="1319" spans="1:6" ht="20.25">
      <c r="A1319" s="209"/>
      <c r="B1319" s="210"/>
      <c r="C1319" s="210"/>
      <c r="D1319" s="210"/>
      <c r="E1319" s="211"/>
      <c r="F1319" s="212"/>
    </row>
    <row r="1320" spans="1:6" ht="20.25">
      <c r="A1320" s="209"/>
      <c r="B1320" s="210"/>
      <c r="C1320" s="210"/>
      <c r="D1320" s="210"/>
      <c r="E1320" s="211"/>
      <c r="F1320" s="212"/>
    </row>
    <row r="1321" spans="1:6" ht="20.25">
      <c r="A1321" s="209"/>
      <c r="B1321" s="210"/>
      <c r="C1321" s="210"/>
      <c r="D1321" s="210"/>
      <c r="E1321" s="211"/>
      <c r="F1321" s="212"/>
    </row>
    <row r="1322" spans="1:6" ht="20.25">
      <c r="A1322" s="209"/>
      <c r="B1322" s="210"/>
      <c r="C1322" s="210"/>
      <c r="D1322" s="210"/>
      <c r="E1322" s="211"/>
      <c r="F1322" s="212"/>
    </row>
    <row r="1323" spans="1:6" ht="20.25">
      <c r="A1323" s="209"/>
      <c r="B1323" s="210"/>
      <c r="C1323" s="210"/>
      <c r="D1323" s="210"/>
      <c r="E1323" s="211"/>
      <c r="F1323" s="212"/>
    </row>
    <row r="1324" spans="1:6" ht="20.25">
      <c r="A1324" s="209"/>
      <c r="B1324" s="210"/>
      <c r="C1324" s="210"/>
      <c r="D1324" s="210"/>
      <c r="E1324" s="211"/>
      <c r="F1324" s="212"/>
    </row>
    <row r="1325" spans="1:6" ht="20.25">
      <c r="A1325" s="209"/>
      <c r="B1325" s="210"/>
      <c r="C1325" s="210"/>
      <c r="D1325" s="210"/>
      <c r="E1325" s="211"/>
      <c r="F1325" s="212"/>
    </row>
    <row r="1326" spans="1:6" ht="20.25">
      <c r="A1326" s="209"/>
      <c r="B1326" s="210"/>
      <c r="C1326" s="210"/>
      <c r="D1326" s="210"/>
      <c r="E1326" s="211"/>
      <c r="F1326" s="212"/>
    </row>
    <row r="1327" spans="1:6" ht="20.25">
      <c r="A1327" s="209"/>
      <c r="B1327" s="210"/>
      <c r="C1327" s="210"/>
      <c r="D1327" s="210"/>
      <c r="E1327" s="211"/>
      <c r="F1327" s="212"/>
    </row>
    <row r="1328" spans="1:6" ht="20.25">
      <c r="A1328" s="209"/>
      <c r="B1328" s="210"/>
      <c r="C1328" s="210"/>
      <c r="D1328" s="210"/>
      <c r="E1328" s="211"/>
      <c r="F1328" s="212"/>
    </row>
    <row r="1329" spans="1:6" ht="20.25">
      <c r="A1329" s="209"/>
      <c r="B1329" s="210"/>
      <c r="C1329" s="210"/>
      <c r="D1329" s="210"/>
      <c r="E1329" s="211"/>
      <c r="F1329" s="212"/>
    </row>
    <row r="1330" spans="1:6" ht="20.25">
      <c r="A1330" s="209"/>
      <c r="B1330" s="210"/>
      <c r="C1330" s="210"/>
      <c r="D1330" s="210"/>
      <c r="E1330" s="211"/>
      <c r="F1330" s="212"/>
    </row>
    <row r="1331" spans="1:6" ht="20.25">
      <c r="A1331" s="209"/>
      <c r="B1331" s="210"/>
      <c r="C1331" s="210"/>
      <c r="D1331" s="210"/>
      <c r="E1331" s="211"/>
      <c r="F1331" s="212"/>
    </row>
    <row r="1332" spans="1:6" ht="20.25">
      <c r="A1332" s="209"/>
      <c r="B1332" s="210"/>
      <c r="C1332" s="210"/>
      <c r="D1332" s="210"/>
      <c r="E1332" s="211"/>
      <c r="F1332" s="212"/>
    </row>
    <row r="1333" spans="1:6" ht="20.25">
      <c r="A1333" s="209"/>
      <c r="B1333" s="210"/>
      <c r="C1333" s="210"/>
      <c r="D1333" s="210"/>
      <c r="E1333" s="211"/>
      <c r="F1333" s="212"/>
    </row>
    <row r="1334" spans="1:6" ht="20.25">
      <c r="A1334" s="209"/>
      <c r="B1334" s="210"/>
      <c r="C1334" s="210"/>
      <c r="D1334" s="210"/>
      <c r="E1334" s="211"/>
      <c r="F1334" s="212"/>
    </row>
    <row r="1335" spans="1:6" ht="20.25">
      <c r="A1335" s="209"/>
      <c r="B1335" s="210"/>
      <c r="C1335" s="210"/>
      <c r="D1335" s="210"/>
      <c r="E1335" s="211"/>
      <c r="F1335" s="212"/>
    </row>
    <row r="1336" spans="1:6" ht="20.25">
      <c r="A1336" s="209"/>
      <c r="B1336" s="210"/>
      <c r="C1336" s="210"/>
      <c r="D1336" s="210"/>
      <c r="E1336" s="211"/>
      <c r="F1336" s="212"/>
    </row>
    <row r="1337" spans="1:6" ht="20.25">
      <c r="A1337" s="209"/>
      <c r="B1337" s="210"/>
      <c r="C1337" s="210"/>
      <c r="D1337" s="210"/>
      <c r="E1337" s="211"/>
      <c r="F1337" s="212"/>
    </row>
    <row r="1338" spans="1:6" ht="20.25">
      <c r="A1338" s="209"/>
      <c r="B1338" s="210"/>
      <c r="C1338" s="210"/>
      <c r="D1338" s="210"/>
      <c r="E1338" s="211"/>
      <c r="F1338" s="212"/>
    </row>
    <row r="1339" spans="1:6" ht="20.25">
      <c r="A1339" s="209"/>
      <c r="B1339" s="210"/>
      <c r="C1339" s="210"/>
      <c r="D1339" s="210"/>
      <c r="E1339" s="211"/>
      <c r="F1339" s="212"/>
    </row>
    <row r="1340" spans="1:6" ht="20.25">
      <c r="A1340" s="209"/>
      <c r="B1340" s="210"/>
      <c r="C1340" s="210"/>
      <c r="D1340" s="210"/>
      <c r="E1340" s="211"/>
      <c r="F1340" s="212"/>
    </row>
    <row r="1341" spans="1:6" ht="20.25">
      <c r="A1341" s="209"/>
      <c r="B1341" s="210"/>
      <c r="C1341" s="210"/>
      <c r="D1341" s="210"/>
      <c r="E1341" s="211"/>
      <c r="F1341" s="212"/>
    </row>
    <row r="1342" spans="1:6" ht="20.25">
      <c r="A1342" s="209"/>
      <c r="B1342" s="210"/>
      <c r="C1342" s="210"/>
      <c r="D1342" s="210"/>
      <c r="E1342" s="211"/>
      <c r="F1342" s="212"/>
    </row>
    <row r="1343" spans="1:6" ht="20.25">
      <c r="A1343" s="209"/>
      <c r="B1343" s="210"/>
      <c r="C1343" s="210"/>
      <c r="D1343" s="210"/>
      <c r="E1343" s="211"/>
      <c r="F1343" s="212"/>
    </row>
    <row r="1344" spans="1:6" ht="20.25">
      <c r="A1344" s="209"/>
      <c r="B1344" s="210"/>
      <c r="C1344" s="210"/>
      <c r="D1344" s="210"/>
      <c r="E1344" s="211"/>
      <c r="F1344" s="212"/>
    </row>
    <row r="1345" spans="1:6" ht="20.25">
      <c r="A1345" s="209"/>
      <c r="B1345" s="210"/>
      <c r="C1345" s="210"/>
      <c r="D1345" s="210"/>
      <c r="E1345" s="211"/>
      <c r="F1345" s="212"/>
    </row>
    <row r="1346" spans="1:6" ht="20.25">
      <c r="A1346" s="209"/>
      <c r="B1346" s="210"/>
      <c r="C1346" s="210"/>
      <c r="D1346" s="210"/>
      <c r="E1346" s="211"/>
      <c r="F1346" s="212"/>
    </row>
    <row r="1347" spans="1:6" ht="20.25">
      <c r="A1347" s="209"/>
      <c r="B1347" s="210"/>
      <c r="C1347" s="210"/>
      <c r="D1347" s="210"/>
      <c r="E1347" s="211"/>
      <c r="F1347" s="212"/>
    </row>
    <row r="1348" spans="1:6" ht="20.25">
      <c r="A1348" s="209"/>
      <c r="B1348" s="210"/>
      <c r="C1348" s="210"/>
      <c r="D1348" s="210"/>
      <c r="E1348" s="211"/>
      <c r="F1348" s="212"/>
    </row>
    <row r="1349" spans="1:6" ht="20.25">
      <c r="A1349" s="209"/>
      <c r="B1349" s="210"/>
      <c r="C1349" s="210"/>
      <c r="D1349" s="210"/>
      <c r="E1349" s="211"/>
      <c r="F1349" s="212"/>
    </row>
    <row r="1350" spans="1:6" ht="20.25">
      <c r="A1350" s="209"/>
      <c r="B1350" s="210"/>
      <c r="C1350" s="210"/>
      <c r="D1350" s="210"/>
      <c r="E1350" s="211"/>
      <c r="F1350" s="212"/>
    </row>
    <row r="1351" spans="1:6" ht="20.25">
      <c r="A1351" s="209"/>
      <c r="B1351" s="210"/>
      <c r="C1351" s="210"/>
      <c r="D1351" s="210"/>
      <c r="E1351" s="211"/>
      <c r="F1351" s="212"/>
    </row>
    <row r="1352" spans="1:6" ht="20.25">
      <c r="A1352" s="209"/>
      <c r="B1352" s="210"/>
      <c r="C1352" s="210"/>
      <c r="D1352" s="210"/>
      <c r="E1352" s="211"/>
      <c r="F1352" s="212"/>
    </row>
    <row r="1353" spans="1:6" ht="20.25">
      <c r="A1353" s="209"/>
      <c r="B1353" s="210"/>
      <c r="C1353" s="210"/>
      <c r="D1353" s="210"/>
      <c r="E1353" s="211"/>
      <c r="F1353" s="212"/>
    </row>
    <row r="1354" spans="1:6" ht="20.25">
      <c r="A1354" s="209"/>
      <c r="B1354" s="210"/>
      <c r="C1354" s="210"/>
      <c r="D1354" s="210"/>
      <c r="E1354" s="211"/>
      <c r="F1354" s="212"/>
    </row>
    <row r="1355" spans="1:6" ht="20.25">
      <c r="A1355" s="209"/>
      <c r="B1355" s="210"/>
      <c r="C1355" s="210"/>
      <c r="D1355" s="210"/>
      <c r="E1355" s="211"/>
      <c r="F1355" s="212"/>
    </row>
    <row r="1356" spans="1:6" ht="20.25">
      <c r="A1356" s="209"/>
      <c r="B1356" s="210"/>
      <c r="C1356" s="210"/>
      <c r="D1356" s="210"/>
      <c r="E1356" s="211"/>
      <c r="F1356" s="212"/>
    </row>
    <row r="1357" spans="1:6" ht="20.25">
      <c r="A1357" s="209"/>
      <c r="B1357" s="210"/>
      <c r="C1357" s="210"/>
      <c r="D1357" s="210"/>
      <c r="E1357" s="211"/>
      <c r="F1357" s="212"/>
    </row>
    <row r="1358" spans="1:6" ht="20.25">
      <c r="A1358" s="209"/>
      <c r="B1358" s="210"/>
      <c r="C1358" s="210"/>
      <c r="D1358" s="210"/>
      <c r="E1358" s="211"/>
      <c r="F1358" s="212"/>
    </row>
    <row r="1359" spans="1:6" ht="20.25">
      <c r="A1359" s="209"/>
      <c r="B1359" s="210"/>
      <c r="C1359" s="210"/>
      <c r="D1359" s="210"/>
      <c r="E1359" s="211"/>
      <c r="F1359" s="212"/>
    </row>
    <row r="1360" spans="1:6" ht="20.25">
      <c r="A1360" s="209"/>
      <c r="B1360" s="210"/>
      <c r="C1360" s="210"/>
      <c r="D1360" s="210"/>
      <c r="E1360" s="211"/>
      <c r="F1360" s="212"/>
    </row>
    <row r="1361" spans="1:6" ht="20.25">
      <c r="A1361" s="209"/>
      <c r="B1361" s="210"/>
      <c r="C1361" s="210"/>
      <c r="D1361" s="210"/>
      <c r="E1361" s="211"/>
      <c r="F1361" s="212"/>
    </row>
    <row r="1362" spans="1:6" ht="20.25">
      <c r="A1362" s="209"/>
      <c r="B1362" s="210"/>
      <c r="C1362" s="210"/>
      <c r="D1362" s="210"/>
      <c r="E1362" s="211"/>
      <c r="F1362" s="212"/>
    </row>
    <row r="1363" spans="1:6" ht="20.25">
      <c r="A1363" s="209"/>
      <c r="B1363" s="210"/>
      <c r="C1363" s="210"/>
      <c r="D1363" s="210"/>
      <c r="E1363" s="211"/>
      <c r="F1363" s="212"/>
    </row>
    <row r="1364" spans="1:6" ht="20.25">
      <c r="A1364" s="209"/>
      <c r="B1364" s="210"/>
      <c r="C1364" s="210"/>
      <c r="D1364" s="210"/>
      <c r="E1364" s="211"/>
      <c r="F1364" s="212"/>
    </row>
    <row r="1365" spans="1:6" ht="20.25">
      <c r="A1365" s="209"/>
      <c r="B1365" s="210"/>
      <c r="C1365" s="210"/>
      <c r="D1365" s="210"/>
      <c r="E1365" s="211"/>
      <c r="F1365" s="212"/>
    </row>
    <row r="1366" spans="1:6" ht="20.25">
      <c r="A1366" s="209"/>
      <c r="B1366" s="210"/>
      <c r="C1366" s="210"/>
      <c r="D1366" s="210"/>
      <c r="E1366" s="211"/>
      <c r="F1366" s="212"/>
    </row>
    <row r="1367" spans="1:6" ht="20.25">
      <c r="A1367" s="209"/>
      <c r="B1367" s="210"/>
      <c r="C1367" s="210"/>
      <c r="D1367" s="210"/>
      <c r="E1367" s="211"/>
      <c r="F1367" s="212"/>
    </row>
    <row r="1368" spans="1:6" ht="20.25">
      <c r="A1368" s="209"/>
      <c r="B1368" s="210"/>
      <c r="C1368" s="210"/>
      <c r="D1368" s="210"/>
      <c r="E1368" s="211"/>
      <c r="F1368" s="212"/>
    </row>
    <row r="1369" spans="1:6" ht="20.25">
      <c r="A1369" s="209"/>
      <c r="B1369" s="210"/>
      <c r="C1369" s="210"/>
      <c r="D1369" s="210"/>
      <c r="E1369" s="211"/>
      <c r="F1369" s="212"/>
    </row>
    <row r="1370" spans="1:6" ht="20.25">
      <c r="A1370" s="209"/>
      <c r="B1370" s="210"/>
      <c r="C1370" s="210"/>
      <c r="D1370" s="210"/>
      <c r="E1370" s="211"/>
      <c r="F1370" s="212"/>
    </row>
    <row r="1371" spans="1:6" ht="20.25">
      <c r="A1371" s="209"/>
      <c r="B1371" s="210"/>
      <c r="C1371" s="210"/>
      <c r="D1371" s="210"/>
      <c r="E1371" s="211"/>
      <c r="F1371" s="212"/>
    </row>
    <row r="1372" spans="1:6" ht="20.25">
      <c r="A1372" s="209"/>
      <c r="B1372" s="210"/>
      <c r="C1372" s="210"/>
      <c r="D1372" s="210"/>
      <c r="E1372" s="211"/>
      <c r="F1372" s="212"/>
    </row>
    <row r="1373" spans="1:6" ht="20.25">
      <c r="A1373" s="209"/>
      <c r="B1373" s="210"/>
      <c r="C1373" s="210"/>
      <c r="D1373" s="210"/>
      <c r="E1373" s="211"/>
      <c r="F1373" s="212"/>
    </row>
    <row r="1374" spans="1:6" ht="20.25">
      <c r="A1374" s="209"/>
      <c r="B1374" s="210"/>
      <c r="C1374" s="210"/>
      <c r="D1374" s="210"/>
      <c r="E1374" s="211"/>
      <c r="F1374" s="212"/>
    </row>
    <row r="1375" spans="1:6" ht="20.25">
      <c r="A1375" s="209"/>
      <c r="B1375" s="210"/>
      <c r="C1375" s="210"/>
      <c r="D1375" s="210"/>
      <c r="E1375" s="211"/>
      <c r="F1375" s="212"/>
    </row>
    <row r="1376" spans="1:6" ht="20.25">
      <c r="A1376" s="209"/>
      <c r="B1376" s="210"/>
      <c r="C1376" s="210"/>
      <c r="D1376" s="210"/>
      <c r="E1376" s="211"/>
      <c r="F1376" s="212"/>
    </row>
    <row r="1377" spans="1:6" ht="20.25">
      <c r="A1377" s="209"/>
      <c r="B1377" s="210"/>
      <c r="C1377" s="210"/>
      <c r="D1377" s="210"/>
      <c r="E1377" s="211"/>
      <c r="F1377" s="212"/>
    </row>
    <row r="1378" spans="1:6" ht="20.25">
      <c r="A1378" s="209"/>
      <c r="B1378" s="210"/>
      <c r="C1378" s="210"/>
      <c r="D1378" s="210"/>
      <c r="E1378" s="211"/>
      <c r="F1378" s="212"/>
    </row>
    <row r="1379" spans="1:6" ht="20.25">
      <c r="A1379" s="209"/>
      <c r="B1379" s="210"/>
      <c r="C1379" s="210"/>
      <c r="D1379" s="210"/>
      <c r="E1379" s="211"/>
      <c r="F1379" s="212"/>
    </row>
    <row r="1380" spans="1:6" ht="20.25">
      <c r="A1380" s="209"/>
      <c r="B1380" s="210"/>
      <c r="C1380" s="210"/>
      <c r="D1380" s="210"/>
      <c r="E1380" s="211"/>
      <c r="F1380" s="212"/>
    </row>
    <row r="1381" spans="1:6" ht="20.25">
      <c r="A1381" s="209"/>
      <c r="B1381" s="210"/>
      <c r="C1381" s="210"/>
      <c r="D1381" s="210"/>
      <c r="E1381" s="211"/>
      <c r="F1381" s="212"/>
    </row>
    <row r="1382" spans="1:6" ht="20.25">
      <c r="A1382" s="209"/>
      <c r="B1382" s="210"/>
      <c r="C1382" s="210"/>
      <c r="D1382" s="210"/>
      <c r="E1382" s="211"/>
      <c r="F1382" s="212"/>
    </row>
    <row r="1383" spans="1:6" ht="20.25">
      <c r="A1383" s="209"/>
      <c r="B1383" s="210"/>
      <c r="C1383" s="210"/>
      <c r="D1383" s="210"/>
      <c r="E1383" s="211"/>
      <c r="F1383" s="212"/>
    </row>
    <row r="1384" spans="1:6" ht="20.25">
      <c r="A1384" s="209"/>
      <c r="B1384" s="210"/>
      <c r="C1384" s="210"/>
      <c r="D1384" s="210"/>
      <c r="E1384" s="211"/>
      <c r="F1384" s="212"/>
    </row>
    <row r="1385" spans="1:6" ht="20.25">
      <c r="A1385" s="209"/>
      <c r="B1385" s="210"/>
      <c r="C1385" s="210"/>
      <c r="D1385" s="210"/>
      <c r="E1385" s="211"/>
      <c r="F1385" s="212"/>
    </row>
    <row r="1386" spans="1:6" ht="20.25">
      <c r="A1386" s="209"/>
      <c r="B1386" s="210"/>
      <c r="C1386" s="210"/>
      <c r="D1386" s="210"/>
      <c r="E1386" s="211"/>
      <c r="F1386" s="212"/>
    </row>
    <row r="1387" spans="1:6" ht="20.25">
      <c r="A1387" s="209"/>
      <c r="B1387" s="210"/>
      <c r="C1387" s="210"/>
      <c r="D1387" s="210"/>
      <c r="E1387" s="211"/>
      <c r="F1387" s="212"/>
    </row>
    <row r="1388" spans="1:6" ht="20.25">
      <c r="A1388" s="209"/>
      <c r="B1388" s="210"/>
      <c r="C1388" s="210"/>
      <c r="D1388" s="210"/>
      <c r="E1388" s="211"/>
      <c r="F1388" s="212"/>
    </row>
    <row r="1389" spans="1:6" ht="20.25">
      <c r="A1389" s="209"/>
      <c r="B1389" s="210"/>
      <c r="C1389" s="210"/>
      <c r="D1389" s="210"/>
      <c r="E1389" s="211"/>
      <c r="F1389" s="212"/>
    </row>
    <row r="1390" spans="1:6" ht="20.25">
      <c r="A1390" s="209"/>
      <c r="B1390" s="210"/>
      <c r="C1390" s="210"/>
      <c r="D1390" s="210"/>
      <c r="E1390" s="211"/>
      <c r="F1390" s="212"/>
    </row>
    <row r="1391" spans="1:6" ht="20.25">
      <c r="A1391" s="209"/>
      <c r="B1391" s="210"/>
      <c r="C1391" s="210"/>
      <c r="D1391" s="210"/>
      <c r="E1391" s="211"/>
      <c r="F1391" s="212"/>
    </row>
    <row r="1392" spans="1:6" ht="20.25">
      <c r="A1392" s="209"/>
      <c r="B1392" s="210"/>
      <c r="C1392" s="210"/>
      <c r="D1392" s="210"/>
      <c r="E1392" s="211"/>
      <c r="F1392" s="212"/>
    </row>
    <row r="1393" spans="1:6" ht="20.25">
      <c r="A1393" s="209"/>
      <c r="B1393" s="210"/>
      <c r="C1393" s="210"/>
      <c r="D1393" s="210"/>
      <c r="E1393" s="211"/>
      <c r="F1393" s="212"/>
    </row>
    <row r="1394" spans="1:6" ht="20.25">
      <c r="A1394" s="209"/>
      <c r="B1394" s="210"/>
      <c r="C1394" s="210"/>
      <c r="D1394" s="210"/>
      <c r="E1394" s="211"/>
      <c r="F1394" s="212"/>
    </row>
    <row r="1395" spans="1:6" ht="20.25">
      <c r="A1395" s="209"/>
      <c r="B1395" s="210"/>
      <c r="C1395" s="210"/>
      <c r="D1395" s="210"/>
      <c r="E1395" s="211"/>
      <c r="F1395" s="212"/>
    </row>
    <row r="1396" spans="1:6" ht="20.25">
      <c r="A1396" s="209"/>
      <c r="B1396" s="210"/>
      <c r="C1396" s="210"/>
      <c r="D1396" s="210"/>
      <c r="E1396" s="211"/>
      <c r="F1396" s="212"/>
    </row>
    <row r="1397" spans="1:6" ht="20.25">
      <c r="A1397" s="209"/>
      <c r="B1397" s="210"/>
      <c r="C1397" s="210"/>
      <c r="D1397" s="210"/>
      <c r="E1397" s="211"/>
      <c r="F1397" s="212"/>
    </row>
    <row r="1398" spans="1:6" ht="20.25">
      <c r="A1398" s="209"/>
      <c r="B1398" s="210"/>
      <c r="C1398" s="210"/>
      <c r="D1398" s="210"/>
      <c r="E1398" s="211"/>
      <c r="F1398" s="212"/>
    </row>
    <row r="1399" spans="1:6" ht="20.25">
      <c r="A1399" s="209"/>
      <c r="B1399" s="210"/>
      <c r="C1399" s="210"/>
      <c r="D1399" s="210"/>
      <c r="E1399" s="211"/>
      <c r="F1399" s="212"/>
    </row>
    <row r="1400" spans="1:6" ht="20.25">
      <c r="A1400" s="209"/>
      <c r="B1400" s="210"/>
      <c r="C1400" s="210"/>
      <c r="D1400" s="210"/>
      <c r="E1400" s="211"/>
      <c r="F1400" s="212"/>
    </row>
    <row r="1401" spans="1:6" ht="20.25">
      <c r="A1401" s="209"/>
      <c r="B1401" s="210"/>
      <c r="C1401" s="210"/>
      <c r="D1401" s="210"/>
      <c r="E1401" s="211"/>
      <c r="F1401" s="212"/>
    </row>
    <row r="1402" spans="1:6" ht="20.25">
      <c r="A1402" s="209"/>
      <c r="B1402" s="210"/>
      <c r="C1402" s="210"/>
      <c r="D1402" s="210"/>
      <c r="E1402" s="211"/>
      <c r="F1402" s="212"/>
    </row>
    <row r="1403" spans="1:6" ht="20.25">
      <c r="A1403" s="209"/>
      <c r="B1403" s="210"/>
      <c r="C1403" s="210"/>
      <c r="D1403" s="210"/>
      <c r="E1403" s="211"/>
      <c r="F1403" s="212"/>
    </row>
    <row r="1404" spans="1:6" ht="20.25">
      <c r="A1404" s="209"/>
      <c r="B1404" s="210"/>
      <c r="C1404" s="210"/>
      <c r="D1404" s="210"/>
      <c r="E1404" s="211"/>
      <c r="F1404" s="212"/>
    </row>
    <row r="1405" spans="1:6" ht="20.25">
      <c r="A1405" s="209"/>
      <c r="B1405" s="210"/>
      <c r="C1405" s="210"/>
      <c r="D1405" s="210"/>
      <c r="E1405" s="211"/>
      <c r="F1405" s="212"/>
    </row>
    <row r="1406" spans="1:6" ht="20.25">
      <c r="A1406" s="209"/>
      <c r="B1406" s="210"/>
      <c r="C1406" s="210"/>
      <c r="D1406" s="210"/>
      <c r="E1406" s="211"/>
      <c r="F1406" s="212"/>
    </row>
    <row r="1407" spans="1:6" ht="20.25">
      <c r="A1407" s="209"/>
      <c r="B1407" s="210"/>
      <c r="C1407" s="210"/>
      <c r="D1407" s="210"/>
      <c r="E1407" s="211"/>
      <c r="F1407" s="212"/>
    </row>
    <row r="1408" spans="1:6" ht="20.25">
      <c r="A1408" s="209"/>
      <c r="B1408" s="210"/>
      <c r="C1408" s="210"/>
      <c r="D1408" s="210"/>
      <c r="E1408" s="211"/>
      <c r="F1408" s="212"/>
    </row>
    <row r="1409" spans="1:6" ht="20.25">
      <c r="A1409" s="209"/>
      <c r="B1409" s="210"/>
      <c r="C1409" s="210"/>
      <c r="D1409" s="210"/>
      <c r="E1409" s="211"/>
      <c r="F1409" s="212"/>
    </row>
    <row r="1410" spans="1:6" ht="20.25">
      <c r="A1410" s="209"/>
      <c r="B1410" s="210"/>
      <c r="C1410" s="210"/>
      <c r="D1410" s="210"/>
      <c r="E1410" s="211"/>
      <c r="F1410" s="212"/>
    </row>
    <row r="1411" spans="1:6" ht="20.25">
      <c r="A1411" s="209"/>
      <c r="B1411" s="210"/>
      <c r="C1411" s="210"/>
      <c r="D1411" s="210"/>
      <c r="E1411" s="211"/>
      <c r="F1411" s="212"/>
    </row>
    <row r="1412" spans="1:6" ht="20.25">
      <c r="A1412" s="209"/>
      <c r="B1412" s="210"/>
      <c r="C1412" s="210"/>
      <c r="D1412" s="210"/>
      <c r="E1412" s="211"/>
      <c r="F1412" s="212"/>
    </row>
    <row r="1413" spans="1:6" ht="20.25">
      <c r="A1413" s="209"/>
      <c r="B1413" s="210"/>
      <c r="C1413" s="210"/>
      <c r="D1413" s="210"/>
      <c r="E1413" s="211"/>
      <c r="F1413" s="212"/>
    </row>
    <row r="1414" spans="1:6" ht="20.25">
      <c r="A1414" s="209"/>
      <c r="B1414" s="210"/>
      <c r="C1414" s="210"/>
      <c r="D1414" s="210"/>
      <c r="E1414" s="211"/>
      <c r="F1414" s="212"/>
    </row>
    <row r="1415" spans="1:6" ht="20.25">
      <c r="A1415" s="209"/>
      <c r="B1415" s="210"/>
      <c r="C1415" s="210"/>
      <c r="D1415" s="210"/>
      <c r="E1415" s="211"/>
      <c r="F1415" s="212"/>
    </row>
    <row r="1416" spans="1:6" ht="20.25">
      <c r="A1416" s="209"/>
      <c r="B1416" s="210"/>
      <c r="C1416" s="210"/>
      <c r="D1416" s="210"/>
      <c r="E1416" s="211"/>
      <c r="F1416" s="212"/>
    </row>
    <row r="1417" spans="1:6" ht="20.25">
      <c r="A1417" s="209"/>
      <c r="B1417" s="210"/>
      <c r="C1417" s="210"/>
      <c r="D1417" s="210"/>
      <c r="E1417" s="211"/>
      <c r="F1417" s="212"/>
    </row>
    <row r="1418" spans="1:6" ht="20.25">
      <c r="A1418" s="209"/>
      <c r="B1418" s="210"/>
      <c r="C1418" s="210"/>
      <c r="D1418" s="210"/>
      <c r="E1418" s="211"/>
      <c r="F1418" s="212"/>
    </row>
    <row r="1419" spans="1:6" ht="20.25">
      <c r="A1419" s="209"/>
      <c r="B1419" s="210"/>
      <c r="C1419" s="210"/>
      <c r="D1419" s="210"/>
      <c r="E1419" s="211"/>
      <c r="F1419" s="212"/>
    </row>
    <row r="1420" spans="1:6" ht="20.25">
      <c r="A1420" s="209"/>
      <c r="B1420" s="210"/>
      <c r="C1420" s="210"/>
      <c r="D1420" s="210"/>
      <c r="E1420" s="211"/>
      <c r="F1420" s="212"/>
    </row>
    <row r="1421" spans="1:6" ht="20.25">
      <c r="A1421" s="209"/>
      <c r="B1421" s="210"/>
      <c r="C1421" s="210"/>
      <c r="D1421" s="210"/>
      <c r="E1421" s="211"/>
      <c r="F1421" s="212"/>
    </row>
    <row r="1422" spans="1:6" ht="20.25">
      <c r="A1422" s="209"/>
      <c r="B1422" s="210"/>
      <c r="C1422" s="210"/>
      <c r="D1422" s="210"/>
      <c r="E1422" s="211"/>
      <c r="F1422" s="212"/>
    </row>
    <row r="1423" spans="1:6" ht="20.25">
      <c r="A1423" s="209"/>
      <c r="B1423" s="210"/>
      <c r="C1423" s="210"/>
      <c r="D1423" s="210"/>
      <c r="E1423" s="211"/>
      <c r="F1423" s="212"/>
    </row>
    <row r="1424" spans="1:6" ht="20.25">
      <c r="A1424" s="209"/>
      <c r="B1424" s="210"/>
      <c r="C1424" s="210"/>
      <c r="D1424" s="210"/>
      <c r="E1424" s="211"/>
      <c r="F1424" s="212"/>
    </row>
    <row r="1425" spans="1:6" ht="20.25">
      <c r="A1425" s="209"/>
      <c r="B1425" s="210"/>
      <c r="C1425" s="210"/>
      <c r="D1425" s="210"/>
      <c r="E1425" s="211"/>
      <c r="F1425" s="212"/>
    </row>
    <row r="1426" spans="1:6" ht="20.25">
      <c r="A1426" s="209"/>
      <c r="B1426" s="210"/>
      <c r="C1426" s="210"/>
      <c r="D1426" s="210"/>
      <c r="E1426" s="211"/>
      <c r="F1426" s="212"/>
    </row>
    <row r="1427" spans="1:6" ht="20.25">
      <c r="A1427" s="209"/>
      <c r="B1427" s="210"/>
      <c r="C1427" s="210"/>
      <c r="D1427" s="210"/>
      <c r="E1427" s="211"/>
      <c r="F1427" s="212"/>
    </row>
    <row r="1428" spans="1:6" ht="20.25">
      <c r="A1428" s="209"/>
      <c r="B1428" s="210"/>
      <c r="C1428" s="210"/>
      <c r="D1428" s="210"/>
      <c r="E1428" s="211"/>
      <c r="F1428" s="212"/>
    </row>
    <row r="1429" spans="1:6" ht="20.25">
      <c r="A1429" s="209"/>
      <c r="B1429" s="210"/>
      <c r="C1429" s="210"/>
      <c r="D1429" s="210"/>
      <c r="E1429" s="211"/>
      <c r="F1429" s="212"/>
    </row>
    <row r="1430" spans="1:6" ht="20.25">
      <c r="A1430" s="209"/>
      <c r="B1430" s="210"/>
      <c r="C1430" s="210"/>
      <c r="D1430" s="210"/>
      <c r="E1430" s="211"/>
      <c r="F1430" s="212"/>
    </row>
    <row r="1431" spans="1:6" ht="20.25">
      <c r="A1431" s="209"/>
      <c r="B1431" s="210"/>
      <c r="C1431" s="210"/>
      <c r="D1431" s="210"/>
      <c r="E1431" s="211"/>
      <c r="F1431" s="212"/>
    </row>
    <row r="1432" spans="1:6" ht="20.25">
      <c r="A1432" s="209"/>
      <c r="B1432" s="210"/>
      <c r="C1432" s="210"/>
      <c r="D1432" s="210"/>
      <c r="E1432" s="211"/>
      <c r="F1432" s="212"/>
    </row>
    <row r="1433" spans="1:6" ht="20.25">
      <c r="A1433" s="209"/>
      <c r="B1433" s="210"/>
      <c r="C1433" s="210"/>
      <c r="D1433" s="210"/>
      <c r="E1433" s="211"/>
      <c r="F1433" s="212"/>
    </row>
    <row r="1434" spans="1:6" ht="20.25">
      <c r="A1434" s="209"/>
      <c r="B1434" s="210"/>
      <c r="C1434" s="210"/>
      <c r="D1434" s="210"/>
      <c r="E1434" s="211"/>
      <c r="F1434" s="212"/>
    </row>
    <row r="1435" spans="1:6" ht="20.25">
      <c r="A1435" s="209"/>
      <c r="B1435" s="210"/>
      <c r="C1435" s="210"/>
      <c r="D1435" s="210"/>
      <c r="E1435" s="211"/>
      <c r="F1435" s="212"/>
    </row>
    <row r="1436" spans="1:6" ht="20.25">
      <c r="A1436" s="209"/>
      <c r="B1436" s="210"/>
      <c r="C1436" s="210"/>
      <c r="D1436" s="210"/>
      <c r="E1436" s="211"/>
      <c r="F1436" s="212"/>
    </row>
    <row r="1437" spans="1:6" ht="20.25">
      <c r="A1437" s="209"/>
      <c r="B1437" s="210"/>
      <c r="C1437" s="210"/>
      <c r="D1437" s="210"/>
      <c r="E1437" s="211"/>
      <c r="F1437" s="212"/>
    </row>
    <row r="1438" spans="1:6" ht="20.25">
      <c r="A1438" s="209"/>
      <c r="B1438" s="210"/>
      <c r="C1438" s="210"/>
      <c r="D1438" s="210"/>
      <c r="E1438" s="211"/>
      <c r="F1438" s="212"/>
    </row>
    <row r="1439" spans="1:6" ht="20.25">
      <c r="A1439" s="209"/>
      <c r="B1439" s="210"/>
      <c r="C1439" s="210"/>
      <c r="D1439" s="210"/>
      <c r="E1439" s="211"/>
      <c r="F1439" s="212"/>
    </row>
    <row r="1440" spans="1:6" ht="20.25">
      <c r="A1440" s="209"/>
      <c r="B1440" s="210"/>
      <c r="C1440" s="210"/>
      <c r="D1440" s="210"/>
      <c r="E1440" s="211"/>
      <c r="F1440" s="212"/>
    </row>
    <row r="1441" spans="1:6" ht="20.25">
      <c r="A1441" s="209"/>
      <c r="B1441" s="210"/>
      <c r="C1441" s="210"/>
      <c r="D1441" s="210"/>
      <c r="E1441" s="211"/>
      <c r="F1441" s="212"/>
    </row>
    <row r="1442" spans="1:6" ht="20.25">
      <c r="A1442" s="209"/>
      <c r="B1442" s="210"/>
      <c r="C1442" s="210"/>
      <c r="D1442" s="210"/>
      <c r="E1442" s="211"/>
      <c r="F1442" s="212"/>
    </row>
    <row r="1443" spans="1:6" ht="20.25">
      <c r="A1443" s="209"/>
      <c r="B1443" s="210"/>
      <c r="C1443" s="210"/>
      <c r="D1443" s="210"/>
      <c r="E1443" s="211"/>
      <c r="F1443" s="212"/>
    </row>
    <row r="1444" spans="1:6" ht="20.25">
      <c r="A1444" s="209"/>
      <c r="B1444" s="210"/>
      <c r="C1444" s="210"/>
      <c r="D1444" s="210"/>
      <c r="E1444" s="211"/>
      <c r="F1444" s="212"/>
    </row>
    <row r="1445" spans="1:6" ht="20.25">
      <c r="A1445" s="209"/>
      <c r="B1445" s="210"/>
      <c r="C1445" s="210"/>
      <c r="D1445" s="210"/>
      <c r="E1445" s="211"/>
      <c r="F1445" s="212"/>
    </row>
    <row r="1446" spans="1:6" ht="20.25">
      <c r="A1446" s="209"/>
      <c r="B1446" s="210"/>
      <c r="C1446" s="210"/>
      <c r="D1446" s="210"/>
      <c r="E1446" s="211"/>
      <c r="F1446" s="212"/>
    </row>
    <row r="1447" spans="1:6" ht="20.25">
      <c r="A1447" s="209"/>
      <c r="B1447" s="210"/>
      <c r="C1447" s="210"/>
      <c r="D1447" s="210"/>
      <c r="E1447" s="211"/>
      <c r="F1447" s="212"/>
    </row>
    <row r="1448" spans="1:6" ht="20.25">
      <c r="A1448" s="209"/>
      <c r="B1448" s="210"/>
      <c r="C1448" s="210"/>
      <c r="D1448" s="210"/>
      <c r="E1448" s="211"/>
      <c r="F1448" s="212"/>
    </row>
    <row r="1449" spans="1:6" ht="20.25">
      <c r="A1449" s="209"/>
      <c r="B1449" s="210"/>
      <c r="C1449" s="210"/>
      <c r="D1449" s="210"/>
      <c r="E1449" s="211"/>
      <c r="F1449" s="212"/>
    </row>
    <row r="1450" spans="1:6" ht="20.25">
      <c r="A1450" s="209"/>
      <c r="B1450" s="210"/>
      <c r="C1450" s="210"/>
      <c r="D1450" s="210"/>
      <c r="E1450" s="211"/>
      <c r="F1450" s="212"/>
    </row>
    <row r="1451" spans="1:6" ht="20.25">
      <c r="A1451" s="209"/>
      <c r="B1451" s="210"/>
      <c r="C1451" s="210"/>
      <c r="D1451" s="210"/>
      <c r="E1451" s="211"/>
      <c r="F1451" s="212"/>
    </row>
    <row r="1452" spans="1:6" ht="20.25">
      <c r="A1452" s="209"/>
      <c r="B1452" s="210"/>
      <c r="C1452" s="210"/>
      <c r="D1452" s="210"/>
      <c r="E1452" s="211"/>
      <c r="F1452" s="212"/>
    </row>
    <row r="1453" spans="1:6" ht="20.25">
      <c r="A1453" s="209"/>
      <c r="B1453" s="210"/>
      <c r="C1453" s="210"/>
      <c r="D1453" s="210"/>
      <c r="E1453" s="211"/>
      <c r="F1453" s="212"/>
    </row>
    <row r="1454" spans="1:6" ht="20.25">
      <c r="A1454" s="209"/>
      <c r="B1454" s="210"/>
      <c r="C1454" s="210"/>
      <c r="D1454" s="210"/>
      <c r="E1454" s="211"/>
      <c r="F1454" s="212"/>
    </row>
    <row r="1455" spans="1:6" ht="20.25">
      <c r="A1455" s="209"/>
      <c r="B1455" s="210"/>
      <c r="C1455" s="210"/>
      <c r="D1455" s="210"/>
      <c r="E1455" s="211"/>
      <c r="F1455" s="212"/>
    </row>
    <row r="1456" spans="1:6" ht="20.25">
      <c r="A1456" s="209"/>
      <c r="B1456" s="210"/>
      <c r="C1456" s="210"/>
      <c r="D1456" s="210"/>
      <c r="E1456" s="211"/>
      <c r="F1456" s="212"/>
    </row>
    <row r="1457" spans="1:6" ht="20.25">
      <c r="A1457" s="209"/>
      <c r="B1457" s="210"/>
      <c r="C1457" s="210"/>
      <c r="D1457" s="210"/>
      <c r="E1457" s="211"/>
      <c r="F1457" s="212"/>
    </row>
    <row r="1458" spans="1:6" ht="20.25">
      <c r="A1458" s="209"/>
      <c r="B1458" s="210"/>
      <c r="C1458" s="210"/>
      <c r="D1458" s="210"/>
      <c r="E1458" s="211"/>
      <c r="F1458" s="212"/>
    </row>
    <row r="1459" spans="1:6" ht="20.25">
      <c r="A1459" s="209"/>
      <c r="B1459" s="210"/>
      <c r="C1459" s="210"/>
      <c r="D1459" s="210"/>
      <c r="E1459" s="211"/>
      <c r="F1459" s="212"/>
    </row>
    <row r="1460" spans="1:6" ht="20.25">
      <c r="A1460" s="209"/>
      <c r="B1460" s="210"/>
      <c r="C1460" s="210"/>
      <c r="D1460" s="210"/>
      <c r="E1460" s="211"/>
      <c r="F1460" s="212"/>
    </row>
    <row r="1461" spans="1:6" ht="20.25">
      <c r="A1461" s="209"/>
      <c r="B1461" s="210"/>
      <c r="C1461" s="210"/>
      <c r="D1461" s="210"/>
      <c r="E1461" s="211"/>
      <c r="F1461" s="212"/>
    </row>
    <row r="1462" spans="1:6" ht="20.25">
      <c r="A1462" s="209"/>
      <c r="B1462" s="210"/>
      <c r="C1462" s="210"/>
      <c r="D1462" s="210"/>
      <c r="E1462" s="211"/>
      <c r="F1462" s="212"/>
    </row>
    <row r="1463" spans="1:6" ht="20.25">
      <c r="A1463" s="209"/>
      <c r="B1463" s="210"/>
      <c r="C1463" s="210"/>
      <c r="D1463" s="210"/>
      <c r="E1463" s="211"/>
      <c r="F1463" s="212"/>
    </row>
    <row r="1464" spans="1:6" ht="20.25">
      <c r="A1464" s="209"/>
      <c r="B1464" s="210"/>
      <c r="C1464" s="210"/>
      <c r="D1464" s="210"/>
      <c r="E1464" s="211"/>
      <c r="F1464" s="212"/>
    </row>
    <row r="1465" spans="1:6" ht="20.25">
      <c r="A1465" s="209"/>
      <c r="B1465" s="210"/>
      <c r="C1465" s="210"/>
      <c r="D1465" s="210"/>
      <c r="E1465" s="211"/>
      <c r="F1465" s="212"/>
    </row>
    <row r="1466" spans="1:6" ht="20.25">
      <c r="A1466" s="209"/>
      <c r="B1466" s="210"/>
      <c r="C1466" s="210"/>
      <c r="D1466" s="210"/>
      <c r="E1466" s="211"/>
      <c r="F1466" s="212"/>
    </row>
    <row r="1467" spans="1:6" ht="20.25">
      <c r="A1467" s="209"/>
      <c r="B1467" s="210"/>
      <c r="C1467" s="210"/>
      <c r="D1467" s="210"/>
      <c r="E1467" s="211"/>
      <c r="F1467" s="212"/>
    </row>
    <row r="1468" spans="1:6" ht="20.25">
      <c r="A1468" s="209"/>
      <c r="B1468" s="210"/>
      <c r="C1468" s="210"/>
      <c r="D1468" s="210"/>
      <c r="E1468" s="211"/>
      <c r="F1468" s="212"/>
    </row>
    <row r="1469" spans="1:6" ht="20.25">
      <c r="A1469" s="209"/>
      <c r="B1469" s="210"/>
      <c r="C1469" s="210"/>
      <c r="D1469" s="210"/>
      <c r="E1469" s="211"/>
      <c r="F1469" s="212"/>
    </row>
    <row r="1470" spans="1:6" ht="20.25">
      <c r="A1470" s="209"/>
      <c r="B1470" s="210"/>
      <c r="C1470" s="210"/>
      <c r="D1470" s="210"/>
      <c r="E1470" s="211"/>
      <c r="F1470" s="212"/>
    </row>
    <row r="1471" spans="1:6" ht="20.25">
      <c r="A1471" s="209"/>
      <c r="B1471" s="210"/>
      <c r="C1471" s="210"/>
      <c r="D1471" s="210"/>
      <c r="E1471" s="211"/>
      <c r="F1471" s="212"/>
    </row>
    <row r="1472" spans="1:6" ht="20.25">
      <c r="A1472" s="209"/>
      <c r="B1472" s="210"/>
      <c r="C1472" s="210"/>
      <c r="D1472" s="210"/>
      <c r="E1472" s="211"/>
      <c r="F1472" s="212"/>
    </row>
    <row r="1473" spans="1:6" ht="20.25">
      <c r="A1473" s="209"/>
      <c r="B1473" s="210"/>
      <c r="C1473" s="210"/>
      <c r="D1473" s="210"/>
      <c r="E1473" s="211"/>
      <c r="F1473" s="212"/>
    </row>
    <row r="1474" spans="1:6" ht="20.25">
      <c r="A1474" s="209"/>
      <c r="B1474" s="210"/>
      <c r="C1474" s="210"/>
      <c r="D1474" s="210"/>
      <c r="E1474" s="211"/>
      <c r="F1474" s="212"/>
    </row>
    <row r="1475" spans="1:6" ht="20.25">
      <c r="A1475" s="209"/>
      <c r="B1475" s="210"/>
      <c r="C1475" s="210"/>
      <c r="D1475" s="210"/>
      <c r="E1475" s="211"/>
      <c r="F1475" s="212"/>
    </row>
    <row r="1476" spans="1:6" ht="20.25">
      <c r="A1476" s="209"/>
      <c r="B1476" s="210"/>
      <c r="C1476" s="210"/>
      <c r="D1476" s="210"/>
      <c r="E1476" s="211"/>
      <c r="F1476" s="212"/>
    </row>
    <row r="1477" spans="1:6" ht="20.25">
      <c r="A1477" s="209"/>
      <c r="B1477" s="210"/>
      <c r="C1477" s="210"/>
      <c r="D1477" s="210"/>
      <c r="E1477" s="211"/>
      <c r="F1477" s="212"/>
    </row>
    <row r="1478" spans="1:6" ht="20.25">
      <c r="A1478" s="209"/>
      <c r="B1478" s="210"/>
      <c r="C1478" s="210"/>
      <c r="D1478" s="210"/>
      <c r="E1478" s="211"/>
      <c r="F1478" s="212"/>
    </row>
    <row r="1479" spans="1:6" ht="20.25">
      <c r="A1479" s="209"/>
      <c r="B1479" s="210"/>
      <c r="C1479" s="210"/>
      <c r="D1479" s="210"/>
      <c r="E1479" s="211"/>
      <c r="F1479" s="212"/>
    </row>
    <row r="1480" spans="1:6" ht="20.25">
      <c r="A1480" s="209"/>
      <c r="B1480" s="210"/>
      <c r="C1480" s="210"/>
      <c r="D1480" s="210"/>
      <c r="E1480" s="211"/>
      <c r="F1480" s="212"/>
    </row>
    <row r="1481" spans="1:6" ht="20.25">
      <c r="A1481" s="209"/>
      <c r="B1481" s="210"/>
      <c r="C1481" s="210"/>
      <c r="D1481" s="210"/>
      <c r="E1481" s="211"/>
      <c r="F1481" s="212"/>
    </row>
    <row r="1482" spans="1:6" ht="20.25">
      <c r="A1482" s="209"/>
      <c r="B1482" s="210"/>
      <c r="C1482" s="210"/>
      <c r="D1482" s="210"/>
      <c r="E1482" s="211"/>
      <c r="F1482" s="212"/>
    </row>
    <row r="1483" spans="1:6" ht="20.25">
      <c r="A1483" s="209"/>
      <c r="B1483" s="210"/>
      <c r="C1483" s="210"/>
      <c r="D1483" s="210"/>
      <c r="E1483" s="211"/>
      <c r="F1483" s="212"/>
    </row>
    <row r="1484" spans="1:6" ht="20.25">
      <c r="A1484" s="209"/>
      <c r="B1484" s="210"/>
      <c r="C1484" s="210"/>
      <c r="D1484" s="210"/>
      <c r="E1484" s="211"/>
      <c r="F1484" s="212"/>
    </row>
    <row r="1485" spans="1:6" ht="20.25">
      <c r="A1485" s="209"/>
      <c r="B1485" s="210"/>
      <c r="C1485" s="210"/>
      <c r="D1485" s="210"/>
      <c r="E1485" s="211"/>
      <c r="F1485" s="212"/>
    </row>
    <row r="1486" spans="1:6" ht="20.25">
      <c r="A1486" s="209"/>
      <c r="B1486" s="210"/>
      <c r="C1486" s="210"/>
      <c r="D1486" s="210"/>
      <c r="E1486" s="211"/>
      <c r="F1486" s="212"/>
    </row>
    <row r="1487" spans="1:6" ht="20.25">
      <c r="A1487" s="209"/>
      <c r="B1487" s="210"/>
      <c r="C1487" s="210"/>
      <c r="D1487" s="210"/>
      <c r="E1487" s="211"/>
      <c r="F1487" s="212"/>
    </row>
    <row r="1488" spans="1:6" ht="20.25">
      <c r="A1488" s="209"/>
      <c r="B1488" s="210"/>
      <c r="C1488" s="210"/>
      <c r="D1488" s="210"/>
      <c r="E1488" s="211"/>
      <c r="F1488" s="212"/>
    </row>
    <row r="1489" spans="1:6" ht="20.25">
      <c r="A1489" s="209"/>
      <c r="B1489" s="210"/>
      <c r="C1489" s="210"/>
      <c r="D1489" s="210"/>
      <c r="E1489" s="211"/>
      <c r="F1489" s="212"/>
    </row>
    <row r="1490" spans="1:6" ht="20.25">
      <c r="A1490" s="209"/>
      <c r="B1490" s="210"/>
      <c r="C1490" s="210"/>
      <c r="D1490" s="210"/>
      <c r="E1490" s="211"/>
      <c r="F1490" s="212"/>
    </row>
    <row r="1491" spans="1:6" ht="20.25">
      <c r="A1491" s="209"/>
      <c r="B1491" s="210"/>
      <c r="C1491" s="210"/>
      <c r="D1491" s="210"/>
      <c r="E1491" s="211"/>
      <c r="F1491" s="212"/>
    </row>
    <row r="1492" spans="1:6" ht="20.25">
      <c r="A1492" s="209"/>
      <c r="B1492" s="210"/>
      <c r="C1492" s="210"/>
      <c r="D1492" s="210"/>
      <c r="E1492" s="211"/>
      <c r="F1492" s="212"/>
    </row>
    <row r="1493" spans="1:6" ht="20.25">
      <c r="A1493" s="209"/>
      <c r="B1493" s="210"/>
      <c r="C1493" s="210"/>
      <c r="D1493" s="210"/>
      <c r="E1493" s="211"/>
      <c r="F1493" s="212"/>
    </row>
    <row r="1494" spans="1:6" ht="20.25">
      <c r="A1494" s="209"/>
      <c r="B1494" s="210"/>
      <c r="C1494" s="210"/>
      <c r="D1494" s="210"/>
      <c r="E1494" s="211"/>
      <c r="F1494" s="212"/>
    </row>
    <row r="1495" spans="1:6" ht="20.25">
      <c r="A1495" s="209"/>
      <c r="B1495" s="210"/>
      <c r="C1495" s="210"/>
      <c r="D1495" s="210"/>
      <c r="E1495" s="211"/>
      <c r="F1495" s="212"/>
    </row>
    <row r="1496" spans="1:6" ht="20.25">
      <c r="A1496" s="209"/>
      <c r="B1496" s="210"/>
      <c r="C1496" s="210"/>
      <c r="D1496" s="210"/>
      <c r="E1496" s="211"/>
      <c r="F1496" s="212"/>
    </row>
    <row r="1497" spans="1:6" ht="20.25">
      <c r="A1497" s="209"/>
      <c r="B1497" s="210"/>
      <c r="C1497" s="210"/>
      <c r="D1497" s="210"/>
      <c r="E1497" s="211"/>
      <c r="F1497" s="212"/>
    </row>
    <row r="1498" spans="1:6" ht="20.25">
      <c r="A1498" s="209"/>
      <c r="B1498" s="210"/>
      <c r="C1498" s="210"/>
      <c r="D1498" s="210"/>
      <c r="E1498" s="211"/>
      <c r="F1498" s="212"/>
    </row>
    <row r="1499" spans="1:6" ht="20.25">
      <c r="A1499" s="209"/>
      <c r="B1499" s="210"/>
      <c r="C1499" s="210"/>
      <c r="D1499" s="210"/>
      <c r="E1499" s="211"/>
      <c r="F1499" s="212"/>
    </row>
    <row r="1500" spans="1:6" ht="20.25">
      <c r="A1500" s="209"/>
      <c r="B1500" s="210"/>
      <c r="C1500" s="210"/>
      <c r="D1500" s="210"/>
      <c r="E1500" s="211"/>
      <c r="F1500" s="212"/>
    </row>
    <row r="1501" spans="1:6" ht="20.25">
      <c r="A1501" s="209"/>
      <c r="B1501" s="210"/>
      <c r="C1501" s="210"/>
      <c r="D1501" s="210"/>
      <c r="E1501" s="211"/>
      <c r="F1501" s="212"/>
    </row>
    <row r="1502" spans="1:6" ht="20.25">
      <c r="A1502" s="209"/>
      <c r="B1502" s="210"/>
      <c r="C1502" s="210"/>
      <c r="D1502" s="210"/>
      <c r="E1502" s="211"/>
      <c r="F1502" s="212"/>
    </row>
    <row r="1503" spans="1:6" ht="20.25">
      <c r="A1503" s="209"/>
      <c r="B1503" s="210"/>
      <c r="C1503" s="210"/>
      <c r="D1503" s="210"/>
      <c r="E1503" s="211"/>
      <c r="F1503" s="212"/>
    </row>
    <row r="1504" spans="1:6" ht="20.25">
      <c r="A1504" s="209"/>
      <c r="B1504" s="210"/>
      <c r="C1504" s="210"/>
      <c r="D1504" s="210"/>
      <c r="E1504" s="211"/>
      <c r="F1504" s="212"/>
    </row>
    <row r="1505" spans="1:6" ht="20.25">
      <c r="A1505" s="209"/>
      <c r="B1505" s="210"/>
      <c r="C1505" s="210"/>
      <c r="D1505" s="210"/>
      <c r="E1505" s="211"/>
      <c r="F1505" s="212"/>
    </row>
    <row r="1506" spans="1:6" ht="20.25">
      <c r="A1506" s="209"/>
      <c r="B1506" s="210"/>
      <c r="C1506" s="210"/>
      <c r="D1506" s="210"/>
      <c r="E1506" s="211"/>
      <c r="F1506" s="212"/>
    </row>
    <row r="1507" spans="1:6" ht="20.25">
      <c r="A1507" s="209"/>
      <c r="B1507" s="210"/>
      <c r="C1507" s="210"/>
      <c r="D1507" s="210"/>
      <c r="E1507" s="211"/>
      <c r="F1507" s="212"/>
    </row>
    <row r="1508" spans="1:6" ht="20.25">
      <c r="A1508" s="209"/>
      <c r="B1508" s="210"/>
      <c r="C1508" s="210"/>
      <c r="D1508" s="210"/>
      <c r="E1508" s="211"/>
      <c r="F1508" s="212"/>
    </row>
    <row r="1509" spans="1:6" ht="20.25">
      <c r="A1509" s="209"/>
      <c r="B1509" s="210"/>
      <c r="C1509" s="210"/>
      <c r="D1509" s="210"/>
      <c r="E1509" s="211"/>
      <c r="F1509" s="212"/>
    </row>
    <row r="1510" spans="1:6" ht="20.25">
      <c r="A1510" s="209"/>
      <c r="B1510" s="210"/>
      <c r="C1510" s="210"/>
      <c r="D1510" s="210"/>
      <c r="E1510" s="211"/>
      <c r="F1510" s="212"/>
    </row>
    <row r="1511" spans="1:6" ht="20.25">
      <c r="A1511" s="209"/>
      <c r="B1511" s="210"/>
      <c r="C1511" s="210"/>
      <c r="D1511" s="210"/>
      <c r="E1511" s="211"/>
      <c r="F1511" s="212"/>
    </row>
    <row r="1512" spans="1:6" ht="20.25">
      <c r="A1512" s="209"/>
      <c r="B1512" s="210"/>
      <c r="C1512" s="210"/>
      <c r="D1512" s="210"/>
      <c r="E1512" s="211"/>
      <c r="F1512" s="212"/>
    </row>
    <row r="1513" spans="1:6" ht="20.25">
      <c r="A1513" s="209"/>
      <c r="B1513" s="210"/>
      <c r="C1513" s="210"/>
      <c r="D1513" s="210"/>
      <c r="E1513" s="211"/>
      <c r="F1513" s="212"/>
    </row>
    <row r="1514" spans="1:6" ht="20.25">
      <c r="A1514" s="209"/>
      <c r="B1514" s="210"/>
      <c r="C1514" s="210"/>
      <c r="D1514" s="210"/>
      <c r="E1514" s="211"/>
      <c r="F1514" s="212"/>
    </row>
    <row r="1515" spans="1:6" ht="20.25">
      <c r="A1515" s="209"/>
      <c r="B1515" s="210"/>
      <c r="C1515" s="210"/>
      <c r="D1515" s="210"/>
      <c r="E1515" s="211"/>
      <c r="F1515" s="212"/>
    </row>
    <row r="1516" spans="1:6" ht="20.25">
      <c r="A1516" s="209"/>
      <c r="B1516" s="210"/>
      <c r="C1516" s="210"/>
      <c r="D1516" s="210"/>
      <c r="E1516" s="211"/>
      <c r="F1516" s="212"/>
    </row>
    <row r="1517" spans="1:6" ht="20.25">
      <c r="A1517" s="209"/>
      <c r="B1517" s="210"/>
      <c r="C1517" s="210"/>
      <c r="D1517" s="210"/>
      <c r="E1517" s="211"/>
      <c r="F1517" s="212"/>
    </row>
    <row r="1518" spans="1:6" ht="20.25">
      <c r="A1518" s="209"/>
      <c r="B1518" s="210"/>
      <c r="C1518" s="210"/>
      <c r="D1518" s="210"/>
      <c r="E1518" s="211"/>
      <c r="F1518" s="212"/>
    </row>
    <row r="1519" spans="1:6" ht="20.25">
      <c r="A1519" s="209"/>
      <c r="B1519" s="210"/>
      <c r="C1519" s="210"/>
      <c r="D1519" s="210"/>
      <c r="E1519" s="211"/>
      <c r="F1519" s="212"/>
    </row>
    <row r="1520" spans="1:6" ht="20.25">
      <c r="A1520" s="209"/>
      <c r="B1520" s="210"/>
      <c r="C1520" s="210"/>
      <c r="D1520" s="210"/>
      <c r="E1520" s="211"/>
      <c r="F1520" s="212"/>
    </row>
    <row r="1521" spans="1:6" ht="20.25">
      <c r="A1521" s="209"/>
      <c r="B1521" s="210"/>
      <c r="C1521" s="210"/>
      <c r="D1521" s="210"/>
      <c r="E1521" s="211"/>
      <c r="F1521" s="212"/>
    </row>
    <row r="1522" spans="1:6" ht="20.25">
      <c r="A1522" s="209"/>
      <c r="B1522" s="210"/>
      <c r="C1522" s="210"/>
      <c r="D1522" s="210"/>
      <c r="E1522" s="211"/>
      <c r="F1522" s="212"/>
    </row>
    <row r="1523" spans="1:6" ht="20.25">
      <c r="A1523" s="209"/>
      <c r="B1523" s="210"/>
      <c r="C1523" s="210"/>
      <c r="D1523" s="210"/>
      <c r="E1523" s="211"/>
      <c r="F1523" s="212"/>
    </row>
    <row r="1524" spans="1:6" ht="20.25">
      <c r="A1524" s="209"/>
      <c r="B1524" s="210"/>
      <c r="C1524" s="210"/>
      <c r="D1524" s="210"/>
      <c r="E1524" s="211"/>
      <c r="F1524" s="212"/>
    </row>
    <row r="1525" spans="1:6" ht="20.25">
      <c r="A1525" s="209"/>
      <c r="B1525" s="210"/>
      <c r="C1525" s="210"/>
      <c r="D1525" s="210"/>
      <c r="E1525" s="211"/>
      <c r="F1525" s="212"/>
    </row>
    <row r="1526" spans="1:6" ht="20.25">
      <c r="A1526" s="209"/>
      <c r="B1526" s="210"/>
      <c r="C1526" s="210"/>
      <c r="D1526" s="210"/>
      <c r="E1526" s="211"/>
      <c r="F1526" s="212"/>
    </row>
    <row r="1527" spans="1:6" ht="20.25">
      <c r="A1527" s="209"/>
      <c r="B1527" s="210"/>
      <c r="C1527" s="210"/>
      <c r="D1527" s="210"/>
      <c r="E1527" s="211"/>
      <c r="F1527" s="212"/>
    </row>
    <row r="1528" spans="1:6" ht="20.25">
      <c r="A1528" s="209"/>
      <c r="B1528" s="210"/>
      <c r="C1528" s="210"/>
      <c r="D1528" s="210"/>
      <c r="E1528" s="211"/>
      <c r="F1528" s="212"/>
    </row>
    <row r="1529" spans="1:6" ht="20.25">
      <c r="A1529" s="209"/>
      <c r="B1529" s="210"/>
      <c r="C1529" s="210"/>
      <c r="D1529" s="210"/>
      <c r="E1529" s="211"/>
      <c r="F1529" s="212"/>
    </row>
    <row r="1530" spans="1:6" ht="20.25">
      <c r="A1530" s="209"/>
      <c r="B1530" s="210"/>
      <c r="C1530" s="210"/>
      <c r="D1530" s="210"/>
      <c r="E1530" s="211"/>
      <c r="F1530" s="212"/>
    </row>
    <row r="1531" spans="1:6" ht="20.25">
      <c r="A1531" s="209"/>
      <c r="B1531" s="210"/>
      <c r="C1531" s="210"/>
      <c r="D1531" s="210"/>
      <c r="E1531" s="211"/>
      <c r="F1531" s="212"/>
    </row>
    <row r="1532" spans="1:6" ht="20.25">
      <c r="A1532" s="209"/>
      <c r="B1532" s="210"/>
      <c r="C1532" s="210"/>
      <c r="D1532" s="210"/>
      <c r="E1532" s="211"/>
      <c r="F1532" s="212"/>
    </row>
    <row r="1533" spans="1:6" ht="20.25">
      <c r="A1533" s="209"/>
      <c r="B1533" s="210"/>
      <c r="C1533" s="210"/>
      <c r="D1533" s="210"/>
      <c r="E1533" s="211"/>
      <c r="F1533" s="212"/>
    </row>
    <row r="1534" spans="1:6" ht="20.25">
      <c r="A1534" s="209"/>
      <c r="B1534" s="210"/>
      <c r="C1534" s="210"/>
      <c r="D1534" s="210"/>
      <c r="E1534" s="211"/>
      <c r="F1534" s="212"/>
    </row>
    <row r="1535" spans="1:6" ht="20.25">
      <c r="A1535" s="209"/>
      <c r="B1535" s="210"/>
      <c r="C1535" s="210"/>
      <c r="D1535" s="210"/>
      <c r="E1535" s="211"/>
      <c r="F1535" s="212"/>
    </row>
    <row r="1536" spans="1:6" ht="20.25">
      <c r="A1536" s="209"/>
      <c r="B1536" s="210"/>
      <c r="C1536" s="210"/>
      <c r="D1536" s="210"/>
      <c r="E1536" s="211"/>
      <c r="F1536" s="212"/>
    </row>
    <row r="1537" spans="1:6" ht="20.25">
      <c r="A1537" s="209"/>
      <c r="B1537" s="210"/>
      <c r="C1537" s="210"/>
      <c r="D1537" s="210"/>
      <c r="E1537" s="211"/>
      <c r="F1537" s="212"/>
    </row>
    <row r="1538" spans="1:6" ht="20.25">
      <c r="A1538" s="209"/>
      <c r="B1538" s="210"/>
      <c r="C1538" s="210"/>
      <c r="D1538" s="210"/>
      <c r="E1538" s="211"/>
      <c r="F1538" s="212"/>
    </row>
    <row r="1539" spans="1:6" ht="20.25">
      <c r="A1539" s="209"/>
      <c r="B1539" s="210"/>
      <c r="C1539" s="210"/>
      <c r="D1539" s="210"/>
      <c r="E1539" s="211"/>
      <c r="F1539" s="212"/>
    </row>
    <row r="1540" spans="1:6" ht="20.25">
      <c r="A1540" s="209"/>
      <c r="B1540" s="210"/>
      <c r="C1540" s="210"/>
      <c r="D1540" s="210"/>
      <c r="E1540" s="211"/>
      <c r="F1540" s="212"/>
    </row>
    <row r="1541" spans="1:6" ht="20.25">
      <c r="A1541" s="209"/>
      <c r="B1541" s="210"/>
      <c r="C1541" s="210"/>
      <c r="D1541" s="210"/>
      <c r="E1541" s="211"/>
      <c r="F1541" s="212"/>
    </row>
    <row r="1542" spans="1:6" ht="20.25">
      <c r="A1542" s="209"/>
      <c r="B1542" s="210"/>
      <c r="C1542" s="210"/>
      <c r="D1542" s="210"/>
      <c r="E1542" s="211"/>
      <c r="F1542" s="212"/>
    </row>
    <row r="1543" spans="1:6" ht="20.25">
      <c r="A1543" s="209"/>
      <c r="B1543" s="210"/>
      <c r="C1543" s="210"/>
      <c r="D1543" s="210"/>
      <c r="E1543" s="211"/>
      <c r="F1543" s="212"/>
    </row>
    <row r="1544" spans="1:6" ht="20.25">
      <c r="A1544" s="209"/>
      <c r="B1544" s="210"/>
      <c r="C1544" s="210"/>
      <c r="D1544" s="210"/>
      <c r="E1544" s="211"/>
      <c r="F1544" s="212"/>
    </row>
    <row r="1545" spans="1:6" ht="20.25">
      <c r="A1545" s="209"/>
      <c r="B1545" s="210"/>
      <c r="C1545" s="210"/>
      <c r="D1545" s="210"/>
      <c r="E1545" s="211"/>
      <c r="F1545" s="212"/>
    </row>
    <row r="1546" spans="1:6" ht="20.25">
      <c r="A1546" s="209"/>
      <c r="B1546" s="210"/>
      <c r="C1546" s="210"/>
      <c r="D1546" s="210"/>
      <c r="E1546" s="211"/>
      <c r="F1546" s="212"/>
    </row>
    <row r="1547" spans="1:6" ht="20.25">
      <c r="A1547" s="209"/>
      <c r="B1547" s="210"/>
      <c r="C1547" s="210"/>
      <c r="D1547" s="210"/>
      <c r="E1547" s="211"/>
      <c r="F1547" s="212"/>
    </row>
    <row r="1548" spans="1:6" ht="20.25">
      <c r="A1548" s="209"/>
      <c r="B1548" s="210"/>
      <c r="C1548" s="210"/>
      <c r="D1548" s="210"/>
      <c r="E1548" s="211"/>
      <c r="F1548" s="212"/>
    </row>
    <row r="1549" spans="1:6" ht="20.25">
      <c r="A1549" s="209"/>
      <c r="B1549" s="210"/>
      <c r="C1549" s="210"/>
      <c r="D1549" s="210"/>
      <c r="E1549" s="211"/>
      <c r="F1549" s="212"/>
    </row>
    <row r="1550" spans="1:6" ht="20.25">
      <c r="A1550" s="209"/>
      <c r="B1550" s="210"/>
      <c r="C1550" s="210"/>
      <c r="D1550" s="210"/>
      <c r="E1550" s="211"/>
      <c r="F1550" s="212"/>
    </row>
    <row r="1551" spans="1:6" ht="20.25">
      <c r="A1551" s="209"/>
      <c r="B1551" s="210"/>
      <c r="C1551" s="210"/>
      <c r="D1551" s="210"/>
      <c r="E1551" s="211"/>
      <c r="F1551" s="212"/>
    </row>
    <row r="1552" spans="1:6" ht="20.25">
      <c r="A1552" s="209"/>
      <c r="B1552" s="210"/>
      <c r="C1552" s="210"/>
      <c r="D1552" s="210"/>
      <c r="E1552" s="211"/>
      <c r="F1552" s="212"/>
    </row>
    <row r="1553" spans="1:6" ht="20.25">
      <c r="A1553" s="209"/>
      <c r="B1553" s="210"/>
      <c r="C1553" s="210"/>
      <c r="D1553" s="210"/>
      <c r="E1553" s="211"/>
      <c r="F1553" s="212"/>
    </row>
    <row r="1554" spans="1:6" ht="20.25">
      <c r="A1554" s="209"/>
      <c r="B1554" s="210"/>
      <c r="C1554" s="210"/>
      <c r="D1554" s="210"/>
      <c r="E1554" s="211"/>
      <c r="F1554" s="212"/>
    </row>
    <row r="1555" spans="1:6" ht="20.25">
      <c r="A1555" s="209"/>
      <c r="B1555" s="210"/>
      <c r="C1555" s="210"/>
      <c r="D1555" s="210"/>
      <c r="E1555" s="211"/>
      <c r="F1555" s="212"/>
    </row>
    <row r="1556" spans="1:6" ht="20.25">
      <c r="A1556" s="209"/>
      <c r="B1556" s="210"/>
      <c r="C1556" s="210"/>
      <c r="D1556" s="210"/>
      <c r="E1556" s="211"/>
      <c r="F1556" s="212"/>
    </row>
    <row r="1557" spans="1:6" ht="20.25">
      <c r="A1557" s="209"/>
      <c r="B1557" s="210"/>
      <c r="C1557" s="210"/>
      <c r="D1557" s="210"/>
      <c r="E1557" s="211"/>
      <c r="F1557" s="212"/>
    </row>
    <row r="1558" spans="1:6" ht="20.25">
      <c r="A1558" s="209"/>
      <c r="B1558" s="210"/>
      <c r="C1558" s="210"/>
      <c r="D1558" s="210"/>
      <c r="E1558" s="211"/>
      <c r="F1558" s="212"/>
    </row>
    <row r="1559" spans="1:6" ht="20.25">
      <c r="A1559" s="209"/>
      <c r="B1559" s="210"/>
      <c r="C1559" s="210"/>
      <c r="D1559" s="210"/>
      <c r="E1559" s="211"/>
      <c r="F1559" s="212"/>
    </row>
    <row r="1560" spans="1:6" ht="20.25">
      <c r="A1560" s="209"/>
      <c r="B1560" s="210"/>
      <c r="C1560" s="210"/>
      <c r="D1560" s="210"/>
      <c r="E1560" s="211"/>
      <c r="F1560" s="212"/>
    </row>
    <row r="1561" spans="1:6" ht="20.25">
      <c r="A1561" s="209"/>
      <c r="B1561" s="210"/>
      <c r="C1561" s="210"/>
      <c r="D1561" s="210"/>
      <c r="E1561" s="211"/>
      <c r="F1561" s="212"/>
    </row>
    <row r="1562" spans="1:6" ht="20.25">
      <c r="A1562" s="209"/>
      <c r="B1562" s="210"/>
      <c r="C1562" s="210"/>
      <c r="D1562" s="210"/>
      <c r="E1562" s="211"/>
      <c r="F1562" s="212"/>
    </row>
    <row r="1563" spans="1:6" ht="20.25">
      <c r="A1563" s="209"/>
      <c r="B1563" s="210"/>
      <c r="C1563" s="210"/>
      <c r="D1563" s="210"/>
      <c r="E1563" s="211"/>
      <c r="F1563" s="212"/>
    </row>
    <row r="1564" spans="1:6" ht="20.25">
      <c r="A1564" s="209"/>
      <c r="B1564" s="210"/>
      <c r="C1564" s="210"/>
      <c r="D1564" s="210"/>
      <c r="E1564" s="211"/>
      <c r="F1564" s="212"/>
    </row>
    <row r="1565" spans="1:6" ht="20.25">
      <c r="A1565" s="209"/>
      <c r="B1565" s="210"/>
      <c r="C1565" s="210"/>
      <c r="D1565" s="210"/>
      <c r="E1565" s="211"/>
      <c r="F1565" s="212"/>
    </row>
    <row r="1566" spans="1:6" ht="20.25">
      <c r="A1566" s="209"/>
      <c r="B1566" s="210"/>
      <c r="C1566" s="210"/>
      <c r="D1566" s="210"/>
      <c r="E1566" s="211"/>
      <c r="F1566" s="212"/>
    </row>
    <row r="1567" spans="1:6" ht="20.25">
      <c r="A1567" s="209"/>
      <c r="B1567" s="210"/>
      <c r="C1567" s="210"/>
      <c r="D1567" s="210"/>
      <c r="E1567" s="211"/>
      <c r="F1567" s="212"/>
    </row>
    <row r="1568" spans="1:6" ht="20.25">
      <c r="A1568" s="209"/>
      <c r="B1568" s="210"/>
      <c r="C1568" s="210"/>
      <c r="D1568" s="210"/>
      <c r="E1568" s="211"/>
      <c r="F1568" s="212"/>
    </row>
    <row r="1569" spans="1:6" ht="20.25">
      <c r="A1569" s="209"/>
      <c r="B1569" s="210"/>
      <c r="C1569" s="210"/>
      <c r="D1569" s="210"/>
      <c r="E1569" s="211"/>
      <c r="F1569" s="212"/>
    </row>
    <row r="1570" spans="1:6" ht="20.25">
      <c r="A1570" s="209"/>
      <c r="B1570" s="210"/>
      <c r="C1570" s="210"/>
      <c r="D1570" s="210"/>
      <c r="E1570" s="211"/>
      <c r="F1570" s="212"/>
    </row>
    <row r="1571" spans="1:6" ht="20.25">
      <c r="A1571" s="209"/>
      <c r="B1571" s="210"/>
      <c r="C1571" s="210"/>
      <c r="D1571" s="210"/>
      <c r="E1571" s="211"/>
      <c r="F1571" s="212"/>
    </row>
    <row r="1572" spans="1:6" ht="20.25">
      <c r="A1572" s="209"/>
      <c r="B1572" s="210"/>
      <c r="C1572" s="210"/>
      <c r="D1572" s="210"/>
      <c r="E1572" s="211"/>
      <c r="F1572" s="212"/>
    </row>
    <row r="1573" spans="1:6" ht="20.25">
      <c r="A1573" s="209"/>
      <c r="B1573" s="210"/>
      <c r="C1573" s="210"/>
      <c r="D1573" s="210"/>
      <c r="E1573" s="211"/>
      <c r="F1573" s="212"/>
    </row>
    <row r="1574" spans="1:6" ht="20.25">
      <c r="A1574" s="209"/>
      <c r="B1574" s="210"/>
      <c r="C1574" s="210"/>
      <c r="D1574" s="210"/>
      <c r="E1574" s="211"/>
      <c r="F1574" s="212"/>
    </row>
    <row r="1575" spans="1:6" ht="20.25">
      <c r="A1575" s="209"/>
      <c r="B1575" s="210"/>
      <c r="C1575" s="210"/>
      <c r="D1575" s="210"/>
      <c r="E1575" s="211"/>
      <c r="F1575" s="212"/>
    </row>
    <row r="1576" spans="1:6" ht="20.25">
      <c r="A1576" s="209"/>
      <c r="B1576" s="210"/>
      <c r="C1576" s="210"/>
      <c r="D1576" s="210"/>
      <c r="E1576" s="211"/>
      <c r="F1576" s="212"/>
    </row>
    <row r="1577" spans="1:6" ht="20.25">
      <c r="A1577" s="209"/>
      <c r="B1577" s="210"/>
      <c r="C1577" s="210"/>
      <c r="D1577" s="210"/>
      <c r="E1577" s="211"/>
      <c r="F1577" s="212"/>
    </row>
    <row r="1578" spans="1:6" ht="20.25">
      <c r="A1578" s="209"/>
      <c r="B1578" s="210"/>
      <c r="C1578" s="210"/>
      <c r="D1578" s="210"/>
      <c r="E1578" s="211"/>
      <c r="F1578" s="212"/>
    </row>
    <row r="1579" spans="1:6" ht="20.25">
      <c r="A1579" s="209"/>
      <c r="B1579" s="210"/>
      <c r="C1579" s="210"/>
      <c r="D1579" s="210"/>
      <c r="E1579" s="211"/>
      <c r="F1579" s="212"/>
    </row>
    <row r="1580" spans="1:6" ht="20.25">
      <c r="A1580" s="209"/>
      <c r="B1580" s="210"/>
      <c r="C1580" s="210"/>
      <c r="D1580" s="210"/>
      <c r="E1580" s="211"/>
      <c r="F1580" s="212"/>
    </row>
    <row r="1581" spans="1:6" ht="20.25">
      <c r="A1581" s="209"/>
      <c r="B1581" s="210"/>
      <c r="C1581" s="210"/>
      <c r="D1581" s="210"/>
      <c r="E1581" s="211"/>
      <c r="F1581" s="212"/>
    </row>
    <row r="1582" spans="1:6" ht="20.25">
      <c r="A1582" s="209"/>
      <c r="B1582" s="210"/>
      <c r="C1582" s="210"/>
      <c r="D1582" s="210"/>
      <c r="E1582" s="211"/>
      <c r="F1582" s="212"/>
    </row>
    <row r="1583" spans="1:6" ht="20.25">
      <c r="A1583" s="209"/>
      <c r="B1583" s="210"/>
      <c r="C1583" s="210"/>
      <c r="D1583" s="210"/>
      <c r="E1583" s="211"/>
      <c r="F1583" s="212"/>
    </row>
    <row r="1584" spans="1:6" ht="20.25">
      <c r="A1584" s="209"/>
      <c r="B1584" s="210"/>
      <c r="C1584" s="210"/>
      <c r="D1584" s="210"/>
      <c r="E1584" s="211"/>
      <c r="F1584" s="212"/>
    </row>
    <row r="1585" spans="1:6" ht="20.25">
      <c r="A1585" s="209"/>
      <c r="B1585" s="210"/>
      <c r="C1585" s="210"/>
      <c r="D1585" s="210"/>
      <c r="E1585" s="211"/>
      <c r="F1585" s="212"/>
    </row>
    <row r="1586" spans="1:6" ht="20.25">
      <c r="A1586" s="209"/>
      <c r="B1586" s="210"/>
      <c r="C1586" s="210"/>
      <c r="D1586" s="210"/>
      <c r="E1586" s="211"/>
      <c r="F1586" s="212"/>
    </row>
    <row r="1587" spans="1:6" ht="20.25">
      <c r="A1587" s="209"/>
      <c r="B1587" s="210"/>
      <c r="C1587" s="210"/>
      <c r="D1587" s="210"/>
      <c r="E1587" s="211"/>
      <c r="F1587" s="212"/>
    </row>
    <row r="1588" spans="1:6" ht="20.25">
      <c r="A1588" s="209"/>
      <c r="B1588" s="210"/>
      <c r="C1588" s="210"/>
      <c r="D1588" s="210"/>
      <c r="E1588" s="211"/>
      <c r="F1588" s="212"/>
    </row>
    <row r="1589" spans="1:6" ht="20.25">
      <c r="A1589" s="209"/>
      <c r="B1589" s="210"/>
      <c r="C1589" s="210"/>
      <c r="D1589" s="210"/>
      <c r="E1589" s="211"/>
      <c r="F1589" s="212"/>
    </row>
    <row r="1590" spans="1:6" ht="20.25">
      <c r="A1590" s="209"/>
      <c r="B1590" s="210"/>
      <c r="C1590" s="210"/>
      <c r="D1590" s="210"/>
      <c r="E1590" s="211"/>
      <c r="F1590" s="212"/>
    </row>
    <row r="1591" spans="1:6" ht="20.25">
      <c r="A1591" s="209"/>
      <c r="B1591" s="210"/>
      <c r="C1591" s="210"/>
      <c r="D1591" s="210"/>
      <c r="E1591" s="211"/>
      <c r="F1591" s="212"/>
    </row>
    <row r="1592" spans="1:6" ht="20.25">
      <c r="A1592" s="209"/>
      <c r="B1592" s="210"/>
      <c r="C1592" s="210"/>
      <c r="D1592" s="210"/>
      <c r="E1592" s="211"/>
      <c r="F1592" s="212"/>
    </row>
    <row r="1593" spans="1:6" ht="20.25">
      <c r="A1593" s="209"/>
      <c r="B1593" s="210"/>
      <c r="C1593" s="210"/>
      <c r="D1593" s="210"/>
      <c r="E1593" s="211"/>
      <c r="F1593" s="212"/>
    </row>
    <row r="1594" spans="1:6" ht="20.25">
      <c r="A1594" s="209"/>
      <c r="B1594" s="210"/>
      <c r="C1594" s="210"/>
      <c r="D1594" s="210"/>
      <c r="E1594" s="211"/>
      <c r="F1594" s="212"/>
    </row>
    <row r="1595" spans="1:6" ht="20.25">
      <c r="A1595" s="209"/>
      <c r="B1595" s="210"/>
      <c r="C1595" s="210"/>
      <c r="D1595" s="210"/>
      <c r="E1595" s="211"/>
      <c r="F1595" s="212"/>
    </row>
    <row r="1596" spans="1:6" ht="20.25">
      <c r="A1596" s="209"/>
      <c r="B1596" s="210"/>
      <c r="C1596" s="210"/>
      <c r="D1596" s="210"/>
      <c r="E1596" s="211"/>
      <c r="F1596" s="212"/>
    </row>
    <row r="1597" spans="1:6" ht="20.25">
      <c r="A1597" s="209"/>
      <c r="B1597" s="210"/>
      <c r="C1597" s="210"/>
      <c r="D1597" s="210"/>
      <c r="E1597" s="211"/>
      <c r="F1597" s="212"/>
    </row>
    <row r="1598" spans="1:6" ht="20.25">
      <c r="A1598" s="209"/>
      <c r="B1598" s="210"/>
      <c r="C1598" s="210"/>
      <c r="D1598" s="210"/>
      <c r="E1598" s="211"/>
      <c r="F1598" s="212"/>
    </row>
    <row r="1599" spans="1:6" ht="20.25">
      <c r="A1599" s="209"/>
      <c r="B1599" s="210"/>
      <c r="C1599" s="210"/>
      <c r="D1599" s="210"/>
      <c r="E1599" s="211"/>
      <c r="F1599" s="212"/>
    </row>
    <row r="1600" spans="1:6" ht="20.25">
      <c r="A1600" s="209"/>
      <c r="B1600" s="210"/>
      <c r="C1600" s="210"/>
      <c r="D1600" s="210"/>
      <c r="E1600" s="211"/>
      <c r="F1600" s="212"/>
    </row>
    <row r="1601" spans="1:6" ht="20.25">
      <c r="A1601" s="209"/>
      <c r="B1601" s="210"/>
      <c r="C1601" s="210"/>
      <c r="D1601" s="210"/>
      <c r="E1601" s="211"/>
      <c r="F1601" s="212"/>
    </row>
    <row r="1602" spans="1:6" ht="20.25">
      <c r="A1602" s="209"/>
      <c r="B1602" s="210"/>
      <c r="C1602" s="210"/>
      <c r="D1602" s="210"/>
      <c r="E1602" s="211"/>
      <c r="F1602" s="212"/>
    </row>
    <row r="1603" spans="1:6" ht="20.25">
      <c r="A1603" s="209"/>
      <c r="B1603" s="210"/>
      <c r="C1603" s="210"/>
      <c r="D1603" s="210"/>
      <c r="E1603" s="211"/>
      <c r="F1603" s="212"/>
    </row>
    <row r="1604" spans="1:6" ht="20.25">
      <c r="A1604" s="209"/>
      <c r="B1604" s="210"/>
      <c r="C1604" s="210"/>
      <c r="D1604" s="210"/>
      <c r="E1604" s="211"/>
      <c r="F1604" s="212"/>
    </row>
    <row r="1605" spans="1:6" ht="20.25">
      <c r="A1605" s="209"/>
      <c r="B1605" s="210"/>
      <c r="C1605" s="210"/>
      <c r="D1605" s="210"/>
      <c r="E1605" s="211"/>
      <c r="F1605" s="212"/>
    </row>
    <row r="1606" spans="1:6" ht="20.25">
      <c r="A1606" s="209"/>
      <c r="B1606" s="210"/>
      <c r="C1606" s="210"/>
      <c r="D1606" s="210"/>
      <c r="E1606" s="211"/>
      <c r="F1606" s="212"/>
    </row>
    <row r="1607" spans="1:6" ht="20.25">
      <c r="A1607" s="209"/>
      <c r="B1607" s="210"/>
      <c r="C1607" s="210"/>
      <c r="D1607" s="210"/>
      <c r="E1607" s="211"/>
      <c r="F1607" s="212"/>
    </row>
    <row r="1608" spans="1:6" ht="20.25">
      <c r="A1608" s="209"/>
      <c r="B1608" s="210"/>
      <c r="C1608" s="210"/>
      <c r="D1608" s="210"/>
      <c r="E1608" s="211"/>
      <c r="F1608" s="212"/>
    </row>
    <row r="1609" spans="1:6" ht="20.25">
      <c r="A1609" s="209"/>
      <c r="B1609" s="210"/>
      <c r="C1609" s="210"/>
      <c r="D1609" s="210"/>
      <c r="E1609" s="211"/>
      <c r="F1609" s="212"/>
    </row>
    <row r="1610" spans="1:6" ht="20.25">
      <c r="A1610" s="209"/>
      <c r="B1610" s="210"/>
      <c r="C1610" s="210"/>
      <c r="D1610" s="210"/>
      <c r="E1610" s="211"/>
      <c r="F1610" s="212"/>
    </row>
    <row r="1611" spans="1:6" ht="20.25">
      <c r="A1611" s="209"/>
      <c r="B1611" s="210"/>
      <c r="C1611" s="210"/>
      <c r="D1611" s="210"/>
      <c r="E1611" s="211"/>
      <c r="F1611" s="212"/>
    </row>
    <row r="1612" spans="1:6" ht="20.25">
      <c r="A1612" s="209"/>
      <c r="B1612" s="210"/>
      <c r="C1612" s="210"/>
      <c r="D1612" s="210"/>
      <c r="E1612" s="211"/>
      <c r="F1612" s="212"/>
    </row>
    <row r="1613" spans="1:6" ht="20.25">
      <c r="A1613" s="209"/>
      <c r="B1613" s="210"/>
      <c r="C1613" s="210"/>
      <c r="D1613" s="210"/>
      <c r="E1613" s="211"/>
      <c r="F1613" s="212"/>
    </row>
    <row r="1614" spans="1:6" ht="20.25">
      <c r="A1614" s="209"/>
      <c r="B1614" s="210"/>
      <c r="C1614" s="210"/>
      <c r="D1614" s="210"/>
      <c r="E1614" s="211"/>
      <c r="F1614" s="212"/>
    </row>
    <row r="1615" spans="1:6" ht="20.25">
      <c r="A1615" s="209"/>
      <c r="B1615" s="210"/>
      <c r="C1615" s="210"/>
      <c r="D1615" s="210"/>
      <c r="E1615" s="211"/>
      <c r="F1615" s="212"/>
    </row>
    <row r="1616" spans="1:6" ht="20.25">
      <c r="A1616" s="209"/>
      <c r="B1616" s="210"/>
      <c r="C1616" s="210"/>
      <c r="D1616" s="210"/>
      <c r="E1616" s="211"/>
      <c r="F1616" s="212"/>
    </row>
    <row r="1617" spans="1:6" ht="20.25">
      <c r="A1617" s="209"/>
      <c r="B1617" s="210"/>
      <c r="C1617" s="210"/>
      <c r="D1617" s="210"/>
      <c r="E1617" s="211"/>
      <c r="F1617" s="212"/>
    </row>
    <row r="1618" spans="1:6" ht="20.25">
      <c r="A1618" s="209"/>
      <c r="B1618" s="210"/>
      <c r="C1618" s="210"/>
      <c r="D1618" s="210"/>
      <c r="E1618" s="211"/>
      <c r="F1618" s="212"/>
    </row>
    <row r="1619" spans="1:6" ht="20.25">
      <c r="A1619" s="209"/>
      <c r="B1619" s="210"/>
      <c r="C1619" s="210"/>
      <c r="D1619" s="210"/>
      <c r="E1619" s="211"/>
      <c r="F1619" s="212"/>
    </row>
    <row r="1620" spans="1:6" ht="20.25">
      <c r="A1620" s="209"/>
      <c r="B1620" s="210"/>
      <c r="C1620" s="210"/>
      <c r="D1620" s="210"/>
      <c r="E1620" s="211"/>
      <c r="F1620" s="212"/>
    </row>
    <row r="1621" spans="1:6" ht="20.25">
      <c r="A1621" s="209"/>
      <c r="B1621" s="210"/>
      <c r="C1621" s="210"/>
      <c r="D1621" s="210"/>
      <c r="E1621" s="211"/>
      <c r="F1621" s="212"/>
    </row>
    <row r="1622" spans="1:6" ht="20.25">
      <c r="A1622" s="209"/>
      <c r="B1622" s="210"/>
      <c r="C1622" s="210"/>
      <c r="D1622" s="210"/>
      <c r="E1622" s="211"/>
      <c r="F1622" s="212"/>
    </row>
    <row r="1623" spans="1:6" ht="20.25">
      <c r="A1623" s="209"/>
      <c r="B1623" s="210"/>
      <c r="C1623" s="210"/>
      <c r="D1623" s="210"/>
      <c r="E1623" s="211"/>
      <c r="F1623" s="212"/>
    </row>
    <row r="1624" spans="1:6" ht="20.25">
      <c r="A1624" s="209"/>
      <c r="B1624" s="210"/>
      <c r="C1624" s="210"/>
      <c r="D1624" s="210"/>
      <c r="E1624" s="211"/>
      <c r="F1624" s="212"/>
    </row>
    <row r="1625" spans="1:6" ht="20.25">
      <c r="A1625" s="209"/>
      <c r="B1625" s="210"/>
      <c r="C1625" s="210"/>
      <c r="D1625" s="210"/>
      <c r="E1625" s="211"/>
      <c r="F1625" s="212"/>
    </row>
    <row r="1626" spans="1:6" ht="20.25">
      <c r="A1626" s="209"/>
      <c r="B1626" s="210"/>
      <c r="C1626" s="210"/>
      <c r="D1626" s="210"/>
      <c r="E1626" s="211"/>
      <c r="F1626" s="212"/>
    </row>
    <row r="1627" spans="1:6" ht="20.25">
      <c r="A1627" s="209"/>
      <c r="B1627" s="210"/>
      <c r="C1627" s="210"/>
      <c r="D1627" s="210"/>
      <c r="E1627" s="211"/>
      <c r="F1627" s="212"/>
    </row>
    <row r="1628" spans="1:6" ht="20.25">
      <c r="A1628" s="209"/>
      <c r="B1628" s="210"/>
      <c r="C1628" s="210"/>
      <c r="D1628" s="210"/>
      <c r="E1628" s="211"/>
      <c r="F1628" s="212"/>
    </row>
    <row r="1629" spans="1:6" ht="20.25">
      <c r="A1629" s="209"/>
      <c r="B1629" s="210"/>
      <c r="C1629" s="210"/>
      <c r="D1629" s="210"/>
      <c r="E1629" s="211"/>
      <c r="F1629" s="212"/>
    </row>
    <row r="1630" spans="1:6" ht="20.25">
      <c r="A1630" s="209"/>
      <c r="B1630" s="210"/>
      <c r="C1630" s="210"/>
      <c r="D1630" s="210"/>
      <c r="E1630" s="211"/>
      <c r="F1630" s="212"/>
    </row>
    <row r="1631" spans="1:6" ht="20.25">
      <c r="A1631" s="209"/>
      <c r="B1631" s="210"/>
      <c r="C1631" s="210"/>
      <c r="D1631" s="210"/>
      <c r="E1631" s="211"/>
      <c r="F1631" s="212"/>
    </row>
    <row r="1632" spans="1:6" ht="20.25">
      <c r="A1632" s="209"/>
      <c r="B1632" s="210"/>
      <c r="C1632" s="210"/>
      <c r="D1632" s="210"/>
      <c r="E1632" s="211"/>
      <c r="F1632" s="212"/>
    </row>
    <row r="1633" spans="1:6" ht="20.25">
      <c r="A1633" s="209"/>
      <c r="B1633" s="210"/>
      <c r="C1633" s="210"/>
      <c r="D1633" s="210"/>
      <c r="E1633" s="211"/>
      <c r="F1633" s="212"/>
    </row>
    <row r="1634" spans="1:6" ht="20.25">
      <c r="A1634" s="209"/>
      <c r="B1634" s="210"/>
      <c r="C1634" s="210"/>
      <c r="D1634" s="210"/>
      <c r="E1634" s="211"/>
      <c r="F1634" s="212"/>
    </row>
    <row r="1635" spans="1:6" ht="20.25">
      <c r="A1635" s="209"/>
      <c r="B1635" s="210"/>
      <c r="C1635" s="210"/>
      <c r="D1635" s="210"/>
      <c r="E1635" s="211"/>
      <c r="F1635" s="212"/>
    </row>
    <row r="1636" spans="1:6" ht="20.25">
      <c r="A1636" s="209"/>
      <c r="B1636" s="210"/>
      <c r="C1636" s="210"/>
      <c r="D1636" s="210"/>
      <c r="E1636" s="211"/>
      <c r="F1636" s="212"/>
    </row>
    <row r="1637" spans="1:6" ht="20.25">
      <c r="A1637" s="209"/>
      <c r="B1637" s="210"/>
      <c r="C1637" s="210"/>
      <c r="D1637" s="210"/>
      <c r="E1637" s="211"/>
      <c r="F1637" s="212"/>
    </row>
    <row r="1638" spans="1:6" ht="20.25">
      <c r="A1638" s="209"/>
      <c r="B1638" s="210"/>
      <c r="C1638" s="210"/>
      <c r="D1638" s="210"/>
      <c r="E1638" s="211"/>
      <c r="F1638" s="212"/>
    </row>
    <row r="1639" spans="1:6" ht="20.25">
      <c r="A1639" s="209"/>
      <c r="B1639" s="210"/>
      <c r="C1639" s="210"/>
      <c r="D1639" s="210"/>
      <c r="E1639" s="211"/>
      <c r="F1639" s="212"/>
    </row>
    <row r="1640" spans="1:6" ht="20.25">
      <c r="A1640" s="209"/>
      <c r="B1640" s="210"/>
      <c r="C1640" s="210"/>
      <c r="D1640" s="210"/>
      <c r="E1640" s="211"/>
      <c r="F1640" s="212"/>
    </row>
    <row r="1641" spans="1:6" ht="20.25">
      <c r="A1641" s="209"/>
      <c r="B1641" s="210"/>
      <c r="C1641" s="210"/>
      <c r="D1641" s="210"/>
      <c r="E1641" s="211"/>
      <c r="F1641" s="212"/>
    </row>
    <row r="1642" spans="1:6" ht="20.25">
      <c r="A1642" s="209"/>
      <c r="B1642" s="210"/>
      <c r="C1642" s="210"/>
      <c r="D1642" s="210"/>
      <c r="E1642" s="211"/>
      <c r="F1642" s="212"/>
    </row>
    <row r="1643" spans="1:6" ht="20.25">
      <c r="A1643" s="209"/>
      <c r="B1643" s="210"/>
      <c r="C1643" s="210"/>
      <c r="D1643" s="210"/>
      <c r="E1643" s="211"/>
      <c r="F1643" s="212"/>
    </row>
    <row r="1644" spans="1:6" ht="20.25">
      <c r="A1644" s="209"/>
      <c r="B1644" s="210"/>
      <c r="C1644" s="210"/>
      <c r="D1644" s="210"/>
      <c r="E1644" s="211"/>
      <c r="F1644" s="212"/>
    </row>
    <row r="1645" spans="1:6" ht="20.25">
      <c r="A1645" s="209"/>
      <c r="B1645" s="210"/>
      <c r="C1645" s="210"/>
      <c r="D1645" s="210"/>
      <c r="E1645" s="211"/>
      <c r="F1645" s="212"/>
    </row>
    <row r="1646" spans="1:6" ht="20.25">
      <c r="A1646" s="209"/>
      <c r="B1646" s="210"/>
      <c r="C1646" s="210"/>
      <c r="D1646" s="210"/>
      <c r="E1646" s="211"/>
      <c r="F1646" s="212"/>
    </row>
    <row r="1647" spans="1:6" ht="20.25">
      <c r="A1647" s="209"/>
      <c r="B1647" s="210"/>
      <c r="C1647" s="210"/>
      <c r="D1647" s="210"/>
      <c r="E1647" s="211"/>
      <c r="F1647" s="212"/>
    </row>
    <row r="1648" spans="1:6" ht="20.25">
      <c r="A1648" s="209"/>
      <c r="B1648" s="210"/>
      <c r="C1648" s="210"/>
      <c r="D1648" s="210"/>
      <c r="E1648" s="211"/>
      <c r="F1648" s="212"/>
    </row>
    <row r="1649" spans="1:6" ht="20.25">
      <c r="A1649" s="209"/>
      <c r="B1649" s="210"/>
      <c r="C1649" s="210"/>
      <c r="D1649" s="210"/>
      <c r="E1649" s="211"/>
      <c r="F1649" s="212"/>
    </row>
    <row r="1650" spans="1:6" ht="20.25">
      <c r="A1650" s="209"/>
      <c r="B1650" s="210"/>
      <c r="C1650" s="210"/>
      <c r="D1650" s="210"/>
      <c r="E1650" s="211"/>
      <c r="F1650" s="212"/>
    </row>
    <row r="1651" spans="1:6" ht="20.25">
      <c r="A1651" s="209"/>
      <c r="B1651" s="210"/>
      <c r="C1651" s="210"/>
      <c r="D1651" s="210"/>
      <c r="E1651" s="211"/>
      <c r="F1651" s="212"/>
    </row>
    <row r="1652" spans="1:6" ht="20.25">
      <c r="A1652" s="209"/>
      <c r="B1652" s="210"/>
      <c r="C1652" s="210"/>
      <c r="D1652" s="210"/>
      <c r="E1652" s="211"/>
      <c r="F1652" s="212"/>
    </row>
    <row r="1653" spans="1:6" ht="20.25">
      <c r="A1653" s="209"/>
      <c r="B1653" s="210"/>
      <c r="C1653" s="210"/>
      <c r="D1653" s="210"/>
      <c r="E1653" s="211"/>
      <c r="F1653" s="212"/>
    </row>
    <row r="1654" spans="1:6" ht="20.25">
      <c r="A1654" s="209"/>
      <c r="B1654" s="210"/>
      <c r="C1654" s="210"/>
      <c r="D1654" s="210"/>
      <c r="E1654" s="211"/>
      <c r="F1654" s="212"/>
    </row>
    <row r="1655" spans="1:6" ht="20.25">
      <c r="A1655" s="209"/>
      <c r="B1655" s="210"/>
      <c r="C1655" s="210"/>
      <c r="D1655" s="210"/>
      <c r="E1655" s="211"/>
      <c r="F1655" s="212"/>
    </row>
    <row r="1656" spans="1:6" ht="20.25">
      <c r="A1656" s="209"/>
      <c r="B1656" s="210"/>
      <c r="C1656" s="210"/>
      <c r="D1656" s="210"/>
      <c r="E1656" s="211"/>
      <c r="F1656" s="212"/>
    </row>
    <row r="1657" spans="1:6" ht="20.25">
      <c r="A1657" s="209"/>
      <c r="B1657" s="210"/>
      <c r="C1657" s="210"/>
      <c r="D1657" s="210"/>
      <c r="E1657" s="211"/>
      <c r="F1657" s="212"/>
    </row>
    <row r="1658" spans="1:6" ht="20.25">
      <c r="A1658" s="209"/>
      <c r="B1658" s="210"/>
      <c r="C1658" s="210"/>
      <c r="D1658" s="210"/>
      <c r="E1658" s="211"/>
      <c r="F1658" s="212"/>
    </row>
    <row r="1659" spans="1:6" ht="20.25">
      <c r="A1659" s="209"/>
      <c r="B1659" s="210"/>
      <c r="C1659" s="210"/>
      <c r="D1659" s="210"/>
      <c r="E1659" s="211"/>
      <c r="F1659" s="212"/>
    </row>
    <row r="1660" spans="1:6" ht="20.25">
      <c r="A1660" s="209"/>
      <c r="B1660" s="210"/>
      <c r="C1660" s="210"/>
      <c r="D1660" s="210"/>
      <c r="E1660" s="211"/>
      <c r="F1660" s="212"/>
    </row>
    <row r="1661" spans="1:6" ht="20.25">
      <c r="A1661" s="209"/>
      <c r="B1661" s="210"/>
      <c r="C1661" s="210"/>
      <c r="D1661" s="210"/>
      <c r="E1661" s="211"/>
      <c r="F1661" s="212"/>
    </row>
    <row r="1662" spans="1:6" ht="20.25">
      <c r="A1662" s="209"/>
      <c r="B1662" s="210"/>
      <c r="C1662" s="210"/>
      <c r="D1662" s="210"/>
      <c r="E1662" s="211"/>
      <c r="F1662" s="212"/>
    </row>
    <row r="1663" spans="1:6" ht="20.25">
      <c r="A1663" s="209"/>
      <c r="B1663" s="210"/>
      <c r="C1663" s="210"/>
      <c r="D1663" s="210"/>
      <c r="E1663" s="211"/>
      <c r="F1663" s="212"/>
    </row>
    <row r="1664" spans="1:6" ht="20.25">
      <c r="A1664" s="209"/>
      <c r="B1664" s="210"/>
      <c r="C1664" s="210"/>
      <c r="D1664" s="210"/>
      <c r="E1664" s="211"/>
      <c r="F1664" s="212"/>
    </row>
    <row r="1665" spans="1:6" ht="20.25">
      <c r="A1665" s="209"/>
      <c r="B1665" s="210"/>
      <c r="C1665" s="210"/>
      <c r="D1665" s="210"/>
      <c r="E1665" s="211"/>
      <c r="F1665" s="212"/>
    </row>
    <row r="1666" spans="1:6" ht="20.25">
      <c r="A1666" s="209"/>
      <c r="B1666" s="210"/>
      <c r="C1666" s="210"/>
      <c r="D1666" s="210"/>
      <c r="E1666" s="211"/>
      <c r="F1666" s="212"/>
    </row>
    <row r="1667" spans="1:6" ht="20.25">
      <c r="A1667" s="209"/>
      <c r="B1667" s="210"/>
      <c r="C1667" s="210"/>
      <c r="D1667" s="210"/>
      <c r="E1667" s="211"/>
      <c r="F1667" s="212"/>
    </row>
    <row r="1668" spans="1:6" ht="20.25">
      <c r="A1668" s="209"/>
      <c r="B1668" s="210"/>
      <c r="C1668" s="210"/>
      <c r="D1668" s="210"/>
      <c r="E1668" s="211"/>
      <c r="F1668" s="212"/>
    </row>
    <row r="1669" spans="1:6" ht="20.25">
      <c r="A1669" s="209"/>
      <c r="B1669" s="210"/>
      <c r="C1669" s="210"/>
      <c r="D1669" s="210"/>
      <c r="E1669" s="211"/>
      <c r="F1669" s="212"/>
    </row>
    <row r="1670" spans="1:6" ht="20.25">
      <c r="A1670" s="209"/>
      <c r="B1670" s="210"/>
      <c r="C1670" s="210"/>
      <c r="D1670" s="210"/>
      <c r="E1670" s="211"/>
      <c r="F1670" s="212"/>
    </row>
    <row r="1671" spans="1:6" ht="20.25">
      <c r="A1671" s="209"/>
      <c r="B1671" s="210"/>
      <c r="C1671" s="210"/>
      <c r="D1671" s="210"/>
      <c r="E1671" s="211"/>
      <c r="F1671" s="212"/>
    </row>
    <row r="1672" spans="1:6" ht="20.25">
      <c r="A1672" s="209"/>
      <c r="B1672" s="210"/>
      <c r="C1672" s="210"/>
      <c r="D1672" s="210"/>
      <c r="E1672" s="211"/>
      <c r="F1672" s="212"/>
    </row>
    <row r="1673" spans="1:6" ht="20.25">
      <c r="A1673" s="209"/>
      <c r="B1673" s="210"/>
      <c r="C1673" s="210"/>
      <c r="D1673" s="210"/>
      <c r="E1673" s="211"/>
      <c r="F1673" s="212"/>
    </row>
    <row r="1674" spans="1:6" ht="20.25">
      <c r="A1674" s="209"/>
      <c r="B1674" s="210"/>
      <c r="C1674" s="210"/>
      <c r="D1674" s="210"/>
      <c r="E1674" s="211"/>
      <c r="F1674" s="212"/>
    </row>
    <row r="1675" spans="1:6" ht="20.25">
      <c r="A1675" s="209"/>
      <c r="B1675" s="210"/>
      <c r="C1675" s="210"/>
      <c r="D1675" s="210"/>
      <c r="E1675" s="211"/>
      <c r="F1675" s="212"/>
    </row>
    <row r="1676" spans="1:6" ht="20.25">
      <c r="A1676" s="209"/>
      <c r="B1676" s="210"/>
      <c r="C1676" s="210"/>
      <c r="D1676" s="210"/>
      <c r="E1676" s="211"/>
      <c r="F1676" s="212"/>
    </row>
    <row r="1677" spans="1:6" ht="20.25">
      <c r="A1677" s="209"/>
      <c r="B1677" s="210"/>
      <c r="C1677" s="210"/>
      <c r="D1677" s="210"/>
      <c r="E1677" s="211"/>
      <c r="F1677" s="212"/>
    </row>
    <row r="1678" spans="1:6" ht="20.25">
      <c r="A1678" s="209"/>
      <c r="B1678" s="210"/>
      <c r="C1678" s="210"/>
      <c r="D1678" s="210"/>
      <c r="E1678" s="211"/>
      <c r="F1678" s="212"/>
    </row>
    <row r="1679" spans="1:6" ht="20.25">
      <c r="A1679" s="209"/>
      <c r="B1679" s="210"/>
      <c r="C1679" s="210"/>
      <c r="D1679" s="210"/>
      <c r="E1679" s="211"/>
      <c r="F1679" s="212"/>
    </row>
    <row r="1680" spans="1:6" ht="20.25">
      <c r="A1680" s="209"/>
      <c r="B1680" s="210"/>
      <c r="C1680" s="210"/>
      <c r="D1680" s="210"/>
      <c r="E1680" s="211"/>
      <c r="F1680" s="212"/>
    </row>
    <row r="1681" spans="1:6" ht="20.25">
      <c r="A1681" s="209"/>
      <c r="B1681" s="210"/>
      <c r="C1681" s="210"/>
      <c r="D1681" s="210"/>
      <c r="E1681" s="211"/>
      <c r="F1681" s="212"/>
    </row>
    <row r="1682" spans="1:6" ht="20.25">
      <c r="A1682" s="209"/>
      <c r="B1682" s="210"/>
      <c r="C1682" s="210"/>
      <c r="D1682" s="210"/>
      <c r="E1682" s="211"/>
      <c r="F1682" s="212"/>
    </row>
    <row r="1683" spans="1:6" ht="20.25">
      <c r="A1683" s="209"/>
      <c r="B1683" s="210"/>
      <c r="C1683" s="210"/>
      <c r="D1683" s="210"/>
      <c r="E1683" s="211"/>
      <c r="F1683" s="212"/>
    </row>
    <row r="1684" spans="1:6" ht="20.25">
      <c r="A1684" s="209"/>
      <c r="B1684" s="210"/>
      <c r="C1684" s="210"/>
      <c r="D1684" s="210"/>
      <c r="E1684" s="211"/>
      <c r="F1684" s="212"/>
    </row>
    <row r="1685" spans="1:6" ht="20.25">
      <c r="A1685" s="209"/>
      <c r="B1685" s="210"/>
      <c r="C1685" s="210"/>
      <c r="D1685" s="210"/>
      <c r="E1685" s="211"/>
      <c r="F1685" s="212"/>
    </row>
    <row r="1686" spans="1:6" ht="20.25">
      <c r="A1686" s="209"/>
      <c r="B1686" s="210"/>
      <c r="C1686" s="210"/>
      <c r="D1686" s="210"/>
      <c r="E1686" s="211"/>
      <c r="F1686" s="212"/>
    </row>
    <row r="1687" spans="1:6" ht="20.25">
      <c r="A1687" s="209"/>
      <c r="B1687" s="210"/>
      <c r="C1687" s="210"/>
      <c r="D1687" s="210"/>
      <c r="E1687" s="211"/>
      <c r="F1687" s="212"/>
    </row>
    <row r="1688" spans="1:6" ht="20.25">
      <c r="A1688" s="209"/>
      <c r="B1688" s="210"/>
      <c r="C1688" s="210"/>
      <c r="D1688" s="210"/>
      <c r="E1688" s="211"/>
      <c r="F1688" s="212"/>
    </row>
    <row r="1689" spans="1:6" ht="20.25">
      <c r="A1689" s="209"/>
      <c r="B1689" s="210"/>
      <c r="C1689" s="210"/>
      <c r="D1689" s="210"/>
      <c r="E1689" s="211"/>
      <c r="F1689" s="212"/>
    </row>
    <row r="1690" spans="1:6" ht="20.25">
      <c r="A1690" s="209"/>
      <c r="B1690" s="210"/>
      <c r="C1690" s="210"/>
      <c r="D1690" s="210"/>
      <c r="E1690" s="211"/>
      <c r="F1690" s="212"/>
    </row>
    <row r="1691" spans="1:6" ht="20.25">
      <c r="A1691" s="209"/>
      <c r="B1691" s="210"/>
      <c r="C1691" s="210"/>
      <c r="D1691" s="210"/>
      <c r="E1691" s="211"/>
      <c r="F1691" s="212"/>
    </row>
    <row r="1692" spans="1:6" ht="20.25">
      <c r="A1692" s="209"/>
      <c r="B1692" s="210"/>
      <c r="C1692" s="210"/>
      <c r="D1692" s="210"/>
      <c r="E1692" s="211"/>
      <c r="F1692" s="212"/>
    </row>
    <row r="1693" spans="1:6" ht="20.25">
      <c r="A1693" s="209"/>
      <c r="B1693" s="210"/>
      <c r="C1693" s="210"/>
      <c r="D1693" s="210"/>
      <c r="E1693" s="211"/>
      <c r="F1693" s="212"/>
    </row>
    <row r="1694" spans="1:6" ht="20.25">
      <c r="A1694" s="209"/>
      <c r="B1694" s="210"/>
      <c r="C1694" s="210"/>
      <c r="D1694" s="210"/>
      <c r="E1694" s="211"/>
      <c r="F1694" s="212"/>
    </row>
    <row r="1695" spans="1:6" ht="20.25">
      <c r="A1695" s="209"/>
      <c r="B1695" s="210"/>
      <c r="C1695" s="210"/>
      <c r="D1695" s="210"/>
      <c r="E1695" s="211"/>
      <c r="F1695" s="212"/>
    </row>
    <row r="1696" spans="1:6" ht="20.25">
      <c r="A1696" s="209"/>
      <c r="B1696" s="210"/>
      <c r="C1696" s="210"/>
      <c r="D1696" s="210"/>
      <c r="E1696" s="211"/>
      <c r="F1696" s="212"/>
    </row>
    <row r="1697" spans="1:6" ht="20.25">
      <c r="A1697" s="209"/>
      <c r="B1697" s="210"/>
      <c r="C1697" s="210"/>
      <c r="D1697" s="210"/>
      <c r="E1697" s="211"/>
      <c r="F1697" s="212"/>
    </row>
    <row r="1698" spans="1:6" ht="20.25">
      <c r="A1698" s="209"/>
      <c r="B1698" s="210"/>
      <c r="C1698" s="210"/>
      <c r="D1698" s="210"/>
      <c r="E1698" s="211"/>
      <c r="F1698" s="212"/>
    </row>
    <row r="1699" spans="1:6" ht="20.25">
      <c r="A1699" s="209"/>
      <c r="B1699" s="210"/>
      <c r="C1699" s="210"/>
      <c r="D1699" s="210"/>
      <c r="E1699" s="211"/>
      <c r="F1699" s="212"/>
    </row>
    <row r="1700" spans="1:6" ht="20.25">
      <c r="A1700" s="209"/>
      <c r="B1700" s="210"/>
      <c r="C1700" s="210"/>
      <c r="D1700" s="210"/>
      <c r="E1700" s="211"/>
      <c r="F1700" s="212"/>
    </row>
    <row r="1701" spans="1:6" ht="20.25">
      <c r="A1701" s="209"/>
      <c r="B1701" s="210"/>
      <c r="C1701" s="210"/>
      <c r="D1701" s="210"/>
      <c r="E1701" s="211"/>
      <c r="F1701" s="212"/>
    </row>
    <row r="1702" spans="1:6" ht="20.25">
      <c r="A1702" s="209"/>
      <c r="B1702" s="210"/>
      <c r="C1702" s="210"/>
      <c r="D1702" s="210"/>
      <c r="E1702" s="211"/>
      <c r="F1702" s="212"/>
    </row>
    <row r="1703" spans="1:6" ht="20.25">
      <c r="A1703" s="209"/>
      <c r="B1703" s="210"/>
      <c r="C1703" s="210"/>
      <c r="D1703" s="210"/>
      <c r="E1703" s="211"/>
      <c r="F1703" s="212"/>
    </row>
    <row r="1704" spans="1:6" ht="20.25">
      <c r="A1704" s="209"/>
      <c r="B1704" s="210"/>
      <c r="C1704" s="210"/>
      <c r="D1704" s="210"/>
      <c r="E1704" s="211"/>
      <c r="F1704" s="212"/>
    </row>
    <row r="1705" spans="1:6" ht="20.25">
      <c r="A1705" s="209"/>
      <c r="B1705" s="210"/>
      <c r="C1705" s="210"/>
      <c r="D1705" s="210"/>
      <c r="E1705" s="211"/>
      <c r="F1705" s="212"/>
    </row>
    <row r="1706" spans="1:6" ht="20.25">
      <c r="A1706" s="209"/>
      <c r="B1706" s="210"/>
      <c r="C1706" s="210"/>
      <c r="D1706" s="210"/>
      <c r="E1706" s="211"/>
      <c r="F1706" s="212"/>
    </row>
    <row r="1707" spans="1:6" ht="20.25">
      <c r="A1707" s="209"/>
      <c r="B1707" s="210"/>
      <c r="C1707" s="210"/>
      <c r="D1707" s="210"/>
      <c r="E1707" s="211"/>
      <c r="F1707" s="212"/>
    </row>
    <row r="1708" spans="1:6" ht="20.25">
      <c r="A1708" s="209"/>
      <c r="B1708" s="210"/>
      <c r="C1708" s="210"/>
      <c r="D1708" s="210"/>
      <c r="E1708" s="211"/>
      <c r="F1708" s="212"/>
    </row>
    <row r="1709" spans="1:6" ht="20.25">
      <c r="A1709" s="209"/>
      <c r="B1709" s="210"/>
      <c r="C1709" s="210"/>
      <c r="D1709" s="210"/>
      <c r="E1709" s="211"/>
      <c r="F1709" s="212"/>
    </row>
    <row r="1710" spans="1:6" ht="20.25">
      <c r="A1710" s="209"/>
      <c r="B1710" s="210"/>
      <c r="C1710" s="210"/>
      <c r="D1710" s="210"/>
      <c r="E1710" s="211"/>
      <c r="F1710" s="212"/>
    </row>
    <row r="1711" spans="1:6" ht="20.25">
      <c r="A1711" s="209"/>
      <c r="B1711" s="210"/>
      <c r="C1711" s="210"/>
      <c r="D1711" s="210"/>
      <c r="E1711" s="211"/>
      <c r="F1711" s="212"/>
    </row>
    <row r="1712" spans="1:6" ht="20.25">
      <c r="A1712" s="209"/>
      <c r="B1712" s="210"/>
      <c r="C1712" s="210"/>
      <c r="D1712" s="210"/>
      <c r="E1712" s="211"/>
      <c r="F1712" s="212"/>
    </row>
    <row r="1713" spans="1:6" ht="20.25">
      <c r="A1713" s="209"/>
      <c r="B1713" s="210"/>
      <c r="C1713" s="210"/>
      <c r="D1713" s="210"/>
      <c r="E1713" s="211"/>
      <c r="F1713" s="212"/>
    </row>
    <row r="1714" spans="1:6" ht="20.25">
      <c r="A1714" s="209"/>
      <c r="B1714" s="210"/>
      <c r="C1714" s="210"/>
      <c r="D1714" s="210"/>
      <c r="E1714" s="211"/>
      <c r="F1714" s="212"/>
    </row>
    <row r="1715" spans="1:6" ht="20.25">
      <c r="A1715" s="209"/>
      <c r="B1715" s="210"/>
      <c r="C1715" s="210"/>
      <c r="D1715" s="210"/>
      <c r="E1715" s="211"/>
      <c r="F1715" s="212"/>
    </row>
    <row r="1716" spans="1:6" ht="20.25">
      <c r="A1716" s="209"/>
      <c r="B1716" s="210"/>
      <c r="C1716" s="210"/>
      <c r="D1716" s="210"/>
      <c r="E1716" s="211"/>
      <c r="F1716" s="212"/>
    </row>
    <row r="1717" spans="1:6" ht="20.25">
      <c r="A1717" s="209"/>
      <c r="B1717" s="210"/>
      <c r="C1717" s="210"/>
      <c r="D1717" s="210"/>
      <c r="E1717" s="211"/>
      <c r="F1717" s="212"/>
    </row>
    <row r="1718" spans="1:6" ht="20.25">
      <c r="A1718" s="209"/>
      <c r="B1718" s="210"/>
      <c r="C1718" s="210"/>
      <c r="D1718" s="210"/>
      <c r="E1718" s="211"/>
      <c r="F1718" s="212"/>
    </row>
    <row r="1719" spans="1:6" ht="20.25">
      <c r="A1719" s="209"/>
      <c r="B1719" s="210"/>
      <c r="C1719" s="210"/>
      <c r="D1719" s="210"/>
      <c r="E1719" s="211"/>
      <c r="F1719" s="212"/>
    </row>
    <row r="1720" spans="1:6" ht="20.25">
      <c r="A1720" s="209"/>
      <c r="B1720" s="210"/>
      <c r="C1720" s="210"/>
      <c r="D1720" s="210"/>
      <c r="E1720" s="211"/>
      <c r="F1720" s="212"/>
    </row>
    <row r="1721" spans="1:6" ht="20.25">
      <c r="A1721" s="209"/>
      <c r="B1721" s="210"/>
      <c r="C1721" s="210"/>
      <c r="D1721" s="210"/>
      <c r="E1721" s="211"/>
      <c r="F1721" s="212"/>
    </row>
    <row r="1722" spans="1:6" ht="20.25">
      <c r="A1722" s="209"/>
      <c r="B1722" s="210"/>
      <c r="C1722" s="210"/>
      <c r="D1722" s="210"/>
      <c r="E1722" s="211"/>
      <c r="F1722" s="212"/>
    </row>
    <row r="1723" spans="1:6" ht="20.25">
      <c r="A1723" s="209"/>
      <c r="B1723" s="210"/>
      <c r="C1723" s="210"/>
      <c r="D1723" s="210"/>
      <c r="E1723" s="211"/>
      <c r="F1723" s="212"/>
    </row>
    <row r="1724" spans="1:6" ht="20.25">
      <c r="A1724" s="209"/>
      <c r="B1724" s="210"/>
      <c r="C1724" s="210"/>
      <c r="D1724" s="210"/>
      <c r="E1724" s="211"/>
      <c r="F1724" s="212"/>
    </row>
    <row r="1725" spans="1:6" ht="20.25">
      <c r="A1725" s="209"/>
      <c r="B1725" s="210"/>
      <c r="C1725" s="210"/>
      <c r="D1725" s="210"/>
      <c r="E1725" s="211"/>
      <c r="F1725" s="212"/>
    </row>
    <row r="1726" spans="1:6" ht="20.25">
      <c r="A1726" s="209"/>
      <c r="B1726" s="210"/>
      <c r="C1726" s="210"/>
      <c r="D1726" s="210"/>
      <c r="E1726" s="211"/>
      <c r="F1726" s="212"/>
    </row>
    <row r="1727" spans="1:6" ht="20.25">
      <c r="A1727" s="209"/>
      <c r="B1727" s="210"/>
      <c r="C1727" s="210"/>
      <c r="D1727" s="210"/>
      <c r="E1727" s="211"/>
      <c r="F1727" s="212"/>
    </row>
    <row r="1728" spans="1:6" ht="20.25">
      <c r="A1728" s="209"/>
      <c r="B1728" s="210"/>
      <c r="C1728" s="210"/>
      <c r="D1728" s="210"/>
      <c r="E1728" s="211"/>
      <c r="F1728" s="212"/>
    </row>
    <row r="1729" spans="1:6" ht="20.25">
      <c r="A1729" s="209"/>
      <c r="B1729" s="210"/>
      <c r="C1729" s="210"/>
      <c r="D1729" s="210"/>
      <c r="E1729" s="211"/>
      <c r="F1729" s="212"/>
    </row>
    <row r="1730" spans="1:6" ht="20.25">
      <c r="A1730" s="209"/>
      <c r="B1730" s="210"/>
      <c r="C1730" s="210"/>
      <c r="D1730" s="210"/>
      <c r="E1730" s="211"/>
      <c r="F1730" s="212"/>
    </row>
    <row r="1731" spans="1:6" ht="20.25">
      <c r="A1731" s="209"/>
      <c r="B1731" s="210"/>
      <c r="C1731" s="210"/>
      <c r="D1731" s="210"/>
      <c r="E1731" s="211"/>
      <c r="F1731" s="212"/>
    </row>
    <row r="1732" spans="1:6" ht="20.25">
      <c r="A1732" s="209"/>
      <c r="B1732" s="210"/>
      <c r="C1732" s="210"/>
      <c r="D1732" s="210"/>
      <c r="E1732" s="211"/>
      <c r="F1732" s="212"/>
    </row>
    <row r="1733" spans="1:6" ht="20.25">
      <c r="A1733" s="209"/>
      <c r="B1733" s="210"/>
      <c r="C1733" s="210"/>
      <c r="D1733" s="210"/>
      <c r="E1733" s="211"/>
      <c r="F1733" s="212"/>
    </row>
    <row r="1734" spans="1:6" ht="20.25">
      <c r="A1734" s="209"/>
      <c r="B1734" s="210"/>
      <c r="C1734" s="210"/>
      <c r="D1734" s="210"/>
      <c r="E1734" s="211"/>
      <c r="F1734" s="212"/>
    </row>
    <row r="1735" spans="1:6" ht="20.25">
      <c r="A1735" s="209"/>
      <c r="B1735" s="210"/>
      <c r="C1735" s="210"/>
      <c r="D1735" s="210"/>
      <c r="E1735" s="211"/>
      <c r="F1735" s="212"/>
    </row>
    <row r="1736" spans="1:6" ht="20.25">
      <c r="A1736" s="209"/>
      <c r="B1736" s="210"/>
      <c r="C1736" s="210"/>
      <c r="D1736" s="210"/>
      <c r="E1736" s="211"/>
      <c r="F1736" s="212"/>
    </row>
    <row r="1737" spans="1:6" ht="20.25">
      <c r="A1737" s="209"/>
      <c r="B1737" s="210"/>
      <c r="C1737" s="210"/>
      <c r="D1737" s="210"/>
      <c r="E1737" s="211"/>
      <c r="F1737" s="212"/>
    </row>
    <row r="1738" spans="1:6" ht="20.25">
      <c r="A1738" s="209"/>
      <c r="B1738" s="210"/>
      <c r="C1738" s="210"/>
      <c r="D1738" s="210"/>
      <c r="E1738" s="211"/>
      <c r="F1738" s="212"/>
    </row>
    <row r="1739" spans="1:6" ht="20.25">
      <c r="A1739" s="209"/>
      <c r="B1739" s="210"/>
      <c r="C1739" s="210"/>
      <c r="D1739" s="210"/>
      <c r="E1739" s="211"/>
      <c r="F1739" s="212"/>
    </row>
    <row r="1740" spans="1:6" ht="20.25">
      <c r="A1740" s="209"/>
      <c r="B1740" s="210"/>
      <c r="C1740" s="210"/>
      <c r="D1740" s="210"/>
      <c r="E1740" s="211"/>
      <c r="F1740" s="212"/>
    </row>
    <row r="1741" spans="1:6" ht="20.25">
      <c r="A1741" s="209"/>
      <c r="B1741" s="210"/>
      <c r="C1741" s="210"/>
      <c r="D1741" s="210"/>
      <c r="E1741" s="211"/>
      <c r="F1741" s="212"/>
    </row>
    <row r="1742" spans="1:6" ht="20.25">
      <c r="A1742" s="209"/>
      <c r="B1742" s="210"/>
      <c r="C1742" s="210"/>
      <c r="D1742" s="210"/>
      <c r="E1742" s="211"/>
      <c r="F1742" s="212"/>
    </row>
    <row r="1743" spans="1:6" ht="20.25">
      <c r="A1743" s="209"/>
      <c r="B1743" s="210"/>
      <c r="C1743" s="210"/>
      <c r="D1743" s="210"/>
      <c r="E1743" s="211"/>
      <c r="F1743" s="212"/>
    </row>
    <row r="1744" spans="1:6" ht="20.25">
      <c r="A1744" s="209"/>
      <c r="B1744" s="210"/>
      <c r="C1744" s="210"/>
      <c r="D1744" s="210"/>
      <c r="E1744" s="211"/>
      <c r="F1744" s="212"/>
    </row>
    <row r="1745" spans="1:6" ht="20.25">
      <c r="A1745" s="209"/>
      <c r="B1745" s="210"/>
      <c r="C1745" s="210"/>
      <c r="D1745" s="210"/>
      <c r="E1745" s="211"/>
      <c r="F1745" s="212"/>
    </row>
    <row r="1746" spans="1:6" ht="20.25">
      <c r="A1746" s="209"/>
      <c r="B1746" s="210"/>
      <c r="C1746" s="210"/>
      <c r="D1746" s="210"/>
      <c r="E1746" s="211"/>
      <c r="F1746" s="212"/>
    </row>
    <row r="1747" spans="1:6" ht="20.25">
      <c r="A1747" s="209"/>
      <c r="B1747" s="210"/>
      <c r="C1747" s="210"/>
      <c r="D1747" s="210"/>
      <c r="E1747" s="211"/>
      <c r="F1747" s="212"/>
    </row>
    <row r="1748" spans="1:6" ht="20.25">
      <c r="A1748" s="209"/>
      <c r="B1748" s="210"/>
      <c r="C1748" s="210"/>
      <c r="D1748" s="210"/>
      <c r="E1748" s="211"/>
      <c r="F1748" s="212"/>
    </row>
    <row r="1749" spans="1:6" ht="20.25">
      <c r="A1749" s="209"/>
      <c r="B1749" s="210"/>
      <c r="C1749" s="210"/>
      <c r="D1749" s="210"/>
      <c r="E1749" s="211"/>
      <c r="F1749" s="212"/>
    </row>
    <row r="1750" spans="1:6" ht="20.25">
      <c r="A1750" s="209"/>
      <c r="B1750" s="210"/>
      <c r="C1750" s="210"/>
      <c r="D1750" s="210"/>
      <c r="E1750" s="211"/>
      <c r="F1750" s="212"/>
    </row>
    <row r="1751" spans="1:6" ht="20.25">
      <c r="A1751" s="209"/>
      <c r="B1751" s="210"/>
      <c r="C1751" s="210"/>
      <c r="D1751" s="210"/>
      <c r="E1751" s="211"/>
      <c r="F1751" s="212"/>
    </row>
    <row r="1752" spans="1:6" ht="20.25">
      <c r="A1752" s="209"/>
      <c r="B1752" s="210"/>
      <c r="C1752" s="210"/>
      <c r="D1752" s="210"/>
      <c r="E1752" s="211"/>
      <c r="F1752" s="212"/>
    </row>
    <row r="1753" spans="1:6" ht="20.25">
      <c r="A1753" s="209"/>
      <c r="B1753" s="210"/>
      <c r="C1753" s="210"/>
      <c r="D1753" s="210"/>
      <c r="E1753" s="211"/>
      <c r="F1753" s="212"/>
    </row>
    <row r="1754" spans="1:6" ht="20.25">
      <c r="A1754" s="209"/>
      <c r="B1754" s="210"/>
      <c r="C1754" s="210"/>
      <c r="D1754" s="210"/>
      <c r="E1754" s="211"/>
      <c r="F1754" s="212"/>
    </row>
    <row r="1755" spans="1:6" ht="20.25">
      <c r="A1755" s="209"/>
      <c r="B1755" s="210"/>
      <c r="C1755" s="210"/>
      <c r="D1755" s="210"/>
      <c r="E1755" s="211"/>
      <c r="F1755" s="212"/>
    </row>
    <row r="1756" spans="1:6" ht="20.25">
      <c r="A1756" s="209"/>
      <c r="B1756" s="210"/>
      <c r="C1756" s="210"/>
      <c r="D1756" s="210"/>
      <c r="E1756" s="211"/>
      <c r="F1756" s="212"/>
    </row>
    <row r="1757" spans="1:6" ht="20.25">
      <c r="A1757" s="209"/>
      <c r="B1757" s="210"/>
      <c r="C1757" s="210"/>
      <c r="D1757" s="210"/>
      <c r="E1757" s="211"/>
      <c r="F1757" s="212"/>
    </row>
    <row r="1758" spans="1:6" ht="20.25">
      <c r="A1758" s="209"/>
      <c r="B1758" s="210"/>
      <c r="C1758" s="210"/>
      <c r="D1758" s="210"/>
      <c r="E1758" s="211"/>
      <c r="F1758" s="212"/>
    </row>
    <row r="1759" spans="1:6" ht="20.25">
      <c r="A1759" s="209"/>
      <c r="B1759" s="210"/>
      <c r="C1759" s="210"/>
      <c r="D1759" s="210"/>
      <c r="E1759" s="211"/>
      <c r="F1759" s="212"/>
    </row>
    <row r="1760" spans="1:6" ht="20.25">
      <c r="A1760" s="209"/>
      <c r="B1760" s="210"/>
      <c r="C1760" s="210"/>
      <c r="D1760" s="210"/>
      <c r="E1760" s="211"/>
      <c r="F1760" s="212"/>
    </row>
    <row r="1761" spans="1:6" ht="20.25">
      <c r="A1761" s="209"/>
      <c r="B1761" s="210"/>
      <c r="C1761" s="210"/>
      <c r="D1761" s="210"/>
      <c r="E1761" s="211"/>
      <c r="F1761" s="212"/>
    </row>
    <row r="1762" spans="1:6" ht="20.25">
      <c r="A1762" s="209"/>
      <c r="B1762" s="210"/>
      <c r="C1762" s="210"/>
      <c r="D1762" s="210"/>
      <c r="E1762" s="211"/>
      <c r="F1762" s="212"/>
    </row>
    <row r="1763" spans="1:6" ht="20.25">
      <c r="A1763" s="209"/>
      <c r="B1763" s="210"/>
      <c r="C1763" s="210"/>
      <c r="D1763" s="210"/>
      <c r="E1763" s="211"/>
      <c r="F1763" s="212"/>
    </row>
    <row r="1764" spans="1:6" ht="20.25">
      <c r="A1764" s="209"/>
      <c r="B1764" s="210"/>
      <c r="C1764" s="210"/>
      <c r="D1764" s="210"/>
      <c r="E1764" s="211"/>
      <c r="F1764" s="212"/>
    </row>
    <row r="1765" spans="1:6" ht="20.25">
      <c r="A1765" s="209"/>
      <c r="B1765" s="210"/>
      <c r="C1765" s="210"/>
      <c r="D1765" s="210"/>
      <c r="E1765" s="211"/>
      <c r="F1765" s="212"/>
    </row>
    <row r="1766" spans="1:6" ht="20.25">
      <c r="A1766" s="209"/>
      <c r="B1766" s="210"/>
      <c r="C1766" s="210"/>
      <c r="D1766" s="210"/>
      <c r="E1766" s="211"/>
      <c r="F1766" s="212"/>
    </row>
    <row r="1767" spans="1:6" ht="20.25">
      <c r="A1767" s="209"/>
      <c r="B1767" s="210"/>
      <c r="C1767" s="210"/>
      <c r="D1767" s="210"/>
      <c r="E1767" s="211"/>
      <c r="F1767" s="212"/>
    </row>
    <row r="1768" spans="1:6" ht="20.25">
      <c r="A1768" s="209"/>
      <c r="B1768" s="210"/>
      <c r="C1768" s="210"/>
      <c r="D1768" s="210"/>
      <c r="E1768" s="211"/>
      <c r="F1768" s="212"/>
    </row>
    <row r="1769" spans="1:6" ht="20.25">
      <c r="A1769" s="209"/>
      <c r="B1769" s="210"/>
      <c r="C1769" s="210"/>
      <c r="D1769" s="210"/>
      <c r="E1769" s="211"/>
      <c r="F1769" s="212"/>
    </row>
    <row r="1770" spans="1:6" ht="20.25">
      <c r="A1770" s="209"/>
      <c r="B1770" s="210"/>
      <c r="C1770" s="210"/>
      <c r="D1770" s="210"/>
      <c r="E1770" s="211"/>
      <c r="F1770" s="212"/>
    </row>
    <row r="1771" spans="1:6" ht="20.25">
      <c r="A1771" s="209"/>
      <c r="B1771" s="210"/>
      <c r="C1771" s="210"/>
      <c r="D1771" s="210"/>
      <c r="E1771" s="211"/>
      <c r="F1771" s="212"/>
    </row>
    <row r="1772" spans="1:6" ht="20.25">
      <c r="A1772" s="209"/>
      <c r="B1772" s="210"/>
      <c r="C1772" s="210"/>
      <c r="D1772" s="210"/>
      <c r="E1772" s="211"/>
      <c r="F1772" s="212"/>
    </row>
    <row r="1773" spans="1:6" ht="20.25">
      <c r="A1773" s="209"/>
      <c r="B1773" s="210"/>
      <c r="C1773" s="210"/>
      <c r="D1773" s="210"/>
      <c r="E1773" s="211"/>
      <c r="F1773" s="212"/>
    </row>
    <row r="1774" spans="1:6" ht="20.25">
      <c r="A1774" s="209"/>
      <c r="B1774" s="210"/>
      <c r="C1774" s="210"/>
      <c r="D1774" s="210"/>
      <c r="E1774" s="211"/>
      <c r="F1774" s="212"/>
    </row>
    <row r="1775" spans="1:6" ht="20.25">
      <c r="A1775" s="209"/>
      <c r="B1775" s="210"/>
      <c r="C1775" s="210"/>
      <c r="D1775" s="210"/>
      <c r="E1775" s="211"/>
      <c r="F1775" s="212"/>
    </row>
    <row r="1776" spans="1:6" ht="20.25">
      <c r="A1776" s="209"/>
      <c r="B1776" s="210"/>
      <c r="C1776" s="210"/>
      <c r="D1776" s="210"/>
      <c r="E1776" s="211"/>
      <c r="F1776" s="212"/>
    </row>
    <row r="1777" spans="1:6" ht="20.25">
      <c r="A1777" s="209"/>
      <c r="B1777" s="210"/>
      <c r="C1777" s="210"/>
      <c r="D1777" s="210"/>
      <c r="E1777" s="211"/>
      <c r="F1777" s="212"/>
    </row>
    <row r="1778" spans="1:6" ht="20.25">
      <c r="A1778" s="209"/>
      <c r="B1778" s="210"/>
      <c r="C1778" s="210"/>
      <c r="D1778" s="210"/>
      <c r="E1778" s="211"/>
      <c r="F1778" s="212"/>
    </row>
    <row r="1779" spans="1:6" ht="20.25">
      <c r="A1779" s="209"/>
      <c r="B1779" s="210"/>
      <c r="C1779" s="210"/>
      <c r="D1779" s="210"/>
      <c r="E1779" s="211"/>
      <c r="F1779" s="212"/>
    </row>
    <row r="1780" spans="1:6" ht="20.25">
      <c r="A1780" s="209"/>
      <c r="B1780" s="210"/>
      <c r="C1780" s="210"/>
      <c r="D1780" s="210"/>
      <c r="E1780" s="211"/>
      <c r="F1780" s="212"/>
    </row>
    <row r="1781" spans="1:6" ht="20.25">
      <c r="A1781" s="209"/>
      <c r="B1781" s="210"/>
      <c r="C1781" s="210"/>
      <c r="D1781" s="210"/>
      <c r="E1781" s="211"/>
      <c r="F1781" s="212"/>
    </row>
    <row r="1782" spans="1:6" ht="20.25">
      <c r="A1782" s="209"/>
      <c r="B1782" s="210"/>
      <c r="C1782" s="210"/>
      <c r="D1782" s="210"/>
      <c r="E1782" s="211"/>
      <c r="F1782" s="212"/>
    </row>
    <row r="1783" spans="1:6" ht="20.25">
      <c r="A1783" s="209"/>
      <c r="B1783" s="210"/>
      <c r="C1783" s="210"/>
      <c r="D1783" s="210"/>
      <c r="E1783" s="211"/>
      <c r="F1783" s="212"/>
    </row>
    <row r="1784" spans="1:6" ht="20.25">
      <c r="A1784" s="209"/>
      <c r="B1784" s="210"/>
      <c r="C1784" s="210"/>
      <c r="D1784" s="210"/>
      <c r="E1784" s="211"/>
      <c r="F1784" s="212"/>
    </row>
    <row r="1785" spans="1:6" ht="20.25">
      <c r="A1785" s="209"/>
      <c r="B1785" s="210"/>
      <c r="C1785" s="210"/>
      <c r="D1785" s="210"/>
      <c r="E1785" s="211"/>
      <c r="F1785" s="212"/>
    </row>
    <row r="1786" spans="1:6" ht="20.25">
      <c r="A1786" s="209"/>
      <c r="B1786" s="210"/>
      <c r="C1786" s="210"/>
      <c r="D1786" s="210"/>
      <c r="E1786" s="211"/>
      <c r="F1786" s="212"/>
    </row>
    <row r="1787" spans="1:6" ht="20.25">
      <c r="A1787" s="209"/>
      <c r="B1787" s="210"/>
      <c r="C1787" s="210"/>
      <c r="D1787" s="210"/>
      <c r="E1787" s="211"/>
      <c r="F1787" s="212"/>
    </row>
    <row r="1788" spans="1:6" ht="20.25">
      <c r="A1788" s="209"/>
      <c r="B1788" s="210"/>
      <c r="C1788" s="210"/>
      <c r="D1788" s="210"/>
      <c r="E1788" s="211"/>
      <c r="F1788" s="212"/>
    </row>
    <row r="1789" spans="1:6" ht="20.25">
      <c r="A1789" s="209"/>
      <c r="B1789" s="210"/>
      <c r="C1789" s="210"/>
      <c r="D1789" s="210"/>
      <c r="E1789" s="211"/>
      <c r="F1789" s="212"/>
    </row>
    <row r="1790" spans="1:6" ht="20.25">
      <c r="A1790" s="209"/>
      <c r="B1790" s="210"/>
      <c r="C1790" s="210"/>
      <c r="D1790" s="210"/>
      <c r="E1790" s="211"/>
      <c r="F1790" s="212"/>
    </row>
    <row r="1791" spans="1:6" ht="20.25">
      <c r="A1791" s="209"/>
      <c r="B1791" s="210"/>
      <c r="C1791" s="210"/>
      <c r="D1791" s="210"/>
      <c r="E1791" s="211"/>
      <c r="F1791" s="212"/>
    </row>
    <row r="1792" spans="1:6" ht="20.25">
      <c r="A1792" s="209"/>
      <c r="B1792" s="210"/>
      <c r="C1792" s="210"/>
      <c r="D1792" s="210"/>
      <c r="E1792" s="211"/>
      <c r="F1792" s="212"/>
    </row>
    <row r="1793" spans="1:6" ht="20.25">
      <c r="A1793" s="209"/>
      <c r="B1793" s="210"/>
      <c r="C1793" s="210"/>
      <c r="D1793" s="210"/>
      <c r="E1793" s="211"/>
      <c r="F1793" s="212"/>
    </row>
    <row r="1794" spans="1:6" ht="20.25">
      <c r="A1794" s="209"/>
      <c r="B1794" s="210"/>
      <c r="C1794" s="210"/>
      <c r="D1794" s="210"/>
      <c r="E1794" s="211"/>
      <c r="F1794" s="212"/>
    </row>
    <row r="1795" spans="1:6" ht="20.25">
      <c r="A1795" s="209"/>
      <c r="B1795" s="210"/>
      <c r="C1795" s="210"/>
      <c r="D1795" s="210"/>
      <c r="E1795" s="211"/>
      <c r="F1795" s="212"/>
    </row>
    <row r="1796" spans="1:6" ht="20.25">
      <c r="A1796" s="209"/>
      <c r="B1796" s="210"/>
      <c r="C1796" s="210"/>
      <c r="D1796" s="210"/>
      <c r="E1796" s="211"/>
      <c r="F1796" s="212"/>
    </row>
    <row r="1797" spans="1:6" ht="20.25">
      <c r="A1797" s="209"/>
      <c r="B1797" s="210"/>
      <c r="C1797" s="210"/>
      <c r="D1797" s="210"/>
      <c r="E1797" s="211"/>
      <c r="F1797" s="212"/>
    </row>
    <row r="1798" spans="1:6" ht="20.25">
      <c r="A1798" s="209"/>
      <c r="B1798" s="210"/>
      <c r="C1798" s="210"/>
      <c r="D1798" s="210"/>
      <c r="E1798" s="211"/>
      <c r="F1798" s="212"/>
    </row>
    <row r="1799" spans="1:6" ht="20.25">
      <c r="A1799" s="209"/>
      <c r="B1799" s="210"/>
      <c r="C1799" s="210"/>
      <c r="D1799" s="210"/>
      <c r="E1799" s="211"/>
      <c r="F1799" s="212"/>
    </row>
    <row r="1800" spans="1:6" ht="20.25">
      <c r="A1800" s="209"/>
      <c r="B1800" s="210"/>
      <c r="C1800" s="210"/>
      <c r="D1800" s="210"/>
      <c r="E1800" s="211"/>
      <c r="F1800" s="212"/>
    </row>
    <row r="1801" spans="1:6" ht="20.25">
      <c r="A1801" s="209"/>
      <c r="B1801" s="210"/>
      <c r="C1801" s="210"/>
      <c r="D1801" s="210"/>
      <c r="E1801" s="211"/>
      <c r="F1801" s="212"/>
    </row>
    <row r="1802" spans="1:6" ht="20.25">
      <c r="A1802" s="209"/>
      <c r="B1802" s="210"/>
      <c r="C1802" s="210"/>
      <c r="D1802" s="210"/>
      <c r="E1802" s="211"/>
      <c r="F1802" s="212"/>
    </row>
    <row r="1803" spans="1:6" ht="20.25">
      <c r="A1803" s="209"/>
      <c r="B1803" s="210"/>
      <c r="C1803" s="210"/>
      <c r="D1803" s="210"/>
      <c r="E1803" s="211"/>
      <c r="F1803" s="212"/>
    </row>
    <row r="1804" spans="1:6" ht="20.25">
      <c r="A1804" s="209"/>
      <c r="B1804" s="210"/>
      <c r="C1804" s="210"/>
      <c r="D1804" s="210"/>
      <c r="E1804" s="211"/>
      <c r="F1804" s="212"/>
    </row>
    <row r="1805" spans="1:6" ht="20.25">
      <c r="A1805" s="209"/>
      <c r="B1805" s="210"/>
      <c r="C1805" s="210"/>
      <c r="D1805" s="210"/>
      <c r="E1805" s="211"/>
      <c r="F1805" s="212"/>
    </row>
    <row r="1806" spans="1:6" ht="20.25">
      <c r="A1806" s="209"/>
      <c r="B1806" s="210"/>
      <c r="C1806" s="210"/>
      <c r="D1806" s="210"/>
      <c r="E1806" s="211"/>
      <c r="F1806" s="212"/>
    </row>
    <row r="1807" spans="1:6" ht="20.25">
      <c r="A1807" s="209"/>
      <c r="B1807" s="210"/>
      <c r="C1807" s="210"/>
      <c r="D1807" s="210"/>
      <c r="E1807" s="211"/>
      <c r="F1807" s="212"/>
    </row>
    <row r="1808" spans="1:6" ht="20.25">
      <c r="A1808" s="209"/>
      <c r="B1808" s="210"/>
      <c r="C1808" s="210"/>
      <c r="D1808" s="210"/>
      <c r="E1808" s="211"/>
      <c r="F1808" s="212"/>
    </row>
    <row r="1809" spans="1:6" ht="20.25">
      <c r="A1809" s="209"/>
      <c r="B1809" s="210"/>
      <c r="C1809" s="210"/>
      <c r="D1809" s="210"/>
      <c r="E1809" s="211"/>
      <c r="F1809" s="212"/>
    </row>
    <row r="1810" spans="1:6" ht="20.25">
      <c r="A1810" s="209"/>
      <c r="B1810" s="210"/>
      <c r="C1810" s="210"/>
      <c r="D1810" s="210"/>
      <c r="E1810" s="211"/>
      <c r="F1810" s="212"/>
    </row>
    <row r="1811" spans="1:6" ht="20.25">
      <c r="A1811" s="209"/>
      <c r="B1811" s="210"/>
      <c r="C1811" s="210"/>
      <c r="D1811" s="210"/>
      <c r="E1811" s="211"/>
      <c r="F1811" s="212"/>
    </row>
    <row r="1812" spans="1:6" ht="20.25">
      <c r="A1812" s="209"/>
      <c r="B1812" s="210"/>
      <c r="C1812" s="210"/>
      <c r="D1812" s="210"/>
      <c r="E1812" s="211"/>
      <c r="F1812" s="212"/>
    </row>
    <row r="1813" spans="1:6" ht="20.25">
      <c r="A1813" s="209"/>
      <c r="B1813" s="210"/>
      <c r="C1813" s="210"/>
      <c r="D1813" s="210"/>
      <c r="E1813" s="211"/>
      <c r="F1813" s="212"/>
    </row>
    <row r="1814" spans="1:6" ht="20.25">
      <c r="A1814" s="209"/>
      <c r="B1814" s="210"/>
      <c r="C1814" s="210"/>
      <c r="D1814" s="210"/>
      <c r="E1814" s="211"/>
      <c r="F1814" s="212"/>
    </row>
    <row r="1815" spans="1:6" ht="20.25">
      <c r="A1815" s="209"/>
      <c r="B1815" s="210"/>
      <c r="C1815" s="210"/>
      <c r="D1815" s="210"/>
      <c r="E1815" s="211"/>
      <c r="F1815" s="212"/>
    </row>
    <row r="1816" spans="1:6" ht="20.25">
      <c r="A1816" s="209"/>
      <c r="B1816" s="210"/>
      <c r="C1816" s="210"/>
      <c r="D1816" s="210"/>
      <c r="E1816" s="211"/>
      <c r="F1816" s="212"/>
    </row>
    <row r="1817" spans="1:6" ht="20.25">
      <c r="A1817" s="209"/>
      <c r="B1817" s="210"/>
      <c r="C1817" s="210"/>
      <c r="D1817" s="210"/>
      <c r="E1817" s="211"/>
      <c r="F1817" s="212"/>
    </row>
    <row r="1818" spans="1:6" ht="20.25">
      <c r="A1818" s="209"/>
      <c r="B1818" s="210"/>
      <c r="C1818" s="210"/>
      <c r="D1818" s="210"/>
      <c r="E1818" s="211"/>
      <c r="F1818" s="212"/>
    </row>
    <row r="1819" spans="1:6" ht="20.25">
      <c r="A1819" s="209"/>
      <c r="B1819" s="210"/>
      <c r="C1819" s="210"/>
      <c r="D1819" s="210"/>
      <c r="E1819" s="211"/>
      <c r="F1819" s="212"/>
    </row>
    <row r="1820" spans="1:6" ht="20.25">
      <c r="A1820" s="209"/>
      <c r="B1820" s="210"/>
      <c r="C1820" s="210"/>
      <c r="D1820" s="210"/>
      <c r="E1820" s="211"/>
      <c r="F1820" s="212"/>
    </row>
    <row r="1821" spans="1:6" ht="20.25">
      <c r="A1821" s="209"/>
      <c r="B1821" s="210"/>
      <c r="C1821" s="210"/>
      <c r="D1821" s="210"/>
      <c r="E1821" s="211"/>
      <c r="F1821" s="212"/>
    </row>
    <row r="1822" spans="1:6" ht="20.25">
      <c r="A1822" s="209"/>
      <c r="B1822" s="210"/>
      <c r="C1822" s="210"/>
      <c r="D1822" s="210"/>
      <c r="E1822" s="211"/>
      <c r="F1822" s="212"/>
    </row>
    <row r="1823" spans="1:6" ht="20.25">
      <c r="A1823" s="209"/>
      <c r="B1823" s="210"/>
      <c r="C1823" s="210"/>
      <c r="D1823" s="210"/>
      <c r="E1823" s="211"/>
      <c r="F1823" s="212"/>
    </row>
    <row r="1824" spans="1:6" ht="20.25">
      <c r="A1824" s="209"/>
      <c r="B1824" s="210"/>
      <c r="C1824" s="210"/>
      <c r="D1824" s="210"/>
      <c r="E1824" s="211"/>
      <c r="F1824" s="212"/>
    </row>
    <row r="1825" spans="1:6" ht="20.25">
      <c r="A1825" s="209"/>
      <c r="B1825" s="210"/>
      <c r="C1825" s="210"/>
      <c r="D1825" s="210"/>
      <c r="E1825" s="211"/>
      <c r="F1825" s="212"/>
    </row>
    <row r="1826" spans="1:6" ht="20.25">
      <c r="A1826" s="209"/>
      <c r="B1826" s="210"/>
      <c r="C1826" s="210"/>
      <c r="D1826" s="210"/>
      <c r="E1826" s="211"/>
      <c r="F1826" s="212"/>
    </row>
    <row r="1827" spans="1:6" ht="20.25">
      <c r="A1827" s="209"/>
      <c r="B1827" s="210"/>
      <c r="C1827" s="210"/>
      <c r="D1827" s="210"/>
      <c r="E1827" s="211"/>
      <c r="F1827" s="212"/>
    </row>
    <row r="1828" spans="1:6" ht="20.25">
      <c r="A1828" s="209"/>
      <c r="B1828" s="210"/>
      <c r="C1828" s="210"/>
      <c r="D1828" s="210"/>
      <c r="E1828" s="211"/>
      <c r="F1828" s="212"/>
    </row>
    <row r="1829" spans="1:6" ht="20.25">
      <c r="A1829" s="209"/>
      <c r="B1829" s="210"/>
      <c r="C1829" s="210"/>
      <c r="D1829" s="210"/>
      <c r="E1829" s="211"/>
      <c r="F1829" s="212"/>
    </row>
    <row r="1830" spans="1:6" ht="20.25">
      <c r="A1830" s="209"/>
      <c r="B1830" s="210"/>
      <c r="C1830" s="210"/>
      <c r="D1830" s="210"/>
      <c r="E1830" s="211"/>
      <c r="F1830" s="212"/>
    </row>
    <row r="1831" spans="1:6" ht="20.25">
      <c r="A1831" s="209"/>
      <c r="B1831" s="210"/>
      <c r="C1831" s="210"/>
      <c r="D1831" s="210"/>
      <c r="E1831" s="211"/>
      <c r="F1831" s="212"/>
    </row>
    <row r="1832" spans="1:6" ht="20.25">
      <c r="A1832" s="209"/>
      <c r="B1832" s="210"/>
      <c r="C1832" s="210"/>
      <c r="D1832" s="210"/>
      <c r="E1832" s="211"/>
      <c r="F1832" s="212"/>
    </row>
    <row r="1833" spans="1:6" ht="20.25">
      <c r="A1833" s="209"/>
      <c r="B1833" s="210"/>
      <c r="C1833" s="210"/>
      <c r="D1833" s="210"/>
      <c r="E1833" s="211"/>
      <c r="F1833" s="212"/>
    </row>
    <row r="1834" spans="1:6" ht="20.25">
      <c r="A1834" s="209"/>
      <c r="B1834" s="210"/>
      <c r="C1834" s="210"/>
      <c r="D1834" s="210"/>
      <c r="E1834" s="211"/>
      <c r="F1834" s="212"/>
    </row>
    <row r="1835" spans="1:6" ht="20.25">
      <c r="A1835" s="209"/>
      <c r="B1835" s="210"/>
      <c r="C1835" s="210"/>
      <c r="D1835" s="210"/>
      <c r="E1835" s="211"/>
      <c r="F1835" s="212"/>
    </row>
    <row r="1836" spans="1:6" ht="20.25">
      <c r="A1836" s="209"/>
      <c r="B1836" s="210"/>
      <c r="C1836" s="210"/>
      <c r="D1836" s="210"/>
      <c r="E1836" s="211"/>
      <c r="F1836" s="212"/>
    </row>
    <row r="1837" spans="1:6" ht="20.25">
      <c r="A1837" s="209"/>
      <c r="B1837" s="210"/>
      <c r="C1837" s="210"/>
      <c r="D1837" s="210"/>
      <c r="E1837" s="211"/>
      <c r="F1837" s="212"/>
    </row>
    <row r="1838" spans="1:6" ht="20.25">
      <c r="A1838" s="209"/>
      <c r="B1838" s="210"/>
      <c r="C1838" s="210"/>
      <c r="D1838" s="210"/>
      <c r="E1838" s="211"/>
      <c r="F1838" s="212"/>
    </row>
    <row r="1839" spans="1:6" ht="20.25">
      <c r="A1839" s="209"/>
      <c r="B1839" s="210"/>
      <c r="C1839" s="210"/>
      <c r="D1839" s="210"/>
      <c r="E1839" s="211"/>
      <c r="F1839" s="212"/>
    </row>
    <row r="1840" spans="1:6" ht="20.25">
      <c r="A1840" s="209"/>
      <c r="B1840" s="210"/>
      <c r="C1840" s="210"/>
      <c r="D1840" s="210"/>
      <c r="E1840" s="211"/>
      <c r="F1840" s="212"/>
    </row>
    <row r="1841" spans="1:6" ht="20.25">
      <c r="A1841" s="209"/>
      <c r="B1841" s="210"/>
      <c r="C1841" s="210"/>
      <c r="D1841" s="210"/>
      <c r="E1841" s="211"/>
      <c r="F1841" s="212"/>
    </row>
    <row r="1842" spans="1:6" ht="20.25">
      <c r="A1842" s="209"/>
      <c r="B1842" s="210"/>
      <c r="C1842" s="210"/>
      <c r="D1842" s="210"/>
      <c r="E1842" s="211"/>
      <c r="F1842" s="212"/>
    </row>
    <row r="1843" spans="1:6" ht="20.25">
      <c r="A1843" s="209"/>
      <c r="B1843" s="210"/>
      <c r="C1843" s="210"/>
      <c r="D1843" s="210"/>
      <c r="E1843" s="211"/>
      <c r="F1843" s="212"/>
    </row>
    <row r="1844" spans="1:6" ht="20.25">
      <c r="A1844" s="209"/>
      <c r="B1844" s="210"/>
      <c r="C1844" s="210"/>
      <c r="D1844" s="210"/>
      <c r="E1844" s="211"/>
      <c r="F1844" s="212"/>
    </row>
    <row r="1845" spans="1:6" ht="20.25">
      <c r="A1845" s="209"/>
      <c r="B1845" s="210"/>
      <c r="C1845" s="210"/>
      <c r="D1845" s="210"/>
      <c r="E1845" s="211"/>
      <c r="F1845" s="212"/>
    </row>
    <row r="1846" spans="1:6" ht="20.25">
      <c r="A1846" s="209"/>
      <c r="B1846" s="210"/>
      <c r="C1846" s="210"/>
      <c r="D1846" s="210"/>
      <c r="E1846" s="211"/>
      <c r="F1846" s="212"/>
    </row>
    <row r="1847" spans="1:6" ht="20.25">
      <c r="A1847" s="209"/>
      <c r="B1847" s="210"/>
      <c r="C1847" s="210"/>
      <c r="D1847" s="210"/>
      <c r="E1847" s="211"/>
      <c r="F1847" s="212"/>
    </row>
    <row r="1848" spans="1:6" ht="20.25">
      <c r="A1848" s="209"/>
      <c r="B1848" s="210"/>
      <c r="C1848" s="210"/>
      <c r="D1848" s="210"/>
      <c r="E1848" s="211"/>
      <c r="F1848" s="212"/>
    </row>
    <row r="1849" spans="1:6" ht="20.25">
      <c r="A1849" s="209"/>
      <c r="B1849" s="210"/>
      <c r="C1849" s="210"/>
      <c r="D1849" s="210"/>
      <c r="E1849" s="211"/>
      <c r="F1849" s="212"/>
    </row>
    <row r="1850" spans="1:6" ht="20.25">
      <c r="A1850" s="209"/>
      <c r="B1850" s="210"/>
      <c r="C1850" s="210"/>
      <c r="D1850" s="210"/>
      <c r="E1850" s="211"/>
      <c r="F1850" s="212"/>
    </row>
    <row r="1851" spans="1:6" ht="20.25">
      <c r="A1851" s="209"/>
      <c r="B1851" s="210"/>
      <c r="C1851" s="210"/>
      <c r="D1851" s="210"/>
      <c r="E1851" s="211"/>
      <c r="F1851" s="212"/>
    </row>
    <row r="1852" spans="1:6" ht="20.25">
      <c r="A1852" s="209"/>
      <c r="B1852" s="210"/>
      <c r="C1852" s="210"/>
      <c r="D1852" s="210"/>
      <c r="E1852" s="211"/>
      <c r="F1852" s="212"/>
    </row>
    <row r="1853" spans="1:6" ht="20.25">
      <c r="A1853" s="209"/>
      <c r="B1853" s="210"/>
      <c r="C1853" s="210"/>
      <c r="D1853" s="210"/>
      <c r="E1853" s="211"/>
      <c r="F1853" s="212"/>
    </row>
    <row r="1854" spans="1:6" ht="20.25">
      <c r="A1854" s="209"/>
      <c r="B1854" s="210"/>
      <c r="C1854" s="210"/>
      <c r="D1854" s="210"/>
      <c r="E1854" s="211"/>
      <c r="F1854" s="212"/>
    </row>
    <row r="1855" spans="1:6" ht="20.25">
      <c r="A1855" s="209"/>
      <c r="B1855" s="210"/>
      <c r="C1855" s="210"/>
      <c r="D1855" s="210"/>
      <c r="E1855" s="211"/>
      <c r="F1855" s="212"/>
    </row>
    <row r="1856" spans="1:6" ht="20.25">
      <c r="A1856" s="209"/>
      <c r="B1856" s="210"/>
      <c r="C1856" s="210"/>
      <c r="D1856" s="210"/>
      <c r="E1856" s="211"/>
      <c r="F1856" s="212"/>
    </row>
    <row r="1857" spans="1:6" ht="20.25">
      <c r="A1857" s="209"/>
      <c r="B1857" s="210"/>
      <c r="C1857" s="210"/>
      <c r="D1857" s="210"/>
      <c r="E1857" s="211"/>
      <c r="F1857" s="212"/>
    </row>
    <row r="1858" spans="1:6" ht="20.25">
      <c r="A1858" s="209"/>
      <c r="B1858" s="210"/>
      <c r="C1858" s="210"/>
      <c r="D1858" s="210"/>
      <c r="E1858" s="211"/>
      <c r="F1858" s="212"/>
    </row>
    <row r="1859" spans="1:6" ht="20.25">
      <c r="A1859" s="209"/>
      <c r="B1859" s="210"/>
      <c r="C1859" s="210"/>
      <c r="D1859" s="210"/>
      <c r="E1859" s="211"/>
      <c r="F1859" s="212"/>
    </row>
    <row r="1860" spans="1:6" ht="20.25">
      <c r="A1860" s="209"/>
      <c r="B1860" s="210"/>
      <c r="C1860" s="210"/>
      <c r="D1860" s="210"/>
      <c r="E1860" s="211"/>
      <c r="F1860" s="212"/>
    </row>
    <row r="1861" spans="1:6" ht="20.25">
      <c r="A1861" s="209"/>
      <c r="B1861" s="210"/>
      <c r="C1861" s="210"/>
      <c r="D1861" s="210"/>
      <c r="E1861" s="211"/>
      <c r="F1861" s="212"/>
    </row>
    <row r="1862" spans="1:6" ht="20.25">
      <c r="A1862" s="209"/>
      <c r="B1862" s="210"/>
      <c r="C1862" s="210"/>
      <c r="D1862" s="210"/>
      <c r="E1862" s="211"/>
      <c r="F1862" s="212"/>
    </row>
    <row r="1863" spans="1:6" ht="20.25">
      <c r="A1863" s="209"/>
      <c r="B1863" s="210"/>
      <c r="C1863" s="210"/>
      <c r="D1863" s="210"/>
      <c r="E1863" s="211"/>
      <c r="F1863" s="212"/>
    </row>
    <row r="1864" spans="1:6" ht="20.25">
      <c r="A1864" s="209"/>
      <c r="B1864" s="210"/>
      <c r="C1864" s="210"/>
      <c r="D1864" s="210"/>
      <c r="E1864" s="211"/>
      <c r="F1864" s="212"/>
    </row>
    <row r="1865" spans="1:6" ht="20.25">
      <c r="A1865" s="209"/>
      <c r="B1865" s="210"/>
      <c r="C1865" s="210"/>
      <c r="D1865" s="210"/>
      <c r="E1865" s="211"/>
      <c r="F1865" s="212"/>
    </row>
    <row r="1866" spans="1:6" ht="20.25">
      <c r="A1866" s="209"/>
      <c r="B1866" s="210"/>
      <c r="C1866" s="210"/>
      <c r="D1866" s="210"/>
      <c r="E1866" s="211"/>
      <c r="F1866" s="212"/>
    </row>
    <row r="1867" spans="1:6" ht="20.25">
      <c r="A1867" s="209"/>
      <c r="B1867" s="210"/>
      <c r="C1867" s="210"/>
      <c r="D1867" s="210"/>
      <c r="E1867" s="211"/>
      <c r="F1867" s="212"/>
    </row>
    <row r="1868" spans="1:6" ht="20.25">
      <c r="A1868" s="209"/>
      <c r="B1868" s="210"/>
      <c r="C1868" s="210"/>
      <c r="D1868" s="210"/>
      <c r="E1868" s="211"/>
      <c r="F1868" s="212"/>
    </row>
    <row r="1869" spans="1:6" ht="20.25">
      <c r="A1869" s="209"/>
      <c r="B1869" s="210"/>
      <c r="C1869" s="210"/>
      <c r="D1869" s="210"/>
      <c r="E1869" s="211"/>
      <c r="F1869" s="212"/>
    </row>
    <row r="1870" spans="1:6" ht="20.25">
      <c r="A1870" s="209"/>
      <c r="B1870" s="210"/>
      <c r="C1870" s="210"/>
      <c r="D1870" s="210"/>
      <c r="E1870" s="211"/>
      <c r="F1870" s="212"/>
    </row>
    <row r="1871" spans="1:6" ht="20.25">
      <c r="A1871" s="209"/>
      <c r="B1871" s="210"/>
      <c r="C1871" s="210"/>
      <c r="D1871" s="210"/>
      <c r="E1871" s="211"/>
      <c r="F1871" s="212"/>
    </row>
    <row r="1872" spans="1:6" ht="20.25">
      <c r="A1872" s="209"/>
      <c r="B1872" s="210"/>
      <c r="C1872" s="210"/>
      <c r="D1872" s="210"/>
      <c r="E1872" s="211"/>
      <c r="F1872" s="212"/>
    </row>
    <row r="1873" spans="1:6" ht="20.25">
      <c r="A1873" s="209"/>
      <c r="B1873" s="210"/>
      <c r="C1873" s="210"/>
      <c r="D1873" s="210"/>
      <c r="E1873" s="211"/>
      <c r="F1873" s="212"/>
    </row>
    <row r="1874" spans="1:6" ht="20.25">
      <c r="A1874" s="209"/>
      <c r="B1874" s="210"/>
      <c r="C1874" s="210"/>
      <c r="D1874" s="210"/>
      <c r="E1874" s="211"/>
      <c r="F1874" s="212"/>
    </row>
    <row r="1875" spans="1:6" ht="20.25">
      <c r="A1875" s="209"/>
      <c r="B1875" s="210"/>
      <c r="C1875" s="210"/>
      <c r="D1875" s="210"/>
      <c r="E1875" s="211"/>
      <c r="F1875" s="212"/>
    </row>
    <row r="1876" spans="1:6" ht="20.25">
      <c r="A1876" s="209"/>
      <c r="B1876" s="210"/>
      <c r="C1876" s="210"/>
      <c r="D1876" s="210"/>
      <c r="E1876" s="211"/>
      <c r="F1876" s="212"/>
    </row>
    <row r="1877" spans="1:6" ht="20.25">
      <c r="A1877" s="209"/>
      <c r="B1877" s="210"/>
      <c r="C1877" s="210"/>
      <c r="D1877" s="210"/>
      <c r="E1877" s="211"/>
      <c r="F1877" s="212"/>
    </row>
    <row r="1878" spans="1:6" ht="20.25">
      <c r="A1878" s="209"/>
      <c r="B1878" s="210"/>
      <c r="C1878" s="210"/>
      <c r="D1878" s="210"/>
      <c r="E1878" s="211"/>
      <c r="F1878" s="212"/>
    </row>
    <row r="1879" spans="1:6" ht="20.25">
      <c r="A1879" s="209"/>
      <c r="B1879" s="210"/>
      <c r="C1879" s="210"/>
      <c r="D1879" s="210"/>
      <c r="E1879" s="211"/>
      <c r="F1879" s="212"/>
    </row>
    <row r="1880" spans="1:6" ht="20.25">
      <c r="A1880" s="209"/>
      <c r="B1880" s="210"/>
      <c r="C1880" s="210"/>
      <c r="D1880" s="210"/>
      <c r="E1880" s="211"/>
      <c r="F1880" s="212"/>
    </row>
    <row r="1881" spans="1:6" ht="20.25">
      <c r="A1881" s="209"/>
      <c r="B1881" s="210"/>
      <c r="C1881" s="210"/>
      <c r="D1881" s="210"/>
      <c r="E1881" s="211"/>
      <c r="F1881" s="212"/>
    </row>
    <row r="1882" spans="1:6" ht="20.25">
      <c r="A1882" s="209"/>
      <c r="B1882" s="210"/>
      <c r="C1882" s="210"/>
      <c r="D1882" s="210"/>
      <c r="E1882" s="211"/>
      <c r="F1882" s="212"/>
    </row>
    <row r="1883" spans="1:6" ht="20.25">
      <c r="A1883" s="209"/>
      <c r="B1883" s="210"/>
      <c r="C1883" s="210"/>
      <c r="D1883" s="210"/>
      <c r="E1883" s="211"/>
      <c r="F1883" s="212"/>
    </row>
    <row r="1884" spans="1:6" ht="20.25">
      <c r="A1884" s="209"/>
      <c r="B1884" s="210"/>
      <c r="C1884" s="210"/>
      <c r="D1884" s="210"/>
      <c r="E1884" s="211"/>
      <c r="F1884" s="212"/>
    </row>
    <row r="1885" spans="1:6" ht="20.25">
      <c r="A1885" s="209"/>
      <c r="B1885" s="210"/>
      <c r="C1885" s="210"/>
      <c r="D1885" s="210"/>
      <c r="E1885" s="211"/>
      <c r="F1885" s="212"/>
    </row>
    <row r="1886" spans="1:6" ht="20.25">
      <c r="A1886" s="209"/>
      <c r="B1886" s="210"/>
      <c r="C1886" s="210"/>
      <c r="D1886" s="210"/>
      <c r="E1886" s="211"/>
      <c r="F1886" s="212"/>
    </row>
    <row r="1887" spans="1:6" ht="20.25">
      <c r="A1887" s="209"/>
      <c r="B1887" s="210"/>
      <c r="C1887" s="210"/>
      <c r="D1887" s="210"/>
      <c r="E1887" s="211"/>
      <c r="F1887" s="212"/>
    </row>
    <row r="1888" spans="1:6" ht="20.25">
      <c r="A1888" s="209"/>
      <c r="B1888" s="210"/>
      <c r="C1888" s="210"/>
      <c r="D1888" s="210"/>
      <c r="E1888" s="211"/>
      <c r="F1888" s="212"/>
    </row>
    <row r="1889" spans="1:6" ht="20.25">
      <c r="A1889" s="209"/>
      <c r="B1889" s="210"/>
      <c r="C1889" s="210"/>
      <c r="D1889" s="210"/>
      <c r="E1889" s="211"/>
      <c r="F1889" s="212"/>
    </row>
    <row r="1890" spans="1:6" ht="20.25">
      <c r="A1890" s="209"/>
      <c r="B1890" s="210"/>
      <c r="C1890" s="210"/>
      <c r="D1890" s="210"/>
      <c r="E1890" s="211"/>
      <c r="F1890" s="212"/>
    </row>
    <row r="1891" spans="1:6" ht="20.25">
      <c r="A1891" s="209"/>
      <c r="B1891" s="210"/>
      <c r="C1891" s="210"/>
      <c r="D1891" s="210"/>
      <c r="E1891" s="211"/>
      <c r="F1891" s="212"/>
    </row>
    <row r="1892" spans="1:6" ht="20.25">
      <c r="A1892" s="209"/>
      <c r="B1892" s="210"/>
      <c r="C1892" s="210"/>
      <c r="D1892" s="210"/>
      <c r="E1892" s="211"/>
      <c r="F1892" s="212"/>
    </row>
    <row r="1893" spans="1:6" ht="20.25">
      <c r="A1893" s="209"/>
      <c r="B1893" s="210"/>
      <c r="C1893" s="210"/>
      <c r="D1893" s="210"/>
      <c r="E1893" s="211"/>
      <c r="F1893" s="212"/>
    </row>
    <row r="1894" spans="1:6" ht="20.25">
      <c r="A1894" s="209"/>
      <c r="B1894" s="210"/>
      <c r="C1894" s="210"/>
      <c r="D1894" s="210"/>
      <c r="E1894" s="211"/>
      <c r="F1894" s="212"/>
    </row>
    <row r="1895" spans="1:6" ht="20.25">
      <c r="A1895" s="209"/>
      <c r="B1895" s="210"/>
      <c r="C1895" s="210"/>
      <c r="D1895" s="210"/>
      <c r="E1895" s="211"/>
      <c r="F1895" s="212"/>
    </row>
    <row r="1896" spans="1:6" ht="20.25">
      <c r="A1896" s="209"/>
      <c r="B1896" s="210"/>
      <c r="C1896" s="210"/>
      <c r="D1896" s="210"/>
      <c r="E1896" s="211"/>
      <c r="F1896" s="212"/>
    </row>
    <row r="1897" spans="1:6" ht="20.25">
      <c r="A1897" s="209"/>
      <c r="B1897" s="210"/>
      <c r="C1897" s="210"/>
      <c r="D1897" s="210"/>
      <c r="E1897" s="211"/>
      <c r="F1897" s="212"/>
    </row>
    <row r="1898" spans="1:6" ht="20.25">
      <c r="A1898" s="209"/>
      <c r="B1898" s="210"/>
      <c r="C1898" s="210"/>
      <c r="D1898" s="210"/>
      <c r="E1898" s="211"/>
      <c r="F1898" s="212"/>
    </row>
    <row r="1899" spans="1:6" ht="20.25">
      <c r="A1899" s="209"/>
      <c r="B1899" s="210"/>
      <c r="C1899" s="210"/>
      <c r="D1899" s="210"/>
      <c r="E1899" s="211"/>
      <c r="F1899" s="212"/>
    </row>
    <row r="1900" spans="1:6" ht="20.25">
      <c r="A1900" s="209"/>
      <c r="B1900" s="210"/>
      <c r="C1900" s="210"/>
      <c r="D1900" s="210"/>
      <c r="E1900" s="211"/>
      <c r="F1900" s="212"/>
    </row>
    <row r="1901" spans="1:6" ht="20.25">
      <c r="A1901" s="209"/>
      <c r="B1901" s="210"/>
      <c r="C1901" s="210"/>
      <c r="D1901" s="210"/>
      <c r="E1901" s="211"/>
      <c r="F1901" s="212"/>
    </row>
    <row r="1902" spans="1:6" ht="20.25">
      <c r="A1902" s="209"/>
      <c r="B1902" s="210"/>
      <c r="C1902" s="210"/>
      <c r="D1902" s="210"/>
      <c r="E1902" s="211"/>
      <c r="F1902" s="212"/>
    </row>
    <row r="1903" spans="1:6" ht="20.25">
      <c r="A1903" s="209"/>
      <c r="B1903" s="210"/>
      <c r="C1903" s="210"/>
      <c r="D1903" s="210"/>
      <c r="E1903" s="211"/>
      <c r="F1903" s="212"/>
    </row>
    <row r="1904" spans="1:6" ht="20.25">
      <c r="A1904" s="209"/>
      <c r="B1904" s="210"/>
      <c r="C1904" s="210"/>
      <c r="D1904" s="210"/>
      <c r="E1904" s="211"/>
      <c r="F1904" s="212"/>
    </row>
    <row r="1905" spans="1:6" ht="20.25">
      <c r="A1905" s="209"/>
      <c r="B1905" s="210"/>
      <c r="C1905" s="210"/>
      <c r="D1905" s="210"/>
      <c r="E1905" s="211"/>
      <c r="F1905" s="212"/>
    </row>
    <row r="1906" spans="1:6" ht="20.25">
      <c r="A1906" s="209"/>
      <c r="B1906" s="210"/>
      <c r="C1906" s="210"/>
      <c r="D1906" s="210"/>
      <c r="E1906" s="211"/>
      <c r="F1906" s="212"/>
    </row>
    <row r="1907" spans="1:6" ht="20.25">
      <c r="A1907" s="209"/>
      <c r="B1907" s="210"/>
      <c r="C1907" s="210"/>
      <c r="D1907" s="210"/>
      <c r="E1907" s="211"/>
      <c r="F1907" s="212"/>
    </row>
    <row r="1908" spans="1:6" ht="20.25">
      <c r="A1908" s="209"/>
      <c r="B1908" s="210"/>
      <c r="C1908" s="210"/>
      <c r="D1908" s="210"/>
      <c r="E1908" s="211"/>
      <c r="F1908" s="212"/>
    </row>
    <row r="1909" spans="1:6" ht="20.25">
      <c r="A1909" s="209"/>
      <c r="B1909" s="210"/>
      <c r="C1909" s="210"/>
      <c r="D1909" s="210"/>
      <c r="E1909" s="211"/>
      <c r="F1909" s="212"/>
    </row>
    <row r="1910" spans="1:6" ht="20.25">
      <c r="A1910" s="209"/>
      <c r="B1910" s="210"/>
      <c r="C1910" s="210"/>
      <c r="D1910" s="210"/>
      <c r="E1910" s="211"/>
      <c r="F1910" s="212"/>
    </row>
    <row r="1911" spans="1:6" ht="20.25">
      <c r="A1911" s="209"/>
      <c r="B1911" s="210"/>
      <c r="C1911" s="210"/>
      <c r="D1911" s="210"/>
      <c r="E1911" s="211"/>
      <c r="F1911" s="212"/>
    </row>
    <row r="1912" spans="1:6" ht="20.25">
      <c r="A1912" s="209"/>
      <c r="B1912" s="210"/>
      <c r="C1912" s="210"/>
      <c r="D1912" s="210"/>
      <c r="E1912" s="211"/>
      <c r="F1912" s="212"/>
    </row>
    <row r="1913" spans="1:6" ht="20.25">
      <c r="A1913" s="209"/>
      <c r="B1913" s="210"/>
      <c r="C1913" s="210"/>
      <c r="D1913" s="210"/>
      <c r="E1913" s="211"/>
      <c r="F1913" s="212"/>
    </row>
    <row r="1914" spans="1:6" ht="20.25">
      <c r="A1914" s="209"/>
      <c r="B1914" s="210"/>
      <c r="C1914" s="210"/>
      <c r="D1914" s="210"/>
      <c r="E1914" s="211"/>
      <c r="F1914" s="212"/>
    </row>
    <row r="1915" spans="1:6" ht="20.25">
      <c r="A1915" s="209"/>
      <c r="B1915" s="210"/>
      <c r="C1915" s="210"/>
      <c r="D1915" s="210"/>
      <c r="E1915" s="211"/>
      <c r="F1915" s="212"/>
    </row>
    <row r="1916" spans="1:6" ht="20.25">
      <c r="A1916" s="209"/>
      <c r="B1916" s="210"/>
      <c r="C1916" s="210"/>
      <c r="D1916" s="210"/>
      <c r="E1916" s="211"/>
      <c r="F1916" s="212"/>
    </row>
    <row r="1917" spans="1:6" ht="20.25">
      <c r="A1917" s="209"/>
      <c r="B1917" s="210"/>
      <c r="C1917" s="210"/>
      <c r="D1917" s="210"/>
      <c r="E1917" s="211"/>
      <c r="F1917" s="212"/>
    </row>
    <row r="1918" spans="1:6" ht="20.25">
      <c r="A1918" s="209"/>
      <c r="B1918" s="210"/>
      <c r="C1918" s="210"/>
      <c r="D1918" s="210"/>
      <c r="E1918" s="211"/>
      <c r="F1918" s="212"/>
    </row>
    <row r="1919" spans="1:6" ht="20.25">
      <c r="A1919" s="209"/>
      <c r="B1919" s="210"/>
      <c r="C1919" s="210"/>
      <c r="D1919" s="210"/>
      <c r="E1919" s="211"/>
      <c r="F1919" s="212"/>
    </row>
    <row r="1920" spans="1:6" ht="20.25">
      <c r="A1920" s="209"/>
      <c r="B1920" s="210"/>
      <c r="C1920" s="210"/>
      <c r="D1920" s="210"/>
      <c r="E1920" s="211"/>
      <c r="F1920" s="212"/>
    </row>
    <row r="1921" spans="1:6" ht="20.25">
      <c r="A1921" s="209"/>
      <c r="B1921" s="210"/>
      <c r="C1921" s="210"/>
      <c r="D1921" s="210"/>
      <c r="E1921" s="211"/>
      <c r="F1921" s="212"/>
    </row>
    <row r="1922" spans="1:6" ht="20.25">
      <c r="A1922" s="209"/>
      <c r="B1922" s="210"/>
      <c r="C1922" s="210"/>
      <c r="D1922" s="210"/>
      <c r="E1922" s="211"/>
      <c r="F1922" s="212"/>
    </row>
    <row r="1923" spans="1:6" ht="20.25">
      <c r="A1923" s="209"/>
      <c r="B1923" s="210"/>
      <c r="C1923" s="210"/>
      <c r="D1923" s="210"/>
      <c r="E1923" s="211"/>
      <c r="F1923" s="212"/>
    </row>
    <row r="1924" spans="1:6" ht="20.25">
      <c r="A1924" s="209"/>
      <c r="B1924" s="210"/>
      <c r="C1924" s="210"/>
      <c r="D1924" s="210"/>
      <c r="E1924" s="211"/>
      <c r="F1924" s="212"/>
    </row>
    <row r="1925" spans="1:6" ht="20.25">
      <c r="A1925" s="209"/>
      <c r="B1925" s="210"/>
      <c r="C1925" s="210"/>
      <c r="D1925" s="210"/>
      <c r="E1925" s="211"/>
      <c r="F1925" s="212"/>
    </row>
    <row r="1926" spans="1:6" ht="20.25">
      <c r="A1926" s="209"/>
      <c r="B1926" s="210"/>
      <c r="C1926" s="210"/>
      <c r="D1926" s="210"/>
      <c r="E1926" s="211"/>
      <c r="F1926" s="212"/>
    </row>
    <row r="1927" spans="1:6" ht="20.25">
      <c r="A1927" s="209"/>
      <c r="B1927" s="210"/>
      <c r="C1927" s="210"/>
      <c r="D1927" s="210"/>
      <c r="E1927" s="211"/>
      <c r="F1927" s="212"/>
    </row>
    <row r="1928" spans="1:6" ht="20.25">
      <c r="A1928" s="209"/>
      <c r="B1928" s="210"/>
      <c r="C1928" s="210"/>
      <c r="D1928" s="210"/>
      <c r="E1928" s="211"/>
      <c r="F1928" s="212"/>
    </row>
    <row r="1929" spans="1:6" ht="20.25">
      <c r="A1929" s="209"/>
      <c r="B1929" s="210"/>
      <c r="C1929" s="210"/>
      <c r="D1929" s="210"/>
      <c r="E1929" s="211"/>
      <c r="F1929" s="212"/>
    </row>
    <row r="1930" spans="1:6" ht="20.25">
      <c r="A1930" s="209"/>
      <c r="B1930" s="210"/>
      <c r="C1930" s="210"/>
      <c r="D1930" s="210"/>
      <c r="E1930" s="211"/>
      <c r="F1930" s="212"/>
    </row>
    <row r="1931" spans="1:6" ht="20.25">
      <c r="A1931" s="209"/>
      <c r="B1931" s="210"/>
      <c r="C1931" s="210"/>
      <c r="D1931" s="210"/>
      <c r="E1931" s="211"/>
      <c r="F1931" s="212"/>
    </row>
    <row r="1932" spans="1:6" ht="20.25">
      <c r="A1932" s="209"/>
      <c r="B1932" s="210"/>
      <c r="C1932" s="210"/>
      <c r="D1932" s="210"/>
      <c r="E1932" s="211"/>
      <c r="F1932" s="212"/>
    </row>
    <row r="1933" spans="1:6" ht="20.25">
      <c r="A1933" s="209"/>
      <c r="B1933" s="210"/>
      <c r="C1933" s="210"/>
      <c r="D1933" s="210"/>
      <c r="E1933" s="211"/>
      <c r="F1933" s="212"/>
    </row>
    <row r="1934" spans="1:6" ht="20.25">
      <c r="A1934" s="209"/>
      <c r="B1934" s="210"/>
      <c r="C1934" s="210"/>
      <c r="D1934" s="210"/>
      <c r="E1934" s="211"/>
      <c r="F1934" s="212"/>
    </row>
    <row r="1935" spans="1:6" ht="20.25">
      <c r="A1935" s="209"/>
      <c r="B1935" s="210"/>
      <c r="C1935" s="210"/>
      <c r="D1935" s="210"/>
      <c r="E1935" s="211"/>
      <c r="F1935" s="212"/>
    </row>
    <row r="1936" spans="1:6" ht="20.25">
      <c r="A1936" s="209"/>
      <c r="B1936" s="210"/>
      <c r="C1936" s="210"/>
      <c r="D1936" s="210"/>
      <c r="E1936" s="211"/>
      <c r="F1936" s="212"/>
    </row>
    <row r="1937" spans="1:6" ht="20.25">
      <c r="A1937" s="209"/>
      <c r="B1937" s="210"/>
      <c r="C1937" s="210"/>
      <c r="D1937" s="210"/>
      <c r="E1937" s="211"/>
      <c r="F1937" s="212"/>
    </row>
    <row r="1938" spans="1:6" ht="20.25">
      <c r="A1938" s="209"/>
      <c r="B1938" s="210"/>
      <c r="C1938" s="210"/>
      <c r="D1938" s="210"/>
      <c r="E1938" s="211"/>
      <c r="F1938" s="212"/>
    </row>
    <row r="1939" spans="1:6" ht="20.25">
      <c r="A1939" s="209"/>
      <c r="B1939" s="210"/>
      <c r="C1939" s="210"/>
      <c r="D1939" s="210"/>
      <c r="E1939" s="211"/>
      <c r="F1939" s="212"/>
    </row>
    <row r="1940" spans="1:6" ht="20.25">
      <c r="A1940" s="209"/>
      <c r="B1940" s="210"/>
      <c r="C1940" s="210"/>
      <c r="D1940" s="210"/>
      <c r="E1940" s="211"/>
      <c r="F1940" s="212"/>
    </row>
    <row r="1941" spans="1:6" ht="20.25">
      <c r="A1941" s="209"/>
      <c r="B1941" s="210"/>
      <c r="C1941" s="210"/>
      <c r="D1941" s="210"/>
      <c r="E1941" s="211"/>
      <c r="F1941" s="212"/>
    </row>
    <row r="1942" spans="1:6" ht="20.25">
      <c r="A1942" s="209"/>
      <c r="B1942" s="210"/>
      <c r="C1942" s="210"/>
      <c r="D1942" s="210"/>
      <c r="E1942" s="211"/>
      <c r="F1942" s="212"/>
    </row>
    <row r="1943" spans="1:6" ht="20.25">
      <c r="A1943" s="209"/>
      <c r="B1943" s="210"/>
      <c r="C1943" s="210"/>
      <c r="D1943" s="210"/>
      <c r="E1943" s="211"/>
      <c r="F1943" s="212"/>
    </row>
    <row r="1944" spans="1:6" ht="20.25">
      <c r="A1944" s="209"/>
      <c r="B1944" s="210"/>
      <c r="C1944" s="210"/>
      <c r="D1944" s="210"/>
      <c r="E1944" s="211"/>
      <c r="F1944" s="212"/>
    </row>
    <row r="1945" spans="1:6" ht="20.25">
      <c r="A1945" s="209"/>
      <c r="B1945" s="210"/>
      <c r="C1945" s="210"/>
      <c r="D1945" s="210"/>
      <c r="E1945" s="211"/>
      <c r="F1945" s="212"/>
    </row>
    <row r="1946" spans="1:6" ht="20.25">
      <c r="A1946" s="209"/>
      <c r="B1946" s="210"/>
      <c r="C1946" s="210"/>
      <c r="D1946" s="210"/>
      <c r="E1946" s="211"/>
      <c r="F1946" s="212"/>
    </row>
    <row r="1947" spans="1:6" ht="20.25">
      <c r="A1947" s="209"/>
      <c r="B1947" s="210"/>
      <c r="C1947" s="210"/>
      <c r="D1947" s="210"/>
      <c r="E1947" s="211"/>
      <c r="F1947" s="212"/>
    </row>
    <row r="1948" spans="1:6" ht="20.25">
      <c r="A1948" s="209"/>
      <c r="B1948" s="210"/>
      <c r="C1948" s="210"/>
      <c r="D1948" s="210"/>
      <c r="E1948" s="211"/>
      <c r="F1948" s="212"/>
    </row>
    <row r="1949" spans="1:6" ht="20.25">
      <c r="A1949" s="209"/>
      <c r="B1949" s="210"/>
      <c r="C1949" s="210"/>
      <c r="D1949" s="210"/>
      <c r="E1949" s="211"/>
      <c r="F1949" s="212"/>
    </row>
    <row r="1950" spans="1:6" ht="20.25">
      <c r="A1950" s="209"/>
      <c r="B1950" s="210"/>
      <c r="C1950" s="210"/>
      <c r="D1950" s="210"/>
      <c r="E1950" s="211"/>
      <c r="F1950" s="212"/>
    </row>
    <row r="1951" spans="1:6" ht="20.25">
      <c r="A1951" s="209"/>
      <c r="B1951" s="210"/>
      <c r="C1951" s="210"/>
      <c r="D1951" s="210"/>
      <c r="E1951" s="211"/>
      <c r="F1951" s="212"/>
    </row>
    <row r="1952" spans="1:6" ht="20.25">
      <c r="A1952" s="209"/>
      <c r="B1952" s="210"/>
      <c r="C1952" s="210"/>
      <c r="D1952" s="210"/>
      <c r="E1952" s="211"/>
      <c r="F1952" s="212"/>
    </row>
    <row r="1953" spans="1:6" ht="20.25">
      <c r="A1953" s="209"/>
      <c r="B1953" s="210"/>
      <c r="C1953" s="210"/>
      <c r="D1953" s="210"/>
      <c r="E1953" s="211"/>
      <c r="F1953" s="212"/>
    </row>
    <row r="1954" spans="1:6" ht="20.25">
      <c r="A1954" s="209"/>
      <c r="B1954" s="210"/>
      <c r="C1954" s="210"/>
      <c r="D1954" s="210"/>
      <c r="E1954" s="211"/>
      <c r="F1954" s="212"/>
    </row>
    <row r="1955" spans="1:6" ht="20.25">
      <c r="A1955" s="209"/>
      <c r="B1955" s="210"/>
      <c r="C1955" s="210"/>
      <c r="D1955" s="210"/>
      <c r="E1955" s="211"/>
      <c r="F1955" s="212"/>
    </row>
    <row r="1956" spans="1:6" ht="20.25">
      <c r="A1956" s="209"/>
      <c r="B1956" s="210"/>
      <c r="C1956" s="210"/>
      <c r="D1956" s="210"/>
      <c r="E1956" s="211"/>
      <c r="F1956" s="212"/>
    </row>
    <row r="1957" spans="1:6" ht="20.25">
      <c r="A1957" s="209"/>
      <c r="B1957" s="210"/>
      <c r="C1957" s="210"/>
      <c r="D1957" s="210"/>
      <c r="E1957" s="211"/>
      <c r="F1957" s="212"/>
    </row>
    <row r="1958" spans="1:6" ht="20.25">
      <c r="A1958" s="209"/>
      <c r="B1958" s="210"/>
      <c r="C1958" s="210"/>
      <c r="D1958" s="210"/>
      <c r="E1958" s="211"/>
      <c r="F1958" s="212"/>
    </row>
    <row r="1959" spans="1:6" ht="20.25">
      <c r="A1959" s="209"/>
      <c r="B1959" s="210"/>
      <c r="C1959" s="210"/>
      <c r="D1959" s="210"/>
      <c r="E1959" s="211"/>
      <c r="F1959" s="212"/>
    </row>
    <row r="1960" spans="1:6" ht="20.25">
      <c r="A1960" s="209"/>
      <c r="B1960" s="210"/>
      <c r="C1960" s="210"/>
      <c r="D1960" s="210"/>
      <c r="E1960" s="211"/>
      <c r="F1960" s="212"/>
    </row>
    <row r="1961" spans="1:6" ht="20.25">
      <c r="A1961" s="209"/>
      <c r="B1961" s="210"/>
      <c r="C1961" s="210"/>
      <c r="D1961" s="210"/>
      <c r="E1961" s="211"/>
      <c r="F1961" s="212"/>
    </row>
    <row r="1962" spans="1:6" ht="20.25">
      <c r="A1962" s="209"/>
      <c r="B1962" s="210"/>
      <c r="C1962" s="210"/>
      <c r="D1962" s="210"/>
      <c r="E1962" s="211"/>
      <c r="F1962" s="212"/>
    </row>
    <row r="1963" spans="1:6" ht="20.25">
      <c r="A1963" s="209"/>
      <c r="B1963" s="210"/>
      <c r="C1963" s="210"/>
      <c r="D1963" s="210"/>
      <c r="E1963" s="211"/>
      <c r="F1963" s="212"/>
    </row>
    <row r="1964" spans="1:6" ht="20.25">
      <c r="A1964" s="209"/>
      <c r="B1964" s="210"/>
      <c r="C1964" s="210"/>
      <c r="D1964" s="210"/>
      <c r="E1964" s="211"/>
      <c r="F1964" s="212"/>
    </row>
    <row r="1965" spans="1:6" ht="20.25">
      <c r="A1965" s="209"/>
      <c r="B1965" s="210"/>
      <c r="C1965" s="210"/>
      <c r="D1965" s="210"/>
      <c r="E1965" s="211"/>
      <c r="F1965" s="212"/>
    </row>
    <row r="1966" spans="1:6" ht="20.25">
      <c r="A1966" s="209"/>
      <c r="B1966" s="210"/>
      <c r="C1966" s="210"/>
      <c r="D1966" s="210"/>
      <c r="E1966" s="211"/>
      <c r="F1966" s="212"/>
    </row>
    <row r="1967" spans="1:6" ht="20.25">
      <c r="A1967" s="209"/>
      <c r="B1967" s="210"/>
      <c r="C1967" s="210"/>
      <c r="D1967" s="210"/>
      <c r="E1967" s="211"/>
      <c r="F1967" s="212"/>
    </row>
    <row r="1968" spans="1:6" ht="20.25">
      <c r="A1968" s="209"/>
      <c r="B1968" s="210"/>
      <c r="C1968" s="210"/>
      <c r="D1968" s="210"/>
      <c r="E1968" s="211"/>
      <c r="F1968" s="212"/>
    </row>
    <row r="1969" spans="1:6" ht="20.25">
      <c r="A1969" s="209"/>
      <c r="B1969" s="210"/>
      <c r="C1969" s="210"/>
      <c r="D1969" s="210"/>
      <c r="E1969" s="211"/>
      <c r="F1969" s="212"/>
    </row>
    <row r="1970" spans="1:6" ht="20.25">
      <c r="A1970" s="209"/>
      <c r="B1970" s="210"/>
      <c r="C1970" s="210"/>
      <c r="D1970" s="210"/>
      <c r="E1970" s="211"/>
      <c r="F1970" s="212"/>
    </row>
    <row r="1971" spans="1:6" ht="20.25">
      <c r="A1971" s="209"/>
      <c r="B1971" s="210"/>
      <c r="C1971" s="210"/>
      <c r="D1971" s="210"/>
      <c r="E1971" s="211"/>
      <c r="F1971" s="212"/>
    </row>
    <row r="1972" spans="1:6" ht="20.25">
      <c r="A1972" s="209"/>
      <c r="B1972" s="210"/>
      <c r="C1972" s="210"/>
      <c r="D1972" s="210"/>
      <c r="E1972" s="211"/>
      <c r="F1972" s="212"/>
    </row>
    <row r="1973" spans="1:6" ht="20.25">
      <c r="A1973" s="209"/>
      <c r="B1973" s="210"/>
      <c r="C1973" s="210"/>
      <c r="D1973" s="210"/>
      <c r="E1973" s="211"/>
      <c r="F1973" s="212"/>
    </row>
    <row r="1974" spans="1:6" ht="20.25">
      <c r="A1974" s="209"/>
      <c r="B1974" s="210"/>
      <c r="C1974" s="210"/>
      <c r="D1974" s="210"/>
      <c r="E1974" s="211"/>
      <c r="F1974" s="212"/>
    </row>
    <row r="1975" spans="1:6" ht="20.25">
      <c r="A1975" s="209"/>
      <c r="B1975" s="210"/>
      <c r="C1975" s="210"/>
      <c r="D1975" s="210"/>
      <c r="E1975" s="211"/>
      <c r="F1975" s="212"/>
    </row>
    <row r="1976" spans="1:6" ht="20.25">
      <c r="A1976" s="209"/>
      <c r="B1976" s="210"/>
      <c r="C1976" s="210"/>
      <c r="D1976" s="210"/>
      <c r="E1976" s="211"/>
      <c r="F1976" s="212"/>
    </row>
    <row r="1977" spans="1:6" ht="20.25">
      <c r="A1977" s="209"/>
      <c r="B1977" s="210"/>
      <c r="C1977" s="210"/>
      <c r="D1977" s="210"/>
      <c r="E1977" s="211"/>
      <c r="F1977" s="212"/>
    </row>
    <row r="1978" spans="1:6" ht="20.25">
      <c r="A1978" s="209"/>
      <c r="B1978" s="210"/>
      <c r="C1978" s="210"/>
      <c r="D1978" s="210"/>
      <c r="E1978" s="211"/>
      <c r="F1978" s="212"/>
    </row>
    <row r="1979" spans="1:6" ht="20.25">
      <c r="A1979" s="209"/>
      <c r="B1979" s="210"/>
      <c r="C1979" s="210"/>
      <c r="D1979" s="210"/>
      <c r="E1979" s="211"/>
      <c r="F1979" s="212"/>
    </row>
    <row r="1980" spans="1:6" ht="20.25">
      <c r="A1980" s="209"/>
      <c r="B1980" s="210"/>
      <c r="C1980" s="210"/>
      <c r="D1980" s="210"/>
      <c r="E1980" s="211"/>
      <c r="F1980" s="212"/>
    </row>
    <row r="1981" spans="1:6" ht="20.25">
      <c r="A1981" s="209"/>
      <c r="B1981" s="210"/>
      <c r="C1981" s="210"/>
      <c r="D1981" s="210"/>
      <c r="E1981" s="211"/>
      <c r="F1981" s="212"/>
    </row>
    <row r="1982" spans="1:6" ht="20.25">
      <c r="A1982" s="209"/>
      <c r="B1982" s="210"/>
      <c r="C1982" s="210"/>
      <c r="D1982" s="210"/>
      <c r="E1982" s="211"/>
      <c r="F1982" s="212"/>
    </row>
    <row r="1983" spans="1:6" ht="20.25">
      <c r="A1983" s="209"/>
      <c r="B1983" s="210"/>
      <c r="C1983" s="210"/>
      <c r="D1983" s="210"/>
      <c r="E1983" s="211"/>
      <c r="F1983" s="212"/>
    </row>
    <row r="1984" spans="1:6" ht="20.25">
      <c r="A1984" s="209"/>
      <c r="B1984" s="210"/>
      <c r="C1984" s="210"/>
      <c r="D1984" s="210"/>
      <c r="E1984" s="211"/>
      <c r="F1984" s="212"/>
    </row>
    <row r="1985" spans="1:6" ht="20.25">
      <c r="A1985" s="209"/>
      <c r="B1985" s="210"/>
      <c r="C1985" s="210"/>
      <c r="D1985" s="210"/>
      <c r="E1985" s="211"/>
      <c r="F1985" s="212"/>
    </row>
    <row r="1986" spans="1:6" ht="20.25">
      <c r="A1986" s="209"/>
      <c r="B1986" s="210"/>
      <c r="C1986" s="210"/>
      <c r="D1986" s="210"/>
      <c r="E1986" s="211"/>
      <c r="F1986" s="212"/>
    </row>
    <row r="1987" spans="1:6" ht="20.25">
      <c r="A1987" s="209"/>
      <c r="B1987" s="210"/>
      <c r="C1987" s="210"/>
      <c r="D1987" s="210"/>
      <c r="E1987" s="211"/>
      <c r="F1987" s="212"/>
    </row>
    <row r="1988" spans="1:6" ht="20.25">
      <c r="A1988" s="209"/>
      <c r="B1988" s="210"/>
      <c r="C1988" s="210"/>
      <c r="D1988" s="210"/>
      <c r="E1988" s="211"/>
      <c r="F1988" s="212"/>
    </row>
    <row r="1989" spans="1:6" ht="20.25">
      <c r="A1989" s="209"/>
      <c r="B1989" s="210"/>
      <c r="C1989" s="210"/>
      <c r="D1989" s="210"/>
      <c r="E1989" s="211"/>
      <c r="F1989" s="212"/>
    </row>
    <row r="1990" spans="1:6" ht="20.25">
      <c r="A1990" s="209"/>
      <c r="B1990" s="210"/>
      <c r="C1990" s="210"/>
      <c r="D1990" s="210"/>
      <c r="E1990" s="211"/>
      <c r="F1990" s="212"/>
    </row>
    <row r="1991" spans="1:6" ht="20.25">
      <c r="A1991" s="209"/>
      <c r="B1991" s="210"/>
      <c r="C1991" s="210"/>
      <c r="D1991" s="210"/>
      <c r="E1991" s="211"/>
      <c r="F1991" s="212"/>
    </row>
    <row r="1992" spans="1:6" ht="20.25">
      <c r="A1992" s="209"/>
      <c r="B1992" s="210"/>
      <c r="C1992" s="210"/>
      <c r="D1992" s="210"/>
      <c r="E1992" s="211"/>
      <c r="F1992" s="212"/>
    </row>
    <row r="1993" spans="1:6" ht="20.25">
      <c r="A1993" s="209"/>
      <c r="B1993" s="210"/>
      <c r="C1993" s="210"/>
      <c r="D1993" s="210"/>
      <c r="E1993" s="211"/>
      <c r="F1993" s="212"/>
    </row>
    <row r="1994" spans="1:6" ht="20.25">
      <c r="A1994" s="209"/>
      <c r="B1994" s="210"/>
      <c r="C1994" s="210"/>
      <c r="D1994" s="210"/>
      <c r="E1994" s="211"/>
      <c r="F1994" s="212"/>
    </row>
    <row r="1995" spans="1:6" ht="20.25">
      <c r="A1995" s="209"/>
      <c r="B1995" s="210"/>
      <c r="C1995" s="210"/>
      <c r="D1995" s="210"/>
      <c r="E1995" s="211"/>
      <c r="F1995" s="212"/>
    </row>
    <row r="1996" spans="1:6" ht="20.25">
      <c r="A1996" s="209"/>
      <c r="B1996" s="210"/>
      <c r="C1996" s="210"/>
      <c r="D1996" s="210"/>
      <c r="E1996" s="211"/>
      <c r="F1996" s="212"/>
    </row>
    <row r="1997" spans="1:6" ht="20.25">
      <c r="A1997" s="209"/>
      <c r="B1997" s="210"/>
      <c r="C1997" s="210"/>
      <c r="D1997" s="210"/>
      <c r="E1997" s="211"/>
      <c r="F1997" s="212"/>
    </row>
    <row r="1998" spans="1:6" ht="20.25">
      <c r="A1998" s="209"/>
      <c r="B1998" s="210"/>
      <c r="C1998" s="210"/>
      <c r="D1998" s="210"/>
      <c r="E1998" s="211"/>
      <c r="F1998" s="212"/>
    </row>
    <row r="1999" spans="1:6" ht="20.25">
      <c r="A1999" s="209"/>
      <c r="B1999" s="210"/>
      <c r="C1999" s="210"/>
      <c r="D1999" s="210"/>
      <c r="E1999" s="211"/>
      <c r="F1999" s="212"/>
    </row>
    <row r="2000" spans="1:6" ht="20.25">
      <c r="A2000" s="209"/>
      <c r="B2000" s="210"/>
      <c r="C2000" s="210"/>
      <c r="D2000" s="210"/>
      <c r="E2000" s="211"/>
      <c r="F2000" s="212"/>
    </row>
    <row r="2001" spans="1:6" ht="20.25">
      <c r="A2001" s="209"/>
      <c r="B2001" s="210"/>
      <c r="C2001" s="210"/>
      <c r="D2001" s="210"/>
      <c r="E2001" s="211"/>
      <c r="F2001" s="212"/>
    </row>
    <row r="2002" spans="1:6" ht="20.25">
      <c r="A2002" s="209"/>
      <c r="B2002" s="210"/>
      <c r="C2002" s="210"/>
      <c r="D2002" s="210"/>
      <c r="E2002" s="211"/>
      <c r="F2002" s="212"/>
    </row>
    <row r="2003" spans="1:6" ht="20.25">
      <c r="A2003" s="209"/>
      <c r="B2003" s="210"/>
      <c r="C2003" s="210"/>
      <c r="D2003" s="210"/>
      <c r="E2003" s="211"/>
      <c r="F2003" s="212"/>
    </row>
    <row r="2004" spans="1:6" ht="20.25">
      <c r="A2004" s="209"/>
      <c r="B2004" s="210"/>
      <c r="C2004" s="210"/>
      <c r="D2004" s="210"/>
      <c r="E2004" s="211"/>
      <c r="F2004" s="212"/>
    </row>
    <row r="2005" spans="1:6" ht="20.25">
      <c r="A2005" s="209"/>
      <c r="B2005" s="210"/>
      <c r="C2005" s="210"/>
      <c r="D2005" s="210"/>
      <c r="E2005" s="211"/>
      <c r="F2005" s="212"/>
    </row>
    <row r="2006" spans="1:6" ht="20.25">
      <c r="A2006" s="209"/>
      <c r="B2006" s="210"/>
      <c r="C2006" s="210"/>
      <c r="D2006" s="210"/>
      <c r="E2006" s="211"/>
      <c r="F2006" s="212"/>
    </row>
    <row r="2007" spans="1:6" ht="20.25">
      <c r="A2007" s="209"/>
      <c r="B2007" s="210"/>
      <c r="C2007" s="210"/>
      <c r="D2007" s="210"/>
      <c r="E2007" s="211"/>
      <c r="F2007" s="212"/>
    </row>
    <row r="2008" spans="1:6" ht="20.25">
      <c r="A2008" s="209"/>
      <c r="B2008" s="210"/>
      <c r="C2008" s="210"/>
      <c r="D2008" s="210"/>
      <c r="E2008" s="211"/>
      <c r="F2008" s="212"/>
    </row>
    <row r="2009" spans="1:6" ht="20.25">
      <c r="A2009" s="209"/>
      <c r="B2009" s="210"/>
      <c r="C2009" s="210"/>
      <c r="D2009" s="210"/>
      <c r="E2009" s="211"/>
      <c r="F2009" s="212"/>
    </row>
    <row r="2010" spans="1:6" ht="20.25">
      <c r="A2010" s="209"/>
      <c r="B2010" s="210"/>
      <c r="C2010" s="210"/>
      <c r="D2010" s="210"/>
      <c r="E2010" s="211"/>
      <c r="F2010" s="212"/>
    </row>
    <row r="2011" spans="1:6" ht="20.25">
      <c r="A2011" s="209"/>
      <c r="B2011" s="210"/>
      <c r="C2011" s="210"/>
      <c r="D2011" s="210"/>
      <c r="E2011" s="211"/>
      <c r="F2011" s="212"/>
    </row>
    <row r="2012" spans="1:6" ht="20.25">
      <c r="A2012" s="209"/>
      <c r="B2012" s="210"/>
      <c r="C2012" s="210"/>
      <c r="D2012" s="210"/>
      <c r="E2012" s="211"/>
      <c r="F2012" s="212"/>
    </row>
    <row r="2013" spans="1:6" ht="20.25">
      <c r="A2013" s="209"/>
      <c r="B2013" s="210"/>
      <c r="C2013" s="210"/>
      <c r="D2013" s="210"/>
      <c r="E2013" s="211"/>
      <c r="F2013" s="212"/>
    </row>
    <row r="2014" spans="1:6" ht="20.25">
      <c r="A2014" s="209"/>
      <c r="B2014" s="210"/>
      <c r="C2014" s="210"/>
      <c r="D2014" s="210"/>
      <c r="E2014" s="211"/>
      <c r="F2014" s="212"/>
    </row>
    <row r="2015" spans="1:6" ht="20.25">
      <c r="A2015" s="209"/>
      <c r="B2015" s="210"/>
      <c r="C2015" s="210"/>
      <c r="D2015" s="210"/>
      <c r="E2015" s="211"/>
      <c r="F2015" s="212"/>
    </row>
    <row r="2016" spans="1:6" ht="20.25">
      <c r="A2016" s="209"/>
      <c r="B2016" s="210"/>
      <c r="C2016" s="210"/>
      <c r="D2016" s="210"/>
      <c r="E2016" s="211"/>
      <c r="F2016" s="212"/>
    </row>
    <row r="2017" spans="1:6" ht="20.25">
      <c r="A2017" s="209"/>
      <c r="B2017" s="210"/>
      <c r="C2017" s="210"/>
      <c r="D2017" s="210"/>
      <c r="E2017" s="211"/>
      <c r="F2017" s="212"/>
    </row>
    <row r="2018" spans="1:6" ht="20.25">
      <c r="A2018" s="209"/>
      <c r="B2018" s="210"/>
      <c r="C2018" s="210"/>
      <c r="D2018" s="210"/>
      <c r="E2018" s="211"/>
      <c r="F2018" s="212"/>
    </row>
    <row r="2019" spans="1:6" ht="20.25">
      <c r="A2019" s="209"/>
      <c r="B2019" s="210"/>
      <c r="C2019" s="210"/>
      <c r="D2019" s="210"/>
      <c r="E2019" s="211"/>
      <c r="F2019" s="212"/>
    </row>
    <row r="2020" spans="1:6" ht="20.25">
      <c r="A2020" s="209"/>
      <c r="B2020" s="210"/>
      <c r="C2020" s="210"/>
      <c r="D2020" s="210"/>
      <c r="E2020" s="211"/>
      <c r="F2020" s="212"/>
    </row>
    <row r="2021" spans="1:6" ht="20.25">
      <c r="A2021" s="209"/>
      <c r="B2021" s="210"/>
      <c r="C2021" s="210"/>
      <c r="D2021" s="210"/>
      <c r="E2021" s="211"/>
      <c r="F2021" s="212"/>
    </row>
    <row r="2022" spans="1:6" ht="20.25">
      <c r="A2022" s="209"/>
      <c r="B2022" s="210"/>
      <c r="C2022" s="210"/>
      <c r="D2022" s="210"/>
      <c r="E2022" s="211"/>
      <c r="F2022" s="212"/>
    </row>
    <row r="2023" spans="1:6" ht="20.25">
      <c r="A2023" s="209"/>
      <c r="B2023" s="210"/>
      <c r="C2023" s="210"/>
      <c r="D2023" s="210"/>
      <c r="E2023" s="211"/>
      <c r="F2023" s="212"/>
    </row>
    <row r="2024" spans="1:6" ht="20.25">
      <c r="A2024" s="209"/>
      <c r="B2024" s="210"/>
      <c r="C2024" s="210"/>
      <c r="D2024" s="210"/>
      <c r="E2024" s="211"/>
      <c r="F2024" s="212"/>
    </row>
    <row r="2025" spans="1:6" ht="20.25">
      <c r="A2025" s="209"/>
      <c r="B2025" s="210"/>
      <c r="C2025" s="210"/>
      <c r="D2025" s="210"/>
      <c r="E2025" s="211"/>
      <c r="F2025" s="212"/>
    </row>
    <row r="2026" spans="1:6" ht="20.25">
      <c r="A2026" s="209"/>
      <c r="B2026" s="210"/>
      <c r="C2026" s="210"/>
      <c r="D2026" s="210"/>
      <c r="E2026" s="211"/>
      <c r="F2026" s="212"/>
    </row>
    <row r="2027" spans="1:6" ht="20.25">
      <c r="A2027" s="209"/>
      <c r="B2027" s="210"/>
      <c r="C2027" s="210"/>
      <c r="D2027" s="210"/>
      <c r="E2027" s="211"/>
      <c r="F2027" s="212"/>
    </row>
    <row r="2028" spans="1:6" ht="20.25">
      <c r="A2028" s="209"/>
      <c r="B2028" s="210"/>
      <c r="C2028" s="210"/>
      <c r="D2028" s="210"/>
      <c r="E2028" s="211"/>
      <c r="F2028" s="212"/>
    </row>
    <row r="2029" spans="1:6" ht="20.25">
      <c r="A2029" s="209"/>
      <c r="B2029" s="210"/>
      <c r="C2029" s="210"/>
      <c r="D2029" s="210"/>
      <c r="E2029" s="211"/>
      <c r="F2029" s="212"/>
    </row>
    <row r="2030" spans="1:6" ht="20.25">
      <c r="A2030" s="209"/>
      <c r="B2030" s="210"/>
      <c r="C2030" s="210"/>
      <c r="D2030" s="210"/>
      <c r="E2030" s="211"/>
      <c r="F2030" s="212"/>
    </row>
    <row r="2031" spans="1:6" ht="20.25">
      <c r="A2031" s="209"/>
      <c r="B2031" s="210"/>
      <c r="C2031" s="210"/>
      <c r="D2031" s="210"/>
      <c r="E2031" s="211"/>
      <c r="F2031" s="212"/>
    </row>
    <row r="2032" spans="1:6" ht="20.25">
      <c r="A2032" s="209"/>
      <c r="B2032" s="210"/>
      <c r="C2032" s="210"/>
      <c r="D2032" s="210"/>
      <c r="E2032" s="211"/>
      <c r="F2032" s="212"/>
    </row>
    <row r="2033" spans="1:6" ht="20.25">
      <c r="A2033" s="209"/>
      <c r="B2033" s="210"/>
      <c r="C2033" s="210"/>
      <c r="D2033" s="210"/>
      <c r="E2033" s="211"/>
      <c r="F2033" s="212"/>
    </row>
    <row r="2034" spans="1:6" ht="20.25">
      <c r="A2034" s="209"/>
      <c r="B2034" s="210"/>
      <c r="C2034" s="210"/>
      <c r="D2034" s="210"/>
      <c r="E2034" s="211"/>
      <c r="F2034" s="212"/>
    </row>
    <row r="2035" spans="1:6" ht="20.25">
      <c r="A2035" s="209"/>
      <c r="B2035" s="210"/>
      <c r="C2035" s="210"/>
      <c r="D2035" s="210"/>
      <c r="E2035" s="211"/>
      <c r="F2035" s="212"/>
    </row>
    <row r="2036" spans="1:6" ht="20.25">
      <c r="A2036" s="209"/>
      <c r="B2036" s="210"/>
      <c r="C2036" s="210"/>
      <c r="D2036" s="210"/>
      <c r="E2036" s="211"/>
      <c r="F2036" s="212"/>
    </row>
    <row r="2037" spans="1:6" ht="20.25">
      <c r="A2037" s="209"/>
      <c r="B2037" s="210"/>
      <c r="C2037" s="210"/>
      <c r="D2037" s="210"/>
      <c r="E2037" s="211"/>
      <c r="F2037" s="212"/>
    </row>
    <row r="2038" spans="1:6" ht="20.25">
      <c r="A2038" s="209"/>
      <c r="B2038" s="210"/>
      <c r="C2038" s="210"/>
      <c r="D2038" s="210"/>
      <c r="E2038" s="211"/>
      <c r="F2038" s="212"/>
    </row>
    <row r="2039" spans="1:6" ht="20.25">
      <c r="A2039" s="209"/>
      <c r="B2039" s="210"/>
      <c r="C2039" s="210"/>
      <c r="D2039" s="210"/>
      <c r="E2039" s="211"/>
      <c r="F2039" s="212"/>
    </row>
    <row r="2040" spans="1:6" ht="20.25">
      <c r="A2040" s="209"/>
      <c r="B2040" s="210"/>
      <c r="C2040" s="210"/>
      <c r="D2040" s="210"/>
      <c r="E2040" s="211"/>
      <c r="F2040" s="212"/>
    </row>
    <row r="2041" spans="1:6" ht="20.25">
      <c r="A2041" s="209"/>
      <c r="B2041" s="210"/>
      <c r="C2041" s="210"/>
      <c r="D2041" s="210"/>
      <c r="E2041" s="211"/>
      <c r="F2041" s="212"/>
    </row>
    <row r="2042" spans="1:6" ht="20.25">
      <c r="A2042" s="209"/>
      <c r="B2042" s="210"/>
      <c r="C2042" s="210"/>
      <c r="D2042" s="210"/>
      <c r="E2042" s="211"/>
      <c r="F2042" s="212"/>
    </row>
    <row r="2043" spans="1:6" ht="20.25">
      <c r="A2043" s="209"/>
      <c r="B2043" s="210"/>
      <c r="C2043" s="210"/>
      <c r="D2043" s="210"/>
      <c r="E2043" s="211"/>
      <c r="F2043" s="212"/>
    </row>
    <row r="2044" spans="1:6" ht="20.25">
      <c r="A2044" s="209"/>
      <c r="B2044" s="210"/>
      <c r="C2044" s="210"/>
      <c r="D2044" s="210"/>
      <c r="E2044" s="211"/>
      <c r="F2044" s="212"/>
    </row>
    <row r="2045" spans="1:6" ht="20.25">
      <c r="A2045" s="209"/>
      <c r="B2045" s="210"/>
      <c r="C2045" s="210"/>
      <c r="D2045" s="210"/>
      <c r="E2045" s="211"/>
      <c r="F2045" s="212"/>
    </row>
    <row r="2046" spans="1:6" ht="20.25">
      <c r="A2046" s="209"/>
      <c r="B2046" s="210"/>
      <c r="C2046" s="210"/>
      <c r="D2046" s="210"/>
      <c r="E2046" s="211"/>
      <c r="F2046" s="212"/>
    </row>
    <row r="2047" spans="1:6" ht="20.25">
      <c r="A2047" s="209"/>
      <c r="B2047" s="210"/>
      <c r="C2047" s="210"/>
      <c r="D2047" s="210"/>
      <c r="E2047" s="211"/>
      <c r="F2047" s="212"/>
    </row>
    <row r="2048" spans="1:6" ht="20.25">
      <c r="A2048" s="209"/>
      <c r="B2048" s="210"/>
      <c r="C2048" s="210"/>
      <c r="D2048" s="210"/>
      <c r="E2048" s="211"/>
      <c r="F2048" s="212"/>
    </row>
    <row r="2049" spans="1:6" ht="20.25">
      <c r="A2049" s="209"/>
      <c r="B2049" s="210"/>
      <c r="C2049" s="210"/>
      <c r="D2049" s="210"/>
      <c r="E2049" s="211"/>
      <c r="F2049" s="212"/>
    </row>
    <row r="2050" spans="1:6" ht="20.25">
      <c r="A2050" s="209"/>
      <c r="B2050" s="210"/>
      <c r="C2050" s="210"/>
      <c r="D2050" s="210"/>
      <c r="E2050" s="211"/>
      <c r="F2050" s="212"/>
    </row>
    <row r="2051" spans="1:6" ht="20.25">
      <c r="A2051" s="209"/>
      <c r="B2051" s="210"/>
      <c r="C2051" s="210"/>
      <c r="D2051" s="210"/>
      <c r="E2051" s="211"/>
      <c r="F2051" s="212"/>
    </row>
    <row r="2052" spans="1:6" ht="20.25">
      <c r="A2052" s="209"/>
      <c r="B2052" s="210"/>
      <c r="C2052" s="210"/>
      <c r="D2052" s="210"/>
      <c r="E2052" s="211"/>
      <c r="F2052" s="212"/>
    </row>
    <row r="2053" spans="1:6" ht="20.25">
      <c r="A2053" s="209"/>
      <c r="B2053" s="210"/>
      <c r="C2053" s="210"/>
      <c r="D2053" s="210"/>
      <c r="E2053" s="211"/>
      <c r="F2053" s="212"/>
    </row>
    <row r="2054" spans="1:6" ht="20.25">
      <c r="A2054" s="209"/>
      <c r="B2054" s="210"/>
      <c r="C2054" s="210"/>
      <c r="D2054" s="210"/>
      <c r="E2054" s="211"/>
      <c r="F2054" s="212"/>
    </row>
    <row r="2055" spans="1:6" ht="20.25">
      <c r="A2055" s="209"/>
      <c r="B2055" s="210"/>
      <c r="C2055" s="210"/>
      <c r="D2055" s="210"/>
      <c r="E2055" s="211"/>
      <c r="F2055" s="212"/>
    </row>
    <row r="2056" spans="1:6" ht="20.25">
      <c r="A2056" s="209"/>
      <c r="B2056" s="210"/>
      <c r="C2056" s="210"/>
      <c r="D2056" s="210"/>
      <c r="E2056" s="211"/>
      <c r="F2056" s="212"/>
    </row>
    <row r="2057" spans="1:6" ht="20.25">
      <c r="A2057" s="209"/>
      <c r="B2057" s="210"/>
      <c r="C2057" s="210"/>
      <c r="D2057" s="210"/>
      <c r="E2057" s="211"/>
      <c r="F2057" s="212"/>
    </row>
    <row r="2058" spans="1:6" ht="20.25">
      <c r="A2058" s="209"/>
      <c r="B2058" s="210"/>
      <c r="C2058" s="210"/>
      <c r="D2058" s="210"/>
      <c r="E2058" s="211"/>
      <c r="F2058" s="212"/>
    </row>
    <row r="2059" spans="1:6" ht="20.25">
      <c r="A2059" s="209"/>
      <c r="B2059" s="210"/>
      <c r="C2059" s="210"/>
      <c r="D2059" s="210"/>
      <c r="E2059" s="211"/>
      <c r="F2059" s="212"/>
    </row>
    <row r="2060" spans="1:6" ht="20.25">
      <c r="A2060" s="209"/>
      <c r="B2060" s="210"/>
      <c r="C2060" s="210"/>
      <c r="D2060" s="210"/>
      <c r="E2060" s="211"/>
      <c r="F2060" s="212"/>
    </row>
    <row r="2061" spans="1:6" ht="20.25">
      <c r="A2061" s="209"/>
      <c r="B2061" s="210"/>
      <c r="C2061" s="210"/>
      <c r="D2061" s="210"/>
      <c r="E2061" s="211"/>
      <c r="F2061" s="212"/>
    </row>
    <row r="2062" spans="1:6" ht="20.25">
      <c r="A2062" s="209"/>
      <c r="B2062" s="210"/>
      <c r="C2062" s="210"/>
      <c r="D2062" s="210"/>
      <c r="E2062" s="211"/>
      <c r="F2062" s="212"/>
    </row>
    <row r="2063" spans="1:6" ht="20.25">
      <c r="A2063" s="209"/>
      <c r="B2063" s="210"/>
      <c r="C2063" s="210"/>
      <c r="D2063" s="210"/>
      <c r="E2063" s="211"/>
      <c r="F2063" s="212"/>
    </row>
    <row r="2064" spans="1:6" ht="20.25">
      <c r="A2064" s="209"/>
      <c r="B2064" s="210"/>
      <c r="C2064" s="210"/>
      <c r="D2064" s="210"/>
      <c r="E2064" s="211"/>
      <c r="F2064" s="212"/>
    </row>
    <row r="2065" spans="1:6" ht="20.25">
      <c r="A2065" s="209"/>
      <c r="B2065" s="210"/>
      <c r="C2065" s="210"/>
      <c r="D2065" s="210"/>
      <c r="E2065" s="211"/>
      <c r="F2065" s="212"/>
    </row>
    <row r="2066" spans="1:6" ht="20.25">
      <c r="A2066" s="209"/>
      <c r="B2066" s="210"/>
      <c r="C2066" s="210"/>
      <c r="D2066" s="210"/>
      <c r="E2066" s="211"/>
      <c r="F2066" s="212"/>
    </row>
    <row r="2067" spans="1:6" ht="20.25">
      <c r="A2067" s="209"/>
      <c r="B2067" s="210"/>
      <c r="C2067" s="210"/>
      <c r="D2067" s="210"/>
      <c r="E2067" s="211"/>
      <c r="F2067" s="212"/>
    </row>
    <row r="2068" spans="1:6" ht="20.25">
      <c r="A2068" s="209"/>
      <c r="B2068" s="210"/>
      <c r="C2068" s="210"/>
      <c r="D2068" s="210"/>
      <c r="E2068" s="211"/>
      <c r="F2068" s="212"/>
    </row>
    <row r="2069" spans="1:6" ht="20.25">
      <c r="A2069" s="209"/>
      <c r="B2069" s="210"/>
      <c r="C2069" s="210"/>
      <c r="D2069" s="210"/>
      <c r="E2069" s="211"/>
      <c r="F2069" s="212"/>
    </row>
    <row r="2070" spans="1:6" ht="20.25">
      <c r="A2070" s="209"/>
      <c r="B2070" s="210"/>
      <c r="C2070" s="210"/>
      <c r="D2070" s="210"/>
      <c r="E2070" s="211"/>
      <c r="F2070" s="212"/>
    </row>
    <row r="2071" spans="1:6" ht="20.25">
      <c r="A2071" s="209"/>
      <c r="B2071" s="210"/>
      <c r="C2071" s="210"/>
      <c r="D2071" s="210"/>
      <c r="E2071" s="211"/>
      <c r="F2071" s="212"/>
    </row>
    <row r="2072" spans="1:6" ht="20.25">
      <c r="A2072" s="209"/>
      <c r="B2072" s="210"/>
      <c r="C2072" s="210"/>
      <c r="D2072" s="210"/>
      <c r="E2072" s="211"/>
      <c r="F2072" s="212"/>
    </row>
    <row r="2073" spans="1:6" ht="20.25">
      <c r="A2073" s="209"/>
      <c r="B2073" s="210"/>
      <c r="C2073" s="210"/>
      <c r="D2073" s="210"/>
      <c r="E2073" s="211"/>
      <c r="F2073" s="212"/>
    </row>
    <row r="2074" spans="1:6" ht="20.25">
      <c r="A2074" s="209"/>
      <c r="B2074" s="210"/>
      <c r="C2074" s="210"/>
      <c r="D2074" s="210"/>
      <c r="E2074" s="211"/>
      <c r="F2074" s="212"/>
    </row>
    <row r="2075" spans="1:6" ht="20.25">
      <c r="A2075" s="209"/>
      <c r="B2075" s="210"/>
      <c r="C2075" s="210"/>
      <c r="D2075" s="210"/>
      <c r="E2075" s="211"/>
      <c r="F2075" s="212"/>
    </row>
    <row r="2076" spans="1:6" ht="20.25">
      <c r="A2076" s="209"/>
      <c r="B2076" s="210"/>
      <c r="C2076" s="210"/>
      <c r="D2076" s="210"/>
      <c r="E2076" s="211"/>
      <c r="F2076" s="212"/>
    </row>
    <row r="2077" spans="1:6" ht="20.25">
      <c r="A2077" s="209"/>
      <c r="B2077" s="210"/>
      <c r="C2077" s="210"/>
      <c r="D2077" s="210"/>
      <c r="E2077" s="211"/>
      <c r="F2077" s="212"/>
    </row>
    <row r="2078" spans="1:6" ht="20.25">
      <c r="A2078" s="209"/>
      <c r="B2078" s="210"/>
      <c r="C2078" s="210"/>
      <c r="D2078" s="210"/>
      <c r="E2078" s="211"/>
      <c r="F2078" s="212"/>
    </row>
    <row r="2079" spans="1:6" ht="20.25">
      <c r="A2079" s="209"/>
      <c r="B2079" s="210"/>
      <c r="C2079" s="210"/>
      <c r="D2079" s="210"/>
      <c r="E2079" s="211"/>
      <c r="F2079" s="212"/>
    </row>
    <row r="2080" spans="1:6" ht="20.25">
      <c r="A2080" s="209"/>
      <c r="B2080" s="210"/>
      <c r="C2080" s="210"/>
      <c r="D2080" s="210"/>
      <c r="E2080" s="211"/>
      <c r="F2080" s="212"/>
    </row>
    <row r="2081" spans="1:6" ht="20.25">
      <c r="A2081" s="209"/>
      <c r="B2081" s="210"/>
      <c r="C2081" s="210"/>
      <c r="D2081" s="210"/>
      <c r="E2081" s="211"/>
      <c r="F2081" s="212"/>
    </row>
    <row r="2082" spans="1:6" ht="20.25">
      <c r="A2082" s="209"/>
      <c r="B2082" s="210"/>
      <c r="C2082" s="210"/>
      <c r="D2082" s="210"/>
      <c r="E2082" s="211"/>
      <c r="F2082" s="212"/>
    </row>
    <row r="2083" spans="1:6" ht="20.25">
      <c r="A2083" s="209"/>
      <c r="B2083" s="210"/>
      <c r="C2083" s="210"/>
      <c r="D2083" s="210"/>
      <c r="E2083" s="211"/>
      <c r="F2083" s="212"/>
    </row>
    <row r="2084" spans="1:6" ht="20.25">
      <c r="A2084" s="209"/>
      <c r="B2084" s="210"/>
      <c r="C2084" s="210"/>
      <c r="D2084" s="210"/>
      <c r="E2084" s="211"/>
      <c r="F2084" s="212"/>
    </row>
    <row r="2085" spans="1:6" ht="20.25">
      <c r="A2085" s="209"/>
      <c r="B2085" s="210"/>
      <c r="C2085" s="210"/>
      <c r="D2085" s="210"/>
      <c r="E2085" s="211"/>
      <c r="F2085" s="212"/>
    </row>
    <row r="2086" spans="1:6" ht="20.25">
      <c r="A2086" s="209"/>
      <c r="B2086" s="210"/>
      <c r="C2086" s="210"/>
      <c r="D2086" s="210"/>
      <c r="E2086" s="211"/>
      <c r="F2086" s="212"/>
    </row>
    <row r="2087" spans="1:6" ht="20.25">
      <c r="A2087" s="209"/>
      <c r="B2087" s="210"/>
      <c r="C2087" s="210"/>
      <c r="D2087" s="210"/>
      <c r="E2087" s="211"/>
      <c r="F2087" s="212"/>
    </row>
    <row r="2088" spans="1:6" ht="20.25">
      <c r="A2088" s="209"/>
      <c r="B2088" s="210"/>
      <c r="C2088" s="210"/>
      <c r="D2088" s="210"/>
      <c r="E2088" s="211"/>
      <c r="F2088" s="212"/>
    </row>
    <row r="2089" spans="1:6" ht="20.25">
      <c r="A2089" s="209"/>
      <c r="B2089" s="210"/>
      <c r="C2089" s="210"/>
      <c r="D2089" s="210"/>
      <c r="E2089" s="211"/>
      <c r="F2089" s="212"/>
    </row>
    <row r="2090" spans="1:6" ht="20.25">
      <c r="A2090" s="209"/>
      <c r="B2090" s="210"/>
      <c r="C2090" s="210"/>
      <c r="D2090" s="210"/>
      <c r="E2090" s="211"/>
      <c r="F2090" s="212"/>
    </row>
    <row r="2091" spans="1:6" ht="20.25">
      <c r="A2091" s="209"/>
      <c r="B2091" s="210"/>
      <c r="C2091" s="210"/>
      <c r="D2091" s="210"/>
      <c r="E2091" s="211"/>
      <c r="F2091" s="212"/>
    </row>
    <row r="2092" spans="1:6" ht="20.25">
      <c r="A2092" s="209"/>
      <c r="B2092" s="210"/>
      <c r="C2092" s="210"/>
      <c r="D2092" s="210"/>
      <c r="E2092" s="211"/>
      <c r="F2092" s="212"/>
    </row>
    <row r="2093" spans="1:6" ht="20.25">
      <c r="A2093" s="209"/>
      <c r="B2093" s="210"/>
      <c r="C2093" s="210"/>
      <c r="D2093" s="210"/>
      <c r="E2093" s="211"/>
      <c r="F2093" s="212"/>
    </row>
    <row r="2094" spans="1:6" ht="20.25">
      <c r="A2094" s="209"/>
      <c r="B2094" s="210"/>
      <c r="C2094" s="210"/>
      <c r="D2094" s="210"/>
      <c r="E2094" s="211"/>
      <c r="F2094" s="212"/>
    </row>
    <row r="2095" spans="1:6" ht="20.25">
      <c r="A2095" s="209"/>
      <c r="B2095" s="210"/>
      <c r="C2095" s="210"/>
      <c r="D2095" s="210"/>
      <c r="E2095" s="211"/>
      <c r="F2095" s="212"/>
    </row>
    <row r="2096" spans="1:6" ht="20.25">
      <c r="A2096" s="209"/>
      <c r="B2096" s="210"/>
      <c r="C2096" s="210"/>
      <c r="D2096" s="210"/>
      <c r="E2096" s="211"/>
      <c r="F2096" s="212"/>
    </row>
    <row r="2097" spans="1:6" ht="20.25">
      <c r="A2097" s="209"/>
      <c r="B2097" s="210"/>
      <c r="C2097" s="210"/>
      <c r="D2097" s="210"/>
      <c r="E2097" s="211"/>
      <c r="F2097" s="212"/>
    </row>
    <row r="2098" spans="1:6" ht="20.25">
      <c r="A2098" s="209"/>
      <c r="B2098" s="210"/>
      <c r="C2098" s="210"/>
      <c r="D2098" s="210"/>
      <c r="E2098" s="211"/>
      <c r="F2098" s="212"/>
    </row>
    <row r="2099" spans="1:6" ht="20.25">
      <c r="A2099" s="209"/>
      <c r="B2099" s="210"/>
      <c r="C2099" s="210"/>
      <c r="D2099" s="210"/>
      <c r="E2099" s="211"/>
      <c r="F2099" s="212"/>
    </row>
    <row r="2100" spans="1:6" ht="20.25">
      <c r="A2100" s="209"/>
      <c r="B2100" s="210"/>
      <c r="C2100" s="210"/>
      <c r="D2100" s="210"/>
      <c r="E2100" s="211"/>
      <c r="F2100" s="212"/>
    </row>
    <row r="2101" spans="1:6" ht="20.25">
      <c r="A2101" s="209"/>
      <c r="B2101" s="210"/>
      <c r="C2101" s="210"/>
      <c r="D2101" s="210"/>
      <c r="E2101" s="211"/>
      <c r="F2101" s="212"/>
    </row>
    <row r="2102" spans="1:6" ht="20.25">
      <c r="A2102" s="209"/>
      <c r="B2102" s="210"/>
      <c r="C2102" s="210"/>
      <c r="D2102" s="210"/>
      <c r="E2102" s="211"/>
      <c r="F2102" s="212"/>
    </row>
    <row r="2103" spans="1:6" ht="20.25">
      <c r="A2103" s="209"/>
      <c r="B2103" s="210"/>
      <c r="C2103" s="210"/>
      <c r="D2103" s="210"/>
      <c r="E2103" s="211"/>
      <c r="F2103" s="212"/>
    </row>
    <row r="2104" spans="1:6" ht="20.25">
      <c r="A2104" s="209"/>
      <c r="B2104" s="210"/>
      <c r="C2104" s="210"/>
      <c r="D2104" s="210"/>
      <c r="E2104" s="211"/>
      <c r="F2104" s="212"/>
    </row>
    <row r="2105" spans="1:6" ht="20.25">
      <c r="A2105" s="209"/>
      <c r="B2105" s="210"/>
      <c r="C2105" s="210"/>
      <c r="D2105" s="210"/>
      <c r="E2105" s="211"/>
      <c r="F2105" s="212"/>
    </row>
    <row r="2106" spans="1:6" ht="20.25">
      <c r="A2106" s="209"/>
      <c r="B2106" s="210"/>
      <c r="C2106" s="210"/>
      <c r="D2106" s="210"/>
      <c r="E2106" s="211"/>
      <c r="F2106" s="212"/>
    </row>
    <row r="2107" spans="1:6" ht="20.25">
      <c r="A2107" s="209"/>
      <c r="B2107" s="210"/>
      <c r="C2107" s="210"/>
      <c r="D2107" s="210"/>
      <c r="E2107" s="211"/>
      <c r="F2107" s="212"/>
    </row>
    <row r="2108" spans="1:6" ht="20.25">
      <c r="A2108" s="209"/>
      <c r="B2108" s="210"/>
      <c r="C2108" s="210"/>
      <c r="D2108" s="210"/>
      <c r="E2108" s="211"/>
      <c r="F2108" s="212"/>
    </row>
    <row r="2109" spans="1:6" ht="20.25">
      <c r="A2109" s="209"/>
      <c r="B2109" s="210"/>
      <c r="C2109" s="210"/>
      <c r="D2109" s="210"/>
      <c r="E2109" s="211"/>
      <c r="F2109" s="212"/>
    </row>
    <row r="2110" spans="1:6" ht="20.25">
      <c r="A2110" s="209"/>
      <c r="B2110" s="210"/>
      <c r="C2110" s="210"/>
      <c r="D2110" s="210"/>
      <c r="E2110" s="211"/>
      <c r="F2110" s="212"/>
    </row>
    <row r="2111" spans="1:6" ht="20.25">
      <c r="A2111" s="209"/>
      <c r="B2111" s="210"/>
      <c r="C2111" s="210"/>
      <c r="D2111" s="210"/>
      <c r="E2111" s="211"/>
      <c r="F2111" s="212"/>
    </row>
    <row r="2112" spans="1:6" ht="20.25">
      <c r="A2112" s="209"/>
      <c r="B2112" s="210"/>
      <c r="C2112" s="210"/>
      <c r="D2112" s="210"/>
      <c r="E2112" s="211"/>
      <c r="F2112" s="212"/>
    </row>
    <row r="2113" spans="1:6" ht="20.25">
      <c r="A2113" s="209"/>
      <c r="B2113" s="210"/>
      <c r="C2113" s="210"/>
      <c r="D2113" s="210"/>
      <c r="E2113" s="211"/>
      <c r="F2113" s="212"/>
    </row>
    <row r="2114" spans="1:6" ht="20.25">
      <c r="A2114" s="209"/>
      <c r="B2114" s="210"/>
      <c r="C2114" s="210"/>
      <c r="D2114" s="210"/>
      <c r="E2114" s="211"/>
      <c r="F2114" s="212"/>
    </row>
    <row r="2115" spans="1:6" ht="20.25">
      <c r="A2115" s="209"/>
      <c r="B2115" s="210"/>
      <c r="C2115" s="210"/>
      <c r="D2115" s="210"/>
      <c r="E2115" s="211"/>
      <c r="F2115" s="212"/>
    </row>
    <row r="2116" spans="1:6" ht="20.25">
      <c r="A2116" s="209"/>
      <c r="B2116" s="210"/>
      <c r="C2116" s="210"/>
      <c r="D2116" s="210"/>
      <c r="E2116" s="211"/>
      <c r="F2116" s="212"/>
    </row>
    <row r="2117" spans="1:6" ht="20.25">
      <c r="A2117" s="209"/>
      <c r="B2117" s="210"/>
      <c r="C2117" s="210"/>
      <c r="D2117" s="210"/>
      <c r="E2117" s="211"/>
      <c r="F2117" s="212"/>
    </row>
    <row r="2118" spans="1:6" ht="20.25">
      <c r="A2118" s="209"/>
      <c r="B2118" s="210"/>
      <c r="C2118" s="210"/>
      <c r="D2118" s="210"/>
      <c r="E2118" s="211"/>
      <c r="F2118" s="212"/>
    </row>
    <row r="2119" spans="1:6" ht="20.25">
      <c r="A2119" s="209"/>
      <c r="B2119" s="210"/>
      <c r="C2119" s="210"/>
      <c r="D2119" s="210"/>
      <c r="E2119" s="211"/>
      <c r="F2119" s="212"/>
    </row>
    <row r="2120" spans="1:6" ht="20.25">
      <c r="A2120" s="209"/>
      <c r="B2120" s="210"/>
      <c r="C2120" s="210"/>
      <c r="D2120" s="210"/>
      <c r="E2120" s="211"/>
      <c r="F2120" s="212"/>
    </row>
    <row r="2121" spans="1:6" ht="20.25">
      <c r="A2121" s="209"/>
      <c r="B2121" s="210"/>
      <c r="C2121" s="210"/>
      <c r="D2121" s="210"/>
      <c r="E2121" s="211"/>
      <c r="F2121" s="212"/>
    </row>
    <row r="2122" spans="1:6" ht="20.25">
      <c r="A2122" s="209"/>
      <c r="B2122" s="210"/>
      <c r="C2122" s="210"/>
      <c r="D2122" s="210"/>
      <c r="E2122" s="211"/>
      <c r="F2122" s="212"/>
    </row>
    <row r="2123" spans="1:6" ht="20.25">
      <c r="A2123" s="209"/>
      <c r="B2123" s="210"/>
      <c r="C2123" s="210"/>
      <c r="D2123" s="210"/>
      <c r="E2123" s="211"/>
      <c r="F2123" s="212"/>
    </row>
    <row r="2124" spans="1:6" ht="20.25">
      <c r="A2124" s="209"/>
      <c r="B2124" s="210"/>
      <c r="C2124" s="210"/>
      <c r="D2124" s="210"/>
      <c r="E2124" s="211"/>
      <c r="F2124" s="212"/>
    </row>
    <row r="2125" spans="1:6" ht="20.25">
      <c r="A2125" s="209"/>
      <c r="B2125" s="210"/>
      <c r="C2125" s="210"/>
      <c r="D2125" s="210"/>
      <c r="E2125" s="211"/>
      <c r="F2125" s="212"/>
    </row>
    <row r="2126" spans="1:6" ht="20.25">
      <c r="A2126" s="209"/>
      <c r="B2126" s="210"/>
      <c r="C2126" s="210"/>
      <c r="D2126" s="210"/>
      <c r="E2126" s="211"/>
      <c r="F2126" s="212"/>
    </row>
    <row r="2127" spans="1:6" ht="20.25">
      <c r="A2127" s="209"/>
      <c r="B2127" s="210"/>
      <c r="C2127" s="210"/>
      <c r="D2127" s="210"/>
      <c r="E2127" s="211"/>
      <c r="F2127" s="212"/>
    </row>
    <row r="2128" spans="1:6" ht="20.25">
      <c r="A2128" s="209"/>
      <c r="B2128" s="210"/>
      <c r="C2128" s="210"/>
      <c r="D2128" s="210"/>
      <c r="E2128" s="211"/>
      <c r="F2128" s="212"/>
    </row>
    <row r="2129" spans="1:6" ht="20.25">
      <c r="A2129" s="209"/>
      <c r="B2129" s="210"/>
      <c r="C2129" s="210"/>
      <c r="D2129" s="210"/>
      <c r="E2129" s="211"/>
      <c r="F2129" s="212"/>
    </row>
    <row r="2130" spans="1:6" ht="20.25">
      <c r="A2130" s="209"/>
      <c r="B2130" s="210"/>
      <c r="C2130" s="210"/>
      <c r="D2130" s="210"/>
      <c r="E2130" s="211"/>
      <c r="F2130" s="212"/>
    </row>
    <row r="2131" spans="1:6" ht="20.25">
      <c r="A2131" s="209"/>
      <c r="B2131" s="210"/>
      <c r="C2131" s="210"/>
      <c r="D2131" s="210"/>
      <c r="E2131" s="211"/>
      <c r="F2131" s="212"/>
    </row>
    <row r="2132" spans="1:6" ht="20.25">
      <c r="A2132" s="209"/>
      <c r="B2132" s="210"/>
      <c r="C2132" s="210"/>
      <c r="D2132" s="210"/>
      <c r="E2132" s="211"/>
      <c r="F2132" s="212"/>
    </row>
    <row r="2133" spans="1:6" ht="20.25">
      <c r="A2133" s="209"/>
      <c r="B2133" s="210"/>
      <c r="C2133" s="210"/>
      <c r="D2133" s="210"/>
      <c r="E2133" s="211"/>
      <c r="F2133" s="212"/>
    </row>
    <row r="2134" spans="1:6" ht="20.25">
      <c r="A2134" s="209"/>
      <c r="B2134" s="210"/>
      <c r="C2134" s="210"/>
      <c r="D2134" s="210"/>
      <c r="E2134" s="211"/>
      <c r="F2134" s="212"/>
    </row>
    <row r="2135" spans="1:6" ht="20.25">
      <c r="A2135" s="209"/>
      <c r="B2135" s="210"/>
      <c r="C2135" s="210"/>
      <c r="D2135" s="210"/>
      <c r="E2135" s="211"/>
      <c r="F2135" s="212"/>
    </row>
    <row r="2136" spans="1:6" ht="20.25">
      <c r="A2136" s="209"/>
      <c r="B2136" s="210"/>
      <c r="C2136" s="210"/>
      <c r="D2136" s="210"/>
      <c r="E2136" s="211"/>
      <c r="F2136" s="212"/>
    </row>
    <row r="2137" spans="1:6" ht="20.25">
      <c r="A2137" s="209"/>
      <c r="B2137" s="210"/>
      <c r="C2137" s="210"/>
      <c r="D2137" s="210"/>
      <c r="E2137" s="211"/>
      <c r="F2137" s="212"/>
    </row>
    <row r="2138" spans="1:6" ht="20.25">
      <c r="A2138" s="209"/>
      <c r="B2138" s="210"/>
      <c r="C2138" s="210"/>
      <c r="D2138" s="210"/>
      <c r="E2138" s="211"/>
      <c r="F2138" s="212"/>
    </row>
    <row r="2139" spans="1:6" ht="20.25">
      <c r="A2139" s="209"/>
      <c r="B2139" s="210"/>
      <c r="C2139" s="210"/>
      <c r="D2139" s="210"/>
      <c r="E2139" s="211"/>
      <c r="F2139" s="212"/>
    </row>
    <row r="2140" spans="1:6" ht="20.25">
      <c r="A2140" s="209"/>
      <c r="B2140" s="210"/>
      <c r="C2140" s="210"/>
      <c r="D2140" s="210"/>
      <c r="E2140" s="211"/>
      <c r="F2140" s="212"/>
    </row>
    <row r="2141" spans="1:6" ht="20.25">
      <c r="A2141" s="209"/>
      <c r="B2141" s="210"/>
      <c r="C2141" s="210"/>
      <c r="D2141" s="210"/>
      <c r="E2141" s="211"/>
      <c r="F2141" s="212"/>
    </row>
    <row r="2142" spans="1:6" ht="20.25">
      <c r="A2142" s="209"/>
      <c r="B2142" s="210"/>
      <c r="C2142" s="210"/>
      <c r="D2142" s="210"/>
      <c r="E2142" s="211"/>
      <c r="F2142" s="212"/>
    </row>
    <row r="2143" spans="1:6" ht="20.25">
      <c r="A2143" s="209"/>
      <c r="B2143" s="210"/>
      <c r="C2143" s="210"/>
      <c r="D2143" s="210"/>
      <c r="E2143" s="211"/>
      <c r="F2143" s="212"/>
    </row>
    <row r="2144" spans="1:6" ht="20.25">
      <c r="A2144" s="209"/>
      <c r="B2144" s="210"/>
      <c r="C2144" s="210"/>
      <c r="D2144" s="210"/>
      <c r="E2144" s="211"/>
      <c r="F2144" s="212"/>
    </row>
    <row r="2145" spans="1:6" ht="20.25">
      <c r="A2145" s="209"/>
      <c r="B2145" s="210"/>
      <c r="C2145" s="210"/>
      <c r="D2145" s="210"/>
      <c r="E2145" s="211"/>
      <c r="F2145" s="212"/>
    </row>
    <row r="2146" spans="1:6" ht="20.25">
      <c r="A2146" s="209"/>
      <c r="B2146" s="210"/>
      <c r="C2146" s="210"/>
      <c r="D2146" s="210"/>
      <c r="E2146" s="211"/>
      <c r="F2146" s="212"/>
    </row>
    <row r="2147" spans="1:6" ht="20.25">
      <c r="A2147" s="209"/>
      <c r="B2147" s="210"/>
      <c r="C2147" s="210"/>
      <c r="D2147" s="210"/>
      <c r="E2147" s="211"/>
      <c r="F2147" s="212"/>
    </row>
    <row r="2148" spans="1:6" ht="20.25">
      <c r="A2148" s="209"/>
      <c r="B2148" s="210"/>
      <c r="C2148" s="210"/>
      <c r="D2148" s="210"/>
      <c r="E2148" s="211"/>
      <c r="F2148" s="212"/>
    </row>
    <row r="2149" spans="1:6" ht="20.25">
      <c r="A2149" s="209"/>
      <c r="B2149" s="210"/>
      <c r="C2149" s="210"/>
      <c r="D2149" s="210"/>
      <c r="E2149" s="211"/>
      <c r="F2149" s="212"/>
    </row>
    <row r="2150" spans="1:6" ht="20.25">
      <c r="A2150" s="209"/>
      <c r="B2150" s="210"/>
      <c r="C2150" s="210"/>
      <c r="D2150" s="210"/>
      <c r="E2150" s="211"/>
      <c r="F2150" s="212"/>
    </row>
    <row r="2151" spans="1:6" ht="20.25">
      <c r="A2151" s="209"/>
      <c r="B2151" s="210"/>
      <c r="C2151" s="210"/>
      <c r="D2151" s="210"/>
      <c r="E2151" s="211"/>
      <c r="F2151" s="212"/>
    </row>
    <row r="2152" spans="1:6" ht="20.25">
      <c r="C2152" s="210"/>
    </row>
  </sheetData>
  <customSheetViews>
    <customSheetView guid="{DC91DEF3-837B-4BB9-A81E-3B78C5914E6C}" scale="60" showPageBreaks="1" printArea="1" view="pageBreakPreview" showRuler="0" topLeftCell="A286">
      <selection activeCell="F182" sqref="F182"/>
      <rowBreaks count="4" manualBreakCount="4">
        <brk id="70" max="7" man="1"/>
        <brk id="143" max="7" man="1"/>
        <brk id="210" max="7" man="1"/>
        <brk id="287" max="7" man="1"/>
      </rowBreaks>
      <colBreaks count="1" manualBreakCount="1">
        <brk id="8" max="316" man="1"/>
      </colBreaks>
      <pageMargins left="0.5" right="0.5" top="0.75" bottom="0.5" header="0.5" footer="0.5"/>
      <printOptions horizontalCentered="1"/>
      <pageSetup scale="44" fitToHeight="10" orientation="portrait" r:id="rId1"/>
      <headerFooter alignWithMargins="0">
        <oddHeader>&amp;R&amp;12Page &amp;P of &amp;N</oddHeader>
      </headerFooter>
    </customSheetView>
    <customSheetView guid="{28948E05-8F34-4F1E-96FB-A80A6A844600}" scale="66" showPageBreaks="1" printArea="1" hiddenRows="1" showRuler="0" topLeftCell="A252">
      <selection activeCell="B270" sqref="B270"/>
      <rowBreaks count="4" manualBreakCount="4">
        <brk id="70" max="7" man="1"/>
        <brk id="143" max="7" man="1"/>
        <brk id="211" max="7" man="1"/>
        <brk id="288" max="7" man="1"/>
      </rowBreaks>
      <colBreaks count="1" manualBreakCount="1">
        <brk id="8" max="316" man="1"/>
      </colBreaks>
      <pageMargins left="0.5" right="0.5" top="0.75" bottom="0.5" header="0.5" footer="0.5"/>
      <printOptions horizontalCentered="1"/>
      <pageSetup scale="45" fitToHeight="10" orientation="portrait" r:id="rId2"/>
      <headerFooter alignWithMargins="0">
        <oddHeader>&amp;R&amp;12Page &amp;P of &amp;N</oddHeader>
      </headerFooter>
    </customSheetView>
    <customSheetView guid="{71B42B22-A376-44B5-B0C1-23FC1AA3DBA2}" scale="66" showPageBreaks="1" printArea="1" hiddenRows="1" showRuler="0" topLeftCell="A75">
      <selection activeCell="D75" sqref="D75"/>
      <rowBreaks count="4" manualBreakCount="4">
        <brk id="70" max="7" man="1"/>
        <brk id="143" max="7" man="1"/>
        <brk id="211" max="7" man="1"/>
        <brk id="288" max="7" man="1"/>
      </rowBreaks>
      <colBreaks count="1" manualBreakCount="1">
        <brk id="8" max="316" man="1"/>
      </colBreaks>
      <pageMargins left="0.5" right="0.5" top="0.75" bottom="0.5" header="0.5" footer="0.5"/>
      <printOptions horizontalCentered="1"/>
      <pageSetup scale="45" fitToHeight="10" orientation="portrait" r:id="rId3"/>
      <headerFooter alignWithMargins="0">
        <oddHeader>&amp;R&amp;16Page &amp;P of &amp;N</oddHeader>
      </headerFooter>
    </customSheetView>
    <customSheetView guid="{FAAD9AAC-1337-43AB-BF1F-CCF9DFCF5B78}" scale="60" showPageBreaks="1" printArea="1" view="pageBreakPreview" showRuler="0" topLeftCell="A276">
      <selection activeCell="H313" sqref="H313"/>
      <rowBreaks count="4" manualBreakCount="4">
        <brk id="70" max="7" man="1"/>
        <brk id="143" max="7" man="1"/>
        <brk id="210" max="7" man="1"/>
        <brk id="287" max="7" man="1"/>
      </rowBreaks>
      <colBreaks count="2" manualBreakCount="2">
        <brk id="7" max="324" man="1"/>
        <brk id="8" max="316" man="1"/>
      </colBreaks>
      <pageMargins left="0.5" right="0.5" top="0.75" bottom="0.5" header="0.5" footer="0.5"/>
      <printOptions horizontalCentered="1"/>
      <pageSetup scale="44" fitToHeight="10" orientation="portrait" r:id="rId4"/>
      <headerFooter alignWithMargins="0">
        <oddHeader>&amp;R&amp;12Page &amp;P of &amp;N</oddHeader>
      </headerFooter>
    </customSheetView>
    <customSheetView guid="{4C7C2344-134C-465A-ADEB-A5E96AAE2308}" scale="75" showPageBreaks="1" printArea="1" view="pageBreakPreview" showRuler="0" topLeftCell="A190">
      <pane xSplit="2.9634146341463414" topLeftCell="F1" activePane="topRight"/>
      <selection pane="topRight" activeCell="H111" sqref="H111"/>
      <rowBreaks count="7" manualBreakCount="7">
        <brk id="36" max="16383" man="1"/>
        <brk id="86" max="16383" man="1"/>
        <brk id="130" max="16383" man="1"/>
        <brk id="169" max="16383" man="1"/>
        <brk id="212" max="16383" man="1"/>
        <brk id="262" max="16383" man="1"/>
        <brk id="289" max="7" man="1"/>
      </rowBreaks>
      <pageMargins left="0.5" right="0.5" top="0.75" bottom="0.5" header="0.5" footer="0.5"/>
      <pageSetup scale="65" fitToHeight="10" orientation="landscape" r:id="rId5"/>
      <headerFooter alignWithMargins="0">
        <oddHeader>&amp;R&amp;12Page &amp;P of &amp;N</oddHeader>
      </headerFooter>
    </customSheetView>
    <customSheetView guid="{DA967730-B71F-4038-B1B7-9D4790729C5D}" scale="75" showPageBreaks="1" printArea="1" view="pageBreakPreview" showRuler="0" topLeftCell="A271">
      <pane xSplit="3" topLeftCell="F1" activePane="topRight"/>
      <selection pane="topRight" activeCell="H279" sqref="H279"/>
      <rowBreaks count="7" manualBreakCount="7">
        <brk id="36" max="16383" man="1"/>
        <brk id="86" max="16383" man="1"/>
        <brk id="130" max="16383" man="1"/>
        <brk id="169" max="16383" man="1"/>
        <brk id="212" max="16383" man="1"/>
        <brk id="262" max="16383" man="1"/>
        <brk id="289" max="7" man="1"/>
      </rowBreaks>
      <pageMargins left="0.5" right="0.5" top="0.75" bottom="0.5" header="0.5" footer="0.5"/>
      <pageSetup scale="65" fitToHeight="10" orientation="landscape" r:id="rId6"/>
      <headerFooter alignWithMargins="0">
        <oddHeader>&amp;R&amp;12Page &amp;P of &amp;N</oddHeader>
      </headerFooter>
    </customSheetView>
    <customSheetView guid="{F96D6087-3330-4A81-95EC-26BA83722A49}" scale="75" showPageBreaks="1" printArea="1" view="pageBreakPreview" showRuler="0">
      <pane xSplit="3" topLeftCell="F1"/>
      <selection activeCell="C10" sqref="C10"/>
      <rowBreaks count="7" manualBreakCount="7">
        <brk id="36" max="16383" man="1"/>
        <brk id="86" max="16383" man="1"/>
        <brk id="130" max="16383" man="1"/>
        <brk id="169" max="16383" man="1"/>
        <brk id="212" max="16383" man="1"/>
        <brk id="262" max="16383" man="1"/>
        <brk id="289" max="7" man="1"/>
      </rowBreaks>
      <pageMargins left="0.5" right="0.5" top="0.75" bottom="0.5" header="0.5" footer="0.5"/>
      <pageSetup scale="65" fitToHeight="10" orientation="landscape" r:id="rId7"/>
      <headerFooter alignWithMargins="0">
        <oddHeader>&amp;R&amp;12Page &amp;P of &amp;N</oddHeader>
      </headerFooter>
    </customSheetView>
    <customSheetView guid="{3A38DF7A-C35E-4DD3-9893-26310A3EF836}" scale="66" showPageBreaks="1" printArea="1" showRuler="0" topLeftCell="A52">
      <selection activeCell="H74" sqref="H74"/>
      <rowBreaks count="7" manualBreakCount="7">
        <brk id="36" max="16383" man="1"/>
        <brk id="86" max="16383" man="1"/>
        <brk id="130" max="16383" man="1"/>
        <brk id="169" max="16383" man="1"/>
        <brk id="212" max="16383" man="1"/>
        <brk id="262" max="16383" man="1"/>
        <brk id="289" max="7" man="1"/>
      </rowBreaks>
      <pageMargins left="0.5" right="0.5" top="0.75" bottom="0.5" header="0.5" footer="0.5"/>
      <pageSetup scale="65" fitToHeight="10" orientation="landscape" r:id="rId8"/>
      <headerFooter alignWithMargins="0">
        <oddHeader>&amp;R&amp;12Page &amp;P of &amp;N</oddHeader>
      </headerFooter>
    </customSheetView>
  </customSheetViews>
  <mergeCells count="11">
    <mergeCell ref="C327:H327"/>
    <mergeCell ref="C328:H328"/>
    <mergeCell ref="C329:H329"/>
    <mergeCell ref="C330:H330"/>
    <mergeCell ref="C325:H326"/>
    <mergeCell ref="C322:H323"/>
    <mergeCell ref="C324:H324"/>
    <mergeCell ref="E6:E7"/>
    <mergeCell ref="A6:D7"/>
    <mergeCell ref="F6:G7"/>
    <mergeCell ref="C311:H311"/>
  </mergeCells>
  <phoneticPr fontId="0" type="noConversion"/>
  <dataValidations count="1">
    <dataValidation type="list" allowBlank="1" showInputMessage="1" showErrorMessage="1" sqref="I8:L8 N8:Q8 H8">
      <formula1>Toggle.list</formula1>
    </dataValidation>
  </dataValidations>
  <pageMargins left="0.5" right="0.5" top="0.5" bottom="0.5" header="0.18" footer="0.5"/>
  <pageSetup scale="54" fitToHeight="0" orientation="landscape" r:id="rId9"/>
  <headerFooter alignWithMargins="0"/>
  <rowBreaks count="6" manualBreakCount="6">
    <brk id="50" max="8" man="1"/>
    <brk id="106" max="8" man="1"/>
    <brk id="160" max="8" man="1"/>
    <brk id="204" max="8" man="1"/>
    <brk id="239" max="8" man="1"/>
    <brk id="293" max="8" man="1"/>
  </rowBreaks>
  <cellWatches>
    <cellWatch r="H293"/>
  </cellWatche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autoPageBreaks="0"/>
  </sheetPr>
  <dimension ref="A1:AL234"/>
  <sheetViews>
    <sheetView zoomScale="85" zoomScaleNormal="85" workbookViewId="0"/>
  </sheetViews>
  <sheetFormatPr defaultColWidth="9.140625" defaultRowHeight="12.75"/>
  <cols>
    <col min="1" max="1" width="4.140625" style="281" customWidth="1"/>
    <col min="2" max="2" width="11.28515625" style="281" customWidth="1"/>
    <col min="3" max="3" width="19.28515625" style="281" customWidth="1"/>
    <col min="4" max="4" width="16.28515625" style="280" customWidth="1"/>
    <col min="5" max="5" width="19.140625" style="280" customWidth="1"/>
    <col min="6" max="6" width="18.5703125" style="280" customWidth="1"/>
    <col min="7" max="7" width="15.28515625" style="280" customWidth="1"/>
    <col min="8" max="8" width="13.28515625" style="280" customWidth="1"/>
    <col min="9" max="9" width="15.7109375" style="280" customWidth="1"/>
    <col min="10" max="10" width="17.140625" style="280" customWidth="1"/>
    <col min="11" max="11" width="14.140625" style="280" customWidth="1"/>
    <col min="12" max="12" width="16.140625" style="280" customWidth="1"/>
    <col min="13" max="13" width="3.28515625" style="280" customWidth="1"/>
    <col min="14" max="14" width="16.85546875" style="280" bestFit="1" customWidth="1"/>
    <col min="15" max="15" width="14.140625" style="280" customWidth="1"/>
    <col min="16" max="16" width="18.7109375" style="280" customWidth="1"/>
    <col min="17" max="17" width="15.5703125" style="280" customWidth="1"/>
    <col min="18" max="18" width="18.85546875" style="280" customWidth="1"/>
    <col min="19" max="19" width="17.140625" style="280" bestFit="1" customWidth="1"/>
    <col min="20" max="20" width="3.28515625" style="280" customWidth="1"/>
    <col min="21" max="21" width="15.5703125" style="280" customWidth="1"/>
    <col min="22" max="22" width="16.5703125" style="280" customWidth="1"/>
    <col min="23" max="23" width="15.85546875" style="280" bestFit="1" customWidth="1"/>
    <col min="24" max="24" width="13.28515625" style="280" customWidth="1"/>
    <col min="25" max="25" width="14.7109375" style="280" customWidth="1"/>
    <col min="26" max="26" width="14.140625" style="280" customWidth="1"/>
    <col min="27" max="27" width="10.85546875" style="280" customWidth="1"/>
    <col min="28" max="29" width="9.140625" style="280"/>
    <col min="30" max="30" width="10.7109375" style="280" customWidth="1"/>
    <col min="31" max="16384" width="9.140625" style="280"/>
  </cols>
  <sheetData>
    <row r="1" spans="1:31" ht="18">
      <c r="A1" s="2651" t="s">
        <v>365</v>
      </c>
      <c r="B1" s="365"/>
      <c r="C1" s="365"/>
      <c r="D1" s="365"/>
      <c r="E1" s="365"/>
      <c r="F1" s="365"/>
      <c r="G1" s="365"/>
      <c r="H1" s="365"/>
      <c r="I1" s="365"/>
      <c r="J1" s="365"/>
      <c r="K1" s="366"/>
      <c r="L1" s="366"/>
      <c r="M1" s="366"/>
      <c r="N1" s="366"/>
      <c r="O1" s="366"/>
      <c r="P1" s="366"/>
      <c r="Q1" s="366"/>
      <c r="R1" s="366"/>
      <c r="S1" s="366"/>
      <c r="T1" s="366"/>
      <c r="U1" s="366"/>
      <c r="V1" s="366"/>
      <c r="W1" s="366"/>
    </row>
    <row r="2" spans="1:31" ht="18">
      <c r="A2" s="2652" t="s">
        <v>298</v>
      </c>
      <c r="B2" s="367"/>
      <c r="C2" s="367"/>
      <c r="D2" s="367"/>
      <c r="E2" s="367"/>
      <c r="F2" s="367"/>
      <c r="G2" s="367"/>
      <c r="H2" s="367"/>
      <c r="I2" s="368"/>
      <c r="J2" s="368"/>
      <c r="K2" s="366"/>
      <c r="L2" s="366"/>
      <c r="M2" s="366"/>
      <c r="N2" s="366"/>
      <c r="O2" s="366"/>
      <c r="P2" s="366"/>
      <c r="Q2" s="366"/>
      <c r="R2" s="366"/>
      <c r="S2" s="366"/>
      <c r="T2" s="366"/>
      <c r="U2" s="366"/>
      <c r="V2" s="366"/>
      <c r="W2" s="366"/>
    </row>
    <row r="3" spans="1:31" hidden="1">
      <c r="A3" s="366"/>
      <c r="B3" s="366"/>
      <c r="C3" s="366"/>
      <c r="D3" s="366"/>
      <c r="E3" s="366"/>
      <c r="F3" s="366"/>
      <c r="G3" s="366"/>
      <c r="H3" s="366"/>
      <c r="I3" s="366"/>
      <c r="J3" s="366"/>
      <c r="K3" s="366"/>
      <c r="L3" s="366"/>
      <c r="M3" s="366"/>
      <c r="N3" s="366"/>
      <c r="O3" s="366"/>
      <c r="P3" s="366"/>
      <c r="Q3" s="366"/>
      <c r="R3" s="366"/>
      <c r="S3" s="366"/>
      <c r="T3" s="366"/>
      <c r="U3" s="366"/>
      <c r="V3" s="366"/>
      <c r="W3" s="366"/>
    </row>
    <row r="4" spans="1:31" ht="16.5" hidden="1">
      <c r="J4" s="282"/>
    </row>
    <row r="5" spans="1:31" ht="13.5">
      <c r="E5" s="284"/>
      <c r="F5" s="284"/>
      <c r="G5" s="284"/>
      <c r="H5" s="284"/>
      <c r="I5" s="284"/>
      <c r="J5" s="284"/>
      <c r="K5" s="284"/>
      <c r="L5" s="284"/>
      <c r="M5" s="284"/>
      <c r="N5" s="284"/>
      <c r="O5" s="284"/>
      <c r="P5" s="284"/>
      <c r="Q5" s="284"/>
      <c r="R5" s="284"/>
      <c r="S5" s="284"/>
      <c r="T5" s="284"/>
      <c r="U5" s="284"/>
      <c r="V5" s="284"/>
      <c r="W5" s="284"/>
      <c r="X5" s="284"/>
      <c r="Y5" s="284"/>
      <c r="Z5" s="284"/>
      <c r="AA5" s="284"/>
      <c r="AB5" s="284"/>
      <c r="AC5" s="284"/>
      <c r="AD5" s="284"/>
      <c r="AE5" s="285"/>
    </row>
    <row r="6" spans="1:31" ht="13.5">
      <c r="A6" s="744" t="s">
        <v>959</v>
      </c>
      <c r="B6" s="283"/>
      <c r="C6" s="283"/>
      <c r="D6" s="284"/>
      <c r="E6" s="284"/>
      <c r="F6" s="284"/>
      <c r="G6" s="284"/>
      <c r="H6" s="284"/>
      <c r="I6" s="284"/>
      <c r="J6" s="284"/>
      <c r="K6" s="284"/>
      <c r="L6" s="284"/>
      <c r="M6" s="284"/>
      <c r="N6" s="284"/>
      <c r="O6" s="284"/>
      <c r="P6" s="284"/>
      <c r="Q6" s="284"/>
      <c r="R6" s="284"/>
      <c r="S6" s="284"/>
      <c r="T6" s="284"/>
      <c r="U6" s="284"/>
      <c r="V6" s="284"/>
      <c r="W6" s="284"/>
      <c r="X6" s="284"/>
      <c r="Y6" s="284"/>
      <c r="Z6" s="284"/>
      <c r="AA6" s="284"/>
      <c r="AB6" s="284"/>
      <c r="AC6" s="284"/>
      <c r="AD6" s="284"/>
      <c r="AE6" s="285"/>
    </row>
    <row r="7" spans="1:31" ht="13.5">
      <c r="A7" s="742" t="s">
        <v>139</v>
      </c>
      <c r="B7" s="742" t="s">
        <v>140</v>
      </c>
      <c r="C7" s="742" t="s">
        <v>141</v>
      </c>
      <c r="D7" s="743" t="s">
        <v>142</v>
      </c>
      <c r="E7" s="284"/>
      <c r="F7" s="284"/>
      <c r="G7" s="284"/>
      <c r="H7" s="284"/>
      <c r="I7" s="284"/>
      <c r="J7" s="284"/>
      <c r="K7" s="284"/>
      <c r="L7" s="284"/>
      <c r="M7" s="284"/>
      <c r="N7" s="284"/>
      <c r="O7" s="284"/>
      <c r="P7" s="284"/>
      <c r="Q7" s="284"/>
      <c r="R7" s="284"/>
      <c r="S7" s="284"/>
      <c r="T7" s="284"/>
      <c r="U7" s="284"/>
      <c r="V7" s="284"/>
      <c r="W7" s="284"/>
      <c r="X7" s="284"/>
      <c r="Y7" s="284"/>
      <c r="Z7" s="284"/>
      <c r="AA7" s="284"/>
      <c r="AB7" s="284"/>
      <c r="AC7" s="284"/>
      <c r="AD7" s="284"/>
      <c r="AE7" s="285"/>
    </row>
    <row r="8" spans="1:31" s="363" customFormat="1" ht="13.5">
      <c r="A8" s="286">
        <v>1</v>
      </c>
      <c r="B8" s="286" t="s">
        <v>143</v>
      </c>
      <c r="C8" s="286" t="s">
        <v>136</v>
      </c>
      <c r="D8" s="304" t="s">
        <v>516</v>
      </c>
      <c r="E8" s="301"/>
      <c r="F8" s="301"/>
      <c r="G8" s="301"/>
      <c r="H8" s="301"/>
      <c r="I8" s="301"/>
      <c r="J8" s="301"/>
      <c r="K8" s="301"/>
      <c r="L8" s="301"/>
      <c r="M8" s="301"/>
      <c r="N8" s="301"/>
      <c r="O8" s="301"/>
      <c r="P8" s="301"/>
      <c r="Q8" s="301"/>
      <c r="R8" s="301"/>
      <c r="S8" s="301"/>
      <c r="T8" s="301"/>
      <c r="U8" s="301"/>
      <c r="V8" s="301"/>
      <c r="W8" s="301"/>
      <c r="X8" s="301"/>
      <c r="Y8" s="301"/>
      <c r="Z8" s="301"/>
      <c r="AA8" s="301"/>
      <c r="AB8" s="301"/>
      <c r="AC8" s="301"/>
      <c r="AD8" s="301"/>
      <c r="AE8" s="362"/>
    </row>
    <row r="9" spans="1:31" s="363" customFormat="1" ht="13.5">
      <c r="A9" s="286">
        <v>2</v>
      </c>
      <c r="B9" s="286" t="str">
        <f>+B8</f>
        <v>April</v>
      </c>
      <c r="C9" s="286" t="str">
        <f>+C8</f>
        <v>Year 2</v>
      </c>
      <c r="D9" s="304" t="s">
        <v>517</v>
      </c>
      <c r="E9" s="301"/>
      <c r="F9" s="301"/>
      <c r="G9" s="301"/>
      <c r="H9" s="301"/>
      <c r="I9" s="301"/>
      <c r="J9" s="301"/>
      <c r="K9" s="301"/>
      <c r="L9" s="301"/>
      <c r="M9" s="301"/>
      <c r="N9" s="301"/>
      <c r="O9" s="301"/>
      <c r="P9" s="301"/>
      <c r="Q9" s="301"/>
      <c r="R9" s="301"/>
      <c r="S9" s="301"/>
      <c r="T9" s="301"/>
      <c r="U9" s="301"/>
      <c r="V9" s="301"/>
      <c r="W9" s="301"/>
      <c r="X9" s="301"/>
      <c r="Y9" s="301"/>
      <c r="Z9" s="301"/>
      <c r="AA9" s="301"/>
      <c r="AB9" s="301"/>
      <c r="AC9" s="301"/>
      <c r="AD9" s="301"/>
      <c r="AE9" s="362"/>
    </row>
    <row r="10" spans="1:31" s="363" customFormat="1" ht="13.5">
      <c r="A10" s="286">
        <v>3</v>
      </c>
      <c r="B10" s="286" t="s">
        <v>143</v>
      </c>
      <c r="C10" s="286" t="str">
        <f>+C9</f>
        <v>Year 2</v>
      </c>
      <c r="D10" s="304" t="s">
        <v>113</v>
      </c>
      <c r="E10" s="301"/>
      <c r="F10" s="301"/>
      <c r="G10" s="301"/>
      <c r="H10" s="301"/>
      <c r="I10" s="301"/>
      <c r="J10" s="301"/>
      <c r="K10" s="301"/>
      <c r="L10" s="301"/>
      <c r="M10" s="301"/>
      <c r="N10" s="301"/>
      <c r="O10" s="301"/>
      <c r="P10" s="301"/>
      <c r="Q10" s="301"/>
      <c r="R10" s="301"/>
      <c r="S10" s="301"/>
      <c r="T10" s="301"/>
      <c r="U10" s="301"/>
      <c r="V10" s="301"/>
      <c r="W10" s="301"/>
      <c r="X10" s="301"/>
      <c r="Y10" s="301"/>
      <c r="Z10" s="301"/>
      <c r="AA10" s="301"/>
      <c r="AB10" s="301"/>
      <c r="AC10" s="301"/>
      <c r="AD10" s="301"/>
      <c r="AE10" s="362"/>
    </row>
    <row r="11" spans="1:31" s="363" customFormat="1" ht="13.5">
      <c r="A11" s="286">
        <v>4</v>
      </c>
      <c r="B11" s="286" t="s">
        <v>144</v>
      </c>
      <c r="C11" s="286" t="str">
        <f>+C10</f>
        <v>Year 2</v>
      </c>
      <c r="D11" s="304" t="s">
        <v>411</v>
      </c>
      <c r="E11" s="301"/>
      <c r="F11" s="301"/>
      <c r="G11" s="301"/>
      <c r="H11" s="301"/>
      <c r="I11" s="301"/>
      <c r="J11" s="301"/>
      <c r="K11" s="301"/>
      <c r="L11" s="301"/>
      <c r="M11" s="301"/>
      <c r="N11" s="301"/>
      <c r="O11" s="301"/>
      <c r="P11" s="301"/>
      <c r="Q11" s="301"/>
      <c r="R11" s="301"/>
      <c r="S11" s="301"/>
      <c r="T11" s="301"/>
      <c r="U11" s="301"/>
      <c r="V11" s="301"/>
      <c r="W11" s="301"/>
      <c r="X11" s="301"/>
      <c r="Y11" s="301"/>
      <c r="Z11" s="301"/>
      <c r="AA11" s="301"/>
      <c r="AB11" s="301"/>
      <c r="AC11" s="301"/>
      <c r="AD11" s="301"/>
      <c r="AE11" s="362"/>
    </row>
    <row r="12" spans="1:31" s="363" customFormat="1" ht="13.5">
      <c r="A12" s="286">
        <v>5</v>
      </c>
      <c r="B12" s="364" t="s">
        <v>145</v>
      </c>
      <c r="C12" s="286" t="str">
        <f>+C11</f>
        <v>Year 2</v>
      </c>
      <c r="D12" s="304" t="s">
        <v>518</v>
      </c>
      <c r="E12" s="301"/>
      <c r="F12" s="301"/>
      <c r="G12" s="301"/>
      <c r="H12" s="301"/>
      <c r="I12" s="301"/>
      <c r="J12" s="301"/>
      <c r="K12" s="301"/>
      <c r="L12" s="301"/>
      <c r="M12" s="301"/>
      <c r="N12" s="301"/>
      <c r="O12" s="301"/>
      <c r="P12" s="301"/>
      <c r="Q12" s="301"/>
      <c r="R12" s="301"/>
      <c r="S12" s="301"/>
      <c r="T12" s="301"/>
      <c r="U12" s="301"/>
      <c r="V12" s="301"/>
      <c r="W12" s="301"/>
      <c r="X12" s="301"/>
      <c r="Y12" s="301"/>
      <c r="Z12" s="301"/>
      <c r="AA12" s="301"/>
      <c r="AB12" s="301"/>
      <c r="AC12" s="301"/>
      <c r="AD12" s="301"/>
      <c r="AE12" s="362"/>
    </row>
    <row r="13" spans="1:31" ht="13.5">
      <c r="A13" s="283"/>
      <c r="B13" s="283"/>
      <c r="C13" s="286"/>
      <c r="D13" s="287"/>
      <c r="E13" s="284"/>
      <c r="F13" s="284"/>
      <c r="G13" s="284"/>
      <c r="H13" s="284"/>
      <c r="I13" s="284"/>
      <c r="J13" s="284"/>
      <c r="K13" s="284"/>
      <c r="L13" s="284"/>
      <c r="M13" s="284"/>
      <c r="N13" s="284"/>
      <c r="O13" s="284"/>
      <c r="P13" s="284"/>
      <c r="Q13" s="284"/>
      <c r="R13" s="284"/>
      <c r="S13" s="284"/>
      <c r="T13" s="284"/>
      <c r="U13" s="284"/>
      <c r="V13" s="284"/>
      <c r="W13" s="284"/>
      <c r="X13" s="284"/>
      <c r="Y13" s="284"/>
      <c r="Z13" s="284"/>
      <c r="AA13" s="284"/>
      <c r="AB13" s="284"/>
      <c r="AC13" s="284"/>
      <c r="AD13" s="284"/>
      <c r="AE13" s="285"/>
    </row>
    <row r="14" spans="1:31" ht="13.5">
      <c r="A14" s="283">
        <v>6</v>
      </c>
      <c r="B14" s="283" t="str">
        <f>+B8</f>
        <v>April</v>
      </c>
      <c r="C14" s="286" t="s">
        <v>137</v>
      </c>
      <c r="D14" s="287" t="s">
        <v>519</v>
      </c>
      <c r="E14" s="284"/>
      <c r="F14" s="284"/>
      <c r="G14" s="284"/>
      <c r="H14" s="284"/>
      <c r="I14" s="284"/>
      <c r="J14" s="284"/>
      <c r="K14" s="284"/>
      <c r="L14" s="284"/>
      <c r="M14" s="284"/>
      <c r="N14" s="284"/>
      <c r="O14" s="284"/>
      <c r="P14" s="284"/>
      <c r="Q14" s="284"/>
      <c r="R14" s="284"/>
      <c r="S14" s="284"/>
      <c r="T14" s="284"/>
      <c r="U14" s="284"/>
      <c r="V14" s="284"/>
      <c r="W14" s="284"/>
      <c r="X14" s="284"/>
      <c r="Y14" s="284"/>
      <c r="Z14" s="284"/>
      <c r="AA14" s="284"/>
      <c r="AB14" s="284"/>
      <c r="AC14" s="284"/>
      <c r="AD14" s="284"/>
      <c r="AE14" s="285"/>
    </row>
    <row r="15" spans="1:31" ht="13.5">
      <c r="A15" s="283">
        <v>7</v>
      </c>
      <c r="B15" s="283" t="str">
        <f>+B17</f>
        <v>April</v>
      </c>
      <c r="C15" s="286" t="str">
        <f>+C17</f>
        <v>Year 3</v>
      </c>
      <c r="D15" s="287" t="s">
        <v>1008</v>
      </c>
      <c r="E15" s="289"/>
      <c r="F15" s="289"/>
      <c r="G15" s="289"/>
      <c r="H15" s="289"/>
      <c r="I15" s="289"/>
      <c r="J15" s="289"/>
      <c r="K15" s="284"/>
      <c r="L15" s="284"/>
      <c r="M15" s="284"/>
      <c r="N15" s="284"/>
      <c r="O15" s="284"/>
      <c r="P15" s="284"/>
      <c r="Q15" s="284"/>
      <c r="R15" s="284"/>
      <c r="S15" s="284"/>
      <c r="T15" s="284"/>
      <c r="U15" s="284"/>
      <c r="V15" s="284"/>
      <c r="W15" s="284"/>
      <c r="X15" s="284"/>
      <c r="Y15" s="284"/>
      <c r="Z15" s="284"/>
      <c r="AA15" s="284"/>
      <c r="AB15" s="284"/>
      <c r="AC15" s="284"/>
      <c r="AD15" s="284"/>
      <c r="AE15" s="285"/>
    </row>
    <row r="16" spans="1:31" ht="13.5">
      <c r="A16" s="283"/>
      <c r="B16" s="283"/>
      <c r="C16" s="286"/>
      <c r="D16" s="287"/>
      <c r="E16" s="289"/>
      <c r="F16" s="289"/>
      <c r="G16" s="289"/>
      <c r="H16" s="289"/>
      <c r="I16" s="289"/>
      <c r="J16" s="289"/>
      <c r="K16" s="284"/>
      <c r="L16" s="284"/>
      <c r="M16" s="284"/>
      <c r="N16" s="284"/>
      <c r="O16" s="284"/>
      <c r="P16" s="284"/>
      <c r="Q16" s="284"/>
      <c r="R16" s="284"/>
      <c r="S16" s="284"/>
      <c r="T16" s="284"/>
      <c r="U16" s="284"/>
      <c r="V16" s="284"/>
      <c r="W16" s="284"/>
      <c r="X16" s="284"/>
      <c r="Y16" s="284"/>
      <c r="Z16" s="284"/>
      <c r="AA16" s="284"/>
      <c r="AB16" s="284"/>
      <c r="AC16" s="284"/>
      <c r="AD16" s="284"/>
      <c r="AE16" s="285"/>
    </row>
    <row r="17" spans="1:34" ht="13.5">
      <c r="A17" s="283">
        <v>8</v>
      </c>
      <c r="B17" s="283" t="str">
        <f>+B14</f>
        <v>April</v>
      </c>
      <c r="C17" s="286" t="str">
        <f>+C14</f>
        <v>Year 3</v>
      </c>
      <c r="D17" s="287" t="s">
        <v>520</v>
      </c>
      <c r="E17" s="284"/>
      <c r="F17" s="284"/>
      <c r="G17" s="284"/>
      <c r="H17" s="284"/>
      <c r="I17" s="284"/>
      <c r="J17" s="284"/>
      <c r="K17" s="284"/>
      <c r="L17" s="284"/>
      <c r="M17" s="284"/>
      <c r="N17" s="284"/>
      <c r="O17" s="284"/>
      <c r="P17" s="284"/>
      <c r="Q17" s="284"/>
      <c r="R17" s="284"/>
      <c r="S17" s="284"/>
      <c r="T17" s="284"/>
      <c r="U17" s="284"/>
      <c r="V17" s="284"/>
      <c r="W17" s="284"/>
      <c r="X17" s="284"/>
      <c r="Y17" s="284"/>
      <c r="Z17" s="284"/>
      <c r="AA17" s="284"/>
      <c r="AB17" s="284"/>
      <c r="AC17" s="284"/>
      <c r="AD17" s="284"/>
      <c r="AE17" s="285"/>
    </row>
    <row r="18" spans="1:34" ht="13.5">
      <c r="A18" s="283"/>
      <c r="B18" s="288"/>
      <c r="C18" s="283"/>
      <c r="D18" s="287"/>
      <c r="E18" s="284"/>
      <c r="F18" s="284"/>
      <c r="G18" s="284"/>
      <c r="H18" s="284"/>
      <c r="I18" s="284"/>
      <c r="J18" s="284"/>
      <c r="K18" s="284"/>
      <c r="L18" s="284"/>
      <c r="M18" s="284"/>
      <c r="N18" s="284"/>
      <c r="O18" s="284"/>
      <c r="P18" s="284"/>
      <c r="Q18" s="284"/>
      <c r="R18" s="284"/>
      <c r="S18" s="284"/>
      <c r="T18" s="284"/>
      <c r="U18" s="284"/>
      <c r="V18" s="284"/>
      <c r="W18" s="284"/>
      <c r="X18" s="284"/>
      <c r="Y18" s="284"/>
      <c r="Z18" s="284"/>
      <c r="AA18" s="284"/>
      <c r="AB18" s="284"/>
      <c r="AC18" s="284"/>
      <c r="AD18" s="284"/>
      <c r="AE18" s="285"/>
    </row>
    <row r="19" spans="1:34" ht="13.5">
      <c r="A19" s="283"/>
      <c r="B19" s="288"/>
      <c r="C19" s="283"/>
      <c r="D19" s="287"/>
      <c r="E19" s="284"/>
      <c r="F19" s="284"/>
      <c r="G19" s="284"/>
      <c r="H19" s="284"/>
      <c r="I19" s="284"/>
      <c r="J19" s="284"/>
      <c r="K19" s="284"/>
      <c r="L19" s="284"/>
      <c r="M19" s="284"/>
      <c r="N19" s="284"/>
      <c r="O19" s="284"/>
      <c r="P19" s="284"/>
      <c r="Q19" s="284"/>
      <c r="R19" s="284"/>
      <c r="S19" s="284"/>
      <c r="T19" s="284"/>
      <c r="U19" s="284"/>
      <c r="V19" s="284"/>
      <c r="W19" s="284"/>
      <c r="X19" s="284"/>
      <c r="Y19" s="284"/>
      <c r="Z19" s="284"/>
      <c r="AA19" s="284"/>
      <c r="AB19" s="284"/>
      <c r="AC19" s="284"/>
      <c r="AD19" s="284"/>
      <c r="AE19" s="285"/>
    </row>
    <row r="20" spans="1:34" ht="13.5">
      <c r="A20" s="744" t="s">
        <v>960</v>
      </c>
      <c r="B20" s="286"/>
      <c r="C20" s="283"/>
      <c r="D20" s="290"/>
      <c r="E20" s="284"/>
      <c r="F20" s="284"/>
      <c r="G20" s="284"/>
      <c r="H20" s="284"/>
      <c r="I20" s="284"/>
      <c r="J20" s="284"/>
      <c r="K20" s="284"/>
      <c r="L20" s="284"/>
      <c r="M20" s="284"/>
      <c r="N20" s="284"/>
      <c r="O20" s="284"/>
      <c r="P20" s="284"/>
      <c r="Q20" s="284"/>
      <c r="R20" s="284"/>
      <c r="S20" s="284"/>
      <c r="T20" s="284"/>
      <c r="U20" s="284"/>
      <c r="V20" s="284"/>
      <c r="W20" s="284"/>
      <c r="X20" s="284"/>
      <c r="Y20" s="284"/>
      <c r="Z20" s="284"/>
      <c r="AA20" s="284"/>
      <c r="AB20" s="284"/>
      <c r="AC20" s="284"/>
      <c r="AD20" s="284"/>
      <c r="AE20" s="285"/>
    </row>
    <row r="21" spans="1:34" ht="13.5">
      <c r="A21" s="742" t="s">
        <v>139</v>
      </c>
      <c r="B21" s="742" t="s">
        <v>140</v>
      </c>
      <c r="C21" s="742" t="s">
        <v>141</v>
      </c>
      <c r="D21" s="743" t="s">
        <v>142</v>
      </c>
      <c r="E21" s="284"/>
      <c r="F21" s="284"/>
      <c r="G21" s="284"/>
      <c r="H21" s="284"/>
      <c r="I21" s="284"/>
      <c r="J21" s="284"/>
      <c r="K21" s="284"/>
      <c r="L21" s="284"/>
      <c r="M21" s="284"/>
      <c r="N21" s="284"/>
      <c r="O21" s="284"/>
      <c r="P21" s="284"/>
      <c r="Q21" s="284"/>
      <c r="R21" s="284"/>
      <c r="S21" s="284"/>
      <c r="T21" s="284"/>
      <c r="U21" s="284"/>
      <c r="V21" s="284"/>
      <c r="W21" s="284"/>
      <c r="X21" s="284"/>
      <c r="Y21" s="284"/>
      <c r="Z21" s="284"/>
      <c r="AA21" s="284"/>
      <c r="AB21" s="284"/>
      <c r="AC21" s="284"/>
      <c r="AD21" s="284"/>
      <c r="AE21" s="285"/>
    </row>
    <row r="22" spans="1:34" ht="13.5">
      <c r="A22" s="283">
        <f>+A8</f>
        <v>1</v>
      </c>
      <c r="B22" s="283" t="str">
        <f>+B8</f>
        <v>April</v>
      </c>
      <c r="C22" s="283" t="str">
        <f>+C8</f>
        <v>Year 2</v>
      </c>
      <c r="D22" s="284" t="str">
        <f>+D8</f>
        <v>TO populates the formula with Year 1 data from FERC Form No. 1 data for Year 1 (e.g., 2010)</v>
      </c>
      <c r="E22" s="284"/>
      <c r="F22" s="284"/>
      <c r="G22" s="284"/>
      <c r="H22" s="284"/>
      <c r="I22" s="284"/>
      <c r="K22" s="284"/>
      <c r="L22" s="284"/>
      <c r="M22" s="284"/>
      <c r="N22" s="284"/>
      <c r="O22" s="284"/>
      <c r="P22" s="284"/>
      <c r="Q22" s="284"/>
      <c r="R22" s="284"/>
      <c r="S22" s="284"/>
      <c r="T22" s="284"/>
      <c r="U22" s="284"/>
      <c r="V22" s="284"/>
      <c r="W22" s="284"/>
      <c r="X22" s="284"/>
      <c r="Y22" s="284"/>
      <c r="Z22" s="284"/>
      <c r="AA22" s="284"/>
      <c r="AB22" s="284"/>
      <c r="AC22" s="284"/>
      <c r="AD22" s="284"/>
      <c r="AE22" s="285"/>
    </row>
    <row r="23" spans="1:34" ht="13.5">
      <c r="A23" s="283"/>
      <c r="B23" s="283"/>
      <c r="C23" s="283"/>
      <c r="D23" s="408">
        <v>0</v>
      </c>
      <c r="E23" s="284" t="s">
        <v>129</v>
      </c>
      <c r="F23" s="284"/>
      <c r="G23" s="291" t="str">
        <f>"Must run Appendix A to get this number (without inputs in lines "&amp;'Appendix A'!A39&amp;" or "&amp;'Appendix A'!A72&amp;" of Appendix A)"</f>
        <v>Must run Appendix A to get this number (without inputs in lines 16 or 34 of Appendix A)</v>
      </c>
      <c r="H23" s="284"/>
      <c r="I23" s="284"/>
      <c r="J23" s="284"/>
      <c r="K23" s="284"/>
      <c r="L23" s="284"/>
      <c r="M23" s="284"/>
      <c r="N23" s="284"/>
      <c r="O23" s="284"/>
      <c r="P23" s="284"/>
      <c r="Q23" s="284"/>
      <c r="R23" s="284"/>
      <c r="S23" s="284"/>
      <c r="T23" s="284"/>
      <c r="U23" s="284"/>
      <c r="V23" s="284"/>
      <c r="W23" s="284"/>
      <c r="X23" s="284"/>
      <c r="Y23" s="284"/>
      <c r="Z23" s="284"/>
      <c r="AA23" s="284"/>
      <c r="AB23" s="284"/>
      <c r="AC23" s="284"/>
      <c r="AD23" s="284"/>
      <c r="AE23" s="285"/>
    </row>
    <row r="24" spans="1:34" ht="13.5">
      <c r="A24" s="283"/>
      <c r="B24" s="283"/>
      <c r="C24" s="283"/>
      <c r="D24" s="353"/>
      <c r="E24" s="284"/>
      <c r="F24" s="284"/>
      <c r="G24" s="284"/>
      <c r="H24" s="284"/>
      <c r="I24" s="284"/>
      <c r="J24" s="284"/>
      <c r="K24" s="284"/>
      <c r="L24" s="284"/>
      <c r="M24" s="284"/>
      <c r="N24" s="284"/>
      <c r="O24" s="284"/>
      <c r="P24" s="284"/>
      <c r="Q24" s="284"/>
      <c r="R24" s="284"/>
      <c r="S24" s="284"/>
      <c r="T24" s="284"/>
      <c r="U24" s="284"/>
      <c r="V24" s="284"/>
      <c r="W24" s="284"/>
      <c r="X24" s="284"/>
      <c r="Y24" s="284"/>
      <c r="Z24" s="284"/>
      <c r="AA24" s="284"/>
      <c r="AB24" s="284"/>
      <c r="AC24" s="284"/>
      <c r="AD24" s="284"/>
      <c r="AE24" s="285"/>
    </row>
    <row r="25" spans="1:34" ht="13.5">
      <c r="A25" s="283">
        <v>2</v>
      </c>
      <c r="B25" s="283" t="str">
        <f>+B22</f>
        <v>April</v>
      </c>
      <c r="C25" s="283" t="str">
        <f>+C22</f>
        <v>Year 2</v>
      </c>
      <c r="D25" s="1256" t="s">
        <v>1150</v>
      </c>
      <c r="E25" s="284"/>
      <c r="F25" s="284"/>
      <c r="G25" s="284"/>
      <c r="H25" s="284"/>
      <c r="I25" s="284"/>
      <c r="K25" s="284"/>
      <c r="L25" s="284"/>
      <c r="M25" s="284"/>
      <c r="N25" s="284"/>
      <c r="O25" s="284"/>
      <c r="P25" s="284"/>
      <c r="Q25" s="284"/>
      <c r="W25" s="284"/>
      <c r="X25" s="284"/>
      <c r="Y25" s="284"/>
      <c r="Z25" s="284"/>
      <c r="AA25" s="284"/>
      <c r="AB25" s="284"/>
      <c r="AC25" s="284"/>
      <c r="AD25" s="284"/>
      <c r="AE25" s="285"/>
    </row>
    <row r="26" spans="1:34" ht="13.5">
      <c r="A26" s="283"/>
      <c r="B26" s="283"/>
      <c r="C26" s="286" t="s">
        <v>251</v>
      </c>
      <c r="D26" s="302"/>
      <c r="E26" s="284"/>
      <c r="F26" s="284"/>
      <c r="G26" s="284"/>
      <c r="H26" s="284"/>
      <c r="I26" s="284"/>
      <c r="J26" s="284"/>
      <c r="K26" s="284"/>
      <c r="L26" s="284"/>
      <c r="M26" s="284"/>
      <c r="N26" s="301" t="s">
        <v>692</v>
      </c>
      <c r="O26" s="284"/>
      <c r="P26" s="301" t="str">
        <f>+C26</f>
        <v>Plant In Service</v>
      </c>
      <c r="Q26" s="284"/>
      <c r="R26" s="284"/>
      <c r="S26" s="284"/>
      <c r="T26" s="284"/>
      <c r="U26" s="301" t="str">
        <f>+N26</f>
        <v>CWIP</v>
      </c>
      <c r="V26" s="284"/>
      <c r="W26" s="284"/>
      <c r="X26" s="284"/>
      <c r="Y26" s="284"/>
      <c r="Z26" s="284"/>
      <c r="AA26" s="284"/>
      <c r="AB26" s="284"/>
      <c r="AC26" s="284"/>
      <c r="AD26" s="284"/>
      <c r="AE26" s="285"/>
    </row>
    <row r="27" spans="1:34" ht="13.5">
      <c r="A27" s="286"/>
      <c r="B27" s="280"/>
      <c r="C27" s="415" t="s">
        <v>200</v>
      </c>
      <c r="D27" s="416" t="s">
        <v>201</v>
      </c>
      <c r="E27" s="416" t="s">
        <v>532</v>
      </c>
      <c r="F27" s="416" t="s">
        <v>114</v>
      </c>
      <c r="G27" s="416" t="s">
        <v>115</v>
      </c>
      <c r="H27" s="416" t="s">
        <v>116</v>
      </c>
      <c r="I27" s="416" t="s">
        <v>117</v>
      </c>
      <c r="J27" s="416" t="s">
        <v>118</v>
      </c>
      <c r="K27" s="416" t="s">
        <v>119</v>
      </c>
      <c r="L27" s="1623" t="s">
        <v>120</v>
      </c>
      <c r="N27" s="413" t="s">
        <v>121</v>
      </c>
      <c r="O27" s="283" t="s">
        <v>122</v>
      </c>
      <c r="P27" s="419" t="s">
        <v>123</v>
      </c>
      <c r="Q27" s="420" t="s">
        <v>126</v>
      </c>
      <c r="R27" s="1171" t="s">
        <v>66</v>
      </c>
      <c r="S27" s="1172" t="s">
        <v>67</v>
      </c>
      <c r="T27" s="283"/>
      <c r="U27" s="419" t="s">
        <v>68</v>
      </c>
      <c r="V27" s="421" t="s">
        <v>69</v>
      </c>
      <c r="W27" s="283" t="s">
        <v>325</v>
      </c>
      <c r="Y27" s="284"/>
      <c r="Z27" s="284"/>
      <c r="AA27" s="284"/>
      <c r="AB27" s="284"/>
      <c r="AC27" s="284"/>
      <c r="AD27" s="284"/>
      <c r="AE27" s="284"/>
      <c r="AF27" s="284"/>
      <c r="AG27" s="285"/>
    </row>
    <row r="28" spans="1:34" ht="13.5">
      <c r="A28" s="286"/>
      <c r="B28" s="280"/>
      <c r="C28" s="417" t="s">
        <v>124</v>
      </c>
      <c r="D28" s="296" t="s">
        <v>124</v>
      </c>
      <c r="E28" s="296" t="s">
        <v>124</v>
      </c>
      <c r="F28" s="296" t="s">
        <v>124</v>
      </c>
      <c r="G28" s="296" t="s">
        <v>124</v>
      </c>
      <c r="H28" s="296" t="s">
        <v>124</v>
      </c>
      <c r="I28" s="296" t="s">
        <v>124</v>
      </c>
      <c r="J28" s="296" t="s">
        <v>124</v>
      </c>
      <c r="K28" s="296" t="s">
        <v>124</v>
      </c>
      <c r="L28" s="414" t="s">
        <v>124</v>
      </c>
      <c r="N28" s="414" t="s">
        <v>124</v>
      </c>
      <c r="P28" s="927" t="str">
        <f>+C29</f>
        <v>Other Transmission PIS</v>
      </c>
      <c r="Q28" s="928">
        <f>+D29</f>
        <v>0</v>
      </c>
      <c r="R28" s="927" t="str">
        <f>+C29</f>
        <v>Other Transmission PIS</v>
      </c>
      <c r="S28" s="929">
        <f>+D29</f>
        <v>0</v>
      </c>
      <c r="T28" s="283"/>
      <c r="U28" s="417" t="str">
        <f>+N29</f>
        <v>Transmission CWIP</v>
      </c>
      <c r="V28" s="418" t="str">
        <f>+N29</f>
        <v>Transmission CWIP</v>
      </c>
      <c r="W28" s="283" t="s">
        <v>1007</v>
      </c>
      <c r="Y28" s="284"/>
      <c r="Z28" s="284"/>
      <c r="AA28" s="284"/>
      <c r="AB28" s="284"/>
      <c r="AC28" s="284"/>
      <c r="AD28" s="284"/>
      <c r="AE28" s="284"/>
      <c r="AF28" s="284"/>
      <c r="AG28" s="284"/>
      <c r="AH28" s="285"/>
    </row>
    <row r="29" spans="1:34" ht="13.5">
      <c r="A29" s="286"/>
      <c r="B29" s="284"/>
      <c r="C29" s="927" t="s">
        <v>429</v>
      </c>
      <c r="D29" s="928"/>
      <c r="E29" s="928" t="s">
        <v>362</v>
      </c>
      <c r="F29" s="928" t="s">
        <v>362</v>
      </c>
      <c r="G29" s="928" t="s">
        <v>362</v>
      </c>
      <c r="H29" s="928" t="s">
        <v>362</v>
      </c>
      <c r="I29" s="928" t="s">
        <v>362</v>
      </c>
      <c r="J29" s="928" t="s">
        <v>362</v>
      </c>
      <c r="K29" s="928" t="s">
        <v>362</v>
      </c>
      <c r="L29" s="930" t="s">
        <v>362</v>
      </c>
      <c r="N29" s="930" t="s">
        <v>346</v>
      </c>
      <c r="O29" s="283" t="s">
        <v>146</v>
      </c>
      <c r="P29" s="417" t="s">
        <v>553</v>
      </c>
      <c r="Q29" s="296" t="s">
        <v>552</v>
      </c>
      <c r="R29" s="1190" t="s">
        <v>1128</v>
      </c>
      <c r="S29" s="1191" t="s">
        <v>1129</v>
      </c>
      <c r="T29" s="283"/>
      <c r="U29" s="417" t="s">
        <v>551</v>
      </c>
      <c r="V29" s="1191" t="s">
        <v>1130</v>
      </c>
      <c r="Y29" s="284"/>
      <c r="Z29" s="284"/>
      <c r="AA29" s="284"/>
      <c r="AB29" s="284"/>
      <c r="AC29" s="284"/>
      <c r="AD29" s="284"/>
      <c r="AE29" s="284"/>
      <c r="AF29" s="284"/>
      <c r="AG29" s="284"/>
      <c r="AH29" s="285"/>
    </row>
    <row r="30" spans="1:34" ht="13.5">
      <c r="A30" s="286"/>
      <c r="B30" s="284"/>
      <c r="C30" s="927" t="s">
        <v>1666</v>
      </c>
      <c r="D30" s="928"/>
      <c r="E30" s="928" t="s">
        <v>543</v>
      </c>
      <c r="F30" s="928" t="s">
        <v>544</v>
      </c>
      <c r="G30" s="928" t="s">
        <v>545</v>
      </c>
      <c r="H30" s="928" t="s">
        <v>546</v>
      </c>
      <c r="I30" s="928" t="s">
        <v>547</v>
      </c>
      <c r="J30" s="928" t="s">
        <v>548</v>
      </c>
      <c r="K30" s="928" t="s">
        <v>549</v>
      </c>
      <c r="L30" s="930" t="s">
        <v>1389</v>
      </c>
      <c r="N30" s="930" t="s">
        <v>376</v>
      </c>
      <c r="O30" s="283"/>
      <c r="P30" s="927"/>
      <c r="Q30" s="928"/>
      <c r="R30" s="927"/>
      <c r="S30" s="929"/>
      <c r="T30" s="284"/>
      <c r="U30" s="927"/>
      <c r="V30" s="929"/>
      <c r="Y30" s="284"/>
      <c r="Z30" s="284"/>
      <c r="AA30" s="284"/>
      <c r="AB30" s="284"/>
      <c r="AC30" s="284"/>
      <c r="AD30" s="284"/>
      <c r="AE30" s="284"/>
      <c r="AF30" s="284"/>
      <c r="AG30" s="284"/>
      <c r="AH30" s="285"/>
    </row>
    <row r="31" spans="1:34" ht="27">
      <c r="A31" s="286"/>
      <c r="B31" s="741" t="s">
        <v>958</v>
      </c>
      <c r="C31" s="1170">
        <v>0</v>
      </c>
      <c r="D31" s="745">
        <v>0</v>
      </c>
      <c r="E31" s="745">
        <v>0</v>
      </c>
      <c r="F31" s="745">
        <v>0</v>
      </c>
      <c r="G31" s="745">
        <v>0</v>
      </c>
      <c r="H31" s="745">
        <v>0</v>
      </c>
      <c r="I31" s="745">
        <v>0</v>
      </c>
      <c r="J31" s="745">
        <v>0</v>
      </c>
      <c r="K31" s="745">
        <v>0</v>
      </c>
      <c r="L31" s="746">
        <f t="shared" ref="L31:L43" si="0">SUM(D31:K31)</f>
        <v>0</v>
      </c>
      <c r="N31" s="1610">
        <v>0</v>
      </c>
      <c r="O31" s="1117">
        <v>13</v>
      </c>
      <c r="P31" s="422">
        <f>+O31*C31</f>
        <v>0</v>
      </c>
      <c r="Q31" s="423">
        <f>+O31*L31</f>
        <v>0</v>
      </c>
      <c r="R31" s="1192">
        <f>P31/13</f>
        <v>0</v>
      </c>
      <c r="S31" s="1193">
        <f>Q31/13</f>
        <v>0</v>
      </c>
      <c r="T31" s="284"/>
      <c r="U31" s="422">
        <f>+O31*N31</f>
        <v>0</v>
      </c>
      <c r="V31" s="1193">
        <f>U31/13</f>
        <v>0</v>
      </c>
      <c r="Y31" s="284"/>
      <c r="Z31" s="284"/>
      <c r="AA31" s="284"/>
      <c r="AB31" s="284"/>
      <c r="AC31" s="284"/>
      <c r="AD31" s="284"/>
      <c r="AE31" s="284"/>
      <c r="AF31" s="284"/>
      <c r="AG31" s="284"/>
      <c r="AH31" s="285"/>
    </row>
    <row r="32" spans="1:34" ht="13.5">
      <c r="A32" s="286"/>
      <c r="B32" s="284" t="s">
        <v>147</v>
      </c>
      <c r="C32" s="1617">
        <f>IF(Toggle=Projection,'PIS projection'!C5-SUM(D32:K32),IF(Toggle=True_up,0,"Set Toggle!"))</f>
        <v>0</v>
      </c>
      <c r="D32" s="1584">
        <f>IF(Toggle=Projection,'PIS projection'!D25,IF(Toggle=True_up,0,"Set Toggle!"))</f>
        <v>0</v>
      </c>
      <c r="E32" s="1584">
        <f>IF(Toggle=Projection,'PIS projection'!E25,IF(Toggle=True_up,0,"Set Toggle!"))</f>
        <v>0</v>
      </c>
      <c r="F32" s="1584">
        <f>IF(Toggle=Projection,'PIS projection'!F25,IF(Toggle=True_up,0,"Set Toggle!"))</f>
        <v>0</v>
      </c>
      <c r="G32" s="1584">
        <f>IF(Toggle=Projection,'PIS projection'!G25,IF(Toggle=True_up,0,"Set Toggle!"))</f>
        <v>0</v>
      </c>
      <c r="H32" s="1584">
        <f>IF(Toggle=Projection,'PIS projection'!H25,IF(Toggle=True_up,0,"Set Toggle!"))</f>
        <v>0</v>
      </c>
      <c r="I32" s="1584">
        <f>IF(Toggle=Projection,'PIS projection'!I25,IF(Toggle=True_up,0,"Set Toggle!"))</f>
        <v>0</v>
      </c>
      <c r="J32" s="1584">
        <f>IF(Toggle=Projection,'PIS projection'!J25,IF(Toggle=True_up,0,"Set Toggle!"))</f>
        <v>0</v>
      </c>
      <c r="K32" s="1584">
        <f>IF(Toggle=Projection,'PIS projection'!K25,IF(Toggle=True_up,0,"Set Toggle!"))</f>
        <v>0</v>
      </c>
      <c r="L32" s="1603">
        <f t="shared" si="0"/>
        <v>0</v>
      </c>
      <c r="N32" s="746">
        <v>0</v>
      </c>
      <c r="O32" s="1117">
        <v>12</v>
      </c>
      <c r="P32" s="422">
        <f>+O32*C32</f>
        <v>0</v>
      </c>
      <c r="Q32" s="423">
        <f t="shared" ref="Q32:Q43" si="1">+O32*L32</f>
        <v>0</v>
      </c>
      <c r="R32" s="1192">
        <f>P32/13</f>
        <v>0</v>
      </c>
      <c r="S32" s="1193">
        <f>Q32/13</f>
        <v>0</v>
      </c>
      <c r="T32" s="284"/>
      <c r="U32" s="422">
        <f t="shared" ref="U32:U43" si="2">+O32*N32</f>
        <v>0</v>
      </c>
      <c r="V32" s="1193">
        <f t="shared" ref="V32:V43" si="3">U32/13</f>
        <v>0</v>
      </c>
      <c r="Y32" s="284"/>
      <c r="Z32" s="284"/>
      <c r="AA32" s="284"/>
      <c r="AB32" s="284"/>
      <c r="AC32" s="284"/>
      <c r="AD32" s="284"/>
      <c r="AE32" s="284"/>
      <c r="AF32" s="284"/>
      <c r="AG32" s="284"/>
      <c r="AH32" s="285"/>
    </row>
    <row r="33" spans="1:34" ht="13.5">
      <c r="A33" s="286"/>
      <c r="B33" s="284" t="s">
        <v>148</v>
      </c>
      <c r="C33" s="1098">
        <f>IF(Toggle=Projection,'PIS projection'!C6-SUM(D33:K33),IF(Toggle=True_up,0,"Set Toggle!"))</f>
        <v>0</v>
      </c>
      <c r="D33" s="1584">
        <f>IF(Toggle=Projection,'PIS projection'!D26,IF(Toggle=True_up,0,"Set Toggle!"))</f>
        <v>0</v>
      </c>
      <c r="E33" s="1584">
        <f>IF(Toggle=Projection,'PIS projection'!E26,IF(Toggle=True_up,0,"Set Toggle!"))</f>
        <v>0</v>
      </c>
      <c r="F33" s="1584">
        <f>IF(Toggle=Projection,'PIS projection'!F26,IF(Toggle=True_up,0,"Set Toggle!"))</f>
        <v>0</v>
      </c>
      <c r="G33" s="1584">
        <f>IF(Toggle=Projection,'PIS projection'!G26,IF(Toggle=True_up,0,"Set Toggle!"))</f>
        <v>0</v>
      </c>
      <c r="H33" s="1584">
        <f>IF(Toggle=Projection,'PIS projection'!H26,IF(Toggle=True_up,0,"Set Toggle!"))</f>
        <v>0</v>
      </c>
      <c r="I33" s="1584">
        <f>IF(Toggle=Projection,'PIS projection'!I26,IF(Toggle=True_up,0,"Set Toggle!"))</f>
        <v>0</v>
      </c>
      <c r="J33" s="1584">
        <f>IF(Toggle=Projection,'PIS projection'!J26,IF(Toggle=True_up,0,"Set Toggle!"))</f>
        <v>0</v>
      </c>
      <c r="K33" s="1584">
        <f>IF(Toggle=Projection,'PIS projection'!K26,IF(Toggle=True_up,0,"Set Toggle!"))</f>
        <v>0</v>
      </c>
      <c r="L33" s="1603">
        <f t="shared" si="0"/>
        <v>0</v>
      </c>
      <c r="N33" s="746">
        <v>0</v>
      </c>
      <c r="O33" s="931">
        <f t="shared" ref="O33:O43" si="4">+O32-1</f>
        <v>11</v>
      </c>
      <c r="P33" s="422">
        <f t="shared" ref="P33:P43" si="5">+O33*C33</f>
        <v>0</v>
      </c>
      <c r="Q33" s="423">
        <f t="shared" si="1"/>
        <v>0</v>
      </c>
      <c r="R33" s="1194">
        <f t="shared" ref="R33:R43" si="6">P33/13</f>
        <v>0</v>
      </c>
      <c r="S33" s="1193">
        <f t="shared" ref="S33:S43" si="7">Q33/13</f>
        <v>0</v>
      </c>
      <c r="T33" s="284"/>
      <c r="U33" s="422">
        <f t="shared" si="2"/>
        <v>0</v>
      </c>
      <c r="V33" s="1193">
        <f t="shared" si="3"/>
        <v>0</v>
      </c>
      <c r="Y33" s="284"/>
      <c r="Z33" s="284"/>
      <c r="AA33" s="284"/>
      <c r="AB33" s="284"/>
      <c r="AC33" s="284"/>
      <c r="AD33" s="284"/>
      <c r="AE33" s="284"/>
      <c r="AF33" s="284"/>
      <c r="AG33" s="284"/>
      <c r="AH33" s="285"/>
    </row>
    <row r="34" spans="1:34" ht="13.5">
      <c r="A34" s="286"/>
      <c r="B34" s="284" t="s">
        <v>149</v>
      </c>
      <c r="C34" s="1098">
        <f>IF(Toggle=Projection,'PIS projection'!C7-SUM(D34:K34),IF(Toggle=True_up,0,"Set Toggle!"))</f>
        <v>0</v>
      </c>
      <c r="D34" s="1584">
        <f>IF(Toggle=Projection,'PIS projection'!D27,IF(Toggle=True_up,0,"Set Toggle!"))</f>
        <v>0</v>
      </c>
      <c r="E34" s="1584">
        <f>IF(Toggle=Projection,'PIS projection'!E27,IF(Toggle=True_up,0,"Set Toggle!"))</f>
        <v>0</v>
      </c>
      <c r="F34" s="1584">
        <f>IF(Toggle=Projection,'PIS projection'!F27,IF(Toggle=True_up,0,"Set Toggle!"))</f>
        <v>0</v>
      </c>
      <c r="G34" s="1584">
        <f>IF(Toggle=Projection,'PIS projection'!G27,IF(Toggle=True_up,0,"Set Toggle!"))</f>
        <v>0</v>
      </c>
      <c r="H34" s="1584">
        <f>IF(Toggle=Projection,'PIS projection'!H27,IF(Toggle=True_up,0,"Set Toggle!"))</f>
        <v>0</v>
      </c>
      <c r="I34" s="1584">
        <f>IF(Toggle=Projection,'PIS projection'!I27,IF(Toggle=True_up,0,"Set Toggle!"))</f>
        <v>0</v>
      </c>
      <c r="J34" s="1584">
        <f>IF(Toggle=Projection,'PIS projection'!J27,IF(Toggle=True_up,0,"Set Toggle!"))</f>
        <v>0</v>
      </c>
      <c r="K34" s="1584">
        <f>IF(Toggle=Projection,'PIS projection'!K27,IF(Toggle=True_up,0,"Set Toggle!"))</f>
        <v>0</v>
      </c>
      <c r="L34" s="1603">
        <f t="shared" si="0"/>
        <v>0</v>
      </c>
      <c r="N34" s="746">
        <v>0</v>
      </c>
      <c r="O34" s="931">
        <f t="shared" si="4"/>
        <v>10</v>
      </c>
      <c r="P34" s="422">
        <f t="shared" si="5"/>
        <v>0</v>
      </c>
      <c r="Q34" s="423">
        <f t="shared" si="1"/>
        <v>0</v>
      </c>
      <c r="R34" s="1194">
        <f t="shared" si="6"/>
        <v>0</v>
      </c>
      <c r="S34" s="1193">
        <f t="shared" si="7"/>
        <v>0</v>
      </c>
      <c r="T34" s="284"/>
      <c r="U34" s="422">
        <f t="shared" si="2"/>
        <v>0</v>
      </c>
      <c r="V34" s="1193">
        <f t="shared" si="3"/>
        <v>0</v>
      </c>
      <c r="Y34" s="284"/>
      <c r="Z34" s="284"/>
      <c r="AA34" s="284"/>
      <c r="AB34" s="284"/>
      <c r="AC34" s="284"/>
      <c r="AD34" s="284"/>
      <c r="AE34" s="284"/>
      <c r="AF34" s="284"/>
      <c r="AG34" s="284"/>
      <c r="AH34" s="285"/>
    </row>
    <row r="35" spans="1:34" ht="13.5">
      <c r="A35" s="286"/>
      <c r="B35" s="284" t="s">
        <v>150</v>
      </c>
      <c r="C35" s="1098">
        <f>IF(Toggle=Projection,'PIS projection'!C8-SUM(D35:K35),IF(Toggle=True_up,0,"Set Toggle!"))</f>
        <v>0</v>
      </c>
      <c r="D35" s="1584">
        <f>IF(Toggle=Projection,'PIS projection'!D28,IF(Toggle=True_up,0,"Set Toggle!"))</f>
        <v>0</v>
      </c>
      <c r="E35" s="1584">
        <f>IF(Toggle=Projection,'PIS projection'!E28,IF(Toggle=True_up,0,"Set Toggle!"))</f>
        <v>0</v>
      </c>
      <c r="F35" s="1584">
        <f>IF(Toggle=Projection,'PIS projection'!F28,IF(Toggle=True_up,0,"Set Toggle!"))</f>
        <v>0</v>
      </c>
      <c r="G35" s="1584">
        <f>IF(Toggle=Projection,'PIS projection'!G28,IF(Toggle=True_up,0,"Set Toggle!"))</f>
        <v>0</v>
      </c>
      <c r="H35" s="1584">
        <f>IF(Toggle=Projection,'PIS projection'!H28,IF(Toggle=True_up,0,"Set Toggle!"))</f>
        <v>0</v>
      </c>
      <c r="I35" s="1584">
        <f>IF(Toggle=Projection,'PIS projection'!I28,IF(Toggle=True_up,0,"Set Toggle!"))</f>
        <v>0</v>
      </c>
      <c r="J35" s="1584">
        <f>IF(Toggle=Projection,'PIS projection'!J28,IF(Toggle=True_up,0,"Set Toggle!"))</f>
        <v>0</v>
      </c>
      <c r="K35" s="1584">
        <f>IF(Toggle=Projection,'PIS projection'!K28,IF(Toggle=True_up,0,"Set Toggle!"))</f>
        <v>0</v>
      </c>
      <c r="L35" s="1603">
        <f t="shared" si="0"/>
        <v>0</v>
      </c>
      <c r="N35" s="746">
        <v>0</v>
      </c>
      <c r="O35" s="931">
        <f t="shared" si="4"/>
        <v>9</v>
      </c>
      <c r="P35" s="422">
        <f t="shared" si="5"/>
        <v>0</v>
      </c>
      <c r="Q35" s="423">
        <f t="shared" si="1"/>
        <v>0</v>
      </c>
      <c r="R35" s="1194">
        <f t="shared" si="6"/>
        <v>0</v>
      </c>
      <c r="S35" s="1193">
        <f t="shared" si="7"/>
        <v>0</v>
      </c>
      <c r="T35" s="284"/>
      <c r="U35" s="422">
        <f t="shared" si="2"/>
        <v>0</v>
      </c>
      <c r="V35" s="1193">
        <f t="shared" si="3"/>
        <v>0</v>
      </c>
      <c r="Y35" s="284"/>
      <c r="Z35" s="284"/>
      <c r="AA35" s="284"/>
      <c r="AB35" s="284"/>
      <c r="AC35" s="284"/>
      <c r="AD35" s="284"/>
      <c r="AE35" s="284"/>
      <c r="AF35" s="284"/>
      <c r="AG35" s="284"/>
      <c r="AH35" s="285"/>
    </row>
    <row r="36" spans="1:34" ht="13.5">
      <c r="A36" s="286"/>
      <c r="B36" s="284" t="s">
        <v>144</v>
      </c>
      <c r="C36" s="1098">
        <f>IF(Toggle=Projection,'PIS projection'!C9-SUM(D36:K36),IF(Toggle=True_up,0,"Set Toggle!"))</f>
        <v>0</v>
      </c>
      <c r="D36" s="1584">
        <f>IF(Toggle=Projection,'PIS projection'!D29,IF(Toggle=True_up,0,"Set Toggle!"))</f>
        <v>0</v>
      </c>
      <c r="E36" s="1584">
        <f>IF(Toggle=Projection,'PIS projection'!E29,IF(Toggle=True_up,0,"Set Toggle!"))</f>
        <v>0</v>
      </c>
      <c r="F36" s="1584">
        <f>IF(Toggle=Projection,'PIS projection'!F29,IF(Toggle=True_up,0,"Set Toggle!"))</f>
        <v>0</v>
      </c>
      <c r="G36" s="1584">
        <f>IF(Toggle=Projection,'PIS projection'!G29,IF(Toggle=True_up,0,"Set Toggle!"))</f>
        <v>0</v>
      </c>
      <c r="H36" s="1584">
        <f>IF(Toggle=Projection,'PIS projection'!H29,IF(Toggle=True_up,0,"Set Toggle!"))</f>
        <v>0</v>
      </c>
      <c r="I36" s="1584">
        <f>IF(Toggle=Projection,'PIS projection'!I29,IF(Toggle=True_up,0,"Set Toggle!"))</f>
        <v>0</v>
      </c>
      <c r="J36" s="1584">
        <f>IF(Toggle=Projection,'PIS projection'!J29,IF(Toggle=True_up,0,"Set Toggle!"))</f>
        <v>0</v>
      </c>
      <c r="K36" s="1584">
        <f>IF(Toggle=Projection,'PIS projection'!K29,IF(Toggle=True_up,0,"Set Toggle!"))</f>
        <v>0</v>
      </c>
      <c r="L36" s="1603">
        <f t="shared" si="0"/>
        <v>0</v>
      </c>
      <c r="N36" s="746">
        <v>0</v>
      </c>
      <c r="O36" s="931">
        <f t="shared" si="4"/>
        <v>8</v>
      </c>
      <c r="P36" s="422">
        <f t="shared" si="5"/>
        <v>0</v>
      </c>
      <c r="Q36" s="423">
        <f t="shared" si="1"/>
        <v>0</v>
      </c>
      <c r="R36" s="1194">
        <f t="shared" si="6"/>
        <v>0</v>
      </c>
      <c r="S36" s="1193">
        <f t="shared" si="7"/>
        <v>0</v>
      </c>
      <c r="T36" s="284"/>
      <c r="U36" s="422">
        <f t="shared" si="2"/>
        <v>0</v>
      </c>
      <c r="V36" s="1193">
        <f t="shared" si="3"/>
        <v>0</v>
      </c>
      <c r="Y36" s="284"/>
      <c r="Z36" s="284"/>
      <c r="AA36" s="284"/>
      <c r="AB36" s="284"/>
      <c r="AC36" s="284"/>
      <c r="AD36" s="284"/>
      <c r="AE36" s="284"/>
      <c r="AF36" s="284"/>
      <c r="AG36" s="284"/>
      <c r="AH36" s="285"/>
    </row>
    <row r="37" spans="1:34" ht="13.5">
      <c r="A37" s="286"/>
      <c r="B37" s="284" t="s">
        <v>151</v>
      </c>
      <c r="C37" s="1098">
        <f>IF(Toggle=Projection,'PIS projection'!C10-SUM(D37:K37),IF(Toggle=True_up,0,"Set Toggle!"))</f>
        <v>0</v>
      </c>
      <c r="D37" s="1584">
        <f>IF(Toggle=Projection,'PIS projection'!D30,IF(Toggle=True_up,0,"Set Toggle!"))</f>
        <v>0</v>
      </c>
      <c r="E37" s="1584">
        <f>IF(Toggle=Projection,'PIS projection'!E30,IF(Toggle=True_up,0,"Set Toggle!"))</f>
        <v>0</v>
      </c>
      <c r="F37" s="1584">
        <f>IF(Toggle=Projection,'PIS projection'!F30,IF(Toggle=True_up,0,"Set Toggle!"))</f>
        <v>0</v>
      </c>
      <c r="G37" s="1584">
        <f>IF(Toggle=Projection,'PIS projection'!G30,IF(Toggle=True_up,0,"Set Toggle!"))</f>
        <v>0</v>
      </c>
      <c r="H37" s="1584">
        <f>IF(Toggle=Projection,'PIS projection'!H30,IF(Toggle=True_up,0,"Set Toggle!"))</f>
        <v>0</v>
      </c>
      <c r="I37" s="1584">
        <f>IF(Toggle=Projection,'PIS projection'!I30,IF(Toggle=True_up,0,"Set Toggle!"))</f>
        <v>0</v>
      </c>
      <c r="J37" s="1584">
        <f>IF(Toggle=Projection,'PIS projection'!J30,IF(Toggle=True_up,0,"Set Toggle!"))</f>
        <v>0</v>
      </c>
      <c r="K37" s="1584">
        <f>IF(Toggle=Projection,'PIS projection'!K30,IF(Toggle=True_up,0,"Set Toggle!"))</f>
        <v>0</v>
      </c>
      <c r="L37" s="1603">
        <f t="shared" si="0"/>
        <v>0</v>
      </c>
      <c r="N37" s="746">
        <v>0</v>
      </c>
      <c r="O37" s="931">
        <f t="shared" si="4"/>
        <v>7</v>
      </c>
      <c r="P37" s="422">
        <f t="shared" si="5"/>
        <v>0</v>
      </c>
      <c r="Q37" s="423">
        <f t="shared" si="1"/>
        <v>0</v>
      </c>
      <c r="R37" s="1194">
        <f t="shared" si="6"/>
        <v>0</v>
      </c>
      <c r="S37" s="1193">
        <f t="shared" si="7"/>
        <v>0</v>
      </c>
      <c r="T37" s="284"/>
      <c r="U37" s="422">
        <f t="shared" si="2"/>
        <v>0</v>
      </c>
      <c r="V37" s="1193">
        <f t="shared" si="3"/>
        <v>0</v>
      </c>
      <c r="Y37" s="284"/>
      <c r="Z37" s="284"/>
      <c r="AA37" s="284"/>
      <c r="AB37" s="284"/>
      <c r="AC37" s="284"/>
      <c r="AD37" s="284"/>
      <c r="AE37" s="284"/>
      <c r="AF37" s="284"/>
      <c r="AG37" s="284"/>
      <c r="AH37" s="285"/>
    </row>
    <row r="38" spans="1:34" ht="13.5">
      <c r="A38" s="286"/>
      <c r="B38" s="284" t="s">
        <v>152</v>
      </c>
      <c r="C38" s="1098">
        <f>IF(Toggle=Projection,'PIS projection'!C11-SUM(D38:K38),IF(Toggle=True_up,0,"Set Toggle!"))</f>
        <v>0</v>
      </c>
      <c r="D38" s="1584">
        <f>IF(Toggle=Projection,'PIS projection'!D31,IF(Toggle=True_up,0,"Set Toggle!"))</f>
        <v>0</v>
      </c>
      <c r="E38" s="1584">
        <f>IF(Toggle=Projection,'PIS projection'!E31,IF(Toggle=True_up,0,"Set Toggle!"))</f>
        <v>0</v>
      </c>
      <c r="F38" s="1584">
        <f>IF(Toggle=Projection,'PIS projection'!F31,IF(Toggle=True_up,0,"Set Toggle!"))</f>
        <v>0</v>
      </c>
      <c r="G38" s="1584">
        <f>IF(Toggle=Projection,'PIS projection'!G31,IF(Toggle=True_up,0,"Set Toggle!"))</f>
        <v>0</v>
      </c>
      <c r="H38" s="1584">
        <f>IF(Toggle=Projection,'PIS projection'!H31,IF(Toggle=True_up,0,"Set Toggle!"))</f>
        <v>0</v>
      </c>
      <c r="I38" s="1584">
        <f>IF(Toggle=Projection,'PIS projection'!I31,IF(Toggle=True_up,0,"Set Toggle!"))</f>
        <v>0</v>
      </c>
      <c r="J38" s="1584">
        <f>IF(Toggle=Projection,'PIS projection'!J31,IF(Toggle=True_up,0,"Set Toggle!"))</f>
        <v>0</v>
      </c>
      <c r="K38" s="1584">
        <f>IF(Toggle=Projection,'PIS projection'!K31,IF(Toggle=True_up,0,"Set Toggle!"))</f>
        <v>0</v>
      </c>
      <c r="L38" s="1603">
        <f t="shared" si="0"/>
        <v>0</v>
      </c>
      <c r="N38" s="746">
        <v>0</v>
      </c>
      <c r="O38" s="931">
        <f t="shared" si="4"/>
        <v>6</v>
      </c>
      <c r="P38" s="422">
        <f t="shared" si="5"/>
        <v>0</v>
      </c>
      <c r="Q38" s="423">
        <f t="shared" si="1"/>
        <v>0</v>
      </c>
      <c r="R38" s="1194">
        <f t="shared" si="6"/>
        <v>0</v>
      </c>
      <c r="S38" s="1193">
        <f t="shared" si="7"/>
        <v>0</v>
      </c>
      <c r="T38" s="284"/>
      <c r="U38" s="422">
        <f t="shared" si="2"/>
        <v>0</v>
      </c>
      <c r="V38" s="1193">
        <f t="shared" si="3"/>
        <v>0</v>
      </c>
      <c r="Y38" s="284"/>
      <c r="Z38" s="284"/>
      <c r="AA38" s="284"/>
      <c r="AB38" s="284"/>
      <c r="AC38" s="284"/>
      <c r="AD38" s="284"/>
      <c r="AE38" s="284"/>
      <c r="AF38" s="284"/>
      <c r="AG38" s="284"/>
      <c r="AH38" s="285"/>
    </row>
    <row r="39" spans="1:34" ht="13.5">
      <c r="A39" s="286"/>
      <c r="B39" s="284" t="s">
        <v>153</v>
      </c>
      <c r="C39" s="1098">
        <f>IF(Toggle=Projection,'PIS projection'!C12-SUM(D39:K39),IF(Toggle=True_up,0,"Set Toggle!"))</f>
        <v>0</v>
      </c>
      <c r="D39" s="1584">
        <f>IF(Toggle=Projection,'PIS projection'!D32,IF(Toggle=True_up,0,"Set Toggle!"))</f>
        <v>0</v>
      </c>
      <c r="E39" s="1584">
        <f>IF(Toggle=Projection,'PIS projection'!E32,IF(Toggle=True_up,0,"Set Toggle!"))</f>
        <v>0</v>
      </c>
      <c r="F39" s="1584">
        <f>IF(Toggle=Projection,'PIS projection'!F32,IF(Toggle=True_up,0,"Set Toggle!"))</f>
        <v>0</v>
      </c>
      <c r="G39" s="1584">
        <f>IF(Toggle=Projection,'PIS projection'!G32,IF(Toggle=True_up,0,"Set Toggle!"))</f>
        <v>0</v>
      </c>
      <c r="H39" s="1584">
        <f>IF(Toggle=Projection,'PIS projection'!H32,IF(Toggle=True_up,0,"Set Toggle!"))</f>
        <v>0</v>
      </c>
      <c r="I39" s="1584">
        <f>IF(Toggle=Projection,'PIS projection'!I32,IF(Toggle=True_up,0,"Set Toggle!"))</f>
        <v>0</v>
      </c>
      <c r="J39" s="1584">
        <f>IF(Toggle=Projection,'PIS projection'!J32,IF(Toggle=True_up,0,"Set Toggle!"))</f>
        <v>0</v>
      </c>
      <c r="K39" s="1584">
        <f>IF(Toggle=Projection,'PIS projection'!K32,IF(Toggle=True_up,0,"Set Toggle!"))</f>
        <v>0</v>
      </c>
      <c r="L39" s="1603">
        <f t="shared" si="0"/>
        <v>0</v>
      </c>
      <c r="N39" s="746">
        <v>0</v>
      </c>
      <c r="O39" s="931">
        <f t="shared" si="4"/>
        <v>5</v>
      </c>
      <c r="P39" s="422">
        <f t="shared" si="5"/>
        <v>0</v>
      </c>
      <c r="Q39" s="423">
        <f t="shared" si="1"/>
        <v>0</v>
      </c>
      <c r="R39" s="1194">
        <f t="shared" si="6"/>
        <v>0</v>
      </c>
      <c r="S39" s="1193">
        <f t="shared" si="7"/>
        <v>0</v>
      </c>
      <c r="T39" s="284"/>
      <c r="U39" s="422">
        <f t="shared" si="2"/>
        <v>0</v>
      </c>
      <c r="V39" s="1193">
        <f t="shared" si="3"/>
        <v>0</v>
      </c>
      <c r="Y39" s="284"/>
      <c r="Z39" s="284"/>
      <c r="AA39" s="284"/>
      <c r="AB39" s="284"/>
      <c r="AC39" s="284"/>
      <c r="AD39" s="284"/>
      <c r="AE39" s="284"/>
      <c r="AF39" s="284"/>
      <c r="AG39" s="284"/>
      <c r="AH39" s="285"/>
    </row>
    <row r="40" spans="1:34" ht="13.5">
      <c r="A40" s="286"/>
      <c r="B40" s="284" t="s">
        <v>154</v>
      </c>
      <c r="C40" s="1098">
        <f>IF(Toggle=Projection,'PIS projection'!C13-SUM(D40:K40),IF(Toggle=True_up,0,"Set Toggle!"))</f>
        <v>0</v>
      </c>
      <c r="D40" s="1584">
        <f>IF(Toggle=Projection,'PIS projection'!D33,IF(Toggle=True_up,0,"Set Toggle!"))</f>
        <v>0</v>
      </c>
      <c r="E40" s="1584">
        <f>IF(Toggle=Projection,'PIS projection'!E33,IF(Toggle=True_up,0,"Set Toggle!"))</f>
        <v>0</v>
      </c>
      <c r="F40" s="1584">
        <f>IF(Toggle=Projection,'PIS projection'!F33,IF(Toggle=True_up,0,"Set Toggle!"))</f>
        <v>0</v>
      </c>
      <c r="G40" s="1584">
        <f>IF(Toggle=Projection,'PIS projection'!G33,IF(Toggle=True_up,0,"Set Toggle!"))</f>
        <v>0</v>
      </c>
      <c r="H40" s="1584">
        <f>IF(Toggle=Projection,'PIS projection'!H33,IF(Toggle=True_up,0,"Set Toggle!"))</f>
        <v>0</v>
      </c>
      <c r="I40" s="1584">
        <f>IF(Toggle=Projection,'PIS projection'!I33,IF(Toggle=True_up,0,"Set Toggle!"))</f>
        <v>0</v>
      </c>
      <c r="J40" s="1584">
        <f>IF(Toggle=Projection,'PIS projection'!J33,IF(Toggle=True_up,0,"Set Toggle!"))</f>
        <v>0</v>
      </c>
      <c r="K40" s="1584">
        <f>IF(Toggle=Projection,'PIS projection'!K33,IF(Toggle=True_up,0,"Set Toggle!"))</f>
        <v>0</v>
      </c>
      <c r="L40" s="1603">
        <f t="shared" si="0"/>
        <v>0</v>
      </c>
      <c r="N40" s="746">
        <v>0</v>
      </c>
      <c r="O40" s="931">
        <f t="shared" si="4"/>
        <v>4</v>
      </c>
      <c r="P40" s="422">
        <f t="shared" si="5"/>
        <v>0</v>
      </c>
      <c r="Q40" s="423">
        <f t="shared" si="1"/>
        <v>0</v>
      </c>
      <c r="R40" s="1194">
        <f t="shared" si="6"/>
        <v>0</v>
      </c>
      <c r="S40" s="1193">
        <f t="shared" si="7"/>
        <v>0</v>
      </c>
      <c r="T40" s="284"/>
      <c r="U40" s="422">
        <f t="shared" si="2"/>
        <v>0</v>
      </c>
      <c r="V40" s="1193">
        <f t="shared" si="3"/>
        <v>0</v>
      </c>
      <c r="Y40" s="284"/>
      <c r="Z40" s="284"/>
      <c r="AA40" s="284"/>
      <c r="AB40" s="284"/>
      <c r="AC40" s="284"/>
      <c r="AD40" s="284"/>
      <c r="AE40" s="284"/>
      <c r="AF40" s="284"/>
      <c r="AG40" s="284"/>
      <c r="AH40" s="285"/>
    </row>
    <row r="41" spans="1:34" ht="13.5">
      <c r="A41" s="286"/>
      <c r="B41" s="284" t="s">
        <v>155</v>
      </c>
      <c r="C41" s="1098">
        <f>IF(Toggle=Projection,'PIS projection'!C14-SUM(D41:K41),IF(Toggle=True_up,0,"Set Toggle!"))</f>
        <v>0</v>
      </c>
      <c r="D41" s="1584">
        <f>IF(Toggle=Projection,'PIS projection'!D34,IF(Toggle=True_up,0,"Set Toggle!"))</f>
        <v>0</v>
      </c>
      <c r="E41" s="1584">
        <f>IF(Toggle=Projection,'PIS projection'!E34,IF(Toggle=True_up,0,"Set Toggle!"))</f>
        <v>0</v>
      </c>
      <c r="F41" s="1584">
        <f>IF(Toggle=Projection,'PIS projection'!F34,IF(Toggle=True_up,0,"Set Toggle!"))</f>
        <v>0</v>
      </c>
      <c r="G41" s="1584">
        <f>IF(Toggle=Projection,'PIS projection'!G34,IF(Toggle=True_up,0,"Set Toggle!"))</f>
        <v>0</v>
      </c>
      <c r="H41" s="1584">
        <f>IF(Toggle=Projection,'PIS projection'!H34,IF(Toggle=True_up,0,"Set Toggle!"))</f>
        <v>0</v>
      </c>
      <c r="I41" s="1584">
        <f>IF(Toggle=Projection,'PIS projection'!I34,IF(Toggle=True_up,0,"Set Toggle!"))</f>
        <v>0</v>
      </c>
      <c r="J41" s="1584">
        <f>IF(Toggle=Projection,'PIS projection'!J34,IF(Toggle=True_up,0,"Set Toggle!"))</f>
        <v>0</v>
      </c>
      <c r="K41" s="1584">
        <f>IF(Toggle=Projection,'PIS projection'!K34,IF(Toggle=True_up,0,"Set Toggle!"))</f>
        <v>0</v>
      </c>
      <c r="L41" s="1603">
        <f t="shared" si="0"/>
        <v>0</v>
      </c>
      <c r="N41" s="746">
        <v>0</v>
      </c>
      <c r="O41" s="931">
        <f t="shared" si="4"/>
        <v>3</v>
      </c>
      <c r="P41" s="422">
        <f t="shared" si="5"/>
        <v>0</v>
      </c>
      <c r="Q41" s="423">
        <f t="shared" si="1"/>
        <v>0</v>
      </c>
      <c r="R41" s="1194">
        <f t="shared" si="6"/>
        <v>0</v>
      </c>
      <c r="S41" s="1193">
        <f t="shared" si="7"/>
        <v>0</v>
      </c>
      <c r="T41" s="284"/>
      <c r="U41" s="422">
        <f t="shared" si="2"/>
        <v>0</v>
      </c>
      <c r="V41" s="1193">
        <f t="shared" si="3"/>
        <v>0</v>
      </c>
      <c r="Y41" s="284"/>
      <c r="Z41" s="284"/>
      <c r="AA41" s="284"/>
      <c r="AB41" s="284"/>
      <c r="AC41" s="284"/>
      <c r="AD41" s="284"/>
      <c r="AE41" s="284"/>
      <c r="AF41" s="284"/>
      <c r="AG41" s="284"/>
      <c r="AH41" s="285"/>
    </row>
    <row r="42" spans="1:34" ht="13.5">
      <c r="A42" s="286"/>
      <c r="B42" s="284" t="s">
        <v>156</v>
      </c>
      <c r="C42" s="1098">
        <f>IF(Toggle=Projection,'PIS projection'!C15-SUM(D42:K42),IF(Toggle=True_up,0,"Set Toggle!"))</f>
        <v>0</v>
      </c>
      <c r="D42" s="1584">
        <f>IF(Toggle=Projection,'PIS projection'!D35,IF(Toggle=True_up,0,"Set Toggle!"))</f>
        <v>0</v>
      </c>
      <c r="E42" s="1584">
        <f>IF(Toggle=Projection,'PIS projection'!E35,IF(Toggle=True_up,0,"Set Toggle!"))</f>
        <v>0</v>
      </c>
      <c r="F42" s="1584">
        <f>IF(Toggle=Projection,'PIS projection'!F35,IF(Toggle=True_up,0,"Set Toggle!"))</f>
        <v>0</v>
      </c>
      <c r="G42" s="1584">
        <f>IF(Toggle=Projection,'PIS projection'!G35,IF(Toggle=True_up,0,"Set Toggle!"))</f>
        <v>0</v>
      </c>
      <c r="H42" s="1584">
        <f>IF(Toggle=Projection,'PIS projection'!H35,IF(Toggle=True_up,0,"Set Toggle!"))</f>
        <v>0</v>
      </c>
      <c r="I42" s="1584">
        <f>IF(Toggle=Projection,'PIS projection'!I35,IF(Toggle=True_up,0,"Set Toggle!"))</f>
        <v>0</v>
      </c>
      <c r="J42" s="1584">
        <f>IF(Toggle=Projection,'PIS projection'!J35,IF(Toggle=True_up,0,"Set Toggle!"))</f>
        <v>0</v>
      </c>
      <c r="K42" s="1584">
        <f>IF(Toggle=Projection,'PIS projection'!K35,IF(Toggle=True_up,0,"Set Toggle!"))</f>
        <v>0</v>
      </c>
      <c r="L42" s="1603">
        <f t="shared" si="0"/>
        <v>0</v>
      </c>
      <c r="N42" s="746">
        <v>0</v>
      </c>
      <c r="O42" s="931">
        <f t="shared" si="4"/>
        <v>2</v>
      </c>
      <c r="P42" s="422">
        <f t="shared" si="5"/>
        <v>0</v>
      </c>
      <c r="Q42" s="423">
        <f t="shared" si="1"/>
        <v>0</v>
      </c>
      <c r="R42" s="1194">
        <f t="shared" si="6"/>
        <v>0</v>
      </c>
      <c r="S42" s="1193">
        <f t="shared" si="7"/>
        <v>0</v>
      </c>
      <c r="T42" s="284"/>
      <c r="U42" s="422">
        <f t="shared" si="2"/>
        <v>0</v>
      </c>
      <c r="V42" s="1193">
        <f t="shared" si="3"/>
        <v>0</v>
      </c>
      <c r="Y42" s="284"/>
      <c r="Z42" s="284"/>
      <c r="AA42" s="284"/>
      <c r="AB42" s="284"/>
      <c r="AC42" s="284"/>
      <c r="AD42" s="284"/>
      <c r="AE42" s="284"/>
      <c r="AF42" s="284"/>
      <c r="AG42" s="284"/>
      <c r="AH42" s="285"/>
    </row>
    <row r="43" spans="1:34" ht="13.5">
      <c r="A43" s="286"/>
      <c r="B43" s="284" t="s">
        <v>157</v>
      </c>
      <c r="C43" s="1099">
        <f>IF(Toggle=Projection,'PIS projection'!C16-SUM(D43:K43),IF(Toggle=True_up,0,"Set Toggle!"))</f>
        <v>0</v>
      </c>
      <c r="D43" s="1581">
        <f>IF(Toggle=Projection,'PIS projection'!D36,IF(Toggle=True_up,0,"Set Toggle!"))</f>
        <v>0</v>
      </c>
      <c r="E43" s="1581">
        <f>IF(Toggle=Projection,'PIS projection'!E36,IF(Toggle=True_up,0,"Set Toggle!"))</f>
        <v>0</v>
      </c>
      <c r="F43" s="1581">
        <f>IF(Toggle=Projection,'PIS projection'!F36,IF(Toggle=True_up,0,"Set Toggle!"))</f>
        <v>0</v>
      </c>
      <c r="G43" s="1581">
        <f>IF(Toggle=Projection,'PIS projection'!G36,IF(Toggle=True_up,0,"Set Toggle!"))</f>
        <v>0</v>
      </c>
      <c r="H43" s="1581">
        <f>IF(Toggle=Projection,'PIS projection'!H36,IF(Toggle=True_up,0,"Set Toggle!"))</f>
        <v>0</v>
      </c>
      <c r="I43" s="1581">
        <f>IF(Toggle=Projection,'PIS projection'!I36,IF(Toggle=True_up,0,"Set Toggle!"))</f>
        <v>0</v>
      </c>
      <c r="J43" s="1581">
        <f>IF(Toggle=Projection,'PIS projection'!J36,IF(Toggle=True_up,0,"Set Toggle!"))</f>
        <v>0</v>
      </c>
      <c r="K43" s="1581">
        <f>IF(Toggle=Projection,'PIS projection'!K36,IF(Toggle=True_up,0,"Set Toggle!"))</f>
        <v>0</v>
      </c>
      <c r="L43" s="1632">
        <f t="shared" si="0"/>
        <v>0</v>
      </c>
      <c r="N43" s="746">
        <v>0</v>
      </c>
      <c r="O43" s="931">
        <f t="shared" si="4"/>
        <v>1</v>
      </c>
      <c r="P43" s="749">
        <f t="shared" si="5"/>
        <v>0</v>
      </c>
      <c r="Q43" s="750">
        <f t="shared" si="1"/>
        <v>0</v>
      </c>
      <c r="R43" s="1195">
        <f t="shared" si="6"/>
        <v>0</v>
      </c>
      <c r="S43" s="1196">
        <f t="shared" si="7"/>
        <v>0</v>
      </c>
      <c r="T43" s="284"/>
      <c r="U43" s="422">
        <f t="shared" si="2"/>
        <v>0</v>
      </c>
      <c r="V43" s="1193">
        <f t="shared" si="3"/>
        <v>0</v>
      </c>
      <c r="Y43" s="284"/>
      <c r="Z43" s="284"/>
      <c r="AA43" s="284"/>
      <c r="AB43" s="284"/>
      <c r="AC43" s="284"/>
      <c r="AD43" s="284"/>
      <c r="AE43" s="284"/>
      <c r="AF43" s="284"/>
      <c r="AG43" s="284"/>
      <c r="AH43" s="285"/>
    </row>
    <row r="44" spans="1:34" ht="13.5">
      <c r="A44" s="283"/>
      <c r="B44" s="284" t="s">
        <v>282</v>
      </c>
      <c r="C44" s="292">
        <f>SUM(C31:C43)</f>
        <v>0</v>
      </c>
      <c r="D44" s="292">
        <f t="shared" ref="D44:K44" si="8">SUM(D31:D43)</f>
        <v>0</v>
      </c>
      <c r="E44" s="292">
        <f>SUM(E31:E43)</f>
        <v>0</v>
      </c>
      <c r="F44" s="292">
        <f>SUM(F31:F43)</f>
        <v>0</v>
      </c>
      <c r="G44" s="292">
        <f t="shared" si="8"/>
        <v>0</v>
      </c>
      <c r="H44" s="292">
        <f t="shared" si="8"/>
        <v>0</v>
      </c>
      <c r="I44" s="292">
        <f t="shared" si="8"/>
        <v>0</v>
      </c>
      <c r="J44" s="292">
        <f t="shared" si="8"/>
        <v>0</v>
      </c>
      <c r="K44" s="292">
        <f t="shared" si="8"/>
        <v>0</v>
      </c>
      <c r="L44" s="292">
        <f>SUM(L31:L43)</f>
        <v>0</v>
      </c>
      <c r="N44" s="747">
        <f>SUM(N31:N43)</f>
        <v>0</v>
      </c>
      <c r="O44" s="284"/>
      <c r="P44" s="747">
        <f>SUM(P31:P43)</f>
        <v>0</v>
      </c>
      <c r="Q44" s="747">
        <f>SUM(Q31:Q43)</f>
        <v>0</v>
      </c>
      <c r="R44" s="1197">
        <f>SUM(R31:R43)</f>
        <v>0</v>
      </c>
      <c r="S44" s="1198">
        <f>SUM(S32:S43)</f>
        <v>0</v>
      </c>
      <c r="T44"/>
      <c r="U44" s="747">
        <f>SUM(U31:U43)</f>
        <v>0</v>
      </c>
      <c r="V44" s="1198">
        <f>U44/13</f>
        <v>0</v>
      </c>
      <c r="Y44" s="284"/>
      <c r="Z44" s="284"/>
      <c r="AA44" s="284"/>
      <c r="AB44" s="284"/>
      <c r="AC44" s="284"/>
      <c r="AD44" s="284"/>
      <c r="AE44" s="284"/>
      <c r="AF44" s="284"/>
      <c r="AG44" s="284"/>
      <c r="AH44" s="285"/>
    </row>
    <row r="45" spans="1:34" ht="13.5">
      <c r="A45" s="283"/>
      <c r="B45" s="284" t="s">
        <v>125</v>
      </c>
      <c r="C45" s="284"/>
      <c r="J45" s="284"/>
      <c r="K45" s="284"/>
      <c r="L45" s="284"/>
      <c r="M45" s="284"/>
      <c r="N45" s="284"/>
      <c r="R45" s="284"/>
      <c r="S45" s="284"/>
      <c r="T45" s="284"/>
      <c r="U45" s="284"/>
      <c r="X45" s="284"/>
      <c r="Y45" s="284"/>
      <c r="Z45" s="284"/>
      <c r="AA45" s="284"/>
      <c r="AB45" s="285"/>
    </row>
    <row r="46" spans="1:34" ht="13.5" customHeight="1">
      <c r="A46" s="283"/>
      <c r="B46" s="284"/>
      <c r="C46" s="284"/>
      <c r="L46" s="284"/>
      <c r="M46" s="284"/>
      <c r="N46" s="284"/>
      <c r="O46" s="284"/>
      <c r="P46" s="981" t="str">
        <f>"Input to Line "&amp;'Appendix A'!A39&amp;" of Appendix A"</f>
        <v>Input to Line 16 of Appendix A</v>
      </c>
      <c r="Q46" s="363"/>
      <c r="R46" s="303"/>
      <c r="S46" s="303"/>
      <c r="T46" s="363"/>
      <c r="U46" s="303"/>
      <c r="V46" s="363"/>
      <c r="W46" s="953" t="str">
        <f>IF(Toggle=True_up,"Not for true-up",SUM(R44:S44))</f>
        <v>Not for true-up</v>
      </c>
      <c r="X46" s="284"/>
      <c r="Y46" s="284"/>
      <c r="Z46" s="284"/>
      <c r="AA46" s="284"/>
      <c r="AB46" s="284"/>
      <c r="AC46" s="284"/>
      <c r="AD46" s="284"/>
      <c r="AE46" s="284"/>
      <c r="AF46" s="284"/>
      <c r="AG46" s="284"/>
      <c r="AH46" s="285"/>
    </row>
    <row r="47" spans="1:34" ht="13.5" customHeight="1">
      <c r="A47" s="283"/>
      <c r="B47" s="284"/>
      <c r="C47" s="284"/>
      <c r="J47" s="284"/>
      <c r="K47" s="284"/>
      <c r="L47" s="292"/>
      <c r="M47" s="292"/>
      <c r="N47" s="284"/>
      <c r="O47" s="284"/>
      <c r="P47" s="939" t="str">
        <f>"Input to Line "&amp;'Appendix A'!$A$72&amp;" of Appendix A"</f>
        <v>Input to Line 34 of Appendix A</v>
      </c>
      <c r="Q47" s="363"/>
      <c r="R47" s="301"/>
      <c r="S47" s="301"/>
      <c r="T47" s="363"/>
      <c r="U47" s="363"/>
      <c r="V47" s="2"/>
      <c r="W47" s="982" t="str">
        <f>IF(Toggle=True_up,"Not for true-up",SUM(V31:V43))</f>
        <v>Not for true-up</v>
      </c>
      <c r="X47" s="284"/>
      <c r="Y47" s="284"/>
      <c r="Z47" s="284"/>
      <c r="AA47" s="284"/>
      <c r="AB47" s="284"/>
      <c r="AC47" s="284"/>
      <c r="AD47" s="284"/>
      <c r="AE47" s="284"/>
      <c r="AF47" s="284"/>
      <c r="AG47" s="284"/>
      <c r="AH47" s="285"/>
    </row>
    <row r="48" spans="1:34" ht="13.5" customHeight="1">
      <c r="A48" s="742" t="s">
        <v>139</v>
      </c>
      <c r="B48" s="742" t="s">
        <v>140</v>
      </c>
      <c r="C48" s="742" t="s">
        <v>141</v>
      </c>
      <c r="D48" s="743" t="s">
        <v>142</v>
      </c>
      <c r="E48" s="284"/>
      <c r="L48" s="284"/>
      <c r="M48" s="284"/>
      <c r="N48" s="284"/>
      <c r="O48" s="292"/>
      <c r="P48"/>
      <c r="Q48"/>
      <c r="R48"/>
      <c r="S48"/>
      <c r="T48" s="938"/>
      <c r="U48" s="363"/>
      <c r="V48" s="363"/>
      <c r="W48" s="938"/>
      <c r="X48" s="284"/>
      <c r="Y48" s="284"/>
      <c r="Z48" s="284"/>
      <c r="AA48" s="284"/>
      <c r="AB48" s="284"/>
      <c r="AC48" s="284"/>
      <c r="AD48" s="284"/>
      <c r="AE48" s="284"/>
      <c r="AF48" s="285"/>
    </row>
    <row r="49" spans="1:31" ht="13.5" customHeight="1">
      <c r="A49" s="283">
        <v>3</v>
      </c>
      <c r="B49" s="283" t="str">
        <f>+B25</f>
        <v>April</v>
      </c>
      <c r="C49" s="283" t="str">
        <f>+C25</f>
        <v>Year 2</v>
      </c>
      <c r="D49" s="287" t="str">
        <f>+D10</f>
        <v>TO adds weighted Cap Adds to plant in service in Formula</v>
      </c>
      <c r="E49" s="284"/>
      <c r="F49" s="284"/>
      <c r="G49" s="284"/>
      <c r="H49" s="284"/>
      <c r="I49" s="284"/>
      <c r="J49" s="284"/>
      <c r="K49" s="284"/>
      <c r="L49" s="292"/>
      <c r="M49" s="292"/>
      <c r="N49" s="284"/>
      <c r="O49" s="284"/>
      <c r="P49" s="1177" t="s">
        <v>1133</v>
      </c>
      <c r="Q49" s="1178"/>
      <c r="R49" s="1179"/>
      <c r="S49" s="1189">
        <v>58</v>
      </c>
      <c r="T49"/>
      <c r="U49"/>
      <c r="V49"/>
      <c r="W49"/>
      <c r="X49" s="284"/>
      <c r="Y49" s="284"/>
      <c r="Z49" s="284"/>
      <c r="AA49" s="284"/>
      <c r="AB49" s="284"/>
      <c r="AC49" s="284"/>
      <c r="AD49" s="284"/>
      <c r="AE49" s="285"/>
    </row>
    <row r="50" spans="1:31" ht="13.5" customHeight="1">
      <c r="A50" s="283"/>
      <c r="B50" s="283"/>
      <c r="C50" s="283"/>
      <c r="D50" s="409">
        <v>0</v>
      </c>
      <c r="E50" s="353"/>
      <c r="F50" s="292"/>
      <c r="G50" s="291" t="str">
        <f>"Must run Appendix A to get this number (with inputs in lines "&amp;'Appendix A'!A39&amp;" and "&amp;'Appendix A'!A72&amp;" of Appendix A)"</f>
        <v>Must run Appendix A to get this number (with inputs in lines 16 and 34 of Appendix A)</v>
      </c>
      <c r="H50" s="292"/>
      <c r="I50" s="284"/>
      <c r="J50" s="284"/>
      <c r="K50" s="284"/>
      <c r="L50" s="292"/>
      <c r="M50" s="292"/>
      <c r="N50" s="284"/>
      <c r="O50" s="284"/>
      <c r="P50" s="1182" t="s">
        <v>1139</v>
      </c>
      <c r="Q50" s="1179"/>
      <c r="R50" s="1179"/>
      <c r="S50" s="1183"/>
      <c r="T50" s="284"/>
      <c r="U50" s="284"/>
      <c r="V50" s="284"/>
      <c r="W50" s="284"/>
      <c r="X50" s="284"/>
      <c r="Y50" s="284"/>
      <c r="Z50" s="284"/>
      <c r="AA50" s="284"/>
      <c r="AB50" s="284"/>
      <c r="AC50" s="284"/>
      <c r="AD50" s="284"/>
      <c r="AE50" s="285"/>
    </row>
    <row r="51" spans="1:31" ht="13.5" customHeight="1">
      <c r="A51" s="283"/>
      <c r="B51" s="283"/>
      <c r="C51" s="283"/>
      <c r="D51" s="294"/>
      <c r="E51" s="283"/>
      <c r="F51" s="292"/>
      <c r="G51" s="283"/>
      <c r="H51" s="292"/>
      <c r="I51" s="284"/>
      <c r="J51" s="284"/>
      <c r="K51" s="284"/>
      <c r="L51" s="284"/>
      <c r="M51" s="284"/>
      <c r="N51" s="284"/>
      <c r="O51" s="284"/>
      <c r="P51" s="1174" t="s">
        <v>147</v>
      </c>
      <c r="Q51" s="1186">
        <v>11.5</v>
      </c>
      <c r="R51" s="1173"/>
      <c r="S51" s="1180">
        <f t="shared" ref="S51:S62" si="9">+$L32/S$49/12*$Q51</f>
        <v>0</v>
      </c>
      <c r="T51" s="284"/>
      <c r="U51" s="284"/>
      <c r="V51" s="284"/>
      <c r="W51" s="284"/>
      <c r="X51" s="284"/>
      <c r="Y51" s="284"/>
      <c r="Z51" s="284"/>
      <c r="AA51" s="284"/>
      <c r="AB51" s="284"/>
      <c r="AC51" s="284"/>
      <c r="AD51" s="284"/>
      <c r="AE51" s="285"/>
    </row>
    <row r="52" spans="1:31" ht="13.5" customHeight="1">
      <c r="A52" s="283">
        <v>4</v>
      </c>
      <c r="B52" s="283" t="str">
        <f>+B11</f>
        <v>May</v>
      </c>
      <c r="C52" s="283" t="str">
        <f>+C49</f>
        <v>Year 2</v>
      </c>
      <c r="D52" s="284" t="str">
        <f>+D11</f>
        <v>Post results of Step 3</v>
      </c>
      <c r="E52" s="284"/>
      <c r="F52" s="284"/>
      <c r="G52" s="284"/>
      <c r="H52" s="284"/>
      <c r="I52" s="284"/>
      <c r="J52" s="284"/>
      <c r="K52" s="284"/>
      <c r="L52" s="284"/>
      <c r="M52" s="284"/>
      <c r="N52" s="284"/>
      <c r="O52" s="284"/>
      <c r="P52" s="1174" t="s">
        <v>148</v>
      </c>
      <c r="Q52" s="1186">
        <f>+Q51-1</f>
        <v>10.5</v>
      </c>
      <c r="R52" s="1173"/>
      <c r="S52" s="1180">
        <f t="shared" si="9"/>
        <v>0</v>
      </c>
      <c r="T52" s="284"/>
      <c r="U52" s="284"/>
      <c r="V52" s="284"/>
      <c r="W52" s="284"/>
      <c r="X52" s="284"/>
      <c r="Y52" s="284"/>
      <c r="Z52" s="284"/>
      <c r="AA52" s="284"/>
      <c r="AB52" s="284"/>
      <c r="AC52" s="284"/>
      <c r="AD52" s="284"/>
      <c r="AE52" s="285"/>
    </row>
    <row r="53" spans="1:31" ht="13.5" customHeight="1">
      <c r="A53" s="283"/>
      <c r="B53" s="283"/>
      <c r="C53" s="283"/>
      <c r="D53" s="408">
        <f>+D50</f>
        <v>0</v>
      </c>
      <c r="F53" s="294"/>
      <c r="G53" s="291" t="str">
        <f>"Must run Appendix A to get this number (with inputs in lines "&amp;'Appendix A'!A39&amp;" and "&amp;'Appendix A'!A72&amp;" of Appendix A)"</f>
        <v>Must run Appendix A to get this number (with inputs in lines 16 and 34 of Appendix A)</v>
      </c>
      <c r="H53" s="284"/>
      <c r="I53" s="284"/>
      <c r="J53" s="284"/>
      <c r="K53" s="284"/>
      <c r="L53" s="284"/>
      <c r="M53" s="284"/>
      <c r="N53" s="284"/>
      <c r="O53" s="284"/>
      <c r="P53" s="1174" t="s">
        <v>149</v>
      </c>
      <c r="Q53" s="1186">
        <f t="shared" ref="Q53:Q62" si="10">+Q52-1</f>
        <v>9.5</v>
      </c>
      <c r="R53" s="1173"/>
      <c r="S53" s="1180">
        <f t="shared" si="9"/>
        <v>0</v>
      </c>
      <c r="T53" s="284"/>
      <c r="U53" s="284"/>
      <c r="V53" s="284"/>
      <c r="W53" s="284"/>
      <c r="X53" s="284"/>
      <c r="Y53" s="284"/>
      <c r="Z53" s="284"/>
      <c r="AA53" s="284"/>
      <c r="AB53" s="284"/>
      <c r="AC53" s="284"/>
      <c r="AD53" s="284"/>
      <c r="AE53" s="285"/>
    </row>
    <row r="54" spans="1:31" ht="13.5" customHeight="1">
      <c r="A54" s="283"/>
      <c r="B54" s="283"/>
      <c r="C54" s="283"/>
      <c r="D54" s="295"/>
      <c r="E54" s="284"/>
      <c r="F54" s="284"/>
      <c r="G54" s="284"/>
      <c r="H54" s="284"/>
      <c r="I54" s="284"/>
      <c r="J54" s="284"/>
      <c r="K54" s="284"/>
      <c r="L54" s="284"/>
      <c r="M54" s="284"/>
      <c r="N54" s="284"/>
      <c r="O54" s="284"/>
      <c r="P54" s="1174" t="s">
        <v>150</v>
      </c>
      <c r="Q54" s="1186">
        <f t="shared" si="10"/>
        <v>8.5</v>
      </c>
      <c r="R54" s="1173"/>
      <c r="S54" s="1180">
        <f t="shared" si="9"/>
        <v>0</v>
      </c>
      <c r="T54" s="284"/>
      <c r="U54" s="284"/>
      <c r="V54" s="284"/>
      <c r="W54" s="284"/>
      <c r="X54" s="284"/>
      <c r="Y54" s="284"/>
      <c r="Z54" s="284"/>
      <c r="AA54" s="284"/>
      <c r="AB54" s="284"/>
      <c r="AC54" s="284"/>
      <c r="AD54" s="284"/>
      <c r="AE54" s="285"/>
    </row>
    <row r="55" spans="1:31" ht="13.5" customHeight="1">
      <c r="A55" s="283">
        <f>+A12</f>
        <v>5</v>
      </c>
      <c r="B55" s="283" t="str">
        <f>+B12</f>
        <v>June</v>
      </c>
      <c r="C55" s="283" t="str">
        <f>+C12</f>
        <v>Year 2</v>
      </c>
      <c r="D55" s="287" t="str">
        <f>+D12</f>
        <v>Results of Step 3 go into effect for the Rate Year 1 (e.g., June 1, 2011 - May 31, 2012)</v>
      </c>
      <c r="E55" s="284"/>
      <c r="F55" s="284"/>
      <c r="G55" s="284"/>
      <c r="H55" s="284"/>
      <c r="I55" s="284"/>
      <c r="J55" s="284"/>
      <c r="K55" s="284"/>
      <c r="L55" s="284"/>
      <c r="M55" s="284"/>
      <c r="N55" s="284"/>
      <c r="O55" s="284"/>
      <c r="P55" s="1174" t="s">
        <v>144</v>
      </c>
      <c r="Q55" s="1186">
        <f t="shared" si="10"/>
        <v>7.5</v>
      </c>
      <c r="R55" s="1173"/>
      <c r="S55" s="1180">
        <f t="shared" si="9"/>
        <v>0</v>
      </c>
      <c r="T55" s="284"/>
      <c r="U55" s="284"/>
      <c r="V55" s="284"/>
      <c r="W55" s="284"/>
      <c r="X55" s="284"/>
      <c r="Y55" s="284"/>
      <c r="Z55" s="284"/>
      <c r="AA55" s="284"/>
      <c r="AB55" s="284"/>
      <c r="AC55" s="284"/>
      <c r="AD55" s="284"/>
      <c r="AE55" s="285"/>
    </row>
    <row r="56" spans="1:31" ht="13.5" customHeight="1">
      <c r="A56" s="283"/>
      <c r="B56" s="283"/>
      <c r="C56" s="283"/>
      <c r="D56" s="409">
        <f>+D53</f>
        <v>0</v>
      </c>
      <c r="E56" s="284"/>
      <c r="F56" s="284"/>
      <c r="G56" s="284"/>
      <c r="H56" s="284"/>
      <c r="I56" s="284"/>
      <c r="J56" s="284"/>
      <c r="K56" s="284"/>
      <c r="L56" s="284"/>
      <c r="M56" s="284"/>
      <c r="N56" s="284"/>
      <c r="O56" s="284"/>
      <c r="P56" s="1174" t="s">
        <v>151</v>
      </c>
      <c r="Q56" s="1186">
        <f t="shared" si="10"/>
        <v>6.5</v>
      </c>
      <c r="R56" s="1173"/>
      <c r="S56" s="1180">
        <f t="shared" si="9"/>
        <v>0</v>
      </c>
      <c r="T56" s="284"/>
      <c r="U56" s="284"/>
      <c r="V56" s="284"/>
      <c r="W56" s="284"/>
      <c r="X56" s="284"/>
      <c r="Y56" s="284"/>
      <c r="Z56" s="284"/>
      <c r="AA56" s="284"/>
      <c r="AB56" s="284"/>
      <c r="AC56" s="284"/>
      <c r="AD56" s="284"/>
      <c r="AE56" s="285"/>
    </row>
    <row r="57" spans="1:31" ht="13.5" customHeight="1">
      <c r="A57" s="296"/>
      <c r="B57" s="296"/>
      <c r="C57" s="296"/>
      <c r="D57" s="297"/>
      <c r="E57" s="297"/>
      <c r="F57" s="297"/>
      <c r="G57" s="297"/>
      <c r="H57" s="297"/>
      <c r="I57" s="297"/>
      <c r="J57" s="297"/>
      <c r="K57" s="297"/>
      <c r="L57" s="284"/>
      <c r="M57" s="284"/>
      <c r="N57" s="284"/>
      <c r="O57" s="284"/>
      <c r="P57" s="1174" t="s">
        <v>152</v>
      </c>
      <c r="Q57" s="1186">
        <f t="shared" si="10"/>
        <v>5.5</v>
      </c>
      <c r="R57" s="1173"/>
      <c r="S57" s="1180">
        <f t="shared" si="9"/>
        <v>0</v>
      </c>
      <c r="T57" s="284"/>
      <c r="U57" s="284"/>
      <c r="V57" s="284"/>
      <c r="W57" s="284"/>
      <c r="X57" s="284"/>
      <c r="Y57" s="284"/>
      <c r="Z57" s="284"/>
      <c r="AA57" s="284"/>
      <c r="AB57" s="284"/>
      <c r="AC57" s="284"/>
      <c r="AD57" s="284"/>
      <c r="AE57" s="285"/>
    </row>
    <row r="58" spans="1:31" ht="13.5" customHeight="1">
      <c r="A58" s="296"/>
      <c r="B58" s="296"/>
      <c r="C58" s="296"/>
      <c r="D58" s="297"/>
      <c r="E58" s="297"/>
      <c r="F58" s="297"/>
      <c r="G58" s="297"/>
      <c r="H58" s="297"/>
      <c r="I58" s="297"/>
      <c r="J58" s="298"/>
      <c r="K58" s="297"/>
      <c r="L58" s="284"/>
      <c r="M58" s="284"/>
      <c r="N58" s="284"/>
      <c r="O58" s="284"/>
      <c r="P58" s="1174" t="s">
        <v>153</v>
      </c>
      <c r="Q58" s="1186">
        <f t="shared" si="10"/>
        <v>4.5</v>
      </c>
      <c r="R58" s="1173"/>
      <c r="S58" s="1180">
        <f t="shared" si="9"/>
        <v>0</v>
      </c>
      <c r="T58" s="284"/>
      <c r="U58" s="284"/>
      <c r="V58" s="284"/>
      <c r="W58" s="284"/>
      <c r="X58" s="284"/>
      <c r="Y58" s="284"/>
      <c r="Z58" s="284"/>
      <c r="AA58" s="284"/>
      <c r="AB58" s="284"/>
      <c r="AC58" s="284"/>
      <c r="AD58" s="284"/>
      <c r="AE58" s="285"/>
    </row>
    <row r="59" spans="1:31" ht="13.5" customHeight="1">
      <c r="A59" s="296"/>
      <c r="B59" s="296"/>
      <c r="C59" s="296"/>
      <c r="D59" s="297"/>
      <c r="E59" s="297"/>
      <c r="F59" s="297"/>
      <c r="G59" s="297"/>
      <c r="H59" s="297"/>
      <c r="I59" s="297"/>
      <c r="J59" s="298"/>
      <c r="K59" s="297"/>
      <c r="L59" s="284"/>
      <c r="M59" s="284"/>
      <c r="N59" s="284"/>
      <c r="O59" s="284"/>
      <c r="P59" s="1174" t="s">
        <v>154</v>
      </c>
      <c r="Q59" s="1186">
        <f t="shared" si="10"/>
        <v>3.5</v>
      </c>
      <c r="R59" s="1173"/>
      <c r="S59" s="1180">
        <f t="shared" si="9"/>
        <v>0</v>
      </c>
      <c r="T59" s="284"/>
      <c r="U59" s="284"/>
      <c r="V59" s="284"/>
      <c r="W59" s="284"/>
      <c r="X59" s="284"/>
      <c r="Y59" s="284"/>
      <c r="Z59" s="284"/>
      <c r="AA59" s="284"/>
      <c r="AB59" s="284"/>
      <c r="AC59" s="284"/>
      <c r="AD59" s="284"/>
      <c r="AE59" s="285"/>
    </row>
    <row r="60" spans="1:31" ht="13.5" customHeight="1">
      <c r="A60" s="283">
        <f>+A14</f>
        <v>6</v>
      </c>
      <c r="B60" s="283" t="str">
        <f>+B14</f>
        <v>April</v>
      </c>
      <c r="C60" s="283" t="str">
        <f>+C14</f>
        <v>Year 3</v>
      </c>
      <c r="D60" s="287" t="str">
        <f>+D14</f>
        <v>TO populates the formula with Year 2 data from FERC Form No. 1 for Year 2 (e.g., 2011)</v>
      </c>
      <c r="E60" s="284"/>
      <c r="F60" s="284"/>
      <c r="G60" s="284"/>
      <c r="H60" s="284"/>
      <c r="I60" s="284"/>
      <c r="J60" s="284"/>
      <c r="K60" s="284"/>
      <c r="L60" s="284"/>
      <c r="M60" s="284"/>
      <c r="N60" s="284"/>
      <c r="O60" s="284"/>
      <c r="P60" s="1174" t="s">
        <v>155</v>
      </c>
      <c r="Q60" s="1186">
        <f t="shared" si="10"/>
        <v>2.5</v>
      </c>
      <c r="R60" s="1173"/>
      <c r="S60" s="1180">
        <f t="shared" si="9"/>
        <v>0</v>
      </c>
      <c r="T60" s="284"/>
      <c r="U60" s="284"/>
      <c r="V60" s="284"/>
      <c r="W60" s="284"/>
      <c r="X60" s="284"/>
      <c r="Y60" s="284"/>
      <c r="Z60" s="284"/>
      <c r="AA60" s="284"/>
      <c r="AB60" s="284"/>
      <c r="AC60" s="284"/>
      <c r="AD60" s="284"/>
      <c r="AE60" s="285"/>
    </row>
    <row r="61" spans="1:31" ht="13.5" customHeight="1">
      <c r="A61" s="283"/>
      <c r="B61" s="283"/>
      <c r="C61" s="283"/>
      <c r="D61" s="410">
        <f>D56</f>
        <v>0</v>
      </c>
      <c r="E61" s="284" t="s">
        <v>172</v>
      </c>
      <c r="F61" s="284"/>
      <c r="G61" s="291" t="str">
        <f>"Must run Appendix A to get this number (without inputs in lines "&amp;'Appendix A'!A39&amp;" or "&amp;'Appendix A'!A72&amp;" of Appendix A)"</f>
        <v>Must run Appendix A to get this number (without inputs in lines 16 or 34 of Appendix A)</v>
      </c>
      <c r="H61" s="284"/>
      <c r="I61" s="284"/>
      <c r="K61" s="284"/>
      <c r="L61" s="284"/>
      <c r="M61" s="284"/>
      <c r="N61" s="284"/>
      <c r="O61" s="284"/>
      <c r="P61" s="1174" t="s">
        <v>156</v>
      </c>
      <c r="Q61" s="1186">
        <f t="shared" si="10"/>
        <v>1.5</v>
      </c>
      <c r="R61" s="1173"/>
      <c r="S61" s="1180">
        <f t="shared" si="9"/>
        <v>0</v>
      </c>
      <c r="T61" s="284"/>
      <c r="U61" s="284"/>
      <c r="V61" s="284"/>
      <c r="W61" s="284"/>
      <c r="X61" s="284"/>
      <c r="Y61" s="284"/>
      <c r="Z61" s="284"/>
      <c r="AA61" s="284"/>
      <c r="AB61" s="284"/>
      <c r="AC61" s="284"/>
      <c r="AD61" s="284"/>
      <c r="AE61" s="285"/>
    </row>
    <row r="62" spans="1:31" ht="13.5" customHeight="1">
      <c r="A62" s="283"/>
      <c r="B62" s="283"/>
      <c r="C62" s="283"/>
      <c r="D62" s="329"/>
      <c r="E62" s="284"/>
      <c r="F62" s="284"/>
      <c r="G62" s="329"/>
      <c r="H62" s="284"/>
      <c r="I62" s="284"/>
      <c r="J62" s="284"/>
      <c r="K62" s="284"/>
      <c r="L62" s="284"/>
      <c r="M62" s="284"/>
      <c r="N62" s="284"/>
      <c r="O62" s="284"/>
      <c r="P62" s="1185" t="s">
        <v>157</v>
      </c>
      <c r="Q62" s="1187">
        <f t="shared" si="10"/>
        <v>0.5</v>
      </c>
      <c r="R62" s="1181"/>
      <c r="S62" s="1184">
        <f t="shared" si="9"/>
        <v>0</v>
      </c>
      <c r="T62" s="284"/>
      <c r="U62" s="284"/>
      <c r="V62" s="284"/>
      <c r="W62" s="284"/>
      <c r="X62" s="284"/>
      <c r="Y62" s="284"/>
      <c r="Z62" s="284"/>
      <c r="AA62" s="284"/>
      <c r="AB62" s="284"/>
      <c r="AC62" s="284"/>
      <c r="AD62" s="284"/>
      <c r="AE62" s="285"/>
    </row>
    <row r="63" spans="1:31" ht="13.5" customHeight="1">
      <c r="A63" s="283"/>
      <c r="B63" s="283"/>
      <c r="C63" s="283"/>
      <c r="D63" s="300"/>
      <c r="E63" s="284"/>
      <c r="F63" s="284"/>
      <c r="G63" s="284"/>
      <c r="H63" s="284"/>
      <c r="I63" s="284"/>
      <c r="J63" s="284"/>
      <c r="K63" s="284"/>
      <c r="L63" s="284"/>
      <c r="M63" s="284"/>
      <c r="N63" s="284"/>
      <c r="O63" s="284"/>
      <c r="P63" s="1188" t="s">
        <v>1134</v>
      </c>
      <c r="Q63" s="1175"/>
      <c r="R63" s="1175"/>
      <c r="S63" s="1176">
        <f>SUM(S51:S62)</f>
        <v>0</v>
      </c>
      <c r="T63" s="284"/>
      <c r="U63" s="284"/>
      <c r="V63" s="284"/>
      <c r="W63" s="284"/>
      <c r="X63" s="293"/>
      <c r="Y63" s="284"/>
      <c r="Z63" s="284"/>
      <c r="AA63" s="284"/>
      <c r="AB63" s="284"/>
      <c r="AC63" s="284"/>
      <c r="AD63" s="284"/>
      <c r="AE63" s="285"/>
    </row>
    <row r="64" spans="1:31" ht="13.5" customHeight="1">
      <c r="A64" s="283"/>
      <c r="B64" s="283"/>
      <c r="C64" s="283"/>
      <c r="D64" s="284"/>
      <c r="E64" s="284"/>
      <c r="F64" s="284"/>
      <c r="G64" s="284"/>
      <c r="H64" s="292"/>
      <c r="I64" s="284"/>
      <c r="J64" s="284"/>
      <c r="K64" s="284"/>
      <c r="L64" s="284"/>
      <c r="M64" s="284"/>
      <c r="N64" s="284"/>
      <c r="O64" s="284"/>
      <c r="T64" s="284"/>
      <c r="U64" s="284"/>
      <c r="V64" s="284"/>
      <c r="W64" s="284"/>
      <c r="X64" s="284"/>
      <c r="Y64" s="284"/>
      <c r="Z64" s="284"/>
      <c r="AA64" s="284"/>
      <c r="AB64" s="284"/>
      <c r="AC64" s="284"/>
      <c r="AD64" s="284"/>
      <c r="AE64" s="285"/>
    </row>
    <row r="65" spans="1:38" ht="13.5" customHeight="1">
      <c r="A65" s="283">
        <v>7</v>
      </c>
      <c r="B65" s="283" t="str">
        <f>+B15</f>
        <v>April</v>
      </c>
      <c r="C65" s="283" t="str">
        <f>+C15</f>
        <v>Year 3</v>
      </c>
      <c r="D65" s="287" t="str">
        <f>+D15</f>
        <v>Reconciliation - actual data</v>
      </c>
      <c r="E65" s="289"/>
      <c r="F65" s="289"/>
      <c r="G65" s="289"/>
      <c r="H65" s="289"/>
      <c r="I65" s="289"/>
      <c r="J65" s="289"/>
      <c r="K65" s="284"/>
      <c r="L65" s="284"/>
      <c r="M65" s="284"/>
      <c r="N65" s="284"/>
      <c r="O65" s="284"/>
      <c r="P65" s="284"/>
      <c r="Q65" s="284"/>
      <c r="R65" s="284"/>
      <c r="S65" s="284"/>
      <c r="T65" s="284"/>
      <c r="U65" s="284"/>
      <c r="V65" s="284"/>
      <c r="W65" s="284"/>
      <c r="X65" s="284"/>
      <c r="Y65" s="284"/>
      <c r="Z65" s="284"/>
      <c r="AA65" s="284"/>
      <c r="AB65" s="284"/>
      <c r="AC65" s="284"/>
      <c r="AD65" s="284"/>
      <c r="AE65" s="285"/>
    </row>
    <row r="66" spans="1:38" ht="13.5" customHeight="1">
      <c r="A66" s="283"/>
      <c r="B66" s="283"/>
      <c r="C66" s="283"/>
      <c r="D66" s="410">
        <f>D61</f>
        <v>0</v>
      </c>
      <c r="E66" s="299" t="s">
        <v>299</v>
      </c>
      <c r="F66" s="284"/>
      <c r="G66" s="291" t="str">
        <f>"Must run Appendix A to get this number (with inputs in lines "&amp;'Appendix A'!A39&amp;" and "&amp;'Appendix A'!A72&amp;" of Appendix A)"</f>
        <v>Must run Appendix A to get this number (with inputs in lines 16 and 34 of Appendix A)</v>
      </c>
      <c r="H66" s="284"/>
      <c r="I66" s="284"/>
      <c r="J66" s="284"/>
      <c r="K66" s="284"/>
      <c r="L66" s="292"/>
      <c r="M66" s="292"/>
      <c r="N66" s="284"/>
      <c r="P66"/>
      <c r="Q66"/>
      <c r="R66"/>
      <c r="S66"/>
      <c r="T66"/>
      <c r="U66"/>
      <c r="V66"/>
      <c r="W66"/>
      <c r="X66" s="284"/>
      <c r="Y66" s="284"/>
      <c r="Z66" s="284"/>
      <c r="AA66" s="284"/>
      <c r="AB66" s="293"/>
      <c r="AC66" s="284"/>
      <c r="AD66" s="284"/>
      <c r="AE66" s="284"/>
      <c r="AF66" s="284"/>
      <c r="AG66" s="284"/>
      <c r="AH66" s="284"/>
      <c r="AI66" s="284"/>
      <c r="AJ66" s="284"/>
      <c r="AK66" s="284"/>
      <c r="AL66" s="285"/>
    </row>
    <row r="67" spans="1:38" ht="13.5" customHeight="1">
      <c r="B67" s="283"/>
      <c r="C67" s="283"/>
      <c r="E67" s="284"/>
      <c r="F67" s="284"/>
      <c r="G67" s="301"/>
      <c r="H67" s="303"/>
      <c r="I67" s="301"/>
      <c r="J67" s="284"/>
      <c r="K67" s="284"/>
      <c r="L67" s="284"/>
      <c r="M67" s="284"/>
      <c r="N67" s="284"/>
      <c r="O67" s="284"/>
      <c r="P67" s="284"/>
      <c r="Q67" s="284"/>
      <c r="R67" s="284"/>
      <c r="S67" s="284"/>
      <c r="T67" s="284"/>
      <c r="U67" s="284"/>
      <c r="V67" s="284"/>
      <c r="W67" s="284"/>
      <c r="X67" s="284"/>
      <c r="Y67" s="284"/>
      <c r="Z67" s="284"/>
      <c r="AA67" s="284"/>
      <c r="AB67" s="284"/>
      <c r="AC67" s="284"/>
      <c r="AD67" s="284"/>
      <c r="AE67" s="285"/>
    </row>
    <row r="68" spans="1:38" ht="13.5" customHeight="1">
      <c r="A68" s="283"/>
      <c r="B68" s="283"/>
      <c r="C68" s="283"/>
      <c r="D68" s="299"/>
      <c r="E68" s="284"/>
      <c r="F68" s="284"/>
      <c r="G68" s="301"/>
      <c r="H68" s="303"/>
      <c r="I68" s="301"/>
      <c r="J68" s="284"/>
      <c r="K68" s="284"/>
      <c r="L68" s="284"/>
      <c r="M68" s="284"/>
      <c r="N68" s="284"/>
      <c r="O68" s="284"/>
      <c r="P68" s="284"/>
      <c r="Q68" s="284"/>
      <c r="R68" s="284"/>
      <c r="S68" s="292"/>
      <c r="T68" s="284"/>
      <c r="U68" s="284"/>
      <c r="V68" s="284"/>
      <c r="W68" s="284"/>
      <c r="X68" s="284"/>
      <c r="Y68" s="284"/>
      <c r="Z68" s="284"/>
      <c r="AA68" s="284"/>
      <c r="AB68" s="284"/>
      <c r="AC68" s="284"/>
      <c r="AD68" s="284"/>
      <c r="AE68" s="285"/>
    </row>
    <row r="69" spans="1:38" s="404" customFormat="1" ht="13.5" customHeight="1">
      <c r="A69" s="399"/>
      <c r="B69" s="400"/>
      <c r="C69" s="400"/>
      <c r="D69" s="748">
        <v>0</v>
      </c>
      <c r="E69" s="357" t="s">
        <v>647</v>
      </c>
      <c r="F69" s="357"/>
      <c r="G69" s="401"/>
      <c r="H69" s="402"/>
      <c r="I69" s="401"/>
      <c r="J69" s="357"/>
      <c r="K69" s="357"/>
      <c r="L69" s="357"/>
      <c r="M69" s="357"/>
      <c r="N69" s="357"/>
      <c r="O69" s="357"/>
      <c r="P69" s="357"/>
      <c r="Q69" s="357"/>
      <c r="R69" s="357"/>
      <c r="S69" s="357"/>
      <c r="T69" s="357"/>
      <c r="U69" s="357"/>
      <c r="V69" s="357"/>
      <c r="W69" s="357"/>
      <c r="X69" s="357"/>
      <c r="Y69" s="357"/>
      <c r="Z69" s="357"/>
      <c r="AA69" s="357"/>
      <c r="AB69" s="357"/>
      <c r="AC69" s="357"/>
      <c r="AD69" s="357"/>
      <c r="AE69" s="403"/>
    </row>
    <row r="70" spans="1:38" s="404" customFormat="1" ht="13.5">
      <c r="A70" s="399"/>
      <c r="B70" s="400"/>
      <c r="C70" s="400"/>
      <c r="E70" s="357"/>
      <c r="F70" s="357"/>
      <c r="G70" s="401"/>
      <c r="H70" s="402"/>
      <c r="I70" s="401"/>
      <c r="J70" s="357"/>
      <c r="K70" s="357"/>
      <c r="L70" s="357"/>
      <c r="M70" s="357"/>
      <c r="N70" s="357"/>
      <c r="O70" s="357"/>
      <c r="P70" s="357"/>
      <c r="Q70" s="357"/>
      <c r="R70" s="357"/>
      <c r="S70" s="357"/>
      <c r="T70" s="357"/>
      <c r="U70" s="357"/>
      <c r="V70" s="357"/>
      <c r="W70" s="357"/>
      <c r="X70" s="357"/>
      <c r="Y70" s="357"/>
      <c r="Z70" s="357"/>
      <c r="AA70" s="357"/>
      <c r="AB70" s="357"/>
      <c r="AC70" s="357"/>
      <c r="AD70" s="357"/>
      <c r="AE70" s="403"/>
    </row>
    <row r="71" spans="1:38" ht="15.75">
      <c r="A71" s="305"/>
      <c r="B71" s="305"/>
      <c r="C71" s="305"/>
      <c r="D71" s="306"/>
      <c r="E71" s="306"/>
      <c r="F71" s="306"/>
      <c r="G71" s="306"/>
      <c r="H71" s="306"/>
      <c r="I71" s="306"/>
      <c r="J71" s="306"/>
      <c r="K71" s="306"/>
      <c r="L71" s="306"/>
      <c r="M71" s="306"/>
      <c r="N71" s="306"/>
      <c r="O71" s="306"/>
      <c r="P71" s="306"/>
      <c r="Q71" s="306"/>
      <c r="R71" s="306"/>
      <c r="S71" s="306"/>
      <c r="T71" s="306"/>
      <c r="U71" s="306"/>
      <c r="V71" s="306"/>
      <c r="W71" s="306"/>
      <c r="X71" s="306"/>
      <c r="Y71" s="306"/>
      <c r="Z71" s="306"/>
      <c r="AA71" s="306"/>
      <c r="AB71" s="306"/>
      <c r="AC71" s="306"/>
      <c r="AD71" s="306"/>
    </row>
    <row r="72" spans="1:38" ht="15.75">
      <c r="A72" s="305"/>
      <c r="B72" s="305"/>
      <c r="C72" s="305"/>
      <c r="D72" s="306"/>
      <c r="E72" s="306"/>
      <c r="F72" s="306"/>
      <c r="G72" s="306"/>
      <c r="H72" s="306"/>
      <c r="I72" s="306"/>
      <c r="J72" s="306"/>
      <c r="K72" s="306"/>
      <c r="L72" s="306"/>
      <c r="M72" s="306"/>
      <c r="N72" s="306"/>
      <c r="O72" s="306"/>
      <c r="P72" s="306"/>
      <c r="Q72" s="306"/>
      <c r="R72" s="306"/>
      <c r="S72" s="306"/>
      <c r="T72" s="306"/>
      <c r="U72" s="306"/>
      <c r="V72" s="306"/>
      <c r="W72" s="306"/>
      <c r="X72" s="306"/>
      <c r="Y72" s="306"/>
      <c r="Z72" s="306"/>
      <c r="AA72" s="306"/>
      <c r="AB72" s="306"/>
      <c r="AC72" s="306"/>
      <c r="AD72" s="306"/>
    </row>
    <row r="73" spans="1:38" ht="15.75">
      <c r="A73" s="305"/>
      <c r="B73" s="305"/>
      <c r="C73" s="305"/>
      <c r="D73" s="306"/>
      <c r="E73" s="306"/>
      <c r="F73" s="306"/>
      <c r="G73" s="306"/>
      <c r="H73" s="306"/>
      <c r="I73" s="306"/>
      <c r="J73" s="306"/>
      <c r="K73" s="306"/>
      <c r="L73" s="306"/>
      <c r="M73" s="306"/>
      <c r="N73" s="306"/>
      <c r="O73" s="306"/>
      <c r="P73" s="306"/>
      <c r="Q73" s="306"/>
      <c r="R73" s="306"/>
      <c r="S73" s="306"/>
      <c r="T73" s="306"/>
      <c r="U73" s="306"/>
      <c r="V73" s="306"/>
      <c r="W73" s="306"/>
      <c r="X73" s="306"/>
      <c r="Y73" s="306"/>
      <c r="Z73" s="306"/>
      <c r="AA73" s="306"/>
      <c r="AB73" s="306"/>
      <c r="AC73" s="306"/>
      <c r="AD73" s="306"/>
    </row>
    <row r="74" spans="1:38" ht="15.75">
      <c r="A74" s="305"/>
      <c r="B74" s="305"/>
      <c r="C74" s="305"/>
      <c r="D74" s="306"/>
      <c r="E74" s="306"/>
      <c r="F74" s="306"/>
      <c r="G74" s="306"/>
      <c r="H74" s="306"/>
      <c r="I74" s="306"/>
      <c r="J74" s="306"/>
      <c r="K74" s="306"/>
      <c r="L74" s="306"/>
      <c r="M74" s="306"/>
      <c r="N74" s="306"/>
      <c r="O74" s="306"/>
      <c r="P74" s="306"/>
      <c r="Q74" s="306"/>
      <c r="R74" s="306"/>
      <c r="S74" s="306"/>
      <c r="T74" s="306"/>
      <c r="U74" s="306"/>
      <c r="V74" s="306"/>
      <c r="W74" s="306"/>
      <c r="X74" s="306"/>
      <c r="Y74" s="306"/>
      <c r="Z74" s="306"/>
      <c r="AA74" s="306"/>
      <c r="AB74" s="306"/>
      <c r="AC74" s="306"/>
      <c r="AD74" s="306"/>
    </row>
    <row r="75" spans="1:38" ht="15.75">
      <c r="A75" s="305"/>
      <c r="B75" s="305"/>
      <c r="C75" s="305"/>
      <c r="D75" s="306"/>
      <c r="E75" s="306"/>
      <c r="F75" s="306"/>
      <c r="G75" s="306"/>
      <c r="H75" s="306"/>
      <c r="I75" s="306"/>
      <c r="J75" s="306"/>
      <c r="K75" s="306"/>
      <c r="L75" s="306"/>
      <c r="M75" s="306"/>
      <c r="N75" s="306"/>
      <c r="O75" s="306"/>
      <c r="P75" s="306"/>
      <c r="Q75" s="306"/>
      <c r="R75" s="306"/>
      <c r="S75" s="306"/>
      <c r="T75" s="306"/>
      <c r="U75" s="306"/>
      <c r="V75" s="306"/>
      <c r="W75" s="306"/>
      <c r="X75" s="306"/>
      <c r="Y75" s="306"/>
      <c r="Z75" s="306"/>
      <c r="AA75" s="306"/>
      <c r="AB75" s="306"/>
      <c r="AC75" s="306"/>
      <c r="AD75" s="306"/>
    </row>
    <row r="76" spans="1:38" ht="15.75">
      <c r="A76" s="305"/>
      <c r="B76" s="305"/>
      <c r="C76" s="305"/>
      <c r="D76" s="306"/>
      <c r="E76" s="306"/>
      <c r="F76" s="306"/>
      <c r="G76" s="306"/>
      <c r="H76" s="306"/>
      <c r="I76" s="306"/>
      <c r="J76" s="306"/>
      <c r="K76" s="306"/>
      <c r="L76" s="306"/>
      <c r="M76" s="306"/>
      <c r="N76" s="306"/>
      <c r="O76" s="306"/>
      <c r="P76" s="306"/>
      <c r="Q76" s="306"/>
      <c r="R76" s="306"/>
      <c r="S76" s="306"/>
      <c r="T76" s="306"/>
      <c r="U76" s="306"/>
      <c r="V76" s="306"/>
      <c r="W76" s="306"/>
      <c r="X76" s="306"/>
      <c r="Y76" s="306"/>
      <c r="Z76" s="306"/>
      <c r="AA76" s="306"/>
      <c r="AB76" s="306"/>
      <c r="AC76" s="306"/>
      <c r="AD76" s="306"/>
    </row>
    <row r="77" spans="1:38" ht="15.75">
      <c r="A77" s="305"/>
      <c r="B77" s="305"/>
      <c r="C77" s="305"/>
      <c r="D77" s="306"/>
      <c r="E77" s="306"/>
      <c r="F77" s="306"/>
      <c r="G77" s="306"/>
      <c r="H77" s="306"/>
      <c r="I77" s="306"/>
      <c r="J77" s="306"/>
      <c r="K77" s="306"/>
      <c r="L77" s="306"/>
      <c r="M77" s="306"/>
      <c r="N77" s="306"/>
      <c r="O77" s="306"/>
      <c r="P77" s="306"/>
      <c r="Q77" s="306"/>
      <c r="R77" s="306"/>
      <c r="S77" s="306"/>
      <c r="T77" s="306"/>
      <c r="U77" s="306"/>
      <c r="V77" s="306"/>
      <c r="W77" s="306"/>
      <c r="X77" s="306"/>
      <c r="Y77" s="306"/>
      <c r="Z77" s="306"/>
      <c r="AA77" s="306"/>
      <c r="AB77" s="306"/>
      <c r="AC77" s="306"/>
      <c r="AD77" s="306"/>
    </row>
    <row r="78" spans="1:38" ht="15.75">
      <c r="A78" s="305"/>
      <c r="B78" s="305"/>
      <c r="C78" s="305"/>
      <c r="D78" s="306"/>
      <c r="E78" s="306"/>
      <c r="F78" s="306"/>
      <c r="G78" s="306"/>
      <c r="H78" s="306"/>
      <c r="I78" s="306"/>
      <c r="J78" s="306"/>
      <c r="K78" s="306"/>
      <c r="L78" s="306"/>
      <c r="M78" s="306"/>
      <c r="N78" s="306"/>
      <c r="O78" s="306"/>
      <c r="P78" s="306"/>
      <c r="Q78" s="306"/>
      <c r="R78" s="306"/>
      <c r="S78" s="306"/>
      <c r="T78" s="306"/>
      <c r="U78" s="306"/>
      <c r="V78" s="306"/>
      <c r="W78" s="306"/>
      <c r="X78" s="306"/>
      <c r="Y78" s="306"/>
      <c r="Z78" s="306"/>
      <c r="AA78" s="306"/>
      <c r="AB78" s="306"/>
      <c r="AC78" s="306"/>
      <c r="AD78" s="306"/>
    </row>
    <row r="79" spans="1:38" ht="15.75">
      <c r="A79" s="305"/>
      <c r="B79" s="305"/>
      <c r="C79" s="305"/>
      <c r="D79" s="306"/>
      <c r="E79" s="306"/>
      <c r="F79" s="306"/>
      <c r="G79" s="306"/>
      <c r="H79" s="306"/>
      <c r="I79" s="306"/>
      <c r="J79" s="306"/>
      <c r="K79" s="306"/>
      <c r="L79" s="306"/>
      <c r="M79" s="306"/>
      <c r="N79" s="306"/>
      <c r="O79" s="306"/>
      <c r="P79" s="306"/>
      <c r="Q79" s="306"/>
      <c r="R79" s="306"/>
      <c r="S79" s="306"/>
      <c r="T79" s="306"/>
      <c r="U79" s="306"/>
      <c r="V79" s="306"/>
      <c r="W79" s="306"/>
      <c r="X79" s="306"/>
      <c r="Y79" s="306"/>
      <c r="Z79" s="306"/>
      <c r="AA79" s="306"/>
      <c r="AB79" s="306"/>
      <c r="AC79" s="306"/>
      <c r="AD79" s="306"/>
    </row>
    <row r="80" spans="1:38" ht="15.75">
      <c r="A80" s="305"/>
      <c r="B80" s="305"/>
      <c r="C80" s="305"/>
      <c r="D80" s="306"/>
      <c r="E80" s="306"/>
      <c r="F80" s="306"/>
      <c r="G80" s="306"/>
      <c r="H80" s="306"/>
      <c r="I80" s="306"/>
      <c r="J80" s="306"/>
      <c r="K80" s="306"/>
      <c r="L80" s="306"/>
      <c r="M80" s="306"/>
      <c r="N80" s="306"/>
      <c r="O80" s="306"/>
      <c r="P80" s="306"/>
      <c r="Q80" s="306"/>
      <c r="R80" s="306"/>
      <c r="S80" s="306"/>
      <c r="T80" s="306"/>
      <c r="U80" s="306"/>
      <c r="V80" s="306"/>
      <c r="W80" s="306"/>
      <c r="X80" s="306"/>
      <c r="Y80" s="306"/>
      <c r="Z80" s="306"/>
      <c r="AA80" s="306"/>
      <c r="AB80" s="306"/>
      <c r="AC80" s="306"/>
      <c r="AD80" s="306"/>
    </row>
    <row r="81" spans="1:30" ht="15.75">
      <c r="A81" s="305"/>
      <c r="B81" s="305"/>
      <c r="C81" s="305"/>
      <c r="D81" s="306"/>
      <c r="E81" s="306"/>
      <c r="F81" s="306"/>
      <c r="G81" s="306"/>
      <c r="H81" s="306"/>
      <c r="I81" s="306"/>
      <c r="J81" s="306"/>
      <c r="K81" s="306"/>
      <c r="L81" s="306"/>
      <c r="M81" s="306"/>
      <c r="N81" s="306"/>
      <c r="O81" s="306"/>
      <c r="P81" s="306"/>
      <c r="Q81" s="306"/>
      <c r="R81" s="306"/>
      <c r="S81" s="306"/>
      <c r="T81" s="306"/>
      <c r="U81" s="306"/>
      <c r="V81" s="306"/>
      <c r="W81" s="306"/>
      <c r="X81" s="306"/>
      <c r="Y81" s="306"/>
      <c r="Z81" s="306"/>
      <c r="AA81" s="306"/>
      <c r="AB81" s="306"/>
      <c r="AC81" s="306"/>
      <c r="AD81" s="306"/>
    </row>
    <row r="82" spans="1:30" ht="15.75">
      <c r="A82" s="305"/>
      <c r="B82" s="305"/>
      <c r="C82" s="305"/>
      <c r="D82" s="306"/>
      <c r="E82" s="306"/>
      <c r="F82" s="306"/>
      <c r="G82" s="306"/>
      <c r="H82" s="306"/>
      <c r="I82" s="306"/>
      <c r="J82" s="306"/>
      <c r="K82" s="306"/>
      <c r="L82" s="306"/>
      <c r="M82" s="306"/>
      <c r="N82" s="306"/>
      <c r="O82" s="306"/>
      <c r="P82" s="306"/>
      <c r="Q82" s="306"/>
      <c r="R82" s="306"/>
      <c r="S82" s="306"/>
      <c r="T82" s="306"/>
      <c r="U82" s="306"/>
      <c r="V82" s="306"/>
      <c r="W82" s="306"/>
      <c r="X82" s="306"/>
      <c r="Y82" s="306"/>
      <c r="Z82" s="306"/>
      <c r="AA82" s="306"/>
      <c r="AB82" s="306"/>
      <c r="AC82" s="306"/>
      <c r="AD82" s="306"/>
    </row>
    <row r="83" spans="1:30" ht="15.75">
      <c r="A83" s="305"/>
      <c r="B83" s="305"/>
      <c r="C83" s="305"/>
      <c r="D83" s="306"/>
      <c r="E83" s="306"/>
      <c r="F83" s="306"/>
      <c r="G83" s="306"/>
      <c r="H83" s="306"/>
      <c r="I83" s="306"/>
      <c r="J83" s="306"/>
      <c r="K83" s="306"/>
      <c r="L83" s="306"/>
      <c r="M83" s="306"/>
      <c r="N83" s="306"/>
      <c r="O83" s="306"/>
      <c r="P83" s="306"/>
      <c r="Q83" s="306"/>
      <c r="R83" s="306"/>
      <c r="S83" s="306"/>
      <c r="T83" s="306"/>
      <c r="U83" s="306"/>
      <c r="V83" s="306"/>
      <c r="W83" s="306"/>
      <c r="X83" s="306"/>
      <c r="Y83" s="306"/>
      <c r="Z83" s="306"/>
      <c r="AA83" s="306"/>
      <c r="AB83" s="306"/>
      <c r="AC83" s="306"/>
      <c r="AD83" s="306"/>
    </row>
    <row r="84" spans="1:30" ht="15.75">
      <c r="A84" s="305"/>
      <c r="B84" s="305"/>
      <c r="C84" s="305"/>
      <c r="D84" s="306"/>
      <c r="E84" s="306"/>
      <c r="F84" s="306"/>
      <c r="G84" s="306"/>
      <c r="H84" s="306"/>
      <c r="I84" s="306"/>
      <c r="J84" s="306"/>
      <c r="K84" s="306"/>
      <c r="L84" s="306"/>
      <c r="M84" s="306"/>
      <c r="N84" s="306"/>
      <c r="O84" s="306"/>
      <c r="P84" s="306"/>
      <c r="Q84" s="306"/>
      <c r="R84" s="306"/>
      <c r="S84" s="306"/>
      <c r="T84" s="306"/>
      <c r="U84" s="306"/>
      <c r="V84" s="306"/>
      <c r="W84" s="306"/>
      <c r="X84" s="306"/>
      <c r="Y84" s="306"/>
      <c r="Z84" s="306"/>
      <c r="AA84" s="306"/>
      <c r="AB84" s="306"/>
      <c r="AC84" s="306"/>
      <c r="AD84" s="306"/>
    </row>
    <row r="85" spans="1:30" ht="15.75">
      <c r="A85" s="305"/>
      <c r="B85" s="305"/>
      <c r="C85" s="305"/>
      <c r="D85" s="306"/>
      <c r="E85" s="306"/>
      <c r="F85" s="306"/>
      <c r="G85" s="306"/>
      <c r="H85" s="306"/>
      <c r="I85" s="306"/>
      <c r="J85" s="306"/>
      <c r="K85" s="306"/>
      <c r="L85" s="306"/>
      <c r="M85" s="306"/>
      <c r="N85" s="306"/>
      <c r="O85" s="306"/>
      <c r="P85" s="306"/>
      <c r="Q85" s="306"/>
      <c r="R85" s="306"/>
      <c r="S85" s="306"/>
      <c r="T85" s="306"/>
      <c r="U85" s="306"/>
      <c r="V85" s="306"/>
      <c r="W85" s="306"/>
      <c r="X85" s="306"/>
      <c r="Y85" s="306"/>
      <c r="Z85" s="306"/>
      <c r="AA85" s="306"/>
      <c r="AB85" s="306"/>
      <c r="AC85" s="306"/>
      <c r="AD85" s="306"/>
    </row>
    <row r="86" spans="1:30" ht="15.75">
      <c r="A86" s="305"/>
      <c r="B86" s="305"/>
      <c r="C86" s="305"/>
      <c r="D86" s="306"/>
      <c r="E86" s="306"/>
      <c r="F86" s="306"/>
      <c r="G86" s="306"/>
      <c r="H86" s="306"/>
      <c r="I86" s="306"/>
      <c r="J86" s="306"/>
      <c r="K86" s="306"/>
      <c r="L86" s="306"/>
      <c r="M86" s="306"/>
      <c r="N86" s="306"/>
      <c r="O86" s="306"/>
      <c r="P86" s="306"/>
      <c r="Q86" s="306"/>
      <c r="R86" s="306"/>
      <c r="S86" s="306"/>
      <c r="T86" s="306"/>
      <c r="U86" s="306"/>
      <c r="V86" s="306"/>
      <c r="W86" s="306"/>
      <c r="X86" s="306"/>
      <c r="Y86" s="306"/>
      <c r="Z86" s="306"/>
      <c r="AA86" s="306"/>
      <c r="AB86" s="306"/>
      <c r="AC86" s="306"/>
      <c r="AD86" s="306"/>
    </row>
    <row r="87" spans="1:30" ht="15.75">
      <c r="A87" s="305"/>
      <c r="B87" s="305"/>
      <c r="C87" s="305"/>
      <c r="D87" s="306"/>
      <c r="E87" s="306"/>
      <c r="F87" s="306"/>
      <c r="G87" s="306"/>
      <c r="H87" s="306"/>
      <c r="I87" s="306"/>
      <c r="J87" s="306"/>
      <c r="K87" s="306"/>
      <c r="L87" s="306"/>
      <c r="M87" s="306"/>
      <c r="N87" s="306"/>
      <c r="O87" s="306"/>
      <c r="P87" s="306"/>
      <c r="Q87" s="306"/>
      <c r="R87" s="306"/>
      <c r="S87" s="306"/>
      <c r="T87" s="306"/>
      <c r="U87" s="306"/>
      <c r="V87" s="306"/>
      <c r="W87" s="306"/>
      <c r="X87" s="306"/>
      <c r="Y87" s="306"/>
      <c r="Z87" s="306"/>
      <c r="AA87" s="306"/>
      <c r="AB87" s="306"/>
      <c r="AC87" s="306"/>
      <c r="AD87" s="306"/>
    </row>
    <row r="88" spans="1:30" ht="15.75">
      <c r="A88" s="305"/>
      <c r="B88" s="305"/>
      <c r="C88" s="305"/>
      <c r="D88" s="306"/>
      <c r="E88" s="306"/>
      <c r="F88" s="306"/>
      <c r="G88" s="306"/>
      <c r="H88" s="306"/>
      <c r="I88" s="306"/>
      <c r="J88" s="306"/>
      <c r="K88" s="306"/>
      <c r="L88" s="306"/>
      <c r="M88" s="306"/>
      <c r="N88" s="306"/>
      <c r="O88" s="306"/>
      <c r="P88" s="306"/>
      <c r="Q88" s="306"/>
      <c r="R88" s="306"/>
      <c r="S88" s="306"/>
      <c r="T88" s="306"/>
      <c r="U88" s="306"/>
      <c r="V88" s="306"/>
      <c r="W88" s="306"/>
      <c r="X88" s="306"/>
      <c r="Y88" s="306"/>
      <c r="Z88" s="306"/>
      <c r="AA88" s="306"/>
      <c r="AB88" s="306"/>
      <c r="AC88" s="306"/>
      <c r="AD88" s="306"/>
    </row>
    <row r="89" spans="1:30" ht="15.75">
      <c r="A89" s="305"/>
      <c r="B89" s="305"/>
      <c r="C89" s="305"/>
      <c r="D89" s="306"/>
      <c r="E89" s="306"/>
      <c r="F89" s="306"/>
      <c r="G89" s="306"/>
      <c r="H89" s="306"/>
      <c r="I89" s="306"/>
      <c r="J89" s="306"/>
      <c r="K89" s="306"/>
      <c r="L89" s="306"/>
      <c r="M89" s="306"/>
      <c r="N89" s="306"/>
      <c r="O89" s="306"/>
      <c r="P89" s="306"/>
      <c r="Q89" s="306"/>
      <c r="R89" s="306"/>
      <c r="S89" s="306"/>
      <c r="T89" s="306"/>
      <c r="U89" s="306"/>
      <c r="V89" s="306"/>
      <c r="W89" s="306"/>
      <c r="X89" s="306"/>
      <c r="Y89" s="306"/>
      <c r="Z89" s="306"/>
      <c r="AA89" s="306"/>
      <c r="AB89" s="306"/>
      <c r="AC89" s="306"/>
      <c r="AD89" s="306"/>
    </row>
    <row r="90" spans="1:30" ht="15.75">
      <c r="A90" s="305"/>
      <c r="B90" s="305"/>
      <c r="C90" s="305"/>
      <c r="D90" s="306"/>
      <c r="E90" s="306"/>
      <c r="F90" s="306"/>
      <c r="G90" s="306"/>
      <c r="H90" s="306"/>
      <c r="I90" s="306"/>
      <c r="J90" s="306"/>
      <c r="K90" s="306"/>
      <c r="L90" s="306"/>
      <c r="M90" s="306"/>
      <c r="N90" s="306"/>
      <c r="O90" s="306"/>
      <c r="P90" s="306"/>
      <c r="Q90" s="306"/>
      <c r="R90" s="306"/>
      <c r="S90" s="306"/>
      <c r="T90" s="306"/>
      <c r="U90" s="306"/>
      <c r="V90" s="306"/>
      <c r="W90" s="306"/>
      <c r="X90" s="306"/>
      <c r="Y90" s="306"/>
      <c r="Z90" s="306"/>
      <c r="AA90" s="306"/>
      <c r="AB90" s="306"/>
      <c r="AC90" s="306"/>
      <c r="AD90" s="306"/>
    </row>
    <row r="91" spans="1:30" ht="15.75">
      <c r="A91" s="305"/>
      <c r="B91" s="305"/>
      <c r="C91" s="305"/>
      <c r="D91" s="306"/>
      <c r="E91" s="306"/>
      <c r="F91" s="306"/>
      <c r="G91" s="306"/>
      <c r="H91" s="306"/>
      <c r="I91" s="306"/>
      <c r="J91" s="306"/>
      <c r="K91" s="306"/>
      <c r="L91" s="306"/>
      <c r="M91" s="306"/>
      <c r="N91" s="306"/>
      <c r="O91" s="306"/>
      <c r="P91" s="306"/>
      <c r="Q91" s="306"/>
      <c r="R91" s="306"/>
      <c r="S91" s="306"/>
      <c r="T91" s="306"/>
      <c r="U91" s="306"/>
      <c r="V91" s="306"/>
      <c r="W91" s="306"/>
      <c r="X91" s="306"/>
      <c r="Y91" s="306"/>
      <c r="Z91" s="306"/>
      <c r="AA91" s="306"/>
      <c r="AB91" s="306"/>
      <c r="AC91" s="306"/>
      <c r="AD91" s="306"/>
    </row>
    <row r="92" spans="1:30" ht="15.75">
      <c r="A92" s="305"/>
      <c r="B92" s="305"/>
      <c r="C92" s="305"/>
      <c r="D92" s="306"/>
      <c r="E92" s="306"/>
      <c r="F92" s="306"/>
      <c r="G92" s="306"/>
      <c r="H92" s="306"/>
      <c r="I92" s="306"/>
      <c r="J92" s="306"/>
      <c r="K92" s="306"/>
      <c r="L92" s="306"/>
      <c r="M92" s="306"/>
      <c r="N92" s="306"/>
      <c r="O92" s="306"/>
      <c r="P92" s="306"/>
      <c r="Q92" s="306"/>
      <c r="R92" s="306"/>
      <c r="S92" s="306"/>
      <c r="T92" s="306"/>
      <c r="U92" s="306"/>
      <c r="V92" s="306"/>
      <c r="W92" s="306"/>
      <c r="X92" s="306"/>
      <c r="Y92" s="306"/>
      <c r="Z92" s="306"/>
      <c r="AA92" s="306"/>
      <c r="AB92" s="306"/>
      <c r="AC92" s="306"/>
      <c r="AD92" s="306"/>
    </row>
    <row r="93" spans="1:30" ht="15.75">
      <c r="A93" s="305"/>
      <c r="B93" s="305"/>
      <c r="C93" s="305"/>
      <c r="D93" s="306"/>
      <c r="E93" s="306"/>
      <c r="F93" s="306"/>
      <c r="G93" s="306"/>
      <c r="H93" s="306"/>
      <c r="I93" s="306"/>
      <c r="J93" s="306"/>
      <c r="K93" s="306"/>
      <c r="L93" s="306"/>
      <c r="M93" s="306"/>
      <c r="N93" s="306"/>
      <c r="O93" s="306"/>
      <c r="P93" s="306"/>
      <c r="Q93" s="306"/>
      <c r="R93" s="306"/>
      <c r="S93" s="306"/>
      <c r="T93" s="306"/>
      <c r="U93" s="306"/>
      <c r="V93" s="306"/>
      <c r="W93" s="306"/>
      <c r="X93" s="306"/>
      <c r="Y93" s="306"/>
      <c r="Z93" s="306"/>
      <c r="AA93" s="306"/>
      <c r="AB93" s="306"/>
      <c r="AC93" s="306"/>
      <c r="AD93" s="306"/>
    </row>
    <row r="94" spans="1:30" ht="15.75">
      <c r="A94" s="305"/>
      <c r="B94" s="305"/>
      <c r="C94" s="305"/>
      <c r="D94" s="306"/>
      <c r="E94" s="306"/>
      <c r="F94" s="306"/>
      <c r="G94" s="306"/>
      <c r="H94" s="306"/>
      <c r="I94" s="306"/>
      <c r="J94" s="306"/>
      <c r="K94" s="306"/>
      <c r="L94" s="306"/>
      <c r="M94" s="306"/>
      <c r="N94" s="306"/>
      <c r="O94" s="306"/>
      <c r="P94" s="306"/>
      <c r="Q94" s="306"/>
      <c r="R94" s="306"/>
      <c r="S94" s="306"/>
      <c r="T94" s="306"/>
      <c r="U94" s="306"/>
      <c r="V94" s="306"/>
      <c r="W94" s="306"/>
      <c r="X94" s="306"/>
      <c r="Y94" s="306"/>
      <c r="Z94" s="306"/>
      <c r="AA94" s="306"/>
      <c r="AB94" s="306"/>
      <c r="AC94" s="306"/>
      <c r="AD94" s="306"/>
    </row>
    <row r="95" spans="1:30" ht="15.75">
      <c r="A95" s="305"/>
      <c r="B95" s="305"/>
      <c r="C95" s="305"/>
      <c r="D95" s="306"/>
      <c r="E95" s="306"/>
      <c r="F95" s="306"/>
      <c r="G95" s="306"/>
      <c r="H95" s="306"/>
      <c r="I95" s="306"/>
      <c r="J95" s="306"/>
      <c r="K95" s="306"/>
      <c r="L95" s="306"/>
      <c r="M95" s="306"/>
      <c r="N95" s="306"/>
      <c r="O95" s="306"/>
      <c r="P95" s="306"/>
      <c r="Q95" s="306"/>
      <c r="R95" s="306"/>
      <c r="S95" s="306"/>
      <c r="T95" s="306"/>
      <c r="U95" s="306"/>
      <c r="V95" s="306"/>
      <c r="W95" s="306"/>
      <c r="X95" s="306"/>
      <c r="Y95" s="306"/>
      <c r="Z95" s="306"/>
      <c r="AA95" s="306"/>
      <c r="AB95" s="306"/>
      <c r="AC95" s="306"/>
      <c r="AD95" s="306"/>
    </row>
    <row r="96" spans="1:30" ht="15.75">
      <c r="A96" s="305"/>
      <c r="B96" s="305"/>
      <c r="C96" s="305"/>
      <c r="D96" s="306"/>
      <c r="E96" s="306"/>
      <c r="F96" s="306"/>
      <c r="G96" s="306"/>
      <c r="H96" s="306"/>
      <c r="I96" s="306"/>
      <c r="J96" s="306"/>
      <c r="K96" s="306"/>
      <c r="L96" s="306"/>
      <c r="M96" s="306"/>
      <c r="N96" s="306"/>
      <c r="O96" s="306"/>
      <c r="P96" s="306"/>
      <c r="Q96" s="306"/>
      <c r="R96" s="306"/>
      <c r="S96" s="306"/>
      <c r="T96" s="306"/>
      <c r="U96" s="306"/>
      <c r="V96" s="306"/>
      <c r="W96" s="306"/>
      <c r="X96" s="306"/>
      <c r="Y96" s="306"/>
      <c r="Z96" s="306"/>
      <c r="AA96" s="306"/>
      <c r="AB96" s="306"/>
      <c r="AC96" s="306"/>
      <c r="AD96" s="306"/>
    </row>
    <row r="97" spans="1:30" ht="15.75">
      <c r="A97" s="305"/>
      <c r="B97" s="305"/>
      <c r="C97" s="305"/>
      <c r="D97" s="306"/>
      <c r="E97" s="306"/>
      <c r="F97" s="306"/>
      <c r="G97" s="306"/>
      <c r="H97" s="306"/>
      <c r="I97" s="306"/>
      <c r="J97" s="306"/>
      <c r="K97" s="306"/>
      <c r="L97" s="306"/>
      <c r="M97" s="306"/>
      <c r="N97" s="306"/>
      <c r="O97" s="306"/>
      <c r="P97" s="306"/>
      <c r="Q97" s="306"/>
      <c r="R97" s="306"/>
      <c r="S97" s="306"/>
      <c r="T97" s="306"/>
      <c r="U97" s="306"/>
      <c r="V97" s="306"/>
      <c r="W97" s="306"/>
      <c r="X97" s="306"/>
      <c r="Y97" s="306"/>
      <c r="Z97" s="306"/>
      <c r="AA97" s="306"/>
      <c r="AB97" s="306"/>
      <c r="AC97" s="306"/>
      <c r="AD97" s="306"/>
    </row>
    <row r="98" spans="1:30" ht="15.75">
      <c r="A98" s="305"/>
      <c r="B98" s="305"/>
      <c r="C98" s="305"/>
      <c r="D98" s="306"/>
      <c r="E98" s="306"/>
      <c r="F98" s="306"/>
      <c r="G98" s="306"/>
      <c r="H98" s="306"/>
      <c r="I98" s="306"/>
      <c r="J98" s="306"/>
      <c r="K98" s="306"/>
      <c r="L98" s="306"/>
      <c r="M98" s="306"/>
      <c r="N98" s="306"/>
      <c r="O98" s="306"/>
      <c r="P98" s="306"/>
      <c r="Q98" s="306"/>
      <c r="R98" s="306"/>
      <c r="S98" s="306"/>
      <c r="T98" s="306"/>
      <c r="U98" s="306"/>
      <c r="V98" s="306"/>
      <c r="W98" s="306"/>
      <c r="X98" s="306"/>
      <c r="Y98" s="306"/>
      <c r="Z98" s="306"/>
      <c r="AA98" s="306"/>
      <c r="AB98" s="306"/>
      <c r="AC98" s="306"/>
      <c r="AD98" s="306"/>
    </row>
    <row r="99" spans="1:30" ht="15.75">
      <c r="A99" s="305"/>
      <c r="B99" s="305"/>
      <c r="C99" s="305"/>
      <c r="D99" s="306"/>
      <c r="E99" s="306"/>
      <c r="F99" s="306"/>
      <c r="G99" s="306"/>
      <c r="H99" s="306"/>
      <c r="I99" s="306"/>
      <c r="J99" s="306"/>
      <c r="K99" s="306"/>
      <c r="L99" s="306"/>
      <c r="M99" s="306"/>
      <c r="N99" s="306"/>
      <c r="O99" s="306"/>
      <c r="P99" s="306"/>
      <c r="Q99" s="306"/>
      <c r="R99" s="306"/>
      <c r="S99" s="306"/>
      <c r="T99" s="306"/>
      <c r="U99" s="306"/>
      <c r="V99" s="306"/>
      <c r="W99" s="306"/>
      <c r="X99" s="306"/>
      <c r="Y99" s="306"/>
      <c r="Z99" s="306"/>
      <c r="AA99" s="306"/>
      <c r="AB99" s="306"/>
      <c r="AC99" s="306"/>
      <c r="AD99" s="306"/>
    </row>
    <row r="100" spans="1:30" ht="15.75">
      <c r="A100" s="305"/>
      <c r="B100" s="305"/>
      <c r="C100" s="305"/>
      <c r="D100" s="306"/>
      <c r="E100" s="306"/>
      <c r="F100" s="306"/>
      <c r="G100" s="306"/>
      <c r="H100" s="306"/>
      <c r="I100" s="306"/>
      <c r="J100" s="306"/>
      <c r="K100" s="306"/>
      <c r="L100" s="306"/>
      <c r="M100" s="306"/>
      <c r="N100" s="306"/>
      <c r="O100" s="306"/>
      <c r="P100" s="306"/>
      <c r="Q100" s="306"/>
      <c r="R100" s="306"/>
      <c r="S100" s="306"/>
      <c r="T100" s="306"/>
      <c r="U100" s="306"/>
      <c r="V100" s="306"/>
      <c r="W100" s="306"/>
      <c r="X100" s="306"/>
      <c r="Y100" s="306"/>
      <c r="Z100" s="306"/>
      <c r="AA100" s="306"/>
      <c r="AB100" s="306"/>
      <c r="AC100" s="306"/>
      <c r="AD100" s="306"/>
    </row>
    <row r="101" spans="1:30" ht="15.75">
      <c r="A101" s="305"/>
      <c r="B101" s="305"/>
      <c r="C101" s="305"/>
      <c r="D101" s="306"/>
      <c r="E101" s="306"/>
      <c r="F101" s="306"/>
      <c r="G101" s="306"/>
      <c r="H101" s="306"/>
      <c r="I101" s="306"/>
      <c r="J101" s="306"/>
      <c r="K101" s="306"/>
      <c r="L101" s="306"/>
      <c r="M101" s="306"/>
      <c r="N101" s="306"/>
      <c r="O101" s="306"/>
      <c r="P101" s="306"/>
      <c r="Q101" s="306"/>
      <c r="R101" s="306"/>
      <c r="S101" s="306"/>
      <c r="T101" s="306"/>
      <c r="U101" s="306"/>
      <c r="V101" s="306"/>
      <c r="W101" s="306"/>
      <c r="X101" s="306"/>
      <c r="Y101" s="306"/>
      <c r="Z101" s="306"/>
      <c r="AA101" s="306"/>
      <c r="AB101" s="306"/>
      <c r="AC101" s="306"/>
      <c r="AD101" s="306"/>
    </row>
    <row r="102" spans="1:30" ht="15.75">
      <c r="A102" s="305"/>
      <c r="B102" s="305"/>
      <c r="C102" s="305"/>
      <c r="D102" s="306"/>
      <c r="E102" s="306"/>
      <c r="F102" s="306"/>
      <c r="G102" s="306"/>
      <c r="H102" s="306"/>
      <c r="I102" s="306"/>
      <c r="J102" s="306"/>
      <c r="K102" s="306"/>
      <c r="L102" s="306"/>
      <c r="M102" s="306"/>
      <c r="N102" s="306"/>
      <c r="O102" s="306"/>
      <c r="P102" s="306"/>
      <c r="Q102" s="306"/>
      <c r="R102" s="306"/>
      <c r="S102" s="306"/>
      <c r="T102" s="306"/>
      <c r="U102" s="306"/>
      <c r="V102" s="306"/>
      <c r="W102" s="306"/>
      <c r="X102" s="306"/>
      <c r="Y102" s="306"/>
      <c r="Z102" s="306"/>
      <c r="AA102" s="306"/>
      <c r="AB102" s="306"/>
      <c r="AC102" s="306"/>
      <c r="AD102" s="306"/>
    </row>
    <row r="103" spans="1:30" ht="15.75">
      <c r="A103" s="305"/>
      <c r="B103" s="305"/>
      <c r="C103" s="305"/>
      <c r="D103" s="306"/>
      <c r="E103" s="306"/>
      <c r="F103" s="306"/>
      <c r="G103" s="306"/>
      <c r="H103" s="306"/>
      <c r="I103" s="306"/>
      <c r="J103" s="306"/>
      <c r="K103" s="306"/>
      <c r="L103" s="306"/>
      <c r="M103" s="306"/>
      <c r="N103" s="306"/>
      <c r="O103" s="306"/>
      <c r="P103" s="306"/>
      <c r="Q103" s="306"/>
      <c r="R103" s="306"/>
      <c r="S103" s="306"/>
      <c r="T103" s="306"/>
      <c r="U103" s="306"/>
      <c r="V103" s="306"/>
      <c r="W103" s="306"/>
      <c r="X103" s="306"/>
      <c r="Y103" s="306"/>
      <c r="Z103" s="306"/>
      <c r="AA103" s="306"/>
      <c r="AB103" s="306"/>
      <c r="AC103" s="306"/>
      <c r="AD103" s="306"/>
    </row>
    <row r="104" spans="1:30" ht="15.75">
      <c r="A104" s="305"/>
      <c r="B104" s="305"/>
      <c r="C104" s="305"/>
      <c r="D104" s="306"/>
      <c r="E104" s="306"/>
      <c r="F104" s="306"/>
      <c r="G104" s="306"/>
      <c r="H104" s="306"/>
      <c r="I104" s="306"/>
      <c r="J104" s="306"/>
      <c r="K104" s="306"/>
      <c r="L104" s="306"/>
      <c r="M104" s="306"/>
      <c r="N104" s="306"/>
      <c r="O104" s="306"/>
      <c r="P104" s="306"/>
      <c r="Q104" s="306"/>
      <c r="R104" s="306"/>
      <c r="S104" s="306"/>
      <c r="T104" s="306"/>
      <c r="U104" s="306"/>
      <c r="V104" s="306"/>
      <c r="W104" s="306"/>
      <c r="X104" s="306"/>
      <c r="Y104" s="306"/>
      <c r="Z104" s="306"/>
      <c r="AA104" s="306"/>
      <c r="AB104" s="306"/>
      <c r="AC104" s="306"/>
      <c r="AD104" s="306"/>
    </row>
    <row r="105" spans="1:30" ht="15.75">
      <c r="A105" s="305"/>
      <c r="B105" s="305"/>
      <c r="C105" s="305"/>
      <c r="D105" s="306"/>
      <c r="E105" s="306"/>
      <c r="F105" s="306"/>
      <c r="G105" s="306"/>
      <c r="H105" s="306"/>
      <c r="I105" s="306"/>
      <c r="J105" s="306"/>
      <c r="K105" s="306"/>
      <c r="L105" s="306"/>
      <c r="M105" s="306"/>
      <c r="N105" s="306"/>
      <c r="O105" s="306"/>
      <c r="P105" s="306"/>
      <c r="Q105" s="306"/>
      <c r="R105" s="306"/>
      <c r="S105" s="306"/>
      <c r="T105" s="306"/>
      <c r="U105" s="306"/>
      <c r="V105" s="306"/>
      <c r="W105" s="306"/>
      <c r="X105" s="306"/>
      <c r="Y105" s="306"/>
      <c r="Z105" s="306"/>
      <c r="AA105" s="306"/>
      <c r="AB105" s="306"/>
      <c r="AC105" s="306"/>
      <c r="AD105" s="306"/>
    </row>
    <row r="106" spans="1:30" ht="15.75">
      <c r="A106" s="305"/>
      <c r="B106" s="305"/>
      <c r="C106" s="305"/>
      <c r="D106" s="306"/>
      <c r="E106" s="306"/>
      <c r="F106" s="306"/>
      <c r="G106" s="306"/>
      <c r="H106" s="306"/>
      <c r="I106" s="306"/>
      <c r="J106" s="306"/>
      <c r="K106" s="306"/>
      <c r="L106" s="306"/>
      <c r="M106" s="306"/>
      <c r="N106" s="306"/>
      <c r="O106" s="306"/>
      <c r="P106" s="306"/>
      <c r="Q106" s="306"/>
      <c r="R106" s="306"/>
      <c r="S106" s="306"/>
      <c r="T106" s="306"/>
      <c r="U106" s="306"/>
      <c r="V106" s="306"/>
      <c r="W106" s="306"/>
      <c r="X106" s="306"/>
      <c r="Y106" s="306"/>
      <c r="Z106" s="306"/>
      <c r="AA106" s="306"/>
      <c r="AB106" s="306"/>
      <c r="AC106" s="306"/>
      <c r="AD106" s="306"/>
    </row>
    <row r="107" spans="1:30" ht="15.75">
      <c r="A107" s="305"/>
      <c r="B107" s="305"/>
      <c r="C107" s="305"/>
      <c r="D107" s="306"/>
      <c r="E107" s="306"/>
      <c r="F107" s="306"/>
      <c r="G107" s="306"/>
      <c r="H107" s="306"/>
      <c r="I107" s="306"/>
      <c r="J107" s="306"/>
      <c r="K107" s="306"/>
      <c r="L107" s="306"/>
      <c r="M107" s="306"/>
      <c r="N107" s="306"/>
      <c r="O107" s="306"/>
      <c r="P107" s="306"/>
      <c r="Q107" s="306"/>
      <c r="R107" s="306"/>
      <c r="S107" s="306"/>
      <c r="T107" s="306"/>
      <c r="U107" s="306"/>
      <c r="V107" s="306"/>
      <c r="W107" s="306"/>
      <c r="X107" s="306"/>
      <c r="Y107" s="306"/>
      <c r="Z107" s="306"/>
      <c r="AA107" s="306"/>
      <c r="AB107" s="306"/>
      <c r="AC107" s="306"/>
      <c r="AD107" s="306"/>
    </row>
    <row r="108" spans="1:30" ht="15.75">
      <c r="A108" s="305"/>
      <c r="B108" s="305"/>
      <c r="C108" s="305"/>
      <c r="D108" s="306"/>
      <c r="E108" s="306"/>
      <c r="F108" s="306"/>
      <c r="G108" s="306"/>
      <c r="H108" s="306"/>
      <c r="I108" s="306"/>
      <c r="J108" s="306"/>
      <c r="K108" s="306"/>
      <c r="L108" s="306"/>
      <c r="M108" s="306"/>
      <c r="N108" s="306"/>
      <c r="O108" s="306"/>
      <c r="P108" s="306"/>
      <c r="Q108" s="306"/>
      <c r="R108" s="306"/>
      <c r="S108" s="306"/>
      <c r="T108" s="306"/>
      <c r="U108" s="306"/>
      <c r="V108" s="306"/>
      <c r="W108" s="306"/>
      <c r="X108" s="306"/>
      <c r="Y108" s="306"/>
      <c r="Z108" s="306"/>
      <c r="AA108" s="306"/>
      <c r="AB108" s="306"/>
      <c r="AC108" s="306"/>
      <c r="AD108" s="306"/>
    </row>
    <row r="109" spans="1:30" ht="15.75">
      <c r="A109" s="305"/>
      <c r="B109" s="305"/>
      <c r="C109" s="305"/>
      <c r="D109" s="306"/>
      <c r="E109" s="306"/>
      <c r="F109" s="306"/>
      <c r="G109" s="306"/>
      <c r="H109" s="306"/>
      <c r="I109" s="306"/>
      <c r="J109" s="306"/>
      <c r="K109" s="306"/>
      <c r="L109" s="306"/>
      <c r="M109" s="306"/>
      <c r="N109" s="306"/>
      <c r="O109" s="306"/>
      <c r="P109" s="306"/>
      <c r="Q109" s="306"/>
      <c r="R109" s="306"/>
      <c r="S109" s="306"/>
      <c r="T109" s="306"/>
      <c r="U109" s="306"/>
      <c r="V109" s="306"/>
      <c r="W109" s="306"/>
      <c r="X109" s="306"/>
      <c r="Y109" s="306"/>
      <c r="Z109" s="306"/>
      <c r="AA109" s="306"/>
      <c r="AB109" s="306"/>
      <c r="AC109" s="306"/>
      <c r="AD109" s="306"/>
    </row>
    <row r="110" spans="1:30" ht="15.75">
      <c r="A110" s="305"/>
      <c r="B110" s="305"/>
      <c r="C110" s="305"/>
      <c r="D110" s="306"/>
      <c r="E110" s="306"/>
      <c r="F110" s="306"/>
      <c r="G110" s="306"/>
      <c r="H110" s="306"/>
      <c r="I110" s="306"/>
      <c r="J110" s="306"/>
      <c r="K110" s="306"/>
      <c r="L110" s="306"/>
      <c r="M110" s="306"/>
      <c r="N110" s="306"/>
      <c r="O110" s="306"/>
      <c r="P110" s="306"/>
      <c r="Q110" s="306"/>
      <c r="R110" s="306"/>
      <c r="S110" s="306"/>
      <c r="T110" s="306"/>
      <c r="U110" s="306"/>
      <c r="V110" s="306"/>
      <c r="W110" s="306"/>
      <c r="X110" s="306"/>
      <c r="Y110" s="306"/>
      <c r="Z110" s="306"/>
      <c r="AA110" s="306"/>
      <c r="AB110" s="306"/>
      <c r="AC110" s="306"/>
      <c r="AD110" s="306"/>
    </row>
    <row r="111" spans="1:30" ht="15.75">
      <c r="A111" s="305"/>
      <c r="B111" s="305"/>
      <c r="C111" s="305"/>
      <c r="D111" s="306"/>
      <c r="E111" s="306"/>
      <c r="F111" s="306"/>
      <c r="G111" s="306"/>
      <c r="H111" s="306"/>
      <c r="I111" s="306"/>
      <c r="J111" s="306"/>
      <c r="K111" s="306"/>
      <c r="L111" s="306"/>
      <c r="M111" s="306"/>
      <c r="N111" s="306"/>
      <c r="O111" s="306"/>
      <c r="P111" s="306"/>
      <c r="Q111" s="306"/>
      <c r="R111" s="306"/>
      <c r="S111" s="306"/>
      <c r="T111" s="306"/>
      <c r="U111" s="306"/>
      <c r="V111" s="306"/>
      <c r="W111" s="306"/>
      <c r="X111" s="306"/>
      <c r="Y111" s="306"/>
      <c r="Z111" s="306"/>
      <c r="AA111" s="306"/>
      <c r="AB111" s="306"/>
      <c r="AC111" s="306"/>
      <c r="AD111" s="306"/>
    </row>
    <row r="112" spans="1:30" ht="15.75">
      <c r="A112" s="305"/>
      <c r="B112" s="305"/>
      <c r="C112" s="305"/>
      <c r="D112" s="306"/>
      <c r="E112" s="306"/>
      <c r="F112" s="306"/>
      <c r="G112" s="306"/>
      <c r="H112" s="306"/>
      <c r="I112" s="306"/>
      <c r="J112" s="306"/>
      <c r="K112" s="306"/>
      <c r="L112" s="306"/>
      <c r="M112" s="306"/>
      <c r="N112" s="306"/>
      <c r="O112" s="306"/>
      <c r="P112" s="306"/>
      <c r="Q112" s="306"/>
      <c r="R112" s="306"/>
      <c r="S112" s="306"/>
      <c r="T112" s="306"/>
      <c r="U112" s="306"/>
      <c r="V112" s="306"/>
      <c r="W112" s="306"/>
      <c r="X112" s="306"/>
      <c r="Y112" s="306"/>
      <c r="Z112" s="306"/>
      <c r="AA112" s="306"/>
      <c r="AB112" s="306"/>
      <c r="AC112" s="306"/>
      <c r="AD112" s="306"/>
    </row>
    <row r="113" spans="1:30" ht="15.75">
      <c r="A113" s="305"/>
      <c r="B113" s="305"/>
      <c r="C113" s="305"/>
      <c r="D113" s="306"/>
      <c r="E113" s="306"/>
      <c r="F113" s="306"/>
      <c r="G113" s="306"/>
      <c r="H113" s="306"/>
      <c r="I113" s="306"/>
      <c r="J113" s="306"/>
      <c r="K113" s="306"/>
      <c r="L113" s="306"/>
      <c r="M113" s="306"/>
      <c r="N113" s="306"/>
      <c r="O113" s="306"/>
      <c r="P113" s="306"/>
      <c r="Q113" s="306"/>
      <c r="R113" s="306"/>
      <c r="S113" s="306"/>
      <c r="T113" s="306"/>
      <c r="U113" s="306"/>
      <c r="V113" s="306"/>
      <c r="W113" s="306"/>
      <c r="X113" s="306"/>
      <c r="Y113" s="306"/>
      <c r="Z113" s="306"/>
      <c r="AA113" s="306"/>
      <c r="AB113" s="306"/>
      <c r="AC113" s="306"/>
      <c r="AD113" s="306"/>
    </row>
    <row r="114" spans="1:30" ht="15.75">
      <c r="A114" s="305"/>
      <c r="B114" s="305"/>
      <c r="C114" s="305"/>
      <c r="D114" s="306"/>
      <c r="E114" s="306"/>
      <c r="F114" s="306"/>
      <c r="G114" s="306"/>
      <c r="H114" s="306"/>
      <c r="I114" s="306"/>
      <c r="J114" s="306"/>
      <c r="K114" s="306"/>
      <c r="L114" s="306"/>
      <c r="M114" s="306"/>
      <c r="N114" s="306"/>
      <c r="O114" s="306"/>
      <c r="P114" s="306"/>
      <c r="Q114" s="306"/>
      <c r="R114" s="306"/>
      <c r="S114" s="306"/>
      <c r="T114" s="306"/>
      <c r="U114" s="306"/>
      <c r="V114" s="306"/>
      <c r="W114" s="306"/>
      <c r="X114" s="306"/>
      <c r="Y114" s="306"/>
      <c r="Z114" s="306"/>
      <c r="AA114" s="306"/>
      <c r="AB114" s="306"/>
      <c r="AC114" s="306"/>
      <c r="AD114" s="306"/>
    </row>
    <row r="115" spans="1:30" ht="15.75">
      <c r="A115" s="305"/>
      <c r="B115" s="305"/>
      <c r="C115" s="305"/>
      <c r="D115" s="306"/>
      <c r="E115" s="306"/>
      <c r="F115" s="306"/>
      <c r="G115" s="306"/>
      <c r="H115" s="306"/>
      <c r="I115" s="306"/>
      <c r="J115" s="306"/>
      <c r="K115" s="306"/>
      <c r="L115" s="306"/>
      <c r="M115" s="306"/>
      <c r="N115" s="306"/>
      <c r="O115" s="306"/>
      <c r="P115" s="306"/>
      <c r="Q115" s="306"/>
      <c r="R115" s="306"/>
      <c r="S115" s="306"/>
      <c r="T115" s="306"/>
      <c r="U115" s="306"/>
      <c r="V115" s="306"/>
      <c r="W115" s="306"/>
      <c r="X115" s="306"/>
      <c r="Y115" s="306"/>
      <c r="Z115" s="306"/>
      <c r="AA115" s="306"/>
      <c r="AB115" s="306"/>
      <c r="AC115" s="306"/>
      <c r="AD115" s="306"/>
    </row>
    <row r="116" spans="1:30" ht="15.75">
      <c r="A116" s="305"/>
      <c r="B116" s="305"/>
      <c r="C116" s="305"/>
      <c r="D116" s="306"/>
      <c r="E116" s="306"/>
      <c r="F116" s="306"/>
      <c r="G116" s="306"/>
      <c r="H116" s="306"/>
      <c r="I116" s="306"/>
      <c r="J116" s="306"/>
      <c r="K116" s="306"/>
      <c r="L116" s="306"/>
      <c r="M116" s="306"/>
      <c r="N116" s="306"/>
      <c r="O116" s="306"/>
      <c r="P116" s="306"/>
      <c r="Q116" s="306"/>
      <c r="R116" s="306"/>
      <c r="S116" s="306"/>
      <c r="T116" s="306"/>
      <c r="U116" s="306"/>
      <c r="V116" s="306"/>
      <c r="W116" s="306"/>
      <c r="X116" s="306"/>
      <c r="Y116" s="306"/>
      <c r="Z116" s="306"/>
      <c r="AA116" s="306"/>
      <c r="AB116" s="306"/>
      <c r="AC116" s="306"/>
      <c r="AD116" s="306"/>
    </row>
    <row r="117" spans="1:30" ht="15.75">
      <c r="A117" s="305"/>
      <c r="B117" s="305"/>
      <c r="C117" s="305"/>
      <c r="D117" s="306"/>
      <c r="E117" s="306"/>
      <c r="F117" s="306"/>
      <c r="G117" s="306"/>
      <c r="H117" s="306"/>
      <c r="I117" s="306"/>
      <c r="J117" s="306"/>
      <c r="K117" s="306"/>
      <c r="L117" s="306"/>
      <c r="M117" s="306"/>
      <c r="N117" s="306"/>
      <c r="O117" s="306"/>
      <c r="P117" s="306"/>
      <c r="Q117" s="306"/>
      <c r="R117" s="306"/>
      <c r="S117" s="306"/>
      <c r="T117" s="306"/>
      <c r="U117" s="306"/>
      <c r="V117" s="306"/>
      <c r="W117" s="306"/>
      <c r="X117" s="306"/>
      <c r="Y117" s="306"/>
      <c r="Z117" s="306"/>
      <c r="AA117" s="306"/>
      <c r="AB117" s="306"/>
      <c r="AC117" s="306"/>
      <c r="AD117" s="306"/>
    </row>
    <row r="118" spans="1:30" ht="15.75">
      <c r="A118" s="305"/>
      <c r="B118" s="305"/>
      <c r="C118" s="305"/>
      <c r="D118" s="306"/>
      <c r="E118" s="306"/>
      <c r="F118" s="306"/>
      <c r="G118" s="306"/>
      <c r="H118" s="306"/>
      <c r="I118" s="306"/>
      <c r="J118" s="306"/>
      <c r="K118" s="306"/>
      <c r="L118" s="306"/>
      <c r="M118" s="306"/>
      <c r="N118" s="306"/>
      <c r="O118" s="306"/>
      <c r="P118" s="306"/>
      <c r="Q118" s="306"/>
      <c r="R118" s="306"/>
      <c r="S118" s="306"/>
      <c r="T118" s="306"/>
      <c r="U118" s="306"/>
      <c r="V118" s="306"/>
      <c r="W118" s="306"/>
      <c r="X118" s="306"/>
      <c r="Y118" s="306"/>
      <c r="Z118" s="306"/>
      <c r="AA118" s="306"/>
      <c r="AB118" s="306"/>
      <c r="AC118" s="306"/>
      <c r="AD118" s="306"/>
    </row>
    <row r="119" spans="1:30" ht="15.75">
      <c r="A119" s="305"/>
      <c r="B119" s="305"/>
      <c r="C119" s="305"/>
      <c r="D119" s="306"/>
      <c r="E119" s="306"/>
      <c r="F119" s="306"/>
      <c r="G119" s="306"/>
      <c r="H119" s="306"/>
      <c r="I119" s="306"/>
      <c r="J119" s="306"/>
      <c r="K119" s="306"/>
      <c r="L119" s="306"/>
      <c r="M119" s="306"/>
      <c r="N119" s="306"/>
      <c r="O119" s="306"/>
      <c r="P119" s="306"/>
      <c r="Q119" s="306"/>
      <c r="R119" s="306"/>
      <c r="S119" s="306"/>
      <c r="T119" s="306"/>
      <c r="U119" s="306"/>
      <c r="V119" s="306"/>
      <c r="W119" s="306"/>
      <c r="X119" s="306"/>
      <c r="Y119" s="306"/>
      <c r="Z119" s="306"/>
      <c r="AA119" s="306"/>
      <c r="AB119" s="306"/>
      <c r="AC119" s="306"/>
      <c r="AD119" s="306"/>
    </row>
    <row r="120" spans="1:30" ht="15.75">
      <c r="A120" s="305"/>
      <c r="B120" s="305"/>
      <c r="C120" s="305"/>
      <c r="D120" s="306"/>
      <c r="E120" s="306"/>
      <c r="F120" s="306"/>
      <c r="G120" s="306"/>
      <c r="H120" s="306"/>
      <c r="I120" s="306"/>
      <c r="J120" s="306"/>
      <c r="K120" s="306"/>
      <c r="L120" s="306"/>
      <c r="M120" s="306"/>
      <c r="N120" s="306"/>
      <c r="O120" s="306"/>
      <c r="P120" s="306"/>
      <c r="Q120" s="306"/>
      <c r="R120" s="306"/>
      <c r="S120" s="306"/>
      <c r="T120" s="306"/>
      <c r="U120" s="306"/>
      <c r="V120" s="306"/>
      <c r="W120" s="306"/>
      <c r="X120" s="306"/>
      <c r="Y120" s="306"/>
      <c r="Z120" s="306"/>
      <c r="AA120" s="306"/>
      <c r="AB120" s="306"/>
      <c r="AC120" s="306"/>
      <c r="AD120" s="306"/>
    </row>
    <row r="121" spans="1:30" ht="15.75">
      <c r="A121" s="305"/>
      <c r="B121" s="305"/>
      <c r="C121" s="305"/>
      <c r="D121" s="306"/>
      <c r="E121" s="306"/>
      <c r="F121" s="306"/>
      <c r="G121" s="306"/>
      <c r="H121" s="306"/>
      <c r="I121" s="306"/>
      <c r="J121" s="306"/>
      <c r="K121" s="306"/>
      <c r="L121" s="306"/>
      <c r="M121" s="306"/>
      <c r="N121" s="306"/>
      <c r="O121" s="306"/>
      <c r="P121" s="306"/>
      <c r="Q121" s="306"/>
      <c r="R121" s="306"/>
      <c r="S121" s="306"/>
      <c r="T121" s="306"/>
      <c r="U121" s="306"/>
      <c r="V121" s="306"/>
      <c r="W121" s="306"/>
      <c r="X121" s="306"/>
      <c r="Y121" s="306"/>
      <c r="Z121" s="306"/>
      <c r="AA121" s="306"/>
      <c r="AB121" s="306"/>
      <c r="AC121" s="306"/>
      <c r="AD121" s="306"/>
    </row>
    <row r="122" spans="1:30" ht="15.75">
      <c r="A122" s="305"/>
      <c r="B122" s="305"/>
      <c r="C122" s="305"/>
      <c r="D122" s="306"/>
      <c r="E122" s="306"/>
      <c r="F122" s="306"/>
      <c r="G122" s="306"/>
      <c r="H122" s="306"/>
      <c r="I122" s="306"/>
      <c r="J122" s="306"/>
      <c r="K122" s="306"/>
      <c r="L122" s="306"/>
      <c r="M122" s="306"/>
      <c r="N122" s="306"/>
      <c r="O122" s="306"/>
      <c r="P122" s="306"/>
      <c r="Q122" s="306"/>
      <c r="R122" s="306"/>
      <c r="S122" s="306"/>
      <c r="T122" s="306"/>
      <c r="U122" s="306"/>
      <c r="V122" s="306"/>
      <c r="W122" s="306"/>
      <c r="X122" s="306"/>
      <c r="Y122" s="306"/>
      <c r="Z122" s="306"/>
      <c r="AA122" s="306"/>
      <c r="AB122" s="306"/>
      <c r="AC122" s="306"/>
      <c r="AD122" s="306"/>
    </row>
    <row r="123" spans="1:30" ht="15.75">
      <c r="A123" s="305"/>
      <c r="B123" s="305"/>
      <c r="C123" s="305"/>
      <c r="D123" s="306"/>
      <c r="E123" s="306"/>
      <c r="F123" s="306"/>
      <c r="G123" s="306"/>
      <c r="H123" s="306"/>
      <c r="I123" s="306"/>
      <c r="J123" s="306"/>
      <c r="K123" s="306"/>
      <c r="L123" s="306"/>
      <c r="M123" s="306"/>
      <c r="N123" s="306"/>
      <c r="O123" s="306"/>
      <c r="P123" s="306"/>
      <c r="Q123" s="306"/>
      <c r="R123" s="306"/>
      <c r="S123" s="306"/>
      <c r="T123" s="306"/>
      <c r="U123" s="306"/>
      <c r="V123" s="306"/>
      <c r="W123" s="306"/>
      <c r="X123" s="306"/>
      <c r="Y123" s="306"/>
      <c r="Z123" s="306"/>
      <c r="AA123" s="306"/>
      <c r="AB123" s="306"/>
      <c r="AC123" s="306"/>
      <c r="AD123" s="306"/>
    </row>
    <row r="124" spans="1:30" ht="15.75">
      <c r="A124" s="305"/>
      <c r="B124" s="305"/>
      <c r="C124" s="305"/>
      <c r="D124" s="306"/>
      <c r="E124" s="306"/>
      <c r="F124" s="306"/>
      <c r="G124" s="306"/>
      <c r="H124" s="306"/>
      <c r="I124" s="306"/>
      <c r="J124" s="306"/>
      <c r="K124" s="306"/>
      <c r="L124" s="306"/>
      <c r="M124" s="306"/>
      <c r="N124" s="306"/>
      <c r="O124" s="306"/>
      <c r="P124" s="306"/>
      <c r="Q124" s="306"/>
      <c r="R124" s="306"/>
      <c r="S124" s="306"/>
      <c r="T124" s="306"/>
      <c r="U124" s="306"/>
      <c r="V124" s="306"/>
      <c r="W124" s="306"/>
      <c r="X124" s="306"/>
      <c r="Y124" s="306"/>
      <c r="Z124" s="306"/>
      <c r="AA124" s="306"/>
      <c r="AB124" s="306"/>
      <c r="AC124" s="306"/>
      <c r="AD124" s="306"/>
    </row>
    <row r="125" spans="1:30" ht="15.75">
      <c r="A125" s="305"/>
      <c r="B125" s="305"/>
      <c r="C125" s="305"/>
      <c r="D125" s="306"/>
      <c r="E125" s="306"/>
      <c r="F125" s="306"/>
      <c r="G125" s="306"/>
      <c r="H125" s="306"/>
      <c r="I125" s="306"/>
      <c r="J125" s="306"/>
      <c r="K125" s="306"/>
      <c r="L125" s="306"/>
      <c r="M125" s="306"/>
      <c r="N125" s="306"/>
      <c r="O125" s="306"/>
      <c r="P125" s="306"/>
      <c r="Q125" s="306"/>
      <c r="R125" s="306"/>
      <c r="S125" s="306"/>
      <c r="T125" s="306"/>
      <c r="U125" s="306"/>
      <c r="V125" s="306"/>
      <c r="W125" s="306"/>
      <c r="X125" s="306"/>
      <c r="Y125" s="306"/>
      <c r="Z125" s="306"/>
      <c r="AA125" s="306"/>
      <c r="AB125" s="306"/>
      <c r="AC125" s="306"/>
      <c r="AD125" s="306"/>
    </row>
    <row r="126" spans="1:30" ht="15.75">
      <c r="A126" s="305"/>
      <c r="B126" s="305"/>
      <c r="C126" s="305"/>
      <c r="D126" s="306"/>
      <c r="E126" s="306"/>
      <c r="F126" s="306"/>
      <c r="G126" s="306"/>
      <c r="H126" s="306"/>
      <c r="I126" s="306"/>
      <c r="J126" s="306"/>
      <c r="K126" s="306"/>
      <c r="L126" s="306"/>
      <c r="M126" s="306"/>
      <c r="N126" s="306"/>
      <c r="O126" s="306"/>
      <c r="P126" s="306"/>
      <c r="Q126" s="306"/>
      <c r="R126" s="306"/>
      <c r="S126" s="306"/>
      <c r="T126" s="306"/>
      <c r="U126" s="306"/>
      <c r="V126" s="306"/>
      <c r="W126" s="306"/>
      <c r="X126" s="306"/>
      <c r="Y126" s="306"/>
      <c r="Z126" s="306"/>
      <c r="AA126" s="306"/>
      <c r="AB126" s="306"/>
      <c r="AC126" s="306"/>
      <c r="AD126" s="306"/>
    </row>
    <row r="127" spans="1:30" ht="15.75">
      <c r="A127" s="305"/>
      <c r="B127" s="305"/>
      <c r="C127" s="305"/>
      <c r="D127" s="306"/>
      <c r="E127" s="306"/>
      <c r="F127" s="306"/>
      <c r="G127" s="306"/>
      <c r="H127" s="306"/>
      <c r="I127" s="306"/>
      <c r="J127" s="306"/>
      <c r="K127" s="306"/>
      <c r="L127" s="306"/>
      <c r="M127" s="306"/>
      <c r="N127" s="306"/>
      <c r="O127" s="306"/>
      <c r="P127" s="306"/>
      <c r="Q127" s="306"/>
      <c r="R127" s="306"/>
      <c r="S127" s="306"/>
      <c r="T127" s="306"/>
      <c r="U127" s="306"/>
      <c r="V127" s="306"/>
      <c r="W127" s="306"/>
      <c r="X127" s="306"/>
      <c r="Y127" s="306"/>
      <c r="Z127" s="306"/>
      <c r="AA127" s="306"/>
      <c r="AB127" s="306"/>
      <c r="AC127" s="306"/>
      <c r="AD127" s="306"/>
    </row>
    <row r="128" spans="1:30" ht="15.75">
      <c r="A128" s="305"/>
      <c r="B128" s="305"/>
      <c r="C128" s="305"/>
      <c r="D128" s="306"/>
      <c r="E128" s="306"/>
      <c r="F128" s="306"/>
      <c r="G128" s="306"/>
      <c r="H128" s="306"/>
      <c r="I128" s="306"/>
      <c r="J128" s="306"/>
      <c r="K128" s="306"/>
      <c r="L128" s="306"/>
      <c r="M128" s="306"/>
      <c r="N128" s="306"/>
      <c r="O128" s="306"/>
      <c r="P128" s="306"/>
      <c r="Q128" s="306"/>
      <c r="R128" s="306"/>
      <c r="S128" s="306"/>
      <c r="T128" s="306"/>
      <c r="U128" s="306"/>
      <c r="V128" s="306"/>
      <c r="W128" s="306"/>
      <c r="X128" s="306"/>
      <c r="Y128" s="306"/>
      <c r="Z128" s="306"/>
      <c r="AA128" s="306"/>
      <c r="AB128" s="306"/>
      <c r="AC128" s="306"/>
      <c r="AD128" s="306"/>
    </row>
    <row r="129" spans="1:30" ht="15.75">
      <c r="A129" s="305"/>
      <c r="B129" s="305"/>
      <c r="C129" s="305"/>
      <c r="D129" s="306"/>
      <c r="E129" s="306"/>
      <c r="F129" s="306"/>
      <c r="G129" s="306"/>
      <c r="H129" s="306"/>
      <c r="I129" s="306"/>
      <c r="J129" s="306"/>
      <c r="K129" s="306"/>
      <c r="L129" s="306"/>
      <c r="M129" s="306"/>
      <c r="N129" s="306"/>
      <c r="O129" s="306"/>
      <c r="P129" s="306"/>
      <c r="Q129" s="306"/>
      <c r="R129" s="306"/>
      <c r="S129" s="306"/>
      <c r="T129" s="306"/>
      <c r="U129" s="306"/>
      <c r="V129" s="306"/>
      <c r="W129" s="306"/>
      <c r="X129" s="306"/>
      <c r="Y129" s="306"/>
      <c r="Z129" s="306"/>
      <c r="AA129" s="306"/>
      <c r="AB129" s="306"/>
      <c r="AC129" s="306"/>
      <c r="AD129" s="306"/>
    </row>
    <row r="130" spans="1:30" ht="15.75">
      <c r="A130" s="305"/>
      <c r="B130" s="305"/>
      <c r="C130" s="305"/>
      <c r="D130" s="306"/>
      <c r="E130" s="306"/>
      <c r="F130" s="306"/>
      <c r="G130" s="306"/>
      <c r="H130" s="306"/>
      <c r="I130" s="306"/>
      <c r="J130" s="306"/>
      <c r="K130" s="306"/>
      <c r="L130" s="306"/>
      <c r="M130" s="306"/>
      <c r="N130" s="306"/>
      <c r="O130" s="306"/>
      <c r="P130" s="306"/>
      <c r="Q130" s="306"/>
      <c r="R130" s="306"/>
      <c r="S130" s="306"/>
      <c r="T130" s="306"/>
      <c r="U130" s="306"/>
      <c r="V130" s="306"/>
      <c r="W130" s="306"/>
      <c r="X130" s="306"/>
      <c r="Y130" s="306"/>
      <c r="Z130" s="306"/>
      <c r="AA130" s="306"/>
      <c r="AB130" s="306"/>
      <c r="AC130" s="306"/>
      <c r="AD130" s="306"/>
    </row>
    <row r="131" spans="1:30" ht="15.75">
      <c r="A131" s="305"/>
      <c r="B131" s="305"/>
      <c r="C131" s="305"/>
      <c r="D131" s="306"/>
      <c r="E131" s="306"/>
      <c r="F131" s="306"/>
      <c r="G131" s="306"/>
      <c r="H131" s="306"/>
      <c r="I131" s="306"/>
      <c r="J131" s="306"/>
      <c r="K131" s="306"/>
      <c r="L131" s="306"/>
      <c r="M131" s="306"/>
      <c r="N131" s="306"/>
      <c r="O131" s="306"/>
      <c r="P131" s="306"/>
      <c r="Q131" s="306"/>
      <c r="R131" s="306"/>
      <c r="S131" s="306"/>
      <c r="T131" s="306"/>
      <c r="U131" s="306"/>
      <c r="V131" s="306"/>
      <c r="W131" s="306"/>
      <c r="X131" s="306"/>
      <c r="Y131" s="306"/>
      <c r="Z131" s="306"/>
      <c r="AA131" s="306"/>
      <c r="AB131" s="306"/>
      <c r="AC131" s="306"/>
      <c r="AD131" s="306"/>
    </row>
    <row r="132" spans="1:30" ht="15.75">
      <c r="A132" s="305"/>
      <c r="B132" s="305"/>
      <c r="C132" s="305"/>
      <c r="D132" s="306"/>
      <c r="E132" s="306"/>
      <c r="F132" s="306"/>
      <c r="G132" s="306"/>
      <c r="H132" s="306"/>
      <c r="I132" s="306"/>
      <c r="J132" s="306"/>
      <c r="K132" s="306"/>
      <c r="L132" s="306"/>
      <c r="M132" s="306"/>
      <c r="N132" s="306"/>
      <c r="O132" s="306"/>
      <c r="P132" s="306"/>
      <c r="Q132" s="306"/>
      <c r="R132" s="306"/>
      <c r="S132" s="306"/>
      <c r="T132" s="306"/>
      <c r="U132" s="306"/>
      <c r="V132" s="306"/>
      <c r="W132" s="306"/>
      <c r="X132" s="306"/>
      <c r="Y132" s="306"/>
      <c r="Z132" s="306"/>
      <c r="AA132" s="306"/>
      <c r="AB132" s="306"/>
      <c r="AC132" s="306"/>
      <c r="AD132" s="306"/>
    </row>
    <row r="133" spans="1:30" ht="15.75">
      <c r="A133" s="305"/>
      <c r="B133" s="305"/>
      <c r="C133" s="305"/>
      <c r="D133" s="306"/>
      <c r="E133" s="306"/>
      <c r="F133" s="306"/>
      <c r="G133" s="306"/>
      <c r="H133" s="306"/>
      <c r="I133" s="306"/>
      <c r="J133" s="306"/>
      <c r="K133" s="306"/>
      <c r="L133" s="306"/>
      <c r="M133" s="306"/>
      <c r="N133" s="306"/>
      <c r="O133" s="306"/>
      <c r="P133" s="306"/>
      <c r="Q133" s="306"/>
      <c r="R133" s="306"/>
      <c r="S133" s="306"/>
      <c r="T133" s="306"/>
      <c r="U133" s="306"/>
      <c r="V133" s="306"/>
      <c r="W133" s="306"/>
      <c r="X133" s="306"/>
      <c r="Y133" s="306"/>
      <c r="Z133" s="306"/>
      <c r="AA133" s="306"/>
      <c r="AB133" s="306"/>
      <c r="AC133" s="306"/>
      <c r="AD133" s="306"/>
    </row>
    <row r="134" spans="1:30" ht="15.75">
      <c r="A134" s="305"/>
      <c r="B134" s="305"/>
      <c r="C134" s="305"/>
      <c r="D134" s="306"/>
      <c r="E134" s="306"/>
      <c r="F134" s="306"/>
      <c r="G134" s="306"/>
      <c r="H134" s="306"/>
      <c r="I134" s="306"/>
      <c r="J134" s="306"/>
      <c r="K134" s="306"/>
      <c r="L134" s="306"/>
      <c r="M134" s="306"/>
      <c r="N134" s="306"/>
      <c r="O134" s="306"/>
      <c r="P134" s="306"/>
      <c r="Q134" s="306"/>
      <c r="R134" s="306"/>
      <c r="S134" s="306"/>
      <c r="T134" s="306"/>
      <c r="U134" s="306"/>
      <c r="V134" s="306"/>
      <c r="W134" s="306"/>
      <c r="X134" s="306"/>
      <c r="Y134" s="306"/>
      <c r="Z134" s="306"/>
      <c r="AA134" s="306"/>
      <c r="AB134" s="306"/>
      <c r="AC134" s="306"/>
      <c r="AD134" s="306"/>
    </row>
    <row r="135" spans="1:30" ht="15.75">
      <c r="A135" s="305"/>
      <c r="B135" s="305"/>
      <c r="C135" s="305"/>
      <c r="D135" s="306"/>
      <c r="E135" s="306"/>
      <c r="F135" s="306"/>
      <c r="G135" s="306"/>
      <c r="H135" s="306"/>
      <c r="I135" s="306"/>
      <c r="J135" s="306"/>
      <c r="K135" s="306"/>
      <c r="L135" s="306"/>
      <c r="M135" s="306"/>
      <c r="N135" s="306"/>
      <c r="O135" s="306"/>
      <c r="P135" s="306"/>
      <c r="Q135" s="306"/>
      <c r="R135" s="306"/>
      <c r="S135" s="306"/>
      <c r="T135" s="306"/>
      <c r="U135" s="306"/>
      <c r="V135" s="306"/>
      <c r="W135" s="306"/>
      <c r="X135" s="306"/>
      <c r="Y135" s="306"/>
      <c r="Z135" s="306"/>
      <c r="AA135" s="306"/>
      <c r="AB135" s="306"/>
      <c r="AC135" s="306"/>
      <c r="AD135" s="306"/>
    </row>
    <row r="136" spans="1:30" ht="15.75">
      <c r="A136" s="305"/>
      <c r="B136" s="305"/>
      <c r="C136" s="305"/>
      <c r="D136" s="306"/>
      <c r="E136" s="306"/>
      <c r="F136" s="306"/>
      <c r="G136" s="306"/>
      <c r="H136" s="306"/>
      <c r="I136" s="306"/>
      <c r="J136" s="306"/>
      <c r="K136" s="306"/>
      <c r="L136" s="306"/>
      <c r="M136" s="306"/>
      <c r="N136" s="306"/>
      <c r="O136" s="306"/>
      <c r="P136" s="306"/>
      <c r="Q136" s="306"/>
      <c r="R136" s="306"/>
      <c r="S136" s="306"/>
      <c r="T136" s="306"/>
      <c r="U136" s="306"/>
      <c r="V136" s="306"/>
      <c r="W136" s="306"/>
      <c r="X136" s="306"/>
      <c r="Y136" s="306"/>
      <c r="Z136" s="306"/>
      <c r="AA136" s="306"/>
      <c r="AB136" s="306"/>
      <c r="AC136" s="306"/>
      <c r="AD136" s="306"/>
    </row>
    <row r="137" spans="1:30" ht="15.75">
      <c r="A137" s="305"/>
      <c r="B137" s="305"/>
      <c r="C137" s="305"/>
      <c r="D137" s="306"/>
      <c r="E137" s="306"/>
      <c r="F137" s="306"/>
      <c r="G137" s="306"/>
      <c r="H137" s="306"/>
      <c r="I137" s="306"/>
      <c r="J137" s="306"/>
      <c r="K137" s="306"/>
      <c r="L137" s="306"/>
      <c r="M137" s="306"/>
      <c r="N137" s="306"/>
      <c r="O137" s="306"/>
      <c r="P137" s="306"/>
      <c r="Q137" s="306"/>
      <c r="R137" s="306"/>
      <c r="S137" s="306"/>
      <c r="T137" s="306"/>
      <c r="U137" s="306"/>
      <c r="V137" s="306"/>
      <c r="W137" s="306"/>
      <c r="X137" s="306"/>
      <c r="Y137" s="306"/>
      <c r="Z137" s="306"/>
      <c r="AA137" s="306"/>
      <c r="AB137" s="306"/>
      <c r="AC137" s="306"/>
      <c r="AD137" s="306"/>
    </row>
    <row r="138" spans="1:30" ht="15.75">
      <c r="A138" s="305"/>
      <c r="B138" s="305"/>
      <c r="C138" s="305"/>
      <c r="D138" s="306"/>
      <c r="E138" s="306"/>
      <c r="F138" s="306"/>
      <c r="G138" s="306"/>
      <c r="H138" s="306"/>
      <c r="I138" s="306"/>
      <c r="J138" s="306"/>
      <c r="K138" s="306"/>
      <c r="L138" s="306"/>
      <c r="M138" s="306"/>
      <c r="N138" s="306"/>
      <c r="O138" s="306"/>
      <c r="P138" s="306"/>
      <c r="Q138" s="306"/>
      <c r="R138" s="306"/>
      <c r="S138" s="306"/>
      <c r="T138" s="306"/>
      <c r="U138" s="306"/>
      <c r="V138" s="306"/>
      <c r="W138" s="306"/>
      <c r="X138" s="306"/>
      <c r="Y138" s="306"/>
      <c r="Z138" s="306"/>
      <c r="AA138" s="306"/>
      <c r="AB138" s="306"/>
      <c r="AC138" s="306"/>
      <c r="AD138" s="306"/>
    </row>
    <row r="139" spans="1:30" ht="15.75">
      <c r="A139" s="305"/>
      <c r="B139" s="305"/>
      <c r="C139" s="305"/>
      <c r="D139" s="306"/>
      <c r="E139" s="306"/>
      <c r="F139" s="306"/>
      <c r="G139" s="306"/>
      <c r="H139" s="306"/>
      <c r="I139" s="306"/>
      <c r="J139" s="306"/>
      <c r="K139" s="306"/>
      <c r="L139" s="306"/>
      <c r="M139" s="306"/>
      <c r="N139" s="306"/>
      <c r="O139" s="306"/>
      <c r="P139" s="306"/>
      <c r="Q139" s="306"/>
      <c r="R139" s="306"/>
      <c r="S139" s="306"/>
      <c r="T139" s="306"/>
      <c r="U139" s="306"/>
      <c r="V139" s="306"/>
      <c r="W139" s="306"/>
      <c r="X139" s="306"/>
      <c r="Y139" s="306"/>
      <c r="Z139" s="306"/>
      <c r="AA139" s="306"/>
      <c r="AB139" s="306"/>
      <c r="AC139" s="306"/>
      <c r="AD139" s="306"/>
    </row>
    <row r="140" spans="1:30" ht="15.75">
      <c r="A140" s="305"/>
      <c r="B140" s="305"/>
      <c r="C140" s="305"/>
      <c r="D140" s="306"/>
      <c r="E140" s="306"/>
      <c r="F140" s="306"/>
      <c r="G140" s="306"/>
      <c r="H140" s="306"/>
      <c r="I140" s="306"/>
      <c r="J140" s="306"/>
      <c r="K140" s="306"/>
      <c r="L140" s="306"/>
      <c r="M140" s="306"/>
      <c r="N140" s="306"/>
      <c r="O140" s="306"/>
      <c r="P140" s="306"/>
      <c r="Q140" s="306"/>
      <c r="R140" s="306"/>
      <c r="S140" s="306"/>
      <c r="T140" s="306"/>
      <c r="U140" s="306"/>
      <c r="V140" s="306"/>
      <c r="W140" s="306"/>
      <c r="X140" s="306"/>
      <c r="Y140" s="306"/>
      <c r="Z140" s="306"/>
      <c r="AA140" s="306"/>
      <c r="AB140" s="306"/>
      <c r="AC140" s="306"/>
      <c r="AD140" s="306"/>
    </row>
    <row r="141" spans="1:30" ht="15.75">
      <c r="A141" s="305"/>
      <c r="B141" s="305"/>
      <c r="C141" s="305"/>
      <c r="D141" s="306"/>
      <c r="E141" s="306"/>
      <c r="F141" s="306"/>
      <c r="G141" s="306"/>
      <c r="H141" s="306"/>
      <c r="I141" s="306"/>
      <c r="J141" s="306"/>
      <c r="K141" s="306"/>
      <c r="L141" s="306"/>
      <c r="M141" s="306"/>
      <c r="N141" s="306"/>
      <c r="O141" s="306"/>
      <c r="P141" s="306"/>
      <c r="Q141" s="306"/>
      <c r="R141" s="306"/>
      <c r="S141" s="306"/>
      <c r="T141" s="306"/>
      <c r="U141" s="306"/>
      <c r="V141" s="306"/>
      <c r="W141" s="306"/>
      <c r="X141" s="306"/>
      <c r="Y141" s="306"/>
      <c r="Z141" s="306"/>
      <c r="AA141" s="306"/>
      <c r="AB141" s="306"/>
      <c r="AC141" s="306"/>
      <c r="AD141" s="306"/>
    </row>
    <row r="142" spans="1:30" ht="15.75">
      <c r="A142" s="305"/>
      <c r="B142" s="305"/>
      <c r="C142" s="305"/>
      <c r="D142" s="306"/>
      <c r="E142" s="306"/>
      <c r="F142" s="306"/>
      <c r="G142" s="306"/>
      <c r="H142" s="306"/>
      <c r="I142" s="306"/>
      <c r="J142" s="306"/>
      <c r="K142" s="306"/>
      <c r="L142" s="306"/>
      <c r="M142" s="306"/>
      <c r="N142" s="306"/>
      <c r="O142" s="306"/>
      <c r="P142" s="306"/>
      <c r="Q142" s="306"/>
      <c r="R142" s="306"/>
      <c r="S142" s="306"/>
      <c r="T142" s="306"/>
      <c r="U142" s="306"/>
      <c r="V142" s="306"/>
      <c r="W142" s="306"/>
      <c r="X142" s="306"/>
      <c r="Y142" s="306"/>
      <c r="Z142" s="306"/>
      <c r="AA142" s="306"/>
      <c r="AB142" s="306"/>
      <c r="AC142" s="306"/>
      <c r="AD142" s="306"/>
    </row>
    <row r="143" spans="1:30" ht="15.75">
      <c r="A143" s="305"/>
      <c r="B143" s="305"/>
      <c r="C143" s="305"/>
      <c r="D143" s="306"/>
      <c r="E143" s="306"/>
      <c r="F143" s="306"/>
      <c r="G143" s="306"/>
      <c r="H143" s="306"/>
      <c r="I143" s="306"/>
      <c r="J143" s="306"/>
      <c r="K143" s="306"/>
      <c r="L143" s="306"/>
      <c r="M143" s="306"/>
      <c r="N143" s="306"/>
      <c r="O143" s="306"/>
      <c r="P143" s="306"/>
      <c r="Q143" s="306"/>
      <c r="R143" s="306"/>
      <c r="S143" s="306"/>
      <c r="T143" s="306"/>
      <c r="U143" s="306"/>
      <c r="V143" s="306"/>
      <c r="W143" s="306"/>
      <c r="X143" s="306"/>
      <c r="Y143" s="306"/>
      <c r="Z143" s="306"/>
      <c r="AA143" s="306"/>
      <c r="AB143" s="306"/>
      <c r="AC143" s="306"/>
      <c r="AD143" s="306"/>
    </row>
    <row r="144" spans="1:30" ht="15.75">
      <c r="A144" s="305"/>
      <c r="B144" s="305"/>
      <c r="C144" s="305"/>
      <c r="D144" s="306"/>
      <c r="E144" s="306"/>
      <c r="F144" s="306"/>
      <c r="G144" s="306"/>
      <c r="H144" s="306"/>
      <c r="I144" s="306"/>
      <c r="J144" s="306"/>
      <c r="K144" s="306"/>
      <c r="L144" s="306"/>
      <c r="M144" s="306"/>
      <c r="N144" s="306"/>
      <c r="O144" s="306"/>
      <c r="P144" s="306"/>
      <c r="Q144" s="306"/>
      <c r="R144" s="306"/>
      <c r="S144" s="306"/>
      <c r="T144" s="306"/>
      <c r="U144" s="306"/>
      <c r="V144" s="306"/>
      <c r="W144" s="306"/>
      <c r="X144" s="306"/>
      <c r="Y144" s="306"/>
      <c r="Z144" s="306"/>
      <c r="AA144" s="306"/>
      <c r="AB144" s="306"/>
      <c r="AC144" s="306"/>
      <c r="AD144" s="306"/>
    </row>
    <row r="145" spans="1:30" ht="15.75">
      <c r="A145" s="305"/>
      <c r="B145" s="305"/>
      <c r="C145" s="305"/>
      <c r="D145" s="306"/>
      <c r="E145" s="306"/>
      <c r="F145" s="306"/>
      <c r="G145" s="306"/>
      <c r="H145" s="306"/>
      <c r="I145" s="306"/>
      <c r="J145" s="306"/>
      <c r="K145" s="306"/>
      <c r="L145" s="306"/>
      <c r="M145" s="306"/>
      <c r="N145" s="306"/>
      <c r="O145" s="306"/>
      <c r="P145" s="306"/>
      <c r="Q145" s="306"/>
      <c r="R145" s="306"/>
      <c r="S145" s="306"/>
      <c r="T145" s="306"/>
      <c r="U145" s="306"/>
      <c r="V145" s="306"/>
      <c r="W145" s="306"/>
      <c r="X145" s="306"/>
      <c r="Y145" s="306"/>
      <c r="Z145" s="306"/>
      <c r="AA145" s="306"/>
      <c r="AB145" s="306"/>
      <c r="AC145" s="306"/>
      <c r="AD145" s="306"/>
    </row>
    <row r="146" spans="1:30" ht="15.75">
      <c r="A146" s="305"/>
      <c r="B146" s="305"/>
      <c r="C146" s="305"/>
      <c r="D146" s="306"/>
      <c r="E146" s="306"/>
      <c r="F146" s="306"/>
      <c r="G146" s="306"/>
      <c r="H146" s="306"/>
      <c r="I146" s="306"/>
      <c r="J146" s="306"/>
      <c r="K146" s="306"/>
      <c r="L146" s="306"/>
      <c r="M146" s="306"/>
      <c r="N146" s="306"/>
      <c r="O146" s="306"/>
      <c r="P146" s="306"/>
      <c r="Q146" s="306"/>
      <c r="R146" s="306"/>
      <c r="S146" s="306"/>
      <c r="T146" s="306"/>
      <c r="U146" s="306"/>
      <c r="V146" s="306"/>
      <c r="W146" s="306"/>
      <c r="X146" s="306"/>
      <c r="Y146" s="306"/>
      <c r="Z146" s="306"/>
      <c r="AA146" s="306"/>
      <c r="AB146" s="306"/>
      <c r="AC146" s="306"/>
      <c r="AD146" s="306"/>
    </row>
    <row r="147" spans="1:30" ht="15.75">
      <c r="A147" s="305"/>
      <c r="B147" s="305"/>
      <c r="C147" s="305"/>
      <c r="D147" s="306"/>
      <c r="E147" s="306"/>
      <c r="F147" s="306"/>
      <c r="G147" s="306"/>
      <c r="H147" s="306"/>
      <c r="I147" s="306"/>
      <c r="J147" s="306"/>
      <c r="K147" s="306"/>
      <c r="L147" s="306"/>
      <c r="M147" s="306"/>
      <c r="N147" s="306"/>
      <c r="O147" s="306"/>
      <c r="P147" s="306"/>
      <c r="Q147" s="306"/>
      <c r="R147" s="306"/>
      <c r="S147" s="306"/>
      <c r="T147" s="306"/>
      <c r="U147" s="306"/>
      <c r="V147" s="306"/>
      <c r="W147" s="306"/>
      <c r="X147" s="306"/>
      <c r="Y147" s="306"/>
      <c r="Z147" s="306"/>
      <c r="AA147" s="306"/>
      <c r="AB147" s="306"/>
      <c r="AC147" s="306"/>
      <c r="AD147" s="306"/>
    </row>
    <row r="148" spans="1:30" ht="15.75">
      <c r="A148" s="305"/>
      <c r="B148" s="305"/>
      <c r="C148" s="305"/>
      <c r="D148" s="306"/>
      <c r="E148" s="306"/>
      <c r="F148" s="306"/>
      <c r="G148" s="306"/>
      <c r="H148" s="306"/>
      <c r="I148" s="306"/>
      <c r="J148" s="306"/>
      <c r="K148" s="306"/>
      <c r="L148" s="306"/>
      <c r="M148" s="306"/>
      <c r="N148" s="306"/>
      <c r="O148" s="306"/>
      <c r="P148" s="306"/>
      <c r="Q148" s="306"/>
      <c r="R148" s="306"/>
      <c r="S148" s="306"/>
      <c r="T148" s="306"/>
      <c r="U148" s="306"/>
      <c r="V148" s="306"/>
      <c r="W148" s="306"/>
      <c r="X148" s="306"/>
      <c r="Y148" s="306"/>
      <c r="Z148" s="306"/>
      <c r="AA148" s="306"/>
      <c r="AB148" s="306"/>
      <c r="AC148" s="306"/>
      <c r="AD148" s="306"/>
    </row>
    <row r="149" spans="1:30" ht="15.75">
      <c r="A149" s="305"/>
      <c r="B149" s="305"/>
      <c r="C149" s="305"/>
      <c r="D149" s="306"/>
      <c r="E149" s="306"/>
      <c r="F149" s="306"/>
      <c r="G149" s="306"/>
      <c r="H149" s="306"/>
      <c r="I149" s="306"/>
      <c r="J149" s="306"/>
      <c r="K149" s="306"/>
      <c r="L149" s="306"/>
      <c r="M149" s="306"/>
      <c r="N149" s="306"/>
      <c r="O149" s="306"/>
      <c r="P149" s="306"/>
      <c r="Q149" s="306"/>
      <c r="R149" s="306"/>
      <c r="S149" s="306"/>
      <c r="T149" s="306"/>
      <c r="U149" s="306"/>
      <c r="V149" s="306"/>
      <c r="W149" s="306"/>
      <c r="X149" s="306"/>
      <c r="Y149" s="306"/>
      <c r="Z149" s="306"/>
      <c r="AA149" s="306"/>
      <c r="AB149" s="306"/>
      <c r="AC149" s="306"/>
      <c r="AD149" s="306"/>
    </row>
    <row r="150" spans="1:30" ht="15.75">
      <c r="A150" s="305"/>
      <c r="B150" s="305"/>
      <c r="C150" s="305"/>
      <c r="D150" s="306"/>
      <c r="E150" s="306"/>
      <c r="F150" s="306"/>
      <c r="G150" s="306"/>
      <c r="H150" s="306"/>
      <c r="I150" s="306"/>
      <c r="J150" s="306"/>
      <c r="K150" s="306"/>
      <c r="L150" s="306"/>
      <c r="M150" s="306"/>
      <c r="N150" s="306"/>
      <c r="O150" s="306"/>
      <c r="P150" s="306"/>
      <c r="Q150" s="306"/>
      <c r="R150" s="306"/>
      <c r="S150" s="306"/>
      <c r="T150" s="306"/>
      <c r="U150" s="306"/>
      <c r="V150" s="306"/>
      <c r="W150" s="306"/>
      <c r="X150" s="306"/>
      <c r="Y150" s="306"/>
      <c r="Z150" s="306"/>
      <c r="AA150" s="306"/>
      <c r="AB150" s="306"/>
      <c r="AC150" s="306"/>
      <c r="AD150" s="306"/>
    </row>
    <row r="151" spans="1:30" ht="15.75">
      <c r="A151" s="305"/>
      <c r="B151" s="305"/>
      <c r="C151" s="305"/>
      <c r="D151" s="306"/>
      <c r="E151" s="306"/>
      <c r="F151" s="306"/>
      <c r="G151" s="306"/>
      <c r="H151" s="306"/>
      <c r="I151" s="306"/>
      <c r="J151" s="306"/>
      <c r="K151" s="306"/>
      <c r="L151" s="306"/>
      <c r="M151" s="306"/>
      <c r="N151" s="306"/>
      <c r="O151" s="306"/>
      <c r="P151" s="306"/>
      <c r="Q151" s="306"/>
      <c r="R151" s="306"/>
      <c r="S151" s="306"/>
      <c r="T151" s="306"/>
      <c r="U151" s="306"/>
      <c r="V151" s="306"/>
      <c r="W151" s="306"/>
      <c r="X151" s="306"/>
      <c r="Y151" s="306"/>
      <c r="Z151" s="306"/>
      <c r="AA151" s="306"/>
      <c r="AB151" s="306"/>
      <c r="AC151" s="306"/>
      <c r="AD151" s="306"/>
    </row>
    <row r="152" spans="1:30" ht="15.75">
      <c r="A152" s="305"/>
      <c r="B152" s="305"/>
      <c r="C152" s="305"/>
      <c r="D152" s="306"/>
      <c r="E152" s="306"/>
      <c r="F152" s="306"/>
      <c r="G152" s="306"/>
      <c r="H152" s="306"/>
      <c r="I152" s="306"/>
      <c r="J152" s="306"/>
      <c r="K152" s="306"/>
      <c r="L152" s="306"/>
      <c r="M152" s="306"/>
      <c r="N152" s="306"/>
      <c r="O152" s="306"/>
      <c r="P152" s="306"/>
      <c r="Q152" s="306"/>
      <c r="R152" s="306"/>
      <c r="S152" s="306"/>
      <c r="T152" s="306"/>
      <c r="U152" s="306"/>
      <c r="V152" s="306"/>
      <c r="W152" s="306"/>
      <c r="X152" s="306"/>
      <c r="Y152" s="306"/>
      <c r="Z152" s="306"/>
      <c r="AA152" s="306"/>
      <c r="AB152" s="306"/>
      <c r="AC152" s="306"/>
      <c r="AD152" s="306"/>
    </row>
    <row r="153" spans="1:30" ht="15.75">
      <c r="A153" s="305"/>
      <c r="B153" s="305"/>
      <c r="C153" s="305"/>
      <c r="D153" s="306"/>
      <c r="E153" s="306"/>
      <c r="F153" s="306"/>
      <c r="G153" s="306"/>
      <c r="H153" s="306"/>
      <c r="I153" s="306"/>
      <c r="J153" s="306"/>
      <c r="K153" s="306"/>
      <c r="L153" s="306"/>
      <c r="M153" s="306"/>
      <c r="N153" s="306"/>
      <c r="O153" s="306"/>
      <c r="P153" s="306"/>
      <c r="Q153" s="306"/>
      <c r="R153" s="306"/>
      <c r="S153" s="306"/>
      <c r="T153" s="306"/>
      <c r="U153" s="306"/>
      <c r="V153" s="306"/>
      <c r="W153" s="306"/>
      <c r="X153" s="306"/>
      <c r="Y153" s="306"/>
      <c r="Z153" s="306"/>
      <c r="AA153" s="306"/>
      <c r="AB153" s="306"/>
      <c r="AC153" s="306"/>
      <c r="AD153" s="306"/>
    </row>
    <row r="154" spans="1:30" ht="15.75">
      <c r="A154" s="305"/>
      <c r="B154" s="305"/>
      <c r="C154" s="305"/>
      <c r="D154" s="306"/>
      <c r="E154" s="306"/>
      <c r="F154" s="306"/>
      <c r="G154" s="306"/>
      <c r="H154" s="306"/>
      <c r="I154" s="306"/>
      <c r="J154" s="306"/>
      <c r="K154" s="306"/>
      <c r="L154" s="306"/>
      <c r="M154" s="306"/>
      <c r="N154" s="306"/>
      <c r="O154" s="306"/>
      <c r="P154" s="306"/>
      <c r="Q154" s="306"/>
      <c r="R154" s="306"/>
      <c r="S154" s="306"/>
      <c r="T154" s="306"/>
      <c r="U154" s="306"/>
      <c r="V154" s="306"/>
      <c r="W154" s="306"/>
      <c r="X154" s="306"/>
      <c r="Y154" s="306"/>
      <c r="Z154" s="306"/>
      <c r="AA154" s="306"/>
      <c r="AB154" s="306"/>
      <c r="AC154" s="306"/>
      <c r="AD154" s="306"/>
    </row>
    <row r="155" spans="1:30" ht="15.75">
      <c r="A155" s="305"/>
      <c r="B155" s="305"/>
      <c r="C155" s="305"/>
      <c r="D155" s="306"/>
      <c r="E155" s="306"/>
      <c r="F155" s="306"/>
      <c r="G155" s="306"/>
      <c r="H155" s="306"/>
      <c r="I155" s="306"/>
      <c r="J155" s="306"/>
      <c r="K155" s="306"/>
      <c r="L155" s="306"/>
      <c r="M155" s="306"/>
      <c r="N155" s="306"/>
      <c r="O155" s="306"/>
      <c r="P155" s="306"/>
      <c r="Q155" s="306"/>
      <c r="R155" s="306"/>
      <c r="S155" s="306"/>
      <c r="T155" s="306"/>
      <c r="U155" s="306"/>
      <c r="V155" s="306"/>
      <c r="W155" s="306"/>
      <c r="X155" s="306"/>
      <c r="Y155" s="306"/>
      <c r="Z155" s="306"/>
      <c r="AA155" s="306"/>
      <c r="AB155" s="306"/>
      <c r="AC155" s="306"/>
      <c r="AD155" s="306"/>
    </row>
    <row r="156" spans="1:30" ht="15.75">
      <c r="A156" s="305"/>
      <c r="B156" s="305"/>
      <c r="C156" s="305"/>
      <c r="D156" s="306"/>
      <c r="E156" s="306"/>
      <c r="F156" s="306"/>
      <c r="G156" s="306"/>
      <c r="H156" s="306"/>
      <c r="I156" s="306"/>
      <c r="J156" s="306"/>
      <c r="K156" s="306"/>
      <c r="L156" s="306"/>
      <c r="M156" s="306"/>
      <c r="N156" s="306"/>
      <c r="O156" s="306"/>
      <c r="P156" s="306"/>
      <c r="Q156" s="306"/>
      <c r="R156" s="306"/>
      <c r="S156" s="306"/>
      <c r="T156" s="306"/>
      <c r="U156" s="306"/>
      <c r="V156" s="306"/>
      <c r="W156" s="306"/>
      <c r="X156" s="306"/>
      <c r="Y156" s="306"/>
      <c r="Z156" s="306"/>
      <c r="AA156" s="306"/>
      <c r="AB156" s="306"/>
      <c r="AC156" s="306"/>
      <c r="AD156" s="306"/>
    </row>
    <row r="157" spans="1:30" ht="15.75">
      <c r="A157" s="305"/>
      <c r="B157" s="305"/>
      <c r="C157" s="305"/>
      <c r="D157" s="306"/>
      <c r="E157" s="306"/>
      <c r="F157" s="306"/>
      <c r="G157" s="306"/>
      <c r="H157" s="306"/>
      <c r="I157" s="306"/>
      <c r="J157" s="306"/>
      <c r="K157" s="306"/>
      <c r="L157" s="306"/>
      <c r="M157" s="306"/>
      <c r="N157" s="306"/>
      <c r="O157" s="306"/>
      <c r="P157" s="306"/>
      <c r="Q157" s="306"/>
      <c r="R157" s="306"/>
      <c r="S157" s="306"/>
      <c r="T157" s="306"/>
      <c r="U157" s="306"/>
      <c r="V157" s="306"/>
      <c r="W157" s="306"/>
      <c r="X157" s="306"/>
      <c r="Y157" s="306"/>
      <c r="Z157" s="306"/>
      <c r="AA157" s="306"/>
      <c r="AB157" s="306"/>
      <c r="AC157" s="306"/>
      <c r="AD157" s="306"/>
    </row>
    <row r="158" spans="1:30" ht="15.75">
      <c r="A158" s="305"/>
      <c r="B158" s="305"/>
      <c r="C158" s="305"/>
      <c r="D158" s="306"/>
      <c r="E158" s="306"/>
      <c r="F158" s="306"/>
      <c r="G158" s="306"/>
      <c r="H158" s="306"/>
      <c r="I158" s="306"/>
      <c r="J158" s="306"/>
      <c r="K158" s="306"/>
      <c r="L158" s="306"/>
      <c r="M158" s="306"/>
      <c r="N158" s="306"/>
      <c r="O158" s="306"/>
      <c r="P158" s="306"/>
      <c r="Q158" s="306"/>
      <c r="R158" s="306"/>
      <c r="S158" s="306"/>
      <c r="T158" s="306"/>
      <c r="U158" s="306"/>
      <c r="V158" s="306"/>
      <c r="W158" s="306"/>
      <c r="X158" s="306"/>
      <c r="Y158" s="306"/>
      <c r="Z158" s="306"/>
      <c r="AA158" s="306"/>
      <c r="AB158" s="306"/>
      <c r="AC158" s="306"/>
      <c r="AD158" s="306"/>
    </row>
    <row r="159" spans="1:30" ht="15.75">
      <c r="A159" s="305"/>
      <c r="B159" s="305"/>
      <c r="C159" s="305"/>
      <c r="D159" s="306"/>
      <c r="E159" s="306"/>
      <c r="F159" s="306"/>
      <c r="G159" s="306"/>
      <c r="H159" s="306"/>
      <c r="I159" s="306"/>
      <c r="J159" s="306"/>
      <c r="K159" s="306"/>
      <c r="L159" s="306"/>
      <c r="M159" s="306"/>
      <c r="N159" s="306"/>
      <c r="O159" s="306"/>
      <c r="P159" s="306"/>
      <c r="Q159" s="306"/>
      <c r="R159" s="306"/>
      <c r="S159" s="306"/>
      <c r="T159" s="306"/>
      <c r="U159" s="306"/>
      <c r="V159" s="306"/>
      <c r="W159" s="306"/>
      <c r="X159" s="306"/>
      <c r="Y159" s="306"/>
      <c r="Z159" s="306"/>
      <c r="AA159" s="306"/>
      <c r="AB159" s="306"/>
      <c r="AC159" s="306"/>
      <c r="AD159" s="306"/>
    </row>
    <row r="160" spans="1:30" ht="15.75">
      <c r="A160" s="305"/>
      <c r="B160" s="305"/>
      <c r="C160" s="305"/>
      <c r="D160" s="306"/>
      <c r="E160" s="306"/>
      <c r="F160" s="306"/>
      <c r="G160" s="306"/>
      <c r="H160" s="306"/>
      <c r="I160" s="306"/>
      <c r="J160" s="306"/>
      <c r="K160" s="306"/>
      <c r="L160" s="306"/>
      <c r="M160" s="306"/>
      <c r="N160" s="306"/>
      <c r="O160" s="306"/>
      <c r="P160" s="306"/>
      <c r="Q160" s="306"/>
      <c r="R160" s="306"/>
      <c r="S160" s="306"/>
      <c r="T160" s="306"/>
      <c r="U160" s="306"/>
      <c r="V160" s="306"/>
      <c r="W160" s="306"/>
      <c r="X160" s="306"/>
      <c r="Y160" s="306"/>
      <c r="Z160" s="306"/>
      <c r="AA160" s="306"/>
      <c r="AB160" s="306"/>
      <c r="AC160" s="306"/>
      <c r="AD160" s="306"/>
    </row>
    <row r="161" spans="1:30" ht="15.75">
      <c r="A161" s="305"/>
      <c r="B161" s="305"/>
      <c r="C161" s="305"/>
      <c r="D161" s="306"/>
      <c r="E161" s="306"/>
      <c r="F161" s="306"/>
      <c r="G161" s="306"/>
      <c r="H161" s="306"/>
      <c r="I161" s="306"/>
      <c r="J161" s="306"/>
      <c r="K161" s="306"/>
      <c r="L161" s="306"/>
      <c r="M161" s="306"/>
      <c r="N161" s="306"/>
      <c r="O161" s="306"/>
      <c r="P161" s="306"/>
      <c r="Q161" s="306"/>
      <c r="R161" s="306"/>
      <c r="S161" s="306"/>
      <c r="T161" s="306"/>
      <c r="U161" s="306"/>
      <c r="V161" s="306"/>
      <c r="W161" s="306"/>
      <c r="X161" s="306"/>
      <c r="Y161" s="306"/>
      <c r="Z161" s="306"/>
      <c r="AA161" s="306"/>
      <c r="AB161" s="306"/>
      <c r="AC161" s="306"/>
      <c r="AD161" s="306"/>
    </row>
    <row r="162" spans="1:30" ht="15.75">
      <c r="A162" s="305"/>
      <c r="B162" s="305"/>
      <c r="C162" s="305"/>
      <c r="D162" s="306"/>
      <c r="E162" s="306"/>
      <c r="F162" s="306"/>
      <c r="G162" s="306"/>
      <c r="H162" s="306"/>
      <c r="I162" s="306"/>
      <c r="J162" s="306"/>
      <c r="K162" s="306"/>
      <c r="L162" s="306"/>
      <c r="M162" s="306"/>
      <c r="N162" s="306"/>
      <c r="O162" s="306"/>
      <c r="P162" s="306"/>
      <c r="Q162" s="306"/>
      <c r="R162" s="306"/>
      <c r="S162" s="306"/>
      <c r="T162" s="306"/>
      <c r="U162" s="306"/>
      <c r="V162" s="306"/>
      <c r="W162" s="306"/>
      <c r="X162" s="306"/>
      <c r="Y162" s="306"/>
      <c r="Z162" s="306"/>
      <c r="AA162" s="306"/>
      <c r="AB162" s="306"/>
      <c r="AC162" s="306"/>
      <c r="AD162" s="306"/>
    </row>
    <row r="163" spans="1:30" ht="15.75">
      <c r="A163" s="305"/>
      <c r="B163" s="305"/>
      <c r="C163" s="305"/>
      <c r="D163" s="306"/>
      <c r="E163" s="306"/>
      <c r="F163" s="306"/>
      <c r="G163" s="306"/>
      <c r="H163" s="306"/>
      <c r="I163" s="306"/>
      <c r="J163" s="306"/>
      <c r="K163" s="306"/>
      <c r="L163" s="306"/>
      <c r="M163" s="306"/>
      <c r="N163" s="306"/>
      <c r="O163" s="306"/>
      <c r="P163" s="306"/>
      <c r="Q163" s="306"/>
      <c r="R163" s="306"/>
      <c r="S163" s="306"/>
      <c r="T163" s="306"/>
      <c r="U163" s="306"/>
      <c r="V163" s="306"/>
      <c r="W163" s="306"/>
      <c r="X163" s="306"/>
      <c r="Y163" s="306"/>
      <c r="Z163" s="306"/>
      <c r="AA163" s="306"/>
      <c r="AB163" s="306"/>
      <c r="AC163" s="306"/>
      <c r="AD163" s="306"/>
    </row>
    <row r="164" spans="1:30" ht="15.75">
      <c r="A164" s="305"/>
      <c r="B164" s="305"/>
      <c r="C164" s="305"/>
      <c r="D164" s="306"/>
      <c r="E164" s="306"/>
      <c r="F164" s="306"/>
      <c r="G164" s="306"/>
      <c r="H164" s="306"/>
      <c r="I164" s="306"/>
      <c r="J164" s="306"/>
      <c r="K164" s="306"/>
      <c r="L164" s="306"/>
      <c r="M164" s="306"/>
      <c r="N164" s="306"/>
      <c r="O164" s="306"/>
      <c r="P164" s="306"/>
      <c r="Q164" s="306"/>
      <c r="R164" s="306"/>
      <c r="S164" s="306"/>
      <c r="T164" s="306"/>
      <c r="U164" s="306"/>
      <c r="V164" s="306"/>
      <c r="W164" s="306"/>
      <c r="X164" s="306"/>
      <c r="Y164" s="306"/>
      <c r="Z164" s="306"/>
      <c r="AA164" s="306"/>
      <c r="AB164" s="306"/>
      <c r="AC164" s="306"/>
      <c r="AD164" s="306"/>
    </row>
    <row r="165" spans="1:30" ht="15.75">
      <c r="A165" s="305"/>
      <c r="B165" s="305"/>
      <c r="C165" s="305"/>
      <c r="D165" s="306"/>
      <c r="E165" s="306"/>
      <c r="F165" s="306"/>
      <c r="G165" s="306"/>
      <c r="H165" s="306"/>
      <c r="I165" s="306"/>
      <c r="J165" s="306"/>
      <c r="K165" s="306"/>
      <c r="L165" s="306"/>
      <c r="M165" s="306"/>
      <c r="N165" s="306"/>
      <c r="O165" s="306"/>
      <c r="P165" s="306"/>
      <c r="Q165" s="306"/>
      <c r="R165" s="306"/>
      <c r="S165" s="306"/>
      <c r="T165" s="306"/>
      <c r="U165" s="306"/>
      <c r="V165" s="306"/>
      <c r="W165" s="306"/>
      <c r="X165" s="306"/>
      <c r="Y165" s="306"/>
      <c r="Z165" s="306"/>
      <c r="AA165" s="306"/>
      <c r="AB165" s="306"/>
      <c r="AC165" s="306"/>
      <c r="AD165" s="306"/>
    </row>
    <row r="166" spans="1:30" ht="15.75">
      <c r="A166" s="305"/>
      <c r="B166" s="305"/>
      <c r="C166" s="305"/>
      <c r="D166" s="306"/>
      <c r="E166" s="306"/>
      <c r="F166" s="306"/>
      <c r="G166" s="306"/>
      <c r="H166" s="306"/>
      <c r="I166" s="306"/>
      <c r="J166" s="306"/>
      <c r="K166" s="306"/>
      <c r="L166" s="306"/>
      <c r="M166" s="306"/>
      <c r="N166" s="306"/>
      <c r="O166" s="306"/>
      <c r="P166" s="306"/>
      <c r="Q166" s="306"/>
      <c r="R166" s="306"/>
      <c r="S166" s="306"/>
      <c r="T166" s="306"/>
      <c r="U166" s="306"/>
      <c r="V166" s="306"/>
      <c r="W166" s="306"/>
      <c r="X166" s="306"/>
      <c r="Y166" s="306"/>
      <c r="Z166" s="306"/>
      <c r="AA166" s="306"/>
      <c r="AB166" s="306"/>
      <c r="AC166" s="306"/>
      <c r="AD166" s="306"/>
    </row>
    <row r="167" spans="1:30" ht="15.75">
      <c r="A167" s="305"/>
      <c r="B167" s="305"/>
      <c r="C167" s="305"/>
      <c r="D167" s="306"/>
      <c r="E167" s="306"/>
      <c r="F167" s="306"/>
      <c r="G167" s="306"/>
      <c r="H167" s="306"/>
      <c r="I167" s="306"/>
      <c r="J167" s="306"/>
      <c r="K167" s="306"/>
      <c r="L167" s="306"/>
      <c r="M167" s="306"/>
      <c r="N167" s="306"/>
      <c r="O167" s="306"/>
      <c r="P167" s="306"/>
      <c r="Q167" s="306"/>
      <c r="R167" s="306"/>
      <c r="S167" s="306"/>
      <c r="T167" s="306"/>
      <c r="U167" s="306"/>
      <c r="V167" s="306"/>
      <c r="W167" s="306"/>
      <c r="X167" s="306"/>
      <c r="Y167" s="306"/>
      <c r="Z167" s="306"/>
      <c r="AA167" s="306"/>
      <c r="AB167" s="306"/>
      <c r="AC167" s="306"/>
      <c r="AD167" s="306"/>
    </row>
    <row r="168" spans="1:30" ht="15.75">
      <c r="A168" s="305"/>
      <c r="B168" s="305"/>
      <c r="C168" s="305"/>
      <c r="D168" s="306"/>
      <c r="E168" s="306"/>
      <c r="F168" s="306"/>
      <c r="G168" s="306"/>
      <c r="H168" s="306"/>
      <c r="I168" s="306"/>
      <c r="J168" s="306"/>
      <c r="K168" s="306"/>
      <c r="L168" s="306"/>
      <c r="M168" s="306"/>
      <c r="N168" s="306"/>
      <c r="O168" s="306"/>
      <c r="P168" s="306"/>
      <c r="Q168" s="306"/>
      <c r="R168" s="306"/>
      <c r="S168" s="306"/>
      <c r="T168" s="306"/>
      <c r="U168" s="306"/>
      <c r="V168" s="306"/>
      <c r="W168" s="306"/>
      <c r="X168" s="306"/>
      <c r="Y168" s="306"/>
      <c r="Z168" s="306"/>
      <c r="AA168" s="306"/>
      <c r="AB168" s="306"/>
      <c r="AC168" s="306"/>
      <c r="AD168" s="306"/>
    </row>
    <row r="169" spans="1:30" ht="15.75">
      <c r="A169" s="305"/>
      <c r="B169" s="305"/>
      <c r="C169" s="305"/>
      <c r="D169" s="306"/>
      <c r="E169" s="306"/>
      <c r="F169" s="306"/>
      <c r="G169" s="306"/>
      <c r="H169" s="306"/>
      <c r="I169" s="306"/>
      <c r="J169" s="306"/>
      <c r="K169" s="306"/>
      <c r="L169" s="306"/>
      <c r="M169" s="306"/>
      <c r="N169" s="306"/>
      <c r="O169" s="306"/>
      <c r="P169" s="306"/>
      <c r="Q169" s="306"/>
      <c r="R169" s="306"/>
      <c r="S169" s="306"/>
      <c r="T169" s="306"/>
      <c r="U169" s="306"/>
      <c r="V169" s="306"/>
      <c r="W169" s="306"/>
      <c r="X169" s="306"/>
      <c r="Y169" s="306"/>
      <c r="Z169" s="306"/>
      <c r="AA169" s="306"/>
      <c r="AB169" s="306"/>
      <c r="AC169" s="306"/>
      <c r="AD169" s="306"/>
    </row>
    <row r="170" spans="1:30" ht="15.75">
      <c r="A170" s="305"/>
      <c r="B170" s="305"/>
      <c r="C170" s="305"/>
      <c r="D170" s="306"/>
      <c r="E170" s="306"/>
      <c r="F170" s="306"/>
      <c r="G170" s="306"/>
      <c r="H170" s="306"/>
      <c r="I170" s="306"/>
      <c r="J170" s="306"/>
      <c r="K170" s="306"/>
      <c r="L170" s="306"/>
      <c r="M170" s="306"/>
      <c r="N170" s="306"/>
      <c r="O170" s="306"/>
      <c r="P170" s="306"/>
      <c r="Q170" s="306"/>
      <c r="R170" s="306"/>
      <c r="S170" s="306"/>
      <c r="T170" s="306"/>
      <c r="U170" s="306"/>
      <c r="V170" s="306"/>
      <c r="W170" s="306"/>
      <c r="X170" s="306"/>
      <c r="Y170" s="306"/>
      <c r="Z170" s="306"/>
      <c r="AA170" s="306"/>
      <c r="AB170" s="306"/>
      <c r="AC170" s="306"/>
      <c r="AD170" s="306"/>
    </row>
    <row r="171" spans="1:30" ht="15.75">
      <c r="A171" s="305"/>
      <c r="B171" s="305"/>
      <c r="C171" s="305"/>
      <c r="D171" s="306"/>
      <c r="E171" s="306"/>
      <c r="F171" s="306"/>
      <c r="G171" s="306"/>
      <c r="H171" s="306"/>
      <c r="I171" s="306"/>
      <c r="J171" s="306"/>
      <c r="K171" s="306"/>
      <c r="L171" s="306"/>
      <c r="M171" s="306"/>
      <c r="N171" s="306"/>
      <c r="O171" s="306"/>
      <c r="P171" s="306"/>
      <c r="Q171" s="306"/>
      <c r="R171" s="306"/>
      <c r="S171" s="306"/>
      <c r="T171" s="306"/>
      <c r="U171" s="306"/>
      <c r="V171" s="306"/>
      <c r="W171" s="306"/>
      <c r="X171" s="306"/>
      <c r="Y171" s="306"/>
      <c r="Z171" s="306"/>
      <c r="AA171" s="306"/>
      <c r="AB171" s="306"/>
      <c r="AC171" s="306"/>
      <c r="AD171" s="306"/>
    </row>
    <row r="172" spans="1:30" ht="15.75">
      <c r="A172" s="305"/>
      <c r="B172" s="305"/>
      <c r="C172" s="305"/>
      <c r="D172" s="306"/>
      <c r="E172" s="306"/>
      <c r="F172" s="306"/>
      <c r="G172" s="306"/>
      <c r="H172" s="306"/>
      <c r="I172" s="306"/>
      <c r="J172" s="306"/>
      <c r="K172" s="306"/>
      <c r="L172" s="306"/>
      <c r="M172" s="306"/>
      <c r="N172" s="306"/>
      <c r="O172" s="306"/>
      <c r="P172" s="306"/>
      <c r="Q172" s="306"/>
      <c r="R172" s="306"/>
      <c r="S172" s="306"/>
      <c r="T172" s="306"/>
      <c r="U172" s="306"/>
      <c r="V172" s="306"/>
      <c r="W172" s="306"/>
      <c r="X172" s="306"/>
      <c r="Y172" s="306"/>
      <c r="Z172" s="306"/>
      <c r="AA172" s="306"/>
      <c r="AB172" s="306"/>
      <c r="AC172" s="306"/>
      <c r="AD172" s="306"/>
    </row>
    <row r="173" spans="1:30" ht="15.75">
      <c r="A173" s="305"/>
      <c r="B173" s="305"/>
      <c r="C173" s="305"/>
      <c r="D173" s="306"/>
      <c r="E173" s="306"/>
      <c r="F173" s="306"/>
      <c r="G173" s="306"/>
      <c r="H173" s="306"/>
      <c r="I173" s="306"/>
      <c r="J173" s="306"/>
      <c r="K173" s="306"/>
      <c r="L173" s="306"/>
      <c r="M173" s="306"/>
      <c r="N173" s="306"/>
      <c r="O173" s="306"/>
      <c r="P173" s="306"/>
      <c r="Q173" s="306"/>
      <c r="R173" s="306"/>
      <c r="S173" s="306"/>
      <c r="T173" s="306"/>
      <c r="U173" s="306"/>
      <c r="V173" s="306"/>
      <c r="W173" s="306"/>
      <c r="X173" s="306"/>
      <c r="Y173" s="306"/>
      <c r="Z173" s="306"/>
      <c r="AA173" s="306"/>
      <c r="AB173" s="306"/>
      <c r="AC173" s="306"/>
      <c r="AD173" s="306"/>
    </row>
    <row r="174" spans="1:30" ht="15.75">
      <c r="A174" s="305"/>
      <c r="B174" s="305"/>
      <c r="C174" s="305"/>
      <c r="D174" s="306"/>
      <c r="E174" s="306"/>
      <c r="F174" s="306"/>
      <c r="G174" s="306"/>
      <c r="H174" s="306"/>
      <c r="I174" s="306"/>
      <c r="J174" s="306"/>
      <c r="K174" s="306"/>
      <c r="L174" s="306"/>
      <c r="M174" s="306"/>
      <c r="N174" s="306"/>
      <c r="O174" s="306"/>
      <c r="P174" s="306"/>
      <c r="Q174" s="306"/>
      <c r="R174" s="306"/>
      <c r="S174" s="306"/>
      <c r="T174" s="306"/>
      <c r="U174" s="306"/>
      <c r="V174" s="306"/>
      <c r="W174" s="306"/>
      <c r="X174" s="306"/>
      <c r="Y174" s="306"/>
      <c r="Z174" s="306"/>
      <c r="AA174" s="306"/>
      <c r="AB174" s="306"/>
      <c r="AC174" s="306"/>
      <c r="AD174" s="306"/>
    </row>
    <row r="175" spans="1:30" ht="15.75">
      <c r="A175" s="305"/>
      <c r="B175" s="305"/>
      <c r="C175" s="305"/>
      <c r="D175" s="306"/>
      <c r="E175" s="306"/>
      <c r="F175" s="306"/>
      <c r="G175" s="306"/>
      <c r="H175" s="306"/>
      <c r="I175" s="306"/>
      <c r="J175" s="306"/>
      <c r="K175" s="306"/>
      <c r="L175" s="306"/>
      <c r="M175" s="306"/>
      <c r="N175" s="306"/>
      <c r="O175" s="306"/>
      <c r="P175" s="306"/>
      <c r="Q175" s="306"/>
      <c r="R175" s="306"/>
      <c r="S175" s="306"/>
      <c r="T175" s="306"/>
      <c r="U175" s="306"/>
      <c r="V175" s="306"/>
      <c r="W175" s="306"/>
      <c r="X175" s="306"/>
      <c r="Y175" s="306"/>
      <c r="Z175" s="306"/>
      <c r="AA175" s="306"/>
      <c r="AB175" s="306"/>
      <c r="AC175" s="306"/>
      <c r="AD175" s="306"/>
    </row>
    <row r="176" spans="1:30" ht="15.75">
      <c r="A176" s="305"/>
      <c r="B176" s="305"/>
      <c r="C176" s="305"/>
      <c r="D176" s="306"/>
      <c r="E176" s="306"/>
      <c r="F176" s="306"/>
      <c r="G176" s="306"/>
      <c r="H176" s="306"/>
      <c r="I176" s="306"/>
      <c r="J176" s="306"/>
      <c r="K176" s="306"/>
      <c r="L176" s="306"/>
      <c r="M176" s="306"/>
      <c r="N176" s="306"/>
      <c r="O176" s="306"/>
      <c r="P176" s="306"/>
      <c r="Q176" s="306"/>
      <c r="R176" s="306"/>
      <c r="S176" s="306"/>
      <c r="T176" s="306"/>
      <c r="U176" s="306"/>
      <c r="V176" s="306"/>
      <c r="W176" s="306"/>
      <c r="X176" s="306"/>
      <c r="Y176" s="306"/>
      <c r="Z176" s="306"/>
      <c r="AA176" s="306"/>
      <c r="AB176" s="306"/>
      <c r="AC176" s="306"/>
      <c r="AD176" s="306"/>
    </row>
    <row r="177" spans="1:30" ht="15.75">
      <c r="A177" s="305"/>
      <c r="B177" s="305"/>
      <c r="C177" s="305"/>
      <c r="D177" s="306"/>
      <c r="E177" s="306"/>
      <c r="F177" s="306"/>
      <c r="G177" s="306"/>
      <c r="H177" s="306"/>
      <c r="I177" s="306"/>
      <c r="J177" s="306"/>
      <c r="K177" s="306"/>
      <c r="L177" s="306"/>
      <c r="M177" s="306"/>
      <c r="N177" s="306"/>
      <c r="O177" s="306"/>
      <c r="P177" s="306"/>
      <c r="Q177" s="306"/>
      <c r="R177" s="306"/>
      <c r="S177" s="306"/>
      <c r="T177" s="306"/>
      <c r="U177" s="306"/>
      <c r="V177" s="306"/>
      <c r="W177" s="306"/>
      <c r="X177" s="306"/>
      <c r="Y177" s="306"/>
      <c r="Z177" s="306"/>
      <c r="AA177" s="306"/>
      <c r="AB177" s="306"/>
      <c r="AC177" s="306"/>
      <c r="AD177" s="306"/>
    </row>
    <row r="178" spans="1:30" ht="15.75">
      <c r="A178" s="305"/>
      <c r="B178" s="305"/>
      <c r="C178" s="305"/>
      <c r="D178" s="306"/>
      <c r="E178" s="306"/>
      <c r="F178" s="306"/>
      <c r="G178" s="306"/>
      <c r="H178" s="306"/>
      <c r="I178" s="306"/>
      <c r="J178" s="306"/>
      <c r="K178" s="306"/>
      <c r="L178" s="306"/>
      <c r="M178" s="306"/>
      <c r="N178" s="306"/>
      <c r="O178" s="306"/>
      <c r="P178" s="306"/>
      <c r="Q178" s="306"/>
      <c r="R178" s="306"/>
      <c r="S178" s="306"/>
      <c r="T178" s="306"/>
      <c r="U178" s="306"/>
      <c r="V178" s="306"/>
      <c r="W178" s="306"/>
      <c r="X178" s="306"/>
      <c r="Y178" s="306"/>
      <c r="Z178" s="306"/>
      <c r="AA178" s="306"/>
      <c r="AB178" s="306"/>
      <c r="AC178" s="306"/>
      <c r="AD178" s="306"/>
    </row>
    <row r="179" spans="1:30" ht="15.75">
      <c r="A179" s="305"/>
      <c r="B179" s="305"/>
      <c r="C179" s="305"/>
      <c r="D179" s="306"/>
      <c r="E179" s="306"/>
      <c r="F179" s="306"/>
      <c r="G179" s="306"/>
      <c r="H179" s="306"/>
      <c r="I179" s="306"/>
      <c r="J179" s="306"/>
      <c r="K179" s="306"/>
      <c r="L179" s="306"/>
      <c r="M179" s="306"/>
      <c r="N179" s="306"/>
      <c r="O179" s="306"/>
      <c r="P179" s="306"/>
      <c r="Q179" s="306"/>
      <c r="R179" s="306"/>
      <c r="S179" s="306"/>
      <c r="T179" s="306"/>
      <c r="U179" s="306"/>
      <c r="V179" s="306"/>
      <c r="W179" s="306"/>
      <c r="X179" s="306"/>
      <c r="Y179" s="306"/>
      <c r="Z179" s="306"/>
      <c r="AA179" s="306"/>
      <c r="AB179" s="306"/>
      <c r="AC179" s="306"/>
      <c r="AD179" s="306"/>
    </row>
    <row r="180" spans="1:30" ht="15.75">
      <c r="A180" s="305"/>
      <c r="B180" s="305"/>
      <c r="C180" s="305"/>
      <c r="D180" s="306"/>
      <c r="E180" s="306"/>
      <c r="F180" s="306"/>
      <c r="G180" s="306"/>
      <c r="H180" s="306"/>
      <c r="I180" s="306"/>
      <c r="J180" s="306"/>
      <c r="K180" s="306"/>
      <c r="L180" s="306"/>
      <c r="M180" s="306"/>
      <c r="N180" s="306"/>
      <c r="O180" s="306"/>
      <c r="P180" s="306"/>
      <c r="Q180" s="306"/>
      <c r="R180" s="306"/>
      <c r="S180" s="306"/>
      <c r="T180" s="306"/>
      <c r="U180" s="306"/>
      <c r="V180" s="306"/>
      <c r="W180" s="306"/>
      <c r="X180" s="306"/>
      <c r="Y180" s="306"/>
      <c r="Z180" s="306"/>
      <c r="AA180" s="306"/>
      <c r="AB180" s="306"/>
      <c r="AC180" s="306"/>
      <c r="AD180" s="306"/>
    </row>
    <row r="181" spans="1:30" ht="15.75">
      <c r="A181" s="305"/>
      <c r="B181" s="305"/>
      <c r="C181" s="305"/>
      <c r="D181" s="306"/>
      <c r="E181" s="306"/>
      <c r="F181" s="306"/>
      <c r="G181" s="306"/>
      <c r="H181" s="306"/>
      <c r="I181" s="306"/>
      <c r="J181" s="306"/>
      <c r="K181" s="306"/>
      <c r="L181" s="306"/>
      <c r="M181" s="306"/>
      <c r="N181" s="306"/>
      <c r="O181" s="306"/>
      <c r="P181" s="306"/>
      <c r="Q181" s="306"/>
      <c r="R181" s="306"/>
      <c r="S181" s="306"/>
      <c r="T181" s="306"/>
      <c r="U181" s="306"/>
      <c r="V181" s="306"/>
      <c r="W181" s="306"/>
      <c r="X181" s="306"/>
      <c r="Y181" s="306"/>
      <c r="Z181" s="306"/>
      <c r="AA181" s="306"/>
      <c r="AB181" s="306"/>
      <c r="AC181" s="306"/>
      <c r="AD181" s="306"/>
    </row>
    <row r="182" spans="1:30" ht="15.75">
      <c r="A182" s="305"/>
      <c r="B182" s="305"/>
      <c r="C182" s="305"/>
      <c r="D182" s="306"/>
      <c r="E182" s="306"/>
      <c r="F182" s="306"/>
      <c r="G182" s="306"/>
      <c r="H182" s="306"/>
      <c r="I182" s="306"/>
      <c r="J182" s="306"/>
      <c r="K182" s="306"/>
      <c r="L182" s="306"/>
      <c r="M182" s="306"/>
      <c r="N182" s="306"/>
      <c r="O182" s="306"/>
      <c r="P182" s="306"/>
      <c r="Q182" s="306"/>
      <c r="R182" s="306"/>
      <c r="S182" s="306"/>
      <c r="T182" s="306"/>
      <c r="U182" s="306"/>
      <c r="V182" s="306"/>
      <c r="W182" s="306"/>
      <c r="X182" s="306"/>
      <c r="Y182" s="306"/>
      <c r="Z182" s="306"/>
      <c r="AA182" s="306"/>
      <c r="AB182" s="306"/>
      <c r="AC182" s="306"/>
      <c r="AD182" s="306"/>
    </row>
    <row r="183" spans="1:30" ht="15.75">
      <c r="A183" s="305"/>
      <c r="B183" s="305"/>
      <c r="C183" s="305"/>
      <c r="D183" s="306"/>
      <c r="E183" s="306"/>
      <c r="F183" s="306"/>
      <c r="G183" s="306"/>
      <c r="H183" s="306"/>
      <c r="I183" s="306"/>
      <c r="J183" s="306"/>
      <c r="K183" s="306"/>
      <c r="L183" s="306"/>
      <c r="M183" s="306"/>
      <c r="N183" s="306"/>
      <c r="O183" s="306"/>
      <c r="P183" s="306"/>
      <c r="Q183" s="306"/>
      <c r="R183" s="306"/>
      <c r="S183" s="306"/>
      <c r="T183" s="306"/>
      <c r="U183" s="306"/>
      <c r="V183" s="306"/>
      <c r="W183" s="306"/>
      <c r="X183" s="306"/>
      <c r="Y183" s="306"/>
      <c r="Z183" s="306"/>
      <c r="AA183" s="306"/>
      <c r="AB183" s="306"/>
      <c r="AC183" s="306"/>
      <c r="AD183" s="306"/>
    </row>
    <row r="184" spans="1:30" ht="15.75">
      <c r="A184" s="305"/>
      <c r="B184" s="305"/>
      <c r="C184" s="305"/>
      <c r="D184" s="306"/>
      <c r="E184" s="306"/>
      <c r="F184" s="306"/>
      <c r="G184" s="306"/>
      <c r="H184" s="306"/>
      <c r="I184" s="306"/>
      <c r="J184" s="306"/>
      <c r="K184" s="306"/>
      <c r="L184" s="306"/>
      <c r="M184" s="306"/>
      <c r="N184" s="306"/>
      <c r="O184" s="306"/>
      <c r="P184" s="306"/>
      <c r="Q184" s="306"/>
      <c r="R184" s="306"/>
      <c r="S184" s="306"/>
      <c r="T184" s="306"/>
      <c r="U184" s="306"/>
      <c r="V184" s="306"/>
      <c r="W184" s="306"/>
      <c r="X184" s="306"/>
      <c r="Y184" s="306"/>
      <c r="Z184" s="306"/>
      <c r="AA184" s="306"/>
      <c r="AB184" s="306"/>
      <c r="AC184" s="306"/>
      <c r="AD184" s="306"/>
    </row>
    <row r="185" spans="1:30" ht="15.75">
      <c r="A185" s="305"/>
      <c r="B185" s="305"/>
      <c r="C185" s="305"/>
      <c r="D185" s="306"/>
      <c r="E185" s="306"/>
      <c r="F185" s="306"/>
      <c r="G185" s="306"/>
      <c r="H185" s="306"/>
      <c r="I185" s="306"/>
      <c r="J185" s="306"/>
      <c r="K185" s="306"/>
      <c r="L185" s="306"/>
      <c r="M185" s="306"/>
      <c r="N185" s="306"/>
      <c r="O185" s="306"/>
      <c r="P185" s="306"/>
      <c r="Q185" s="306"/>
      <c r="R185" s="306"/>
      <c r="S185" s="306"/>
      <c r="T185" s="306"/>
      <c r="U185" s="306"/>
      <c r="V185" s="306"/>
      <c r="W185" s="306"/>
      <c r="X185" s="306"/>
      <c r="Y185" s="306"/>
      <c r="Z185" s="306"/>
      <c r="AA185" s="306"/>
      <c r="AB185" s="306"/>
      <c r="AC185" s="306"/>
      <c r="AD185" s="306"/>
    </row>
    <row r="186" spans="1:30" ht="15.75">
      <c r="A186" s="305"/>
      <c r="B186" s="305"/>
      <c r="C186" s="305"/>
      <c r="D186" s="306"/>
      <c r="E186" s="306"/>
      <c r="F186" s="306"/>
      <c r="G186" s="306"/>
      <c r="H186" s="306"/>
      <c r="I186" s="306"/>
      <c r="J186" s="306"/>
      <c r="K186" s="306"/>
      <c r="L186" s="306"/>
      <c r="M186" s="306"/>
      <c r="N186" s="306"/>
      <c r="O186" s="306"/>
      <c r="P186" s="306"/>
      <c r="Q186" s="306"/>
      <c r="R186" s="306"/>
      <c r="S186" s="306"/>
      <c r="T186" s="306"/>
      <c r="U186" s="306"/>
      <c r="V186" s="306"/>
      <c r="W186" s="306"/>
      <c r="X186" s="306"/>
      <c r="Y186" s="306"/>
      <c r="Z186" s="306"/>
      <c r="AA186" s="306"/>
      <c r="AB186" s="306"/>
      <c r="AC186" s="306"/>
      <c r="AD186" s="306"/>
    </row>
    <row r="187" spans="1:30" ht="15.75">
      <c r="A187" s="305"/>
      <c r="B187" s="305"/>
      <c r="C187" s="305"/>
      <c r="D187" s="306"/>
      <c r="E187" s="306"/>
      <c r="F187" s="306"/>
      <c r="G187" s="306"/>
      <c r="H187" s="306"/>
      <c r="I187" s="306"/>
      <c r="J187" s="306"/>
      <c r="K187" s="306"/>
      <c r="L187" s="306"/>
      <c r="M187" s="306"/>
      <c r="N187" s="306"/>
      <c r="O187" s="306"/>
      <c r="P187" s="306"/>
      <c r="Q187" s="306"/>
      <c r="R187" s="306"/>
      <c r="S187" s="306"/>
      <c r="T187" s="306"/>
      <c r="U187" s="306"/>
      <c r="V187" s="306"/>
      <c r="W187" s="306"/>
      <c r="X187" s="306"/>
      <c r="Y187" s="306"/>
      <c r="Z187" s="306"/>
      <c r="AA187" s="306"/>
      <c r="AB187" s="306"/>
      <c r="AC187" s="306"/>
      <c r="AD187" s="306"/>
    </row>
    <row r="188" spans="1:30" ht="15.75">
      <c r="A188" s="305"/>
      <c r="B188" s="305"/>
      <c r="C188" s="305"/>
      <c r="D188" s="306"/>
      <c r="E188" s="306"/>
      <c r="F188" s="306"/>
      <c r="G188" s="306"/>
      <c r="H188" s="306"/>
      <c r="I188" s="306"/>
      <c r="J188" s="306"/>
      <c r="K188" s="306"/>
      <c r="L188" s="306"/>
      <c r="M188" s="306"/>
      <c r="N188" s="306"/>
      <c r="O188" s="306"/>
      <c r="P188" s="306"/>
      <c r="Q188" s="306"/>
      <c r="R188" s="306"/>
      <c r="S188" s="306"/>
      <c r="T188" s="306"/>
      <c r="U188" s="306"/>
      <c r="V188" s="306"/>
      <c r="W188" s="306"/>
      <c r="X188" s="306"/>
      <c r="Y188" s="306"/>
      <c r="Z188" s="306"/>
      <c r="AA188" s="306"/>
      <c r="AB188" s="306"/>
      <c r="AC188" s="306"/>
      <c r="AD188" s="306"/>
    </row>
    <row r="189" spans="1:30" ht="15.75">
      <c r="A189" s="305"/>
      <c r="B189" s="305"/>
      <c r="C189" s="305"/>
      <c r="D189" s="306"/>
      <c r="E189" s="306"/>
      <c r="F189" s="306"/>
      <c r="G189" s="306"/>
      <c r="H189" s="306"/>
      <c r="I189" s="306"/>
      <c r="J189" s="306"/>
      <c r="K189" s="306"/>
      <c r="L189" s="306"/>
      <c r="M189" s="306"/>
      <c r="N189" s="306"/>
      <c r="O189" s="306"/>
      <c r="P189" s="306"/>
      <c r="Q189" s="306"/>
      <c r="R189" s="306"/>
      <c r="S189" s="306"/>
      <c r="T189" s="306"/>
      <c r="U189" s="306"/>
      <c r="V189" s="306"/>
      <c r="W189" s="306"/>
      <c r="X189" s="306"/>
      <c r="Y189" s="306"/>
      <c r="Z189" s="306"/>
      <c r="AA189" s="306"/>
      <c r="AB189" s="306"/>
      <c r="AC189" s="306"/>
      <c r="AD189" s="306"/>
    </row>
    <row r="190" spans="1:30" ht="15.75">
      <c r="A190" s="305"/>
      <c r="B190" s="305"/>
      <c r="C190" s="305"/>
      <c r="D190" s="306"/>
      <c r="E190" s="306"/>
      <c r="F190" s="306"/>
      <c r="G190" s="306"/>
      <c r="H190" s="306"/>
      <c r="I190" s="306"/>
      <c r="J190" s="306"/>
      <c r="K190" s="306"/>
      <c r="L190" s="306"/>
      <c r="M190" s="306"/>
      <c r="N190" s="306"/>
      <c r="O190" s="306"/>
      <c r="P190" s="306"/>
      <c r="Q190" s="306"/>
      <c r="R190" s="306"/>
      <c r="S190" s="306"/>
      <c r="T190" s="306"/>
      <c r="U190" s="306"/>
      <c r="V190" s="306"/>
      <c r="W190" s="306"/>
      <c r="X190" s="306"/>
      <c r="Y190" s="306"/>
      <c r="Z190" s="306"/>
      <c r="AA190" s="306"/>
      <c r="AB190" s="306"/>
      <c r="AC190" s="306"/>
      <c r="AD190" s="306"/>
    </row>
    <row r="191" spans="1:30" ht="15.75">
      <c r="A191" s="305"/>
      <c r="B191" s="305"/>
      <c r="C191" s="305"/>
      <c r="D191" s="306"/>
      <c r="E191" s="306"/>
      <c r="F191" s="306"/>
      <c r="G191" s="306"/>
      <c r="H191" s="306"/>
      <c r="I191" s="306"/>
      <c r="J191" s="306"/>
      <c r="K191" s="306"/>
      <c r="L191" s="306"/>
      <c r="M191" s="306"/>
      <c r="N191" s="306"/>
      <c r="O191" s="306"/>
      <c r="P191" s="306"/>
      <c r="Q191" s="306"/>
      <c r="R191" s="306"/>
      <c r="S191" s="306"/>
      <c r="T191" s="306"/>
      <c r="U191" s="306"/>
      <c r="V191" s="306"/>
      <c r="W191" s="306"/>
      <c r="X191" s="306"/>
      <c r="Y191" s="306"/>
      <c r="Z191" s="306"/>
      <c r="AA191" s="306"/>
      <c r="AB191" s="306"/>
      <c r="AC191" s="306"/>
      <c r="AD191" s="306"/>
    </row>
    <row r="192" spans="1:30" ht="15.75">
      <c r="A192" s="305"/>
      <c r="B192" s="305"/>
      <c r="C192" s="305"/>
      <c r="D192" s="306"/>
      <c r="E192" s="306"/>
      <c r="F192" s="306"/>
      <c r="G192" s="306"/>
      <c r="H192" s="306"/>
      <c r="I192" s="306"/>
      <c r="J192" s="306"/>
      <c r="K192" s="306"/>
      <c r="L192" s="306"/>
      <c r="M192" s="306"/>
      <c r="N192" s="306"/>
      <c r="O192" s="306"/>
      <c r="P192" s="306"/>
      <c r="Q192" s="306"/>
      <c r="R192" s="306"/>
      <c r="S192" s="306"/>
      <c r="T192" s="306"/>
      <c r="U192" s="306"/>
      <c r="V192" s="306"/>
      <c r="W192" s="306"/>
      <c r="X192" s="306"/>
      <c r="Y192" s="306"/>
      <c r="Z192" s="306"/>
      <c r="AA192" s="306"/>
      <c r="AB192" s="306"/>
      <c r="AC192" s="306"/>
      <c r="AD192" s="306"/>
    </row>
    <row r="193" spans="1:30" ht="15.75">
      <c r="A193" s="305"/>
      <c r="B193" s="305"/>
      <c r="C193" s="305"/>
      <c r="D193" s="306"/>
      <c r="E193" s="306"/>
      <c r="F193" s="306"/>
      <c r="G193" s="306"/>
      <c r="H193" s="306"/>
      <c r="I193" s="306"/>
      <c r="J193" s="306"/>
      <c r="K193" s="306"/>
      <c r="L193" s="306"/>
      <c r="M193" s="306"/>
      <c r="N193" s="306"/>
      <c r="O193" s="306"/>
      <c r="P193" s="306"/>
      <c r="Q193" s="306"/>
      <c r="R193" s="306"/>
      <c r="S193" s="306"/>
      <c r="T193" s="306"/>
      <c r="U193" s="306"/>
      <c r="V193" s="306"/>
      <c r="W193" s="306"/>
      <c r="X193" s="306"/>
      <c r="Y193" s="306"/>
      <c r="Z193" s="306"/>
      <c r="AA193" s="306"/>
      <c r="AB193" s="306"/>
      <c r="AC193" s="306"/>
      <c r="AD193" s="306"/>
    </row>
    <row r="194" spans="1:30" ht="15.75">
      <c r="A194" s="305"/>
      <c r="B194" s="305"/>
      <c r="C194" s="305"/>
      <c r="D194" s="306"/>
      <c r="E194" s="306"/>
      <c r="F194" s="306"/>
      <c r="G194" s="306"/>
      <c r="H194" s="306"/>
      <c r="I194" s="306"/>
      <c r="J194" s="306"/>
      <c r="K194" s="306"/>
      <c r="L194" s="306"/>
      <c r="M194" s="306"/>
      <c r="N194" s="306"/>
      <c r="O194" s="306"/>
      <c r="P194" s="306"/>
      <c r="Q194" s="306"/>
      <c r="R194" s="306"/>
      <c r="S194" s="306"/>
      <c r="T194" s="306"/>
      <c r="U194" s="306"/>
      <c r="V194" s="306"/>
      <c r="W194" s="306"/>
      <c r="X194" s="306"/>
      <c r="Y194" s="306"/>
      <c r="Z194" s="306"/>
      <c r="AA194" s="306"/>
      <c r="AB194" s="306"/>
      <c r="AC194" s="306"/>
      <c r="AD194" s="306"/>
    </row>
    <row r="195" spans="1:30" ht="15.75">
      <c r="A195" s="305"/>
      <c r="B195" s="305"/>
      <c r="C195" s="305"/>
      <c r="D195" s="306"/>
      <c r="E195" s="306"/>
      <c r="F195" s="306"/>
      <c r="G195" s="306"/>
      <c r="H195" s="306"/>
      <c r="I195" s="306"/>
      <c r="J195" s="306"/>
      <c r="K195" s="306"/>
      <c r="L195" s="306"/>
      <c r="M195" s="306"/>
      <c r="N195" s="306"/>
      <c r="O195" s="306"/>
      <c r="P195" s="306"/>
      <c r="Q195" s="306"/>
      <c r="R195" s="306"/>
      <c r="S195" s="306"/>
      <c r="T195" s="306"/>
      <c r="U195" s="306"/>
      <c r="V195" s="306"/>
      <c r="W195" s="306"/>
      <c r="X195" s="306"/>
      <c r="Y195" s="306"/>
      <c r="Z195" s="306"/>
      <c r="AA195" s="306"/>
      <c r="AB195" s="306"/>
      <c r="AC195" s="306"/>
      <c r="AD195" s="306"/>
    </row>
    <row r="196" spans="1:30" ht="15.75">
      <c r="A196" s="305"/>
      <c r="B196" s="305"/>
      <c r="C196" s="305"/>
      <c r="D196" s="306"/>
      <c r="E196" s="306"/>
      <c r="F196" s="306"/>
      <c r="G196" s="306"/>
      <c r="H196" s="306"/>
      <c r="I196" s="306"/>
      <c r="J196" s="306"/>
      <c r="K196" s="306"/>
      <c r="L196" s="306"/>
      <c r="M196" s="306"/>
      <c r="N196" s="306"/>
      <c r="O196" s="306"/>
      <c r="P196" s="306"/>
      <c r="Q196" s="306"/>
      <c r="R196" s="306"/>
      <c r="S196" s="306"/>
      <c r="T196" s="306"/>
      <c r="U196" s="306"/>
      <c r="V196" s="306"/>
      <c r="W196" s="306"/>
      <c r="X196" s="306"/>
      <c r="Y196" s="306"/>
      <c r="Z196" s="306"/>
      <c r="AA196" s="306"/>
      <c r="AB196" s="306"/>
      <c r="AC196" s="306"/>
      <c r="AD196" s="306"/>
    </row>
    <row r="197" spans="1:30" ht="15.75">
      <c r="A197" s="305"/>
      <c r="B197" s="305"/>
      <c r="C197" s="305"/>
      <c r="D197" s="306"/>
      <c r="E197" s="306"/>
      <c r="F197" s="306"/>
      <c r="G197" s="306"/>
      <c r="H197" s="306"/>
      <c r="I197" s="306"/>
      <c r="J197" s="306"/>
      <c r="K197" s="306"/>
      <c r="L197" s="306"/>
      <c r="M197" s="306"/>
      <c r="N197" s="306"/>
      <c r="O197" s="306"/>
      <c r="P197" s="306"/>
      <c r="Q197" s="306"/>
      <c r="R197" s="306"/>
      <c r="S197" s="306"/>
      <c r="T197" s="306"/>
      <c r="U197" s="306"/>
      <c r="V197" s="306"/>
      <c r="W197" s="306"/>
      <c r="X197" s="306"/>
      <c r="Y197" s="306"/>
      <c r="Z197" s="306"/>
      <c r="AA197" s="306"/>
      <c r="AB197" s="306"/>
      <c r="AC197" s="306"/>
      <c r="AD197" s="306"/>
    </row>
    <row r="198" spans="1:30" ht="15.75">
      <c r="A198" s="305"/>
      <c r="B198" s="305"/>
      <c r="C198" s="305"/>
      <c r="D198" s="306"/>
      <c r="E198" s="306"/>
      <c r="F198" s="306"/>
      <c r="G198" s="306"/>
      <c r="H198" s="306"/>
      <c r="I198" s="306"/>
      <c r="J198" s="306"/>
      <c r="K198" s="306"/>
      <c r="L198" s="306"/>
      <c r="M198" s="306"/>
      <c r="N198" s="306"/>
      <c r="O198" s="306"/>
      <c r="P198" s="306"/>
      <c r="Q198" s="306"/>
      <c r="R198" s="306"/>
      <c r="S198" s="306"/>
      <c r="T198" s="306"/>
      <c r="U198" s="306"/>
      <c r="V198" s="306"/>
      <c r="W198" s="306"/>
      <c r="X198" s="306"/>
      <c r="Y198" s="306"/>
      <c r="Z198" s="306"/>
      <c r="AA198" s="306"/>
      <c r="AB198" s="306"/>
      <c r="AC198" s="306"/>
      <c r="AD198" s="306"/>
    </row>
    <row r="199" spans="1:30" ht="15.75">
      <c r="A199" s="305"/>
      <c r="B199" s="305"/>
      <c r="C199" s="305"/>
      <c r="D199" s="306"/>
      <c r="E199" s="306"/>
      <c r="F199" s="306"/>
      <c r="G199" s="306"/>
      <c r="H199" s="306"/>
      <c r="I199" s="306"/>
      <c r="J199" s="306"/>
      <c r="K199" s="306"/>
      <c r="L199" s="306"/>
      <c r="M199" s="306"/>
      <c r="N199" s="306"/>
      <c r="O199" s="306"/>
      <c r="P199" s="306"/>
      <c r="Q199" s="306"/>
      <c r="R199" s="306"/>
      <c r="S199" s="306"/>
      <c r="T199" s="306"/>
      <c r="U199" s="306"/>
      <c r="V199" s="306"/>
      <c r="W199" s="306"/>
      <c r="X199" s="306"/>
      <c r="Y199" s="306"/>
      <c r="Z199" s="306"/>
      <c r="AA199" s="306"/>
      <c r="AB199" s="306"/>
      <c r="AC199" s="306"/>
      <c r="AD199" s="306"/>
    </row>
    <row r="200" spans="1:30" ht="15.75">
      <c r="A200" s="305"/>
      <c r="B200" s="305"/>
      <c r="C200" s="305"/>
      <c r="D200" s="306"/>
      <c r="E200" s="306"/>
      <c r="F200" s="306"/>
      <c r="G200" s="306"/>
      <c r="H200" s="306"/>
      <c r="I200" s="306"/>
      <c r="J200" s="306"/>
      <c r="K200" s="306"/>
      <c r="L200" s="306"/>
      <c r="M200" s="306"/>
      <c r="N200" s="306"/>
      <c r="O200" s="306"/>
      <c r="P200" s="306"/>
      <c r="Q200" s="306"/>
      <c r="R200" s="306"/>
      <c r="S200" s="306"/>
      <c r="T200" s="306"/>
      <c r="U200" s="306"/>
      <c r="V200" s="306"/>
      <c r="W200" s="306"/>
      <c r="X200" s="306"/>
      <c r="Y200" s="306"/>
      <c r="Z200" s="306"/>
      <c r="AA200" s="306"/>
      <c r="AB200" s="306"/>
      <c r="AC200" s="306"/>
      <c r="AD200" s="306"/>
    </row>
    <row r="201" spans="1:30" ht="15.75">
      <c r="A201" s="305"/>
      <c r="B201" s="305"/>
      <c r="C201" s="305"/>
      <c r="D201" s="306"/>
      <c r="E201" s="306"/>
      <c r="F201" s="306"/>
      <c r="G201" s="306"/>
      <c r="H201" s="306"/>
      <c r="I201" s="306"/>
      <c r="J201" s="306"/>
      <c r="K201" s="306"/>
      <c r="L201" s="306"/>
      <c r="M201" s="306"/>
      <c r="N201" s="306"/>
      <c r="O201" s="306"/>
      <c r="P201" s="306"/>
      <c r="Q201" s="306"/>
      <c r="R201" s="306"/>
      <c r="S201" s="306"/>
      <c r="T201" s="306"/>
      <c r="U201" s="306"/>
      <c r="V201" s="306"/>
      <c r="W201" s="306"/>
      <c r="X201" s="306"/>
      <c r="Y201" s="306"/>
      <c r="Z201" s="306"/>
      <c r="AA201" s="306"/>
      <c r="AB201" s="306"/>
      <c r="AC201" s="306"/>
      <c r="AD201" s="306"/>
    </row>
    <row r="202" spans="1:30" ht="15.75">
      <c r="A202" s="305"/>
      <c r="B202" s="305"/>
      <c r="C202" s="305"/>
      <c r="D202" s="306"/>
      <c r="E202" s="306"/>
      <c r="F202" s="306"/>
      <c r="G202" s="306"/>
      <c r="H202" s="306"/>
      <c r="I202" s="306"/>
      <c r="J202" s="306"/>
      <c r="K202" s="306"/>
      <c r="L202" s="306"/>
      <c r="M202" s="306"/>
      <c r="N202" s="306"/>
      <c r="O202" s="306"/>
      <c r="P202" s="306"/>
      <c r="Q202" s="306"/>
      <c r="R202" s="306"/>
      <c r="S202" s="306"/>
      <c r="T202" s="306"/>
      <c r="U202" s="306"/>
      <c r="V202" s="306"/>
      <c r="W202" s="306"/>
      <c r="X202" s="306"/>
      <c r="Y202" s="306"/>
      <c r="Z202" s="306"/>
      <c r="AA202" s="306"/>
      <c r="AB202" s="306"/>
      <c r="AC202" s="306"/>
      <c r="AD202" s="306"/>
    </row>
    <row r="203" spans="1:30" ht="15.75">
      <c r="B203" s="305"/>
      <c r="C203" s="305"/>
      <c r="D203" s="306"/>
      <c r="E203" s="306"/>
      <c r="F203" s="306"/>
      <c r="G203" s="306"/>
      <c r="H203" s="306"/>
      <c r="I203" s="306"/>
      <c r="J203" s="306"/>
      <c r="K203" s="306"/>
      <c r="L203" s="306"/>
      <c r="M203" s="306"/>
      <c r="N203" s="306"/>
      <c r="O203" s="306"/>
      <c r="P203" s="306"/>
      <c r="Q203" s="306"/>
      <c r="R203" s="306"/>
      <c r="S203" s="306"/>
      <c r="T203" s="306"/>
      <c r="U203" s="306"/>
      <c r="V203" s="306"/>
      <c r="W203" s="306"/>
      <c r="X203" s="306"/>
      <c r="Y203" s="306"/>
      <c r="Z203" s="306"/>
      <c r="AA203" s="306"/>
      <c r="AB203" s="306"/>
      <c r="AC203" s="306"/>
      <c r="AD203" s="306"/>
    </row>
    <row r="204" spans="1:30" ht="15.75">
      <c r="B204" s="305"/>
      <c r="C204" s="305"/>
      <c r="D204" s="306"/>
      <c r="E204" s="306"/>
      <c r="F204" s="306"/>
      <c r="G204" s="306"/>
      <c r="H204" s="306"/>
      <c r="I204" s="306"/>
      <c r="J204" s="306"/>
      <c r="K204" s="306"/>
      <c r="L204" s="306"/>
      <c r="M204" s="306"/>
      <c r="N204" s="306"/>
      <c r="O204" s="306"/>
      <c r="P204" s="306"/>
      <c r="Q204" s="306"/>
      <c r="R204" s="306"/>
      <c r="S204" s="306"/>
      <c r="T204" s="306"/>
      <c r="U204" s="306"/>
      <c r="V204" s="306"/>
      <c r="W204" s="306"/>
      <c r="X204" s="306"/>
      <c r="Y204" s="306"/>
      <c r="Z204" s="306"/>
      <c r="AA204" s="306"/>
      <c r="AB204" s="306"/>
      <c r="AC204" s="306"/>
      <c r="AD204" s="306"/>
    </row>
    <row r="224" spans="1:1">
      <c r="A224" s="307"/>
    </row>
    <row r="225" spans="1:6">
      <c r="A225" s="307"/>
    </row>
    <row r="226" spans="1:6">
      <c r="A226" s="307"/>
      <c r="B226" s="307"/>
      <c r="C226" s="307"/>
      <c r="D226" s="308"/>
      <c r="E226" s="308"/>
      <c r="F226" s="308"/>
    </row>
    <row r="227" spans="1:6">
      <c r="A227" s="307"/>
      <c r="B227" s="307"/>
      <c r="C227" s="307"/>
      <c r="D227" s="308"/>
      <c r="E227" s="308"/>
      <c r="F227" s="308"/>
    </row>
    <row r="228" spans="1:6">
      <c r="A228" s="307"/>
      <c r="B228" s="307"/>
      <c r="C228" s="307"/>
      <c r="D228" s="308"/>
      <c r="E228" s="308"/>
      <c r="F228" s="308"/>
    </row>
    <row r="229" spans="1:6">
      <c r="A229" s="307"/>
      <c r="B229" s="307"/>
      <c r="C229" s="307"/>
      <c r="D229" s="308"/>
      <c r="E229" s="308"/>
      <c r="F229" s="308"/>
    </row>
    <row r="230" spans="1:6">
      <c r="A230" s="307"/>
      <c r="B230" s="307"/>
      <c r="C230" s="307"/>
      <c r="D230" s="308"/>
      <c r="E230" s="308"/>
      <c r="F230" s="308"/>
    </row>
    <row r="231" spans="1:6">
      <c r="A231" s="307"/>
      <c r="B231" s="307"/>
      <c r="C231" s="307"/>
      <c r="D231" s="308"/>
      <c r="E231" s="308"/>
      <c r="F231" s="308"/>
    </row>
    <row r="232" spans="1:6">
      <c r="A232" s="307"/>
      <c r="B232" s="307"/>
      <c r="C232" s="307"/>
      <c r="D232" s="308"/>
      <c r="E232" s="308"/>
      <c r="F232" s="308"/>
    </row>
    <row r="233" spans="1:6">
      <c r="B233" s="307"/>
      <c r="C233" s="307"/>
      <c r="D233" s="308"/>
      <c r="E233" s="308"/>
      <c r="F233" s="308"/>
    </row>
    <row r="234" spans="1:6">
      <c r="B234" s="307"/>
      <c r="C234" s="307"/>
      <c r="D234" s="308"/>
      <c r="E234" s="308"/>
      <c r="F234" s="308"/>
    </row>
  </sheetData>
  <phoneticPr fontId="87" type="noConversion"/>
  <pageMargins left="0.17" right="0.18" top="0.77" bottom="0.5" header="0.38" footer="0.5"/>
  <pageSetup scale="39" fitToHeight="6" orientation="landscape"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AF307"/>
  <sheetViews>
    <sheetView workbookViewId="0"/>
  </sheetViews>
  <sheetFormatPr defaultRowHeight="12.75"/>
  <cols>
    <col min="1" max="1" width="4.85546875" style="112" bestFit="1" customWidth="1"/>
    <col min="2" max="2" width="36.85546875" style="161" customWidth="1"/>
    <col min="3" max="3" width="17" customWidth="1"/>
    <col min="4" max="4" width="12.42578125" style="112" bestFit="1" customWidth="1"/>
    <col min="5" max="5" width="13.7109375" style="112" customWidth="1"/>
    <col min="6" max="6" width="15.28515625" bestFit="1" customWidth="1"/>
    <col min="7" max="8" width="13.7109375" customWidth="1"/>
    <col min="9" max="9" width="15.28515625" bestFit="1" customWidth="1"/>
    <col min="10" max="11" width="13.7109375" customWidth="1"/>
    <col min="12" max="12" width="15.28515625" bestFit="1" customWidth="1"/>
    <col min="13" max="13" width="13.7109375" style="165" customWidth="1"/>
    <col min="14" max="14" width="13.7109375" customWidth="1"/>
    <col min="15" max="15" width="15.28515625" bestFit="1" customWidth="1"/>
    <col min="16" max="19" width="13.7109375" customWidth="1"/>
    <col min="20" max="20" width="18.85546875" customWidth="1"/>
    <col min="21" max="21" width="3" customWidth="1"/>
    <col min="23" max="23" width="10" bestFit="1" customWidth="1"/>
    <col min="24" max="25" width="9.7109375" bestFit="1" customWidth="1"/>
  </cols>
  <sheetData>
    <row r="1" spans="1:21" ht="15">
      <c r="A1" s="361" t="s">
        <v>365</v>
      </c>
      <c r="B1" s="1213"/>
      <c r="C1" s="1213"/>
      <c r="D1" s="1213"/>
      <c r="E1" s="1213"/>
      <c r="F1" s="1213"/>
      <c r="G1" s="1213"/>
      <c r="H1" s="1213"/>
      <c r="I1" s="1213"/>
      <c r="J1" s="1213"/>
      <c r="K1" s="1213"/>
      <c r="L1" s="1213"/>
      <c r="M1" s="1214"/>
      <c r="N1" s="1213"/>
      <c r="O1" s="1213"/>
      <c r="P1" s="1213"/>
      <c r="Q1" s="1213"/>
      <c r="R1" s="1213"/>
      <c r="S1" s="1213"/>
      <c r="T1" s="2"/>
      <c r="U1" s="2"/>
    </row>
    <row r="2" spans="1:21" ht="18">
      <c r="A2" s="361" t="s">
        <v>175</v>
      </c>
      <c r="B2" s="1213"/>
      <c r="C2" s="1213"/>
      <c r="D2" s="676"/>
      <c r="E2" s="676"/>
      <c r="F2" s="676"/>
      <c r="G2" s="676"/>
      <c r="H2" s="676"/>
      <c r="I2" s="676"/>
      <c r="J2" s="676"/>
      <c r="K2" s="676"/>
      <c r="L2" s="676"/>
      <c r="M2" s="676"/>
      <c r="N2" s="676"/>
      <c r="O2" s="676"/>
      <c r="P2" s="676"/>
      <c r="Q2" s="676"/>
      <c r="R2" s="676"/>
      <c r="S2" s="676"/>
      <c r="T2" s="2"/>
      <c r="U2" s="2"/>
    </row>
    <row r="4" spans="1:21">
      <c r="A4" s="112" t="s">
        <v>8</v>
      </c>
    </row>
    <row r="5" spans="1:21">
      <c r="A5" s="112">
        <v>1</v>
      </c>
      <c r="C5" t="s">
        <v>99</v>
      </c>
    </row>
    <row r="7" spans="1:21">
      <c r="A7" s="112">
        <v>2</v>
      </c>
      <c r="C7" s="921" t="s">
        <v>996</v>
      </c>
    </row>
    <row r="8" spans="1:21">
      <c r="C8" s="123"/>
      <c r="D8" s="112" t="s">
        <v>98</v>
      </c>
    </row>
    <row r="9" spans="1:21">
      <c r="A9" s="112">
        <v>3</v>
      </c>
      <c r="C9" s="112" t="s">
        <v>227</v>
      </c>
      <c r="D9" s="112">
        <f>+'Appendix A'!A272</f>
        <v>157</v>
      </c>
      <c r="F9" s="161" t="str">
        <f>'Appendix A'!C272</f>
        <v>Net Plant Carrying Charge without Depreciation</v>
      </c>
      <c r="M9" s="166">
        <f>+'Appendix A'!$H$272</f>
        <v>0.10850295160001265</v>
      </c>
    </row>
    <row r="10" spans="1:21">
      <c r="A10" s="112">
        <v>4</v>
      </c>
      <c r="C10" s="112" t="s">
        <v>283</v>
      </c>
      <c r="D10" s="112">
        <f>+'Appendix A'!A281</f>
        <v>164</v>
      </c>
      <c r="F10" s="161" t="str">
        <f>+'Appendix A'!C281</f>
        <v>Net Plant Carrying Charge per 100 Basis Point in ROE without Depreciation</v>
      </c>
      <c r="M10" s="884">
        <f>+'Appendix A'!$H$281</f>
        <v>0.11487765110284254</v>
      </c>
    </row>
    <row r="11" spans="1:21">
      <c r="A11" s="112">
        <v>5</v>
      </c>
      <c r="B11" s="112"/>
      <c r="C11" s="112" t="s">
        <v>215</v>
      </c>
      <c r="F11" t="s">
        <v>86</v>
      </c>
      <c r="M11" s="166">
        <f>+M10-M9</f>
        <v>6.3746995028298864E-3</v>
      </c>
    </row>
    <row r="12" spans="1:21">
      <c r="A12"/>
      <c r="B12" s="112"/>
      <c r="M12" s="166"/>
    </row>
    <row r="13" spans="1:21">
      <c r="A13" s="112">
        <v>6</v>
      </c>
      <c r="B13" s="112"/>
      <c r="C13" s="123" t="s">
        <v>997</v>
      </c>
      <c r="M13" s="166"/>
    </row>
    <row r="14" spans="1:21">
      <c r="A14" s="112">
        <v>7</v>
      </c>
      <c r="C14" s="112" t="s">
        <v>228</v>
      </c>
      <c r="D14" s="112">
        <f>+'Appendix A'!A273</f>
        <v>158</v>
      </c>
      <c r="F14" s="161" t="str">
        <f>+'Appendix A'!C273</f>
        <v>Net Plant Carrying Charge without Depreciation, Return, nor Income Taxes</v>
      </c>
      <c r="M14" s="166">
        <f>+'Appendix A'!$H$273</f>
        <v>2.6823160753510517E-2</v>
      </c>
    </row>
    <row r="15" spans="1:21">
      <c r="C15" s="899"/>
    </row>
    <row r="16" spans="1:21">
      <c r="C16" s="159" t="s">
        <v>197</v>
      </c>
      <c r="J16" s="165"/>
      <c r="M16" s="411"/>
      <c r="N16" s="2"/>
      <c r="O16" s="2"/>
      <c r="P16" s="2"/>
      <c r="Q16" s="460"/>
    </row>
    <row r="17" spans="1:32">
      <c r="C17" s="1041" t="s">
        <v>171</v>
      </c>
    </row>
    <row r="18" spans="1:32" s="462" customFormat="1">
      <c r="A18" s="112"/>
      <c r="B18" s="161"/>
      <c r="C18" s="1207" t="s">
        <v>1140</v>
      </c>
      <c r="D18" s="112"/>
      <c r="E18" s="112"/>
      <c r="M18" s="165"/>
    </row>
    <row r="19" spans="1:32" ht="13.5" thickBot="1">
      <c r="C19" s="900" t="s">
        <v>964</v>
      </c>
      <c r="D19" s="169"/>
      <c r="E19" s="169"/>
      <c r="F19" s="158"/>
      <c r="G19" s="158"/>
      <c r="H19" s="158"/>
      <c r="I19" s="158"/>
      <c r="J19" s="158"/>
      <c r="K19" s="158"/>
      <c r="L19" s="158"/>
      <c r="M19" s="158"/>
      <c r="N19" s="158"/>
      <c r="O19" s="158"/>
      <c r="P19" s="158"/>
      <c r="Q19" s="158"/>
      <c r="R19" s="158"/>
      <c r="S19" s="158"/>
      <c r="U19" s="2"/>
      <c r="V19" s="2"/>
      <c r="W19" s="2"/>
      <c r="X19" s="2"/>
      <c r="Y19" s="2"/>
      <c r="Z19" s="2"/>
      <c r="AA19" s="2"/>
      <c r="AB19" s="2"/>
      <c r="AC19" s="2"/>
      <c r="AD19" s="2"/>
      <c r="AE19" s="2"/>
      <c r="AF19" s="2"/>
    </row>
    <row r="20" spans="1:32" ht="27" customHeight="1" thickBot="1">
      <c r="B20" s="168"/>
      <c r="C20" s="173"/>
      <c r="D20" s="131"/>
      <c r="E20" s="2699" t="s">
        <v>1061</v>
      </c>
      <c r="F20" s="2700"/>
      <c r="G20" s="2700"/>
      <c r="H20" s="2699" t="s">
        <v>1373</v>
      </c>
      <c r="I20" s="2701"/>
      <c r="J20" s="2702"/>
      <c r="K20" s="2699" t="s">
        <v>1374</v>
      </c>
      <c r="L20" s="2701"/>
      <c r="M20" s="2702"/>
      <c r="N20" s="2703"/>
      <c r="O20" s="2700"/>
      <c r="P20" s="2700"/>
      <c r="Q20" s="127"/>
      <c r="R20" s="116"/>
      <c r="S20" s="116"/>
      <c r="T20" s="461"/>
    </row>
    <row r="21" spans="1:32">
      <c r="A21" s="112">
        <f>A14+1</f>
        <v>8</v>
      </c>
      <c r="B21" s="1203" t="s">
        <v>162</v>
      </c>
      <c r="C21" s="151" t="s">
        <v>81</v>
      </c>
      <c r="D21" s="132"/>
      <c r="E21" s="1038"/>
      <c r="F21" s="177"/>
      <c r="G21" s="134"/>
      <c r="H21" s="1202">
        <v>58</v>
      </c>
      <c r="I21" s="136"/>
      <c r="J21" s="134"/>
      <c r="K21" s="1202">
        <v>58</v>
      </c>
      <c r="L21" s="177"/>
      <c r="M21" s="133"/>
      <c r="N21" s="1038"/>
      <c r="O21" s="177"/>
      <c r="P21" s="133"/>
      <c r="Q21" s="127"/>
      <c r="R21" s="116"/>
      <c r="S21" s="116"/>
    </row>
    <row r="22" spans="1:32" ht="38.25">
      <c r="A22" s="112">
        <f t="shared" ref="A22:A50" si="0">+A21+1</f>
        <v>9</v>
      </c>
      <c r="B22" s="1203" t="s">
        <v>163</v>
      </c>
      <c r="C22" s="151" t="s">
        <v>82</v>
      </c>
      <c r="D22" s="132" t="s">
        <v>222</v>
      </c>
      <c r="E22" s="1039" t="s">
        <v>31</v>
      </c>
      <c r="F22" s="122"/>
      <c r="G22" s="315"/>
      <c r="H22" s="1039" t="s">
        <v>31</v>
      </c>
      <c r="I22" s="132"/>
      <c r="J22" s="317"/>
      <c r="K22" s="1039" t="s">
        <v>31</v>
      </c>
      <c r="L22" s="132"/>
      <c r="M22" s="315"/>
      <c r="N22" s="1039"/>
      <c r="O22" s="132"/>
      <c r="P22" s="315"/>
      <c r="Q22" s="127"/>
      <c r="R22" s="116"/>
      <c r="S22" s="895"/>
    </row>
    <row r="23" spans="1:32" ht="13.5">
      <c r="A23" s="112">
        <f>+A22+1</f>
        <v>10</v>
      </c>
      <c r="B23" s="1203" t="s">
        <v>164</v>
      </c>
      <c r="C23" s="151" t="s">
        <v>1105</v>
      </c>
      <c r="D23" s="132"/>
      <c r="E23" s="1209">
        <v>0</v>
      </c>
      <c r="F23" s="221"/>
      <c r="G23" s="316"/>
      <c r="H23" s="1100">
        <f>Inputs!$E$8</f>
        <v>50</v>
      </c>
      <c r="I23" s="180"/>
      <c r="J23" s="316"/>
      <c r="K23" s="1100">
        <f>Inputs!$E$8</f>
        <v>50</v>
      </c>
      <c r="L23" s="222"/>
      <c r="M23" s="316"/>
      <c r="N23" s="1039"/>
      <c r="O23" s="222"/>
      <c r="P23" s="316"/>
      <c r="Q23" s="127"/>
      <c r="R23" s="117"/>
      <c r="S23" s="896"/>
      <c r="V23" s="2266" t="s">
        <v>1842</v>
      </c>
    </row>
    <row r="24" spans="1:32" ht="25.5">
      <c r="A24" s="112">
        <f t="shared" si="0"/>
        <v>11</v>
      </c>
      <c r="B24" s="1203" t="s">
        <v>43</v>
      </c>
      <c r="C24" s="151" t="str">
        <f>'Appendix A'!H213*100&amp;"% ROE"</f>
        <v>9.8% ROE</v>
      </c>
      <c r="D24" s="130"/>
      <c r="E24" s="223">
        <f>$M$9</f>
        <v>0.10850295160001265</v>
      </c>
      <c r="F24" s="122"/>
      <c r="G24" s="317"/>
      <c r="H24" s="223">
        <f>$M$9</f>
        <v>0.10850295160001265</v>
      </c>
      <c r="I24" s="132"/>
      <c r="J24" s="317"/>
      <c r="K24" s="223">
        <f>$M$9</f>
        <v>0.10850295160001265</v>
      </c>
      <c r="L24" s="116"/>
      <c r="M24" s="317"/>
      <c r="N24" s="223">
        <f>$M$9</f>
        <v>0.10850295160001265</v>
      </c>
      <c r="O24" s="116"/>
      <c r="P24" s="317"/>
      <c r="Q24" s="127"/>
      <c r="R24" s="117"/>
      <c r="S24" s="358"/>
    </row>
    <row r="25" spans="1:32">
      <c r="A25" s="112">
        <f t="shared" si="0"/>
        <v>12</v>
      </c>
      <c r="B25" s="571" t="s">
        <v>665</v>
      </c>
      <c r="C25" s="189" t="s">
        <v>85</v>
      </c>
      <c r="D25" s="130"/>
      <c r="E25" s="223">
        <f>(E$23/100*$M$11)+E$24</f>
        <v>0.10850295160001265</v>
      </c>
      <c r="F25" s="122"/>
      <c r="G25" s="314"/>
      <c r="H25" s="223">
        <f>(H$23/100*$M$11)+H$24</f>
        <v>0.1116903013514276</v>
      </c>
      <c r="I25" s="116"/>
      <c r="J25" s="314"/>
      <c r="K25" s="223">
        <f>(K$23/100*$M$11)+K$24</f>
        <v>0.1116903013514276</v>
      </c>
      <c r="L25" s="348"/>
      <c r="M25" s="314"/>
      <c r="N25" s="223">
        <f>(N$23/100*$M$11)+N$24</f>
        <v>0.10850295160001265</v>
      </c>
      <c r="O25" s="348"/>
      <c r="P25" s="314"/>
      <c r="Q25" s="127"/>
      <c r="R25" s="117"/>
      <c r="S25" s="897"/>
    </row>
    <row r="26" spans="1:32">
      <c r="A26" s="112">
        <f t="shared" si="0"/>
        <v>13</v>
      </c>
      <c r="B26" s="571" t="s">
        <v>1132</v>
      </c>
      <c r="C26" s="151" t="s">
        <v>165</v>
      </c>
      <c r="D26" s="132"/>
      <c r="E26" s="1201">
        <v>0</v>
      </c>
      <c r="F26" s="136"/>
      <c r="G26" s="135"/>
      <c r="H26" s="1201">
        <f>'Gateway PIS Monthly'!M106</f>
        <v>1463059093.741802</v>
      </c>
      <c r="I26" s="1612"/>
      <c r="J26" s="135"/>
      <c r="K26" s="1040">
        <f>'Att 6 - Est &amp; Reconcile WS'!S44-('Att 6 - Est &amp; Reconcile WS'!S63*0.5)</f>
        <v>0</v>
      </c>
      <c r="L26" s="136">
        <f>K36-0.5*L36</f>
        <v>0</v>
      </c>
      <c r="M26" s="135"/>
      <c r="N26" s="1040">
        <v>0</v>
      </c>
      <c r="O26" s="136"/>
      <c r="P26" s="135"/>
      <c r="Q26" s="127"/>
      <c r="R26" s="116"/>
      <c r="S26" s="116"/>
    </row>
    <row r="27" spans="1:32">
      <c r="A27" s="112">
        <f t="shared" si="0"/>
        <v>14</v>
      </c>
      <c r="B27" s="571" t="s">
        <v>1131</v>
      </c>
      <c r="C27" s="127" t="s">
        <v>1135</v>
      </c>
      <c r="D27" s="132"/>
      <c r="E27" s="1040">
        <f>IF(E21=0,0,E26/E21)</f>
        <v>0</v>
      </c>
      <c r="F27" s="122"/>
      <c r="G27" s="135"/>
      <c r="H27" s="1040">
        <f>IF(H26=0,0,H26/H21)</f>
        <v>25225156.788651757</v>
      </c>
      <c r="I27" s="1614"/>
      <c r="J27" s="135"/>
      <c r="K27" s="1040">
        <f>'Att 6 - Est &amp; Reconcile WS'!S63</f>
        <v>0</v>
      </c>
      <c r="L27" s="136"/>
      <c r="M27" s="135"/>
      <c r="N27" s="1040">
        <f>IF(N26=0,0,N26/N21)</f>
        <v>0</v>
      </c>
      <c r="O27" s="136"/>
      <c r="P27" s="135"/>
      <c r="Q27" s="127"/>
      <c r="R27" s="116"/>
      <c r="S27" s="116"/>
    </row>
    <row r="28" spans="1:32" s="2" customFormat="1" ht="13.5" thickBot="1">
      <c r="A28" s="112"/>
      <c r="B28" s="1203"/>
      <c r="C28" s="151"/>
      <c r="D28" s="130"/>
      <c r="E28" s="1166"/>
      <c r="F28" s="156"/>
      <c r="G28" s="153"/>
      <c r="H28" s="1166"/>
      <c r="I28" s="152"/>
      <c r="J28" s="153"/>
      <c r="K28" s="1166"/>
      <c r="L28" s="152"/>
      <c r="M28" s="153"/>
      <c r="N28" s="1166"/>
      <c r="O28" s="152"/>
      <c r="P28" s="153"/>
      <c r="Q28" s="215"/>
      <c r="R28" s="898"/>
      <c r="S28" s="898"/>
      <c r="T28"/>
    </row>
    <row r="29" spans="1:32" ht="54" customHeight="1" thickBot="1">
      <c r="B29" s="168"/>
      <c r="C29" s="894"/>
      <c r="D29" s="889" t="s">
        <v>84</v>
      </c>
      <c r="E29" s="1167" t="s">
        <v>1132</v>
      </c>
      <c r="F29" s="1168" t="s">
        <v>94</v>
      </c>
      <c r="G29" s="890" t="s">
        <v>93</v>
      </c>
      <c r="H29" s="1167" t="s">
        <v>1132</v>
      </c>
      <c r="I29" s="1168" t="s">
        <v>94</v>
      </c>
      <c r="J29" s="1169" t="s">
        <v>93</v>
      </c>
      <c r="K29" s="1167" t="s">
        <v>1132</v>
      </c>
      <c r="L29" s="1168" t="s">
        <v>94</v>
      </c>
      <c r="M29" s="1169" t="s">
        <v>93</v>
      </c>
      <c r="N29" s="1167" t="s">
        <v>1132</v>
      </c>
      <c r="O29" s="1168" t="s">
        <v>94</v>
      </c>
      <c r="P29" s="1169" t="s">
        <v>93</v>
      </c>
      <c r="Q29" s="891" t="s">
        <v>282</v>
      </c>
      <c r="R29" s="892" t="s">
        <v>97</v>
      </c>
      <c r="S29" s="893" t="s">
        <v>605</v>
      </c>
      <c r="T29" s="1210" t="s">
        <v>1141</v>
      </c>
    </row>
    <row r="30" spans="1:32">
      <c r="A30" s="112">
        <f>+A27+1</f>
        <v>15</v>
      </c>
      <c r="B30" s="1285" t="str">
        <f>D30&amp;C30</f>
        <v>2010W  9.8 % ROE</v>
      </c>
      <c r="C30" s="201" t="str">
        <f>"W  "&amp;'Appendix A'!H213*100&amp;" % ROE"</f>
        <v>W  9.8 % ROE</v>
      </c>
      <c r="D30" s="1208">
        <v>2010</v>
      </c>
      <c r="E30" s="140">
        <f>E$26</f>
        <v>0</v>
      </c>
      <c r="F30" s="152">
        <f>+$E$27</f>
        <v>0</v>
      </c>
      <c r="G30" s="152">
        <f>+E30*E$24+F30</f>
        <v>0</v>
      </c>
      <c r="H30" s="1599">
        <f>+'Gateway PIS Monthly'!M34</f>
        <v>287225424.6045447</v>
      </c>
      <c r="I30" s="1625">
        <f>SUM('Gateway PIS Monthly'!J22:J34)</f>
        <v>4836782.9695761502</v>
      </c>
      <c r="J30" s="152">
        <f>+H30*H$24+I30</f>
        <v>36001589.313736148</v>
      </c>
      <c r="K30" s="140">
        <f t="shared" ref="K30:K70" si="1">$K$26*(IF($D30=data_year+1,1,0))</f>
        <v>0</v>
      </c>
      <c r="L30" s="152">
        <f t="shared" ref="L30:L70" si="2">$K$27*(IF($D30=data_year+1,1,0))</f>
        <v>0</v>
      </c>
      <c r="M30" s="152">
        <f>+K30*K$24+L30</f>
        <v>0</v>
      </c>
      <c r="N30" s="140">
        <f>+N26</f>
        <v>0</v>
      </c>
      <c r="O30" s="152">
        <f>+N$27</f>
        <v>0</v>
      </c>
      <c r="P30" s="152">
        <f>+N30*N$24+O30</f>
        <v>0</v>
      </c>
      <c r="Q30" s="149">
        <f t="shared" ref="Q30:Q69" si="3">+J30+P30+G30+M30</f>
        <v>36001589.313736148</v>
      </c>
      <c r="R30" s="127"/>
      <c r="S30" s="139">
        <f>+Q30</f>
        <v>36001589.313736148</v>
      </c>
      <c r="T30" s="201"/>
    </row>
    <row r="31" spans="1:32">
      <c r="A31" s="112">
        <f t="shared" si="0"/>
        <v>16</v>
      </c>
      <c r="B31" s="1285" t="str">
        <f t="shared" ref="B31:B69" si="4">D31&amp;C31</f>
        <v>2010W Increased ROE</v>
      </c>
      <c r="C31" s="201" t="s">
        <v>135</v>
      </c>
      <c r="D31" s="202">
        <f>D30</f>
        <v>2010</v>
      </c>
      <c r="E31" s="140">
        <f>E$26</f>
        <v>0</v>
      </c>
      <c r="F31" s="136">
        <f t="shared" ref="F31:F69" si="5">+$E$27</f>
        <v>0</v>
      </c>
      <c r="G31" s="152">
        <f>+E31*E$25+F31</f>
        <v>0</v>
      </c>
      <c r="H31" s="1583">
        <f>H30</f>
        <v>287225424.6045447</v>
      </c>
      <c r="I31" s="152">
        <f>I30</f>
        <v>4836782.9695761502</v>
      </c>
      <c r="J31" s="152">
        <f>+H31*H$25+I31</f>
        <v>36917077.199449494</v>
      </c>
      <c r="K31" s="140">
        <f t="shared" si="1"/>
        <v>0</v>
      </c>
      <c r="L31" s="136">
        <f t="shared" si="2"/>
        <v>0</v>
      </c>
      <c r="M31" s="152">
        <f>+K31*K$25+L31</f>
        <v>0</v>
      </c>
      <c r="N31" s="140">
        <f>+N30</f>
        <v>0</v>
      </c>
      <c r="O31" s="136">
        <f>+O30</f>
        <v>0</v>
      </c>
      <c r="P31" s="152">
        <f>+N31*N$25+O31</f>
        <v>0</v>
      </c>
      <c r="Q31" s="149">
        <f t="shared" si="3"/>
        <v>36917077.199449494</v>
      </c>
      <c r="R31" s="216">
        <f>+Q31</f>
        <v>36917077.199449494</v>
      </c>
      <c r="S31" s="126"/>
      <c r="T31" s="1211">
        <f>R31-S30</f>
        <v>915487.8857133463</v>
      </c>
    </row>
    <row r="32" spans="1:32">
      <c r="A32" s="112">
        <f t="shared" si="0"/>
        <v>17</v>
      </c>
      <c r="B32" s="1285" t="str">
        <f t="shared" si="4"/>
        <v>2011W  9.8 % ROE</v>
      </c>
      <c r="C32" s="201" t="str">
        <f t="shared" ref="C32:C69" si="6">+C30</f>
        <v>W  9.8 % ROE</v>
      </c>
      <c r="D32" s="137">
        <f t="shared" ref="D32:D69" si="7">+D30+1</f>
        <v>2011</v>
      </c>
      <c r="E32" s="140">
        <f t="shared" ref="E32:E69" si="8">E$26</f>
        <v>0</v>
      </c>
      <c r="F32" s="136">
        <f t="shared" si="5"/>
        <v>0</v>
      </c>
      <c r="G32" s="152">
        <f>+E32*E$24+F32</f>
        <v>0</v>
      </c>
      <c r="H32" s="1590">
        <f>+'Gateway PIS Monthly'!M46</f>
        <v>784113653.19373691</v>
      </c>
      <c r="I32" s="1625">
        <f>SUM('Gateway PIS Monthly'!J35:J46)</f>
        <v>13727953.751135059</v>
      </c>
      <c r="J32" s="152">
        <f>+H32*H$24+I32</f>
        <v>98806599.512524188</v>
      </c>
      <c r="K32" s="140">
        <f t="shared" si="1"/>
        <v>0</v>
      </c>
      <c r="L32" s="138">
        <f t="shared" si="2"/>
        <v>0</v>
      </c>
      <c r="M32" s="152">
        <f>+K32*K$24+L32</f>
        <v>0</v>
      </c>
      <c r="N32" s="140">
        <f>+N$26</f>
        <v>0</v>
      </c>
      <c r="O32" s="138">
        <f>+N$27</f>
        <v>0</v>
      </c>
      <c r="P32" s="152">
        <f>+N32*N$24+O32</f>
        <v>0</v>
      </c>
      <c r="Q32" s="149">
        <f t="shared" si="3"/>
        <v>98806599.512524188</v>
      </c>
      <c r="R32" s="127"/>
      <c r="S32" s="139">
        <f>+Q32</f>
        <v>98806599.512524188</v>
      </c>
      <c r="T32" s="201"/>
    </row>
    <row r="33" spans="1:25">
      <c r="A33" s="112">
        <f t="shared" si="0"/>
        <v>18</v>
      </c>
      <c r="B33" s="1285" t="str">
        <f t="shared" si="4"/>
        <v>2011W Increased ROE</v>
      </c>
      <c r="C33" s="201" t="str">
        <f t="shared" si="6"/>
        <v>W Increased ROE</v>
      </c>
      <c r="D33" s="137">
        <f t="shared" si="7"/>
        <v>2011</v>
      </c>
      <c r="E33" s="140">
        <f t="shared" si="8"/>
        <v>0</v>
      </c>
      <c r="F33" s="136">
        <f t="shared" si="5"/>
        <v>0</v>
      </c>
      <c r="G33" s="152">
        <f>+E33*E$25+F33</f>
        <v>0</v>
      </c>
      <c r="H33" s="1583">
        <f>H32</f>
        <v>784113653.19373691</v>
      </c>
      <c r="I33" s="897">
        <f t="shared" ref="I33:I69" si="9">I32</f>
        <v>13727953.751135059</v>
      </c>
      <c r="J33" s="152">
        <f>+H33*H$25+I33</f>
        <v>101305843.97011232</v>
      </c>
      <c r="K33" s="140">
        <f t="shared" si="1"/>
        <v>0</v>
      </c>
      <c r="L33" s="138">
        <f t="shared" si="2"/>
        <v>0</v>
      </c>
      <c r="M33" s="152">
        <f>+K33*K$25+L33</f>
        <v>0</v>
      </c>
      <c r="N33" s="140">
        <v>0</v>
      </c>
      <c r="O33" s="138">
        <f>+O32</f>
        <v>0</v>
      </c>
      <c r="P33" s="152">
        <f>+N33*N$25+O33</f>
        <v>0</v>
      </c>
      <c r="Q33" s="149">
        <f t="shared" si="3"/>
        <v>101305843.97011232</v>
      </c>
      <c r="R33" s="216">
        <f>+Q33</f>
        <v>101305843.97011232</v>
      </c>
      <c r="S33" s="126"/>
      <c r="T33" s="1211">
        <f>R33-S32</f>
        <v>2499244.4575881362</v>
      </c>
    </row>
    <row r="34" spans="1:25">
      <c r="A34" s="112">
        <f t="shared" si="0"/>
        <v>19</v>
      </c>
      <c r="B34" s="1285" t="str">
        <f t="shared" si="4"/>
        <v>2012W  9.8 % ROE</v>
      </c>
      <c r="C34" s="201" t="str">
        <f t="shared" si="6"/>
        <v>W  9.8 % ROE</v>
      </c>
      <c r="D34" s="137">
        <f t="shared" si="7"/>
        <v>2012</v>
      </c>
      <c r="E34" s="140">
        <f t="shared" si="8"/>
        <v>0</v>
      </c>
      <c r="F34" s="136">
        <f t="shared" si="5"/>
        <v>0</v>
      </c>
      <c r="G34" s="152">
        <f>+E34*E$24+F34</f>
        <v>0</v>
      </c>
      <c r="H34" s="1599">
        <f>+'Gateway PIS Monthly'!M58</f>
        <v>785864996.70524514</v>
      </c>
      <c r="I34" s="1648">
        <f>SUM('Gateway PIS Monthly'!J47:J58)</f>
        <v>13960854.81519396</v>
      </c>
      <c r="J34" s="152">
        <f>+H34*H$24+I34</f>
        <v>99229526.516847283</v>
      </c>
      <c r="K34" s="140">
        <f t="shared" si="1"/>
        <v>0</v>
      </c>
      <c r="L34" s="138">
        <f t="shared" si="2"/>
        <v>0</v>
      </c>
      <c r="M34" s="152">
        <f>+K34*K$24+L34</f>
        <v>0</v>
      </c>
      <c r="N34" s="140">
        <v>0</v>
      </c>
      <c r="O34" s="138">
        <f t="shared" ref="O34:O70" si="10">+O33</f>
        <v>0</v>
      </c>
      <c r="P34" s="152">
        <f>+N34*N$24+O34</f>
        <v>0</v>
      </c>
      <c r="Q34" s="149">
        <f t="shared" si="3"/>
        <v>99229526.516847283</v>
      </c>
      <c r="R34" s="127"/>
      <c r="S34" s="139">
        <f>+Q34</f>
        <v>99229526.516847283</v>
      </c>
      <c r="T34" s="201"/>
    </row>
    <row r="35" spans="1:25">
      <c r="A35" s="112">
        <f t="shared" si="0"/>
        <v>20</v>
      </c>
      <c r="B35" s="1285" t="str">
        <f t="shared" si="4"/>
        <v>2012W Increased ROE</v>
      </c>
      <c r="C35" s="201" t="str">
        <f t="shared" si="6"/>
        <v>W Increased ROE</v>
      </c>
      <c r="D35" s="137">
        <f t="shared" si="7"/>
        <v>2012</v>
      </c>
      <c r="E35" s="140">
        <f t="shared" si="8"/>
        <v>0</v>
      </c>
      <c r="F35" s="136">
        <f t="shared" si="5"/>
        <v>0</v>
      </c>
      <c r="G35" s="152">
        <f>+E35*E$25+F35</f>
        <v>0</v>
      </c>
      <c r="H35" s="1583">
        <f>H34</f>
        <v>785864996.70524514</v>
      </c>
      <c r="I35" s="897">
        <f t="shared" si="9"/>
        <v>13960854.81519396</v>
      </c>
      <c r="J35" s="152">
        <f>+H35*H$25+I35</f>
        <v>101734353.11874145</v>
      </c>
      <c r="K35" s="140">
        <f t="shared" si="1"/>
        <v>0</v>
      </c>
      <c r="L35" s="138">
        <f t="shared" si="2"/>
        <v>0</v>
      </c>
      <c r="M35" s="152">
        <f>+K35*K$25+L35</f>
        <v>0</v>
      </c>
      <c r="N35" s="140">
        <v>0</v>
      </c>
      <c r="O35" s="138">
        <f t="shared" si="10"/>
        <v>0</v>
      </c>
      <c r="P35" s="152">
        <f>+N35*N$25+O35</f>
        <v>0</v>
      </c>
      <c r="Q35" s="149">
        <f t="shared" si="3"/>
        <v>101734353.11874145</v>
      </c>
      <c r="R35" s="216">
        <f>+Q35</f>
        <v>101734353.11874145</v>
      </c>
      <c r="S35" s="126"/>
      <c r="T35" s="1211">
        <f>R35-S34</f>
        <v>2504826.60189417</v>
      </c>
    </row>
    <row r="36" spans="1:25">
      <c r="A36" s="112">
        <f t="shared" si="0"/>
        <v>21</v>
      </c>
      <c r="B36" s="1285" t="str">
        <f t="shared" si="4"/>
        <v>2013W  9.8 % ROE</v>
      </c>
      <c r="C36" s="201" t="str">
        <f t="shared" si="6"/>
        <v>W  9.8 % ROE</v>
      </c>
      <c r="D36" s="137">
        <f t="shared" si="7"/>
        <v>2013</v>
      </c>
      <c r="E36" s="140">
        <f t="shared" si="8"/>
        <v>0</v>
      </c>
      <c r="F36" s="136">
        <f t="shared" si="5"/>
        <v>0</v>
      </c>
      <c r="G36" s="152">
        <f>+E36*E$24+F36</f>
        <v>0</v>
      </c>
      <c r="H36" s="1599">
        <f>+'Gateway PIS Monthly'!M70</f>
        <v>1039140448.7705153</v>
      </c>
      <c r="I36" s="1648">
        <f>SUM('Gateway PIS Monthly'!J59:J70)</f>
        <v>18682868.780114934</v>
      </c>
      <c r="J36" s="152">
        <f>+H36*H$24+I36</f>
        <v>131432674.59867759</v>
      </c>
      <c r="K36" s="1583">
        <f t="shared" si="1"/>
        <v>0</v>
      </c>
      <c r="L36" s="897">
        <f t="shared" si="2"/>
        <v>0</v>
      </c>
      <c r="M36" s="1614">
        <f>+K36*K$24+L36</f>
        <v>0</v>
      </c>
      <c r="N36" s="140">
        <v>0</v>
      </c>
      <c r="O36" s="138">
        <f t="shared" si="10"/>
        <v>0</v>
      </c>
      <c r="P36" s="152">
        <f>+N36*N$24+O36</f>
        <v>0</v>
      </c>
      <c r="Q36" s="149">
        <f t="shared" si="3"/>
        <v>131432674.59867759</v>
      </c>
      <c r="R36" s="127"/>
      <c r="S36" s="139">
        <f>+Q36</f>
        <v>131432674.59867759</v>
      </c>
      <c r="T36" s="201"/>
    </row>
    <row r="37" spans="1:25">
      <c r="A37" s="112">
        <f t="shared" si="0"/>
        <v>22</v>
      </c>
      <c r="B37" s="1285" t="str">
        <f t="shared" si="4"/>
        <v>2013W Increased ROE</v>
      </c>
      <c r="C37" s="201" t="str">
        <f t="shared" si="6"/>
        <v>W Increased ROE</v>
      </c>
      <c r="D37" s="137">
        <f t="shared" si="7"/>
        <v>2013</v>
      </c>
      <c r="E37" s="140">
        <f t="shared" si="8"/>
        <v>0</v>
      </c>
      <c r="F37" s="136">
        <f t="shared" si="5"/>
        <v>0</v>
      </c>
      <c r="G37" s="152">
        <f>+E37*E$25+F37</f>
        <v>0</v>
      </c>
      <c r="H37" s="140">
        <f>H36</f>
        <v>1039140448.7705153</v>
      </c>
      <c r="I37" s="138">
        <f t="shared" si="9"/>
        <v>18682868.780114934</v>
      </c>
      <c r="J37" s="152">
        <f>+H37*H$25+I37</f>
        <v>134744778.64975148</v>
      </c>
      <c r="K37" s="1583">
        <f t="shared" si="1"/>
        <v>0</v>
      </c>
      <c r="L37" s="897">
        <f t="shared" si="2"/>
        <v>0</v>
      </c>
      <c r="M37" s="1614">
        <f>+K37*K$25+L37</f>
        <v>0</v>
      </c>
      <c r="N37" s="140">
        <v>0</v>
      </c>
      <c r="O37" s="138">
        <f t="shared" si="10"/>
        <v>0</v>
      </c>
      <c r="P37" s="152">
        <f>+N37*N$25+O37</f>
        <v>0</v>
      </c>
      <c r="Q37" s="149">
        <f t="shared" si="3"/>
        <v>134744778.64975148</v>
      </c>
      <c r="R37" s="216">
        <f>+Q37</f>
        <v>134744778.64975148</v>
      </c>
      <c r="S37" s="126"/>
      <c r="T37" s="1211">
        <f>R37-S36</f>
        <v>3312104.0510738939</v>
      </c>
    </row>
    <row r="38" spans="1:25">
      <c r="A38" s="112">
        <f t="shared" si="0"/>
        <v>23</v>
      </c>
      <c r="B38" s="1285" t="str">
        <f t="shared" si="4"/>
        <v>2014W  9.8 % ROE</v>
      </c>
      <c r="C38" s="201" t="str">
        <f t="shared" si="6"/>
        <v>W  9.8 % ROE</v>
      </c>
      <c r="D38" s="137">
        <f t="shared" si="7"/>
        <v>2014</v>
      </c>
      <c r="E38" s="140">
        <f t="shared" si="8"/>
        <v>0</v>
      </c>
      <c r="F38" s="136">
        <f t="shared" si="5"/>
        <v>0</v>
      </c>
      <c r="G38" s="152">
        <f>+E38*E$24+F38</f>
        <v>0</v>
      </c>
      <c r="H38" s="1599">
        <f>'Gateway PIS Monthly'!M82</f>
        <v>1164054967.550472</v>
      </c>
      <c r="I38" s="1648">
        <f>SUM('Gateway PIS Monthly'!J71:J82)</f>
        <v>21135829.272040218</v>
      </c>
      <c r="J38" s="152">
        <f>+H38*H$24+I38</f>
        <v>147439229.07592338</v>
      </c>
      <c r="K38" s="140">
        <f t="shared" si="1"/>
        <v>0</v>
      </c>
      <c r="L38" s="138">
        <f t="shared" si="2"/>
        <v>0</v>
      </c>
      <c r="M38" s="152">
        <f>+K38*K$24+L38</f>
        <v>0</v>
      </c>
      <c r="N38" s="140">
        <v>0</v>
      </c>
      <c r="O38" s="138">
        <f t="shared" si="10"/>
        <v>0</v>
      </c>
      <c r="P38" s="152">
        <f>+N38*N$24+O38</f>
        <v>0</v>
      </c>
      <c r="Q38" s="149">
        <f t="shared" si="3"/>
        <v>147439229.07592338</v>
      </c>
      <c r="R38" s="127"/>
      <c r="S38" s="139">
        <f>+Q38</f>
        <v>147439229.07592338</v>
      </c>
      <c r="T38" s="201"/>
    </row>
    <row r="39" spans="1:25">
      <c r="A39" s="112">
        <f t="shared" si="0"/>
        <v>24</v>
      </c>
      <c r="B39" s="1285" t="str">
        <f t="shared" si="4"/>
        <v>2014W Increased ROE</v>
      </c>
      <c r="C39" s="201" t="str">
        <f t="shared" si="6"/>
        <v>W Increased ROE</v>
      </c>
      <c r="D39" s="137">
        <f t="shared" si="7"/>
        <v>2014</v>
      </c>
      <c r="E39" s="140">
        <f t="shared" si="8"/>
        <v>0</v>
      </c>
      <c r="F39" s="136">
        <f t="shared" si="5"/>
        <v>0</v>
      </c>
      <c r="G39" s="152">
        <f>+E39*E$25+F39</f>
        <v>0</v>
      </c>
      <c r="H39" s="140">
        <f>H38</f>
        <v>1164054967.550472</v>
      </c>
      <c r="I39" s="138">
        <f t="shared" si="9"/>
        <v>21135829.272040218</v>
      </c>
      <c r="J39" s="152">
        <f>+H39*H$25+I39</f>
        <v>151149479.38737872</v>
      </c>
      <c r="K39" s="140">
        <f t="shared" si="1"/>
        <v>0</v>
      </c>
      <c r="L39" s="138">
        <f t="shared" si="2"/>
        <v>0</v>
      </c>
      <c r="M39" s="152">
        <f>+K39*K$25+L39</f>
        <v>0</v>
      </c>
      <c r="N39" s="140">
        <v>0</v>
      </c>
      <c r="O39" s="138">
        <f t="shared" si="10"/>
        <v>0</v>
      </c>
      <c r="P39" s="152">
        <f>+N39*N$25+O39</f>
        <v>0</v>
      </c>
      <c r="Q39" s="149">
        <f t="shared" si="3"/>
        <v>151149479.38737872</v>
      </c>
      <c r="R39" s="216">
        <f>+Q39</f>
        <v>151149479.38737872</v>
      </c>
      <c r="S39" s="126"/>
      <c r="T39" s="1211">
        <f>R39-S38</f>
        <v>3710250.3114553392</v>
      </c>
    </row>
    <row r="40" spans="1:25">
      <c r="A40" s="112">
        <f t="shared" si="0"/>
        <v>25</v>
      </c>
      <c r="B40" s="1285" t="str">
        <f t="shared" si="4"/>
        <v>2015W  9.8 % ROE</v>
      </c>
      <c r="C40" s="201" t="str">
        <f t="shared" si="6"/>
        <v>W  9.8 % ROE</v>
      </c>
      <c r="D40" s="137">
        <f t="shared" si="7"/>
        <v>2015</v>
      </c>
      <c r="E40" s="140">
        <f t="shared" si="8"/>
        <v>0</v>
      </c>
      <c r="F40" s="136">
        <f t="shared" si="5"/>
        <v>0</v>
      </c>
      <c r="G40" s="152">
        <f>+E40*E$24+F40</f>
        <v>0</v>
      </c>
      <c r="H40" s="1599">
        <f>'Gateway PIS Monthly'!M94</f>
        <v>1350166903.3483121</v>
      </c>
      <c r="I40" s="1648">
        <f>SUM('Gateway PIS Monthly'!J83:J94)</f>
        <v>24782099.925739925</v>
      </c>
      <c r="J40" s="152">
        <f>+H40*H$24+I40</f>
        <v>171279194.09168079</v>
      </c>
      <c r="K40" s="2235">
        <f>$K$26*(IF($D40=data_year+1,1,0))</f>
        <v>0</v>
      </c>
      <c r="L40" s="2236">
        <f t="shared" si="2"/>
        <v>0</v>
      </c>
      <c r="M40" s="2237">
        <f>+K40*K$24+L40</f>
        <v>0</v>
      </c>
      <c r="N40" s="140">
        <v>0</v>
      </c>
      <c r="O40" s="138">
        <f t="shared" si="10"/>
        <v>0</v>
      </c>
      <c r="P40" s="152">
        <f>+N40*N$24+O40</f>
        <v>0</v>
      </c>
      <c r="Q40" s="149">
        <f t="shared" si="3"/>
        <v>171279194.09168079</v>
      </c>
      <c r="R40" s="127"/>
      <c r="S40" s="139">
        <f>+Q40</f>
        <v>171279194.09168079</v>
      </c>
      <c r="T40" s="201"/>
      <c r="X40" s="460"/>
    </row>
    <row r="41" spans="1:25">
      <c r="A41" s="112">
        <f t="shared" si="0"/>
        <v>26</v>
      </c>
      <c r="B41" s="1285" t="str">
        <f t="shared" si="4"/>
        <v>2015W Increased ROE</v>
      </c>
      <c r="C41" s="201" t="str">
        <f t="shared" si="6"/>
        <v>W Increased ROE</v>
      </c>
      <c r="D41" s="137">
        <f t="shared" si="7"/>
        <v>2015</v>
      </c>
      <c r="E41" s="140">
        <f t="shared" si="8"/>
        <v>0</v>
      </c>
      <c r="F41" s="136">
        <f t="shared" si="5"/>
        <v>0</v>
      </c>
      <c r="G41" s="152">
        <f>+E41*E$25+F41</f>
        <v>0</v>
      </c>
      <c r="H41" s="140">
        <f>H40</f>
        <v>1350166903.3483121</v>
      </c>
      <c r="I41" s="138">
        <f t="shared" si="9"/>
        <v>24782099.925739925</v>
      </c>
      <c r="J41" s="152">
        <f>+H41*H$25+I41</f>
        <v>175582648.23543671</v>
      </c>
      <c r="K41" s="2235">
        <f t="shared" si="1"/>
        <v>0</v>
      </c>
      <c r="L41" s="2236">
        <f t="shared" si="2"/>
        <v>0</v>
      </c>
      <c r="M41" s="2237">
        <f>+K41*K$25+L41</f>
        <v>0</v>
      </c>
      <c r="N41" s="140">
        <v>0</v>
      </c>
      <c r="O41" s="138">
        <f t="shared" si="10"/>
        <v>0</v>
      </c>
      <c r="P41" s="152">
        <f>+N41*N$25+O41</f>
        <v>0</v>
      </c>
      <c r="Q41" s="149">
        <f t="shared" si="3"/>
        <v>175582648.23543671</v>
      </c>
      <c r="R41" s="216">
        <f>+Q41</f>
        <v>175582648.23543671</v>
      </c>
      <c r="S41" s="126"/>
      <c r="T41" s="1211">
        <f>R41-S40</f>
        <v>4303454.1437559128</v>
      </c>
      <c r="X41" s="460"/>
      <c r="Y41" s="460"/>
    </row>
    <row r="42" spans="1:25">
      <c r="A42" s="112">
        <f t="shared" si="0"/>
        <v>27</v>
      </c>
      <c r="B42" s="1285" t="str">
        <f t="shared" si="4"/>
        <v>2016W  9.8 % ROE</v>
      </c>
      <c r="C42" s="201" t="str">
        <f t="shared" si="6"/>
        <v>W  9.8 % ROE</v>
      </c>
      <c r="D42" s="137">
        <f t="shared" si="7"/>
        <v>2016</v>
      </c>
      <c r="E42" s="140">
        <f t="shared" si="8"/>
        <v>0</v>
      </c>
      <c r="F42" s="136">
        <f t="shared" si="5"/>
        <v>0</v>
      </c>
      <c r="G42" s="152">
        <f>+E42*E$24+F42</f>
        <v>0</v>
      </c>
      <c r="H42" s="1599">
        <f>'Gateway PIS Monthly'!M106</f>
        <v>1463059093.741802</v>
      </c>
      <c r="I42" s="1648">
        <f>SUM('Gateway PIS Monthly'!J94:J106)</f>
        <v>29386385.30888648</v>
      </c>
      <c r="J42" s="152">
        <f>+H42*H$24+I42</f>
        <v>188132615.34511158</v>
      </c>
      <c r="K42" s="140">
        <f t="shared" si="1"/>
        <v>0</v>
      </c>
      <c r="L42" s="138">
        <f t="shared" si="2"/>
        <v>0</v>
      </c>
      <c r="M42" s="1614">
        <f>+K42*K$24+L42</f>
        <v>0</v>
      </c>
      <c r="N42" s="140">
        <v>0</v>
      </c>
      <c r="O42" s="138">
        <f t="shared" si="10"/>
        <v>0</v>
      </c>
      <c r="P42" s="152">
        <f>+N42*N$24+O42</f>
        <v>0</v>
      </c>
      <c r="Q42" s="149">
        <f t="shared" si="3"/>
        <v>188132615.34511158</v>
      </c>
      <c r="R42" s="127"/>
      <c r="S42" s="139">
        <f>+Q42</f>
        <v>188132615.34511158</v>
      </c>
      <c r="T42" s="201"/>
    </row>
    <row r="43" spans="1:25">
      <c r="A43" s="112">
        <f t="shared" si="0"/>
        <v>28</v>
      </c>
      <c r="B43" s="1285" t="str">
        <f t="shared" si="4"/>
        <v>2016W Increased ROE</v>
      </c>
      <c r="C43" s="201" t="str">
        <f t="shared" si="6"/>
        <v>W Increased ROE</v>
      </c>
      <c r="D43" s="137">
        <f t="shared" si="7"/>
        <v>2016</v>
      </c>
      <c r="E43" s="140">
        <f t="shared" si="8"/>
        <v>0</v>
      </c>
      <c r="F43" s="136">
        <f t="shared" si="5"/>
        <v>0</v>
      </c>
      <c r="G43" s="152">
        <f>+E43*E$25+F43</f>
        <v>0</v>
      </c>
      <c r="H43" s="140">
        <f>H42</f>
        <v>1463059093.741802</v>
      </c>
      <c r="I43" s="138">
        <f>I42</f>
        <v>29386385.30888648</v>
      </c>
      <c r="J43" s="152">
        <f>+H43*H$25+I43</f>
        <v>192795896.3838549</v>
      </c>
      <c r="K43" s="140">
        <f t="shared" si="1"/>
        <v>0</v>
      </c>
      <c r="L43" s="138">
        <f t="shared" si="2"/>
        <v>0</v>
      </c>
      <c r="M43" s="152">
        <f>+K43*K$25+L43</f>
        <v>0</v>
      </c>
      <c r="N43" s="140">
        <v>0</v>
      </c>
      <c r="O43" s="138">
        <f t="shared" si="10"/>
        <v>0</v>
      </c>
      <c r="P43" s="152">
        <f>+N43*N$25+O43</f>
        <v>0</v>
      </c>
      <c r="Q43" s="149">
        <f t="shared" si="3"/>
        <v>192795896.3838549</v>
      </c>
      <c r="R43" s="216">
        <f>+Q43</f>
        <v>192795896.3838549</v>
      </c>
      <c r="S43" s="126"/>
      <c r="T43" s="1211">
        <f>R43-S42</f>
        <v>4663281.0387433171</v>
      </c>
    </row>
    <row r="44" spans="1:25">
      <c r="A44" s="112">
        <f t="shared" si="0"/>
        <v>29</v>
      </c>
      <c r="B44" s="1285" t="str">
        <f t="shared" si="4"/>
        <v>2017W  9.8 % ROE</v>
      </c>
      <c r="C44" s="201" t="str">
        <f t="shared" si="6"/>
        <v>W  9.8 % ROE</v>
      </c>
      <c r="D44" s="137">
        <f t="shared" si="7"/>
        <v>2017</v>
      </c>
      <c r="E44" s="140">
        <f t="shared" si="8"/>
        <v>0</v>
      </c>
      <c r="F44" s="136">
        <f t="shared" si="5"/>
        <v>0</v>
      </c>
      <c r="G44" s="152">
        <f>+E44*E$24+F44</f>
        <v>0</v>
      </c>
      <c r="H44" s="1599">
        <f>'Gateway PIS Monthly'!M118</f>
        <v>1438128705.0268457</v>
      </c>
      <c r="I44" s="1648">
        <f>SUM('Gateway PIS Monthly'!J106:J118)</f>
        <v>29436353.409389358</v>
      </c>
      <c r="J44" s="1614">
        <f>+H44*H$24+I44</f>
        <v>185477562.68550605</v>
      </c>
      <c r="K44" s="140">
        <f>$K$26*(IF($D44=data_year+1,1,0))</f>
        <v>0</v>
      </c>
      <c r="L44" s="138">
        <f t="shared" si="2"/>
        <v>0</v>
      </c>
      <c r="M44" s="152">
        <f>+K44*K$24+L44</f>
        <v>0</v>
      </c>
      <c r="N44" s="140">
        <v>0</v>
      </c>
      <c r="O44" s="138">
        <f t="shared" si="10"/>
        <v>0</v>
      </c>
      <c r="P44" s="152">
        <f>+N44*N$24+O44</f>
        <v>0</v>
      </c>
      <c r="Q44" s="149">
        <f t="shared" si="3"/>
        <v>185477562.68550605</v>
      </c>
      <c r="R44" s="127"/>
      <c r="S44" s="139">
        <f>+Q44</f>
        <v>185477562.68550605</v>
      </c>
      <c r="T44" s="201"/>
    </row>
    <row r="45" spans="1:25">
      <c r="A45" s="112">
        <f t="shared" si="0"/>
        <v>30</v>
      </c>
      <c r="B45" s="1285" t="str">
        <f t="shared" si="4"/>
        <v>2017W Increased ROE</v>
      </c>
      <c r="C45" s="201" t="str">
        <f t="shared" si="6"/>
        <v>W Increased ROE</v>
      </c>
      <c r="D45" s="137">
        <f t="shared" si="7"/>
        <v>2017</v>
      </c>
      <c r="E45" s="140">
        <f t="shared" si="8"/>
        <v>0</v>
      </c>
      <c r="F45" s="136">
        <f t="shared" si="5"/>
        <v>0</v>
      </c>
      <c r="G45" s="152">
        <f>+E45*E$25+F45</f>
        <v>0</v>
      </c>
      <c r="H45" s="140">
        <f>H44</f>
        <v>1438128705.0268457</v>
      </c>
      <c r="I45" s="138">
        <f t="shared" si="9"/>
        <v>29436353.409389358</v>
      </c>
      <c r="J45" s="152">
        <f>+H45*H$25+I45</f>
        <v>190061381.85597607</v>
      </c>
      <c r="K45" s="140">
        <f t="shared" si="1"/>
        <v>0</v>
      </c>
      <c r="L45" s="138">
        <f t="shared" si="2"/>
        <v>0</v>
      </c>
      <c r="M45" s="152">
        <f>+K45*K$25+L45</f>
        <v>0</v>
      </c>
      <c r="N45" s="140">
        <v>0</v>
      </c>
      <c r="O45" s="138">
        <f t="shared" si="10"/>
        <v>0</v>
      </c>
      <c r="P45" s="152">
        <f>+N45*N$25+O45</f>
        <v>0</v>
      </c>
      <c r="Q45" s="149">
        <f t="shared" si="3"/>
        <v>190061381.85597607</v>
      </c>
      <c r="R45" s="216">
        <f>+Q45</f>
        <v>190061381.85597607</v>
      </c>
      <c r="S45" s="126"/>
      <c r="T45" s="1211">
        <f>R45-S44</f>
        <v>4583819.1704700291</v>
      </c>
    </row>
    <row r="46" spans="1:25">
      <c r="A46" s="112">
        <f t="shared" si="0"/>
        <v>31</v>
      </c>
      <c r="B46" s="1285" t="str">
        <f t="shared" si="4"/>
        <v>2018W  9.8 % ROE</v>
      </c>
      <c r="C46" s="201" t="str">
        <f t="shared" si="6"/>
        <v>W  9.8 % ROE</v>
      </c>
      <c r="D46" s="137">
        <f t="shared" si="7"/>
        <v>2018</v>
      </c>
      <c r="E46" s="140">
        <f t="shared" si="8"/>
        <v>0</v>
      </c>
      <c r="F46" s="136">
        <f t="shared" si="5"/>
        <v>0</v>
      </c>
      <c r="G46" s="152">
        <f>+E46*E$24+F46</f>
        <v>0</v>
      </c>
      <c r="H46" s="140">
        <v>0</v>
      </c>
      <c r="I46" s="138">
        <v>0</v>
      </c>
      <c r="J46" s="152">
        <f>+H46*H$24+I46</f>
        <v>0</v>
      </c>
      <c r="K46" s="140">
        <f t="shared" si="1"/>
        <v>0</v>
      </c>
      <c r="L46" s="138">
        <f t="shared" si="2"/>
        <v>0</v>
      </c>
      <c r="M46" s="152">
        <f>+K46*K$24+L46</f>
        <v>0</v>
      </c>
      <c r="N46" s="140">
        <v>0</v>
      </c>
      <c r="O46" s="138">
        <f t="shared" si="10"/>
        <v>0</v>
      </c>
      <c r="P46" s="152">
        <f>+N46*N$24+O46</f>
        <v>0</v>
      </c>
      <c r="Q46" s="149">
        <f t="shared" si="3"/>
        <v>0</v>
      </c>
      <c r="R46" s="127"/>
      <c r="S46" s="139">
        <f>+Q46</f>
        <v>0</v>
      </c>
      <c r="T46" s="201"/>
    </row>
    <row r="47" spans="1:25">
      <c r="A47" s="112">
        <f t="shared" si="0"/>
        <v>32</v>
      </c>
      <c r="B47" s="1285" t="str">
        <f t="shared" si="4"/>
        <v>2018W Increased ROE</v>
      </c>
      <c r="C47" s="201" t="str">
        <f t="shared" si="6"/>
        <v>W Increased ROE</v>
      </c>
      <c r="D47" s="137">
        <f t="shared" si="7"/>
        <v>2018</v>
      </c>
      <c r="E47" s="140">
        <f t="shared" si="8"/>
        <v>0</v>
      </c>
      <c r="F47" s="136">
        <f t="shared" si="5"/>
        <v>0</v>
      </c>
      <c r="G47" s="152">
        <f>+E47*E$25+F47</f>
        <v>0</v>
      </c>
      <c r="H47" s="140">
        <f>H46</f>
        <v>0</v>
      </c>
      <c r="I47" s="138">
        <f t="shared" si="9"/>
        <v>0</v>
      </c>
      <c r="J47" s="152">
        <f>+H47*H$25+I47</f>
        <v>0</v>
      </c>
      <c r="K47" s="140">
        <f t="shared" si="1"/>
        <v>0</v>
      </c>
      <c r="L47" s="138">
        <f t="shared" si="2"/>
        <v>0</v>
      </c>
      <c r="M47" s="152">
        <f>+K47*K$25+L47</f>
        <v>0</v>
      </c>
      <c r="N47" s="140">
        <v>0</v>
      </c>
      <c r="O47" s="138">
        <f t="shared" si="10"/>
        <v>0</v>
      </c>
      <c r="P47" s="152">
        <f>+N47*N$25+O47</f>
        <v>0</v>
      </c>
      <c r="Q47" s="149">
        <f t="shared" si="3"/>
        <v>0</v>
      </c>
      <c r="R47" s="216">
        <f>+Q47</f>
        <v>0</v>
      </c>
      <c r="S47" s="126"/>
      <c r="T47" s="1211">
        <f>R47-S46</f>
        <v>0</v>
      </c>
    </row>
    <row r="48" spans="1:25">
      <c r="A48" s="112">
        <f t="shared" si="0"/>
        <v>33</v>
      </c>
      <c r="B48" s="1285" t="str">
        <f t="shared" si="4"/>
        <v>2019W  9.8 % ROE</v>
      </c>
      <c r="C48" s="201" t="str">
        <f t="shared" si="6"/>
        <v>W  9.8 % ROE</v>
      </c>
      <c r="D48" s="137">
        <f t="shared" si="7"/>
        <v>2019</v>
      </c>
      <c r="E48" s="140">
        <f t="shared" si="8"/>
        <v>0</v>
      </c>
      <c r="F48" s="136">
        <f t="shared" si="5"/>
        <v>0</v>
      </c>
      <c r="G48" s="152">
        <f>+E48*E$24+F48</f>
        <v>0</v>
      </c>
      <c r="H48" s="140">
        <f>H47-(I47*0.5)</f>
        <v>0</v>
      </c>
      <c r="I48" s="138">
        <f t="shared" si="9"/>
        <v>0</v>
      </c>
      <c r="J48" s="152">
        <f>+H48*H$24+I48</f>
        <v>0</v>
      </c>
      <c r="K48" s="140">
        <f t="shared" si="1"/>
        <v>0</v>
      </c>
      <c r="L48" s="138">
        <f t="shared" si="2"/>
        <v>0</v>
      </c>
      <c r="M48" s="152">
        <f>+K48*K$24+L48</f>
        <v>0</v>
      </c>
      <c r="N48" s="140">
        <v>0</v>
      </c>
      <c r="O48" s="138">
        <f t="shared" si="10"/>
        <v>0</v>
      </c>
      <c r="P48" s="152">
        <f>+N48*N$24+O48</f>
        <v>0</v>
      </c>
      <c r="Q48" s="149">
        <f t="shared" si="3"/>
        <v>0</v>
      </c>
      <c r="R48" s="127"/>
      <c r="S48" s="139">
        <f>+Q48</f>
        <v>0</v>
      </c>
      <c r="T48" s="201"/>
    </row>
    <row r="49" spans="1:20">
      <c r="A49" s="112">
        <f t="shared" si="0"/>
        <v>34</v>
      </c>
      <c r="B49" s="1285" t="str">
        <f t="shared" si="4"/>
        <v>2019W Increased ROE</v>
      </c>
      <c r="C49" s="201" t="str">
        <f t="shared" si="6"/>
        <v>W Increased ROE</v>
      </c>
      <c r="D49" s="137">
        <f t="shared" si="7"/>
        <v>2019</v>
      </c>
      <c r="E49" s="140">
        <f t="shared" si="8"/>
        <v>0</v>
      </c>
      <c r="F49" s="136">
        <f t="shared" si="5"/>
        <v>0</v>
      </c>
      <c r="G49" s="152">
        <f>+E49*E$25+F49</f>
        <v>0</v>
      </c>
      <c r="H49" s="140">
        <f>H48</f>
        <v>0</v>
      </c>
      <c r="I49" s="138">
        <f t="shared" si="9"/>
        <v>0</v>
      </c>
      <c r="J49" s="152">
        <f>+H49*H$25+I49</f>
        <v>0</v>
      </c>
      <c r="K49" s="140">
        <f t="shared" si="1"/>
        <v>0</v>
      </c>
      <c r="L49" s="138">
        <f t="shared" si="2"/>
        <v>0</v>
      </c>
      <c r="M49" s="152">
        <f>+K49*K$25+L49</f>
        <v>0</v>
      </c>
      <c r="N49" s="140">
        <v>0</v>
      </c>
      <c r="O49" s="138">
        <f t="shared" si="10"/>
        <v>0</v>
      </c>
      <c r="P49" s="152">
        <f>+N49*N$25+O49</f>
        <v>0</v>
      </c>
      <c r="Q49" s="149">
        <f t="shared" si="3"/>
        <v>0</v>
      </c>
      <c r="R49" s="216">
        <f>+Q49</f>
        <v>0</v>
      </c>
      <c r="S49" s="126"/>
      <c r="T49" s="1211">
        <f>R49-S48</f>
        <v>0</v>
      </c>
    </row>
    <row r="50" spans="1:20">
      <c r="A50" s="112">
        <f t="shared" si="0"/>
        <v>35</v>
      </c>
      <c r="B50" s="1285" t="str">
        <f t="shared" si="4"/>
        <v>2020W  9.8 % ROE</v>
      </c>
      <c r="C50" s="201" t="str">
        <f t="shared" si="6"/>
        <v>W  9.8 % ROE</v>
      </c>
      <c r="D50" s="137">
        <f t="shared" si="7"/>
        <v>2020</v>
      </c>
      <c r="E50" s="140">
        <f t="shared" si="8"/>
        <v>0</v>
      </c>
      <c r="F50" s="136">
        <f t="shared" si="5"/>
        <v>0</v>
      </c>
      <c r="G50" s="152">
        <f>+E50*E$24+F50</f>
        <v>0</v>
      </c>
      <c r="H50" s="140">
        <f>H49-(I49*0.5)</f>
        <v>0</v>
      </c>
      <c r="I50" s="138">
        <f t="shared" si="9"/>
        <v>0</v>
      </c>
      <c r="J50" s="152">
        <f>+H50*H$24+I50</f>
        <v>0</v>
      </c>
      <c r="K50" s="140">
        <f t="shared" si="1"/>
        <v>0</v>
      </c>
      <c r="L50" s="138">
        <f t="shared" si="2"/>
        <v>0</v>
      </c>
      <c r="M50" s="152">
        <f>+K50*K$24+L50</f>
        <v>0</v>
      </c>
      <c r="N50" s="140">
        <v>0</v>
      </c>
      <c r="O50" s="138">
        <f t="shared" si="10"/>
        <v>0</v>
      </c>
      <c r="P50" s="152">
        <f>+N50*N$24+O50</f>
        <v>0</v>
      </c>
      <c r="Q50" s="149">
        <f t="shared" si="3"/>
        <v>0</v>
      </c>
      <c r="R50" s="127"/>
      <c r="S50" s="139">
        <f>+Q50</f>
        <v>0</v>
      </c>
      <c r="T50" s="201"/>
    </row>
    <row r="51" spans="1:20">
      <c r="A51" s="112">
        <f t="shared" ref="A51:A71" si="11">+A50+1</f>
        <v>36</v>
      </c>
      <c r="B51" s="1285" t="str">
        <f t="shared" si="4"/>
        <v>2020W Increased ROE</v>
      </c>
      <c r="C51" s="201" t="str">
        <f t="shared" si="6"/>
        <v>W Increased ROE</v>
      </c>
      <c r="D51" s="137">
        <f t="shared" si="7"/>
        <v>2020</v>
      </c>
      <c r="E51" s="140">
        <f t="shared" si="8"/>
        <v>0</v>
      </c>
      <c r="F51" s="136">
        <f t="shared" si="5"/>
        <v>0</v>
      </c>
      <c r="G51" s="152">
        <f>+E51*E$25+F51</f>
        <v>0</v>
      </c>
      <c r="H51" s="140">
        <f>H50</f>
        <v>0</v>
      </c>
      <c r="I51" s="138">
        <f t="shared" si="9"/>
        <v>0</v>
      </c>
      <c r="J51" s="152">
        <f>+H51*H$25+I51</f>
        <v>0</v>
      </c>
      <c r="K51" s="140">
        <f t="shared" si="1"/>
        <v>0</v>
      </c>
      <c r="L51" s="138">
        <f t="shared" si="2"/>
        <v>0</v>
      </c>
      <c r="M51" s="152">
        <f>+K51*K$25+L51</f>
        <v>0</v>
      </c>
      <c r="N51" s="140">
        <v>0</v>
      </c>
      <c r="O51" s="138">
        <f t="shared" si="10"/>
        <v>0</v>
      </c>
      <c r="P51" s="152">
        <f>+N51*N$25+O51</f>
        <v>0</v>
      </c>
      <c r="Q51" s="149">
        <f t="shared" si="3"/>
        <v>0</v>
      </c>
      <c r="R51" s="216">
        <f>+Q51</f>
        <v>0</v>
      </c>
      <c r="S51" s="126"/>
      <c r="T51" s="1211">
        <f>R51-S50</f>
        <v>0</v>
      </c>
    </row>
    <row r="52" spans="1:20">
      <c r="A52" s="112">
        <f t="shared" si="11"/>
        <v>37</v>
      </c>
      <c r="B52" s="1285" t="str">
        <f t="shared" si="4"/>
        <v>2021W  9.8 % ROE</v>
      </c>
      <c r="C52" s="201" t="str">
        <f t="shared" si="6"/>
        <v>W  9.8 % ROE</v>
      </c>
      <c r="D52" s="137">
        <f t="shared" si="7"/>
        <v>2021</v>
      </c>
      <c r="E52" s="140">
        <f t="shared" si="8"/>
        <v>0</v>
      </c>
      <c r="F52" s="136">
        <f t="shared" si="5"/>
        <v>0</v>
      </c>
      <c r="G52" s="152">
        <f>+E52*E$24+F52</f>
        <v>0</v>
      </c>
      <c r="H52" s="140">
        <f>H51-(I51*0.5)</f>
        <v>0</v>
      </c>
      <c r="I52" s="138">
        <f t="shared" si="9"/>
        <v>0</v>
      </c>
      <c r="J52" s="152">
        <f>+H52*H$24+I52</f>
        <v>0</v>
      </c>
      <c r="K52" s="140">
        <f t="shared" si="1"/>
        <v>0</v>
      </c>
      <c r="L52" s="138">
        <f t="shared" si="2"/>
        <v>0</v>
      </c>
      <c r="M52" s="152">
        <f>+K52*K$24+L52</f>
        <v>0</v>
      </c>
      <c r="N52" s="140">
        <v>0</v>
      </c>
      <c r="O52" s="138">
        <f t="shared" si="10"/>
        <v>0</v>
      </c>
      <c r="P52" s="152">
        <f>+N52*N$24+O52</f>
        <v>0</v>
      </c>
      <c r="Q52" s="149">
        <f t="shared" si="3"/>
        <v>0</v>
      </c>
      <c r="R52" s="127"/>
      <c r="S52" s="139">
        <f>+Q52</f>
        <v>0</v>
      </c>
      <c r="T52" s="201"/>
    </row>
    <row r="53" spans="1:20">
      <c r="A53" s="112">
        <f t="shared" si="11"/>
        <v>38</v>
      </c>
      <c r="B53" s="1285" t="str">
        <f t="shared" si="4"/>
        <v>2021W Increased ROE</v>
      </c>
      <c r="C53" s="201" t="str">
        <f t="shared" si="6"/>
        <v>W Increased ROE</v>
      </c>
      <c r="D53" s="137">
        <f t="shared" si="7"/>
        <v>2021</v>
      </c>
      <c r="E53" s="140">
        <f t="shared" si="8"/>
        <v>0</v>
      </c>
      <c r="F53" s="136">
        <f t="shared" si="5"/>
        <v>0</v>
      </c>
      <c r="G53" s="152">
        <f>+E53*E$25+F53</f>
        <v>0</v>
      </c>
      <c r="H53" s="140">
        <f>H52</f>
        <v>0</v>
      </c>
      <c r="I53" s="138">
        <f t="shared" si="9"/>
        <v>0</v>
      </c>
      <c r="J53" s="152">
        <f>+H53*H$25+I53</f>
        <v>0</v>
      </c>
      <c r="K53" s="140">
        <f t="shared" si="1"/>
        <v>0</v>
      </c>
      <c r="L53" s="138">
        <f t="shared" si="2"/>
        <v>0</v>
      </c>
      <c r="M53" s="152">
        <f>+K53*K$25+L53</f>
        <v>0</v>
      </c>
      <c r="N53" s="140">
        <v>0</v>
      </c>
      <c r="O53" s="138">
        <f t="shared" si="10"/>
        <v>0</v>
      </c>
      <c r="P53" s="152">
        <f>+N53*N$25+O53</f>
        <v>0</v>
      </c>
      <c r="Q53" s="149">
        <f t="shared" si="3"/>
        <v>0</v>
      </c>
      <c r="R53" s="216">
        <f>+Q53</f>
        <v>0</v>
      </c>
      <c r="S53" s="126"/>
      <c r="T53" s="1211">
        <f>R53-S52</f>
        <v>0</v>
      </c>
    </row>
    <row r="54" spans="1:20">
      <c r="A54" s="112">
        <f t="shared" si="11"/>
        <v>39</v>
      </c>
      <c r="B54" s="1285" t="str">
        <f t="shared" si="4"/>
        <v>2022W  9.8 % ROE</v>
      </c>
      <c r="C54" s="201" t="str">
        <f t="shared" si="6"/>
        <v>W  9.8 % ROE</v>
      </c>
      <c r="D54" s="137">
        <f t="shared" si="7"/>
        <v>2022</v>
      </c>
      <c r="E54" s="140">
        <f t="shared" si="8"/>
        <v>0</v>
      </c>
      <c r="F54" s="136">
        <f t="shared" si="5"/>
        <v>0</v>
      </c>
      <c r="G54" s="152">
        <f>+E54*E$24+F54</f>
        <v>0</v>
      </c>
      <c r="H54" s="140">
        <f>H53-(I53*0.5)</f>
        <v>0</v>
      </c>
      <c r="I54" s="138">
        <f t="shared" si="9"/>
        <v>0</v>
      </c>
      <c r="J54" s="152">
        <f>+H54*H$24+I54</f>
        <v>0</v>
      </c>
      <c r="K54" s="140">
        <f t="shared" si="1"/>
        <v>0</v>
      </c>
      <c r="L54" s="138">
        <f t="shared" si="2"/>
        <v>0</v>
      </c>
      <c r="M54" s="152">
        <f>+K54*K$24+L54</f>
        <v>0</v>
      </c>
      <c r="N54" s="140">
        <v>0</v>
      </c>
      <c r="O54" s="138">
        <f t="shared" si="10"/>
        <v>0</v>
      </c>
      <c r="P54" s="152">
        <f>+N54*N$24+O54</f>
        <v>0</v>
      </c>
      <c r="Q54" s="149">
        <f t="shared" si="3"/>
        <v>0</v>
      </c>
      <c r="R54" s="127"/>
      <c r="S54" s="139">
        <f>+Q54</f>
        <v>0</v>
      </c>
      <c r="T54" s="201"/>
    </row>
    <row r="55" spans="1:20">
      <c r="A55" s="112">
        <f t="shared" si="11"/>
        <v>40</v>
      </c>
      <c r="B55" s="1285" t="str">
        <f t="shared" si="4"/>
        <v>2022W Increased ROE</v>
      </c>
      <c r="C55" s="201" t="str">
        <f t="shared" si="6"/>
        <v>W Increased ROE</v>
      </c>
      <c r="D55" s="137">
        <f t="shared" si="7"/>
        <v>2022</v>
      </c>
      <c r="E55" s="140">
        <f t="shared" si="8"/>
        <v>0</v>
      </c>
      <c r="F55" s="136">
        <f t="shared" si="5"/>
        <v>0</v>
      </c>
      <c r="G55" s="152">
        <f>+E55*E$25+F55</f>
        <v>0</v>
      </c>
      <c r="H55" s="140">
        <f>H54</f>
        <v>0</v>
      </c>
      <c r="I55" s="138">
        <f t="shared" si="9"/>
        <v>0</v>
      </c>
      <c r="J55" s="152">
        <f>+H55*H$25+I55</f>
        <v>0</v>
      </c>
      <c r="K55" s="140">
        <f t="shared" si="1"/>
        <v>0</v>
      </c>
      <c r="L55" s="138">
        <f t="shared" si="2"/>
        <v>0</v>
      </c>
      <c r="M55" s="152">
        <f>+K55*K$25+L55</f>
        <v>0</v>
      </c>
      <c r="N55" s="140">
        <v>0</v>
      </c>
      <c r="O55" s="138">
        <f t="shared" si="10"/>
        <v>0</v>
      </c>
      <c r="P55" s="152">
        <f>+N55*N$25+O55</f>
        <v>0</v>
      </c>
      <c r="Q55" s="149">
        <f t="shared" si="3"/>
        <v>0</v>
      </c>
      <c r="R55" s="216">
        <f>+Q55</f>
        <v>0</v>
      </c>
      <c r="S55" s="126"/>
      <c r="T55" s="1211">
        <f>R55-S54</f>
        <v>0</v>
      </c>
    </row>
    <row r="56" spans="1:20">
      <c r="A56" s="112">
        <f t="shared" si="11"/>
        <v>41</v>
      </c>
      <c r="B56" s="1285" t="str">
        <f t="shared" si="4"/>
        <v>2023W  9.8 % ROE</v>
      </c>
      <c r="C56" s="201" t="str">
        <f t="shared" si="6"/>
        <v>W  9.8 % ROE</v>
      </c>
      <c r="D56" s="137">
        <f t="shared" si="7"/>
        <v>2023</v>
      </c>
      <c r="E56" s="140">
        <f t="shared" si="8"/>
        <v>0</v>
      </c>
      <c r="F56" s="136">
        <f t="shared" si="5"/>
        <v>0</v>
      </c>
      <c r="G56" s="152">
        <f>+E56*E$24+F56</f>
        <v>0</v>
      </c>
      <c r="H56" s="140">
        <f>H55-(I55*0.5)</f>
        <v>0</v>
      </c>
      <c r="I56" s="138">
        <f t="shared" si="9"/>
        <v>0</v>
      </c>
      <c r="J56" s="152">
        <f>+H56*H$24+I56</f>
        <v>0</v>
      </c>
      <c r="K56" s="140">
        <f t="shared" si="1"/>
        <v>0</v>
      </c>
      <c r="L56" s="138">
        <f t="shared" si="2"/>
        <v>0</v>
      </c>
      <c r="M56" s="152">
        <f>+K56*K$24+L56</f>
        <v>0</v>
      </c>
      <c r="N56" s="140">
        <v>0</v>
      </c>
      <c r="O56" s="138">
        <f t="shared" si="10"/>
        <v>0</v>
      </c>
      <c r="P56" s="152">
        <f>+N56*N$24+O56</f>
        <v>0</v>
      </c>
      <c r="Q56" s="149">
        <f t="shared" si="3"/>
        <v>0</v>
      </c>
      <c r="R56" s="127"/>
      <c r="S56" s="139">
        <f>+Q56</f>
        <v>0</v>
      </c>
      <c r="T56" s="201"/>
    </row>
    <row r="57" spans="1:20">
      <c r="A57" s="112">
        <f t="shared" si="11"/>
        <v>42</v>
      </c>
      <c r="B57" s="1285" t="str">
        <f t="shared" si="4"/>
        <v>2023W Increased ROE</v>
      </c>
      <c r="C57" s="201" t="str">
        <f t="shared" si="6"/>
        <v>W Increased ROE</v>
      </c>
      <c r="D57" s="137">
        <f t="shared" si="7"/>
        <v>2023</v>
      </c>
      <c r="E57" s="140">
        <f t="shared" si="8"/>
        <v>0</v>
      </c>
      <c r="F57" s="136">
        <f t="shared" si="5"/>
        <v>0</v>
      </c>
      <c r="G57" s="152">
        <f>+E57*E$25+F57</f>
        <v>0</v>
      </c>
      <c r="H57" s="140">
        <f>H56</f>
        <v>0</v>
      </c>
      <c r="I57" s="138">
        <f t="shared" si="9"/>
        <v>0</v>
      </c>
      <c r="J57" s="152">
        <f>+H57*H$25+I57</f>
        <v>0</v>
      </c>
      <c r="K57" s="140">
        <f t="shared" si="1"/>
        <v>0</v>
      </c>
      <c r="L57" s="138">
        <f t="shared" si="2"/>
        <v>0</v>
      </c>
      <c r="M57" s="152">
        <f>+K57*K$25+L57</f>
        <v>0</v>
      </c>
      <c r="N57" s="140">
        <v>0</v>
      </c>
      <c r="O57" s="138">
        <f t="shared" si="10"/>
        <v>0</v>
      </c>
      <c r="P57" s="152">
        <f>+N57*N$25+O57</f>
        <v>0</v>
      </c>
      <c r="Q57" s="149">
        <f t="shared" si="3"/>
        <v>0</v>
      </c>
      <c r="R57" s="216">
        <f>+Q57</f>
        <v>0</v>
      </c>
      <c r="S57" s="126"/>
      <c r="T57" s="1211">
        <f>R57-S56</f>
        <v>0</v>
      </c>
    </row>
    <row r="58" spans="1:20">
      <c r="A58" s="112">
        <f t="shared" si="11"/>
        <v>43</v>
      </c>
      <c r="B58" s="1285" t="str">
        <f t="shared" si="4"/>
        <v>2024W  9.8 % ROE</v>
      </c>
      <c r="C58" s="201" t="str">
        <f t="shared" si="6"/>
        <v>W  9.8 % ROE</v>
      </c>
      <c r="D58" s="137">
        <f t="shared" si="7"/>
        <v>2024</v>
      </c>
      <c r="E58" s="140">
        <f t="shared" si="8"/>
        <v>0</v>
      </c>
      <c r="F58" s="136">
        <f t="shared" si="5"/>
        <v>0</v>
      </c>
      <c r="G58" s="152">
        <f>+E58*E$24+F58</f>
        <v>0</v>
      </c>
      <c r="H58" s="140">
        <f>H57-(I57*0.5)</f>
        <v>0</v>
      </c>
      <c r="I58" s="138">
        <f t="shared" si="9"/>
        <v>0</v>
      </c>
      <c r="J58" s="152">
        <f>+H58*H$24+I58</f>
        <v>0</v>
      </c>
      <c r="K58" s="140">
        <f t="shared" si="1"/>
        <v>0</v>
      </c>
      <c r="L58" s="138">
        <f t="shared" si="2"/>
        <v>0</v>
      </c>
      <c r="M58" s="152">
        <f>+K58*K$24+L58</f>
        <v>0</v>
      </c>
      <c r="N58" s="140">
        <v>0</v>
      </c>
      <c r="O58" s="138">
        <f t="shared" si="10"/>
        <v>0</v>
      </c>
      <c r="P58" s="152">
        <f>+N58*N$24+O58</f>
        <v>0</v>
      </c>
      <c r="Q58" s="149">
        <f t="shared" si="3"/>
        <v>0</v>
      </c>
      <c r="R58" s="127"/>
      <c r="S58" s="139">
        <f>+Q58</f>
        <v>0</v>
      </c>
      <c r="T58" s="201"/>
    </row>
    <row r="59" spans="1:20">
      <c r="A59" s="112">
        <f t="shared" si="11"/>
        <v>44</v>
      </c>
      <c r="B59" s="1285" t="str">
        <f t="shared" si="4"/>
        <v>2024W Increased ROE</v>
      </c>
      <c r="C59" s="201" t="str">
        <f t="shared" si="6"/>
        <v>W Increased ROE</v>
      </c>
      <c r="D59" s="137">
        <f t="shared" si="7"/>
        <v>2024</v>
      </c>
      <c r="E59" s="140">
        <f t="shared" si="8"/>
        <v>0</v>
      </c>
      <c r="F59" s="136">
        <f t="shared" si="5"/>
        <v>0</v>
      </c>
      <c r="G59" s="152">
        <f>+E59*E$25+F59</f>
        <v>0</v>
      </c>
      <c r="H59" s="140">
        <f>H58</f>
        <v>0</v>
      </c>
      <c r="I59" s="138">
        <f t="shared" si="9"/>
        <v>0</v>
      </c>
      <c r="J59" s="152">
        <f>+H59*H$25+I59</f>
        <v>0</v>
      </c>
      <c r="K59" s="140">
        <f t="shared" si="1"/>
        <v>0</v>
      </c>
      <c r="L59" s="138">
        <f t="shared" si="2"/>
        <v>0</v>
      </c>
      <c r="M59" s="152">
        <f>+K59*K$25+L59</f>
        <v>0</v>
      </c>
      <c r="N59" s="140">
        <v>0</v>
      </c>
      <c r="O59" s="138">
        <f t="shared" si="10"/>
        <v>0</v>
      </c>
      <c r="P59" s="152">
        <f>+N59*N$25+O59</f>
        <v>0</v>
      </c>
      <c r="Q59" s="149">
        <f t="shared" si="3"/>
        <v>0</v>
      </c>
      <c r="R59" s="216">
        <f>+Q59</f>
        <v>0</v>
      </c>
      <c r="S59" s="126"/>
      <c r="T59" s="1211">
        <f>R59-S58</f>
        <v>0</v>
      </c>
    </row>
    <row r="60" spans="1:20">
      <c r="A60" s="112">
        <f t="shared" si="11"/>
        <v>45</v>
      </c>
      <c r="B60" s="1285" t="str">
        <f t="shared" si="4"/>
        <v>2025W  9.8 % ROE</v>
      </c>
      <c r="C60" s="201" t="str">
        <f t="shared" si="6"/>
        <v>W  9.8 % ROE</v>
      </c>
      <c r="D60" s="137">
        <f t="shared" si="7"/>
        <v>2025</v>
      </c>
      <c r="E60" s="140">
        <f t="shared" si="8"/>
        <v>0</v>
      </c>
      <c r="F60" s="136">
        <f t="shared" si="5"/>
        <v>0</v>
      </c>
      <c r="G60" s="152">
        <f>+E60*E$24+F60</f>
        <v>0</v>
      </c>
      <c r="H60" s="140">
        <f>H59-(I59*0.5)</f>
        <v>0</v>
      </c>
      <c r="I60" s="138">
        <f t="shared" si="9"/>
        <v>0</v>
      </c>
      <c r="J60" s="152">
        <f>+H60*H$24+I60</f>
        <v>0</v>
      </c>
      <c r="K60" s="140">
        <f t="shared" si="1"/>
        <v>0</v>
      </c>
      <c r="L60" s="138">
        <f t="shared" si="2"/>
        <v>0</v>
      </c>
      <c r="M60" s="152">
        <f>+K60*K$24+L60</f>
        <v>0</v>
      </c>
      <c r="N60" s="140">
        <v>0</v>
      </c>
      <c r="O60" s="138">
        <f t="shared" si="10"/>
        <v>0</v>
      </c>
      <c r="P60" s="152">
        <f>+N60*N$24+O60</f>
        <v>0</v>
      </c>
      <c r="Q60" s="149">
        <f t="shared" si="3"/>
        <v>0</v>
      </c>
      <c r="R60" s="127"/>
      <c r="S60" s="139">
        <f>+Q60</f>
        <v>0</v>
      </c>
      <c r="T60" s="201"/>
    </row>
    <row r="61" spans="1:20">
      <c r="A61" s="112">
        <f t="shared" si="11"/>
        <v>46</v>
      </c>
      <c r="B61" s="1285" t="str">
        <f t="shared" si="4"/>
        <v>2025W Increased ROE</v>
      </c>
      <c r="C61" s="201" t="str">
        <f t="shared" si="6"/>
        <v>W Increased ROE</v>
      </c>
      <c r="D61" s="137">
        <f t="shared" si="7"/>
        <v>2025</v>
      </c>
      <c r="E61" s="140">
        <f t="shared" si="8"/>
        <v>0</v>
      </c>
      <c r="F61" s="136">
        <f t="shared" si="5"/>
        <v>0</v>
      </c>
      <c r="G61" s="152">
        <f>+E61*E$25+F61</f>
        <v>0</v>
      </c>
      <c r="H61" s="140">
        <f>H60</f>
        <v>0</v>
      </c>
      <c r="I61" s="138">
        <f t="shared" si="9"/>
        <v>0</v>
      </c>
      <c r="J61" s="152">
        <f>+H61*H$25+I61</f>
        <v>0</v>
      </c>
      <c r="K61" s="140">
        <f t="shared" si="1"/>
        <v>0</v>
      </c>
      <c r="L61" s="138">
        <f t="shared" si="2"/>
        <v>0</v>
      </c>
      <c r="M61" s="152">
        <f>+K61*K$25+L61</f>
        <v>0</v>
      </c>
      <c r="N61" s="140">
        <v>0</v>
      </c>
      <c r="O61" s="138">
        <f t="shared" si="10"/>
        <v>0</v>
      </c>
      <c r="P61" s="152">
        <f>+N61*N$25+O61</f>
        <v>0</v>
      </c>
      <c r="Q61" s="149">
        <f t="shared" si="3"/>
        <v>0</v>
      </c>
      <c r="R61" s="216">
        <f>+Q61</f>
        <v>0</v>
      </c>
      <c r="S61" s="126"/>
      <c r="T61" s="1211">
        <f>R61-S60</f>
        <v>0</v>
      </c>
    </row>
    <row r="62" spans="1:20">
      <c r="A62" s="112">
        <f t="shared" si="11"/>
        <v>47</v>
      </c>
      <c r="B62" s="1285" t="str">
        <f t="shared" si="4"/>
        <v>2026W  9.8 % ROE</v>
      </c>
      <c r="C62" s="201" t="str">
        <f t="shared" si="6"/>
        <v>W  9.8 % ROE</v>
      </c>
      <c r="D62" s="137">
        <f t="shared" si="7"/>
        <v>2026</v>
      </c>
      <c r="E62" s="140">
        <f t="shared" si="8"/>
        <v>0</v>
      </c>
      <c r="F62" s="136">
        <f t="shared" si="5"/>
        <v>0</v>
      </c>
      <c r="G62" s="152">
        <f>+E62*E$24+F62</f>
        <v>0</v>
      </c>
      <c r="H62" s="140">
        <f>H61-(I61*0.5)</f>
        <v>0</v>
      </c>
      <c r="I62" s="138">
        <f t="shared" si="9"/>
        <v>0</v>
      </c>
      <c r="J62" s="152">
        <f>+H62*H$24+I62</f>
        <v>0</v>
      </c>
      <c r="K62" s="140">
        <f t="shared" si="1"/>
        <v>0</v>
      </c>
      <c r="L62" s="138">
        <f t="shared" si="2"/>
        <v>0</v>
      </c>
      <c r="M62" s="152">
        <f>+K62*K$24+L62</f>
        <v>0</v>
      </c>
      <c r="N62" s="140">
        <v>0</v>
      </c>
      <c r="O62" s="138">
        <f t="shared" si="10"/>
        <v>0</v>
      </c>
      <c r="P62" s="152">
        <f>+N62*N$24+O62</f>
        <v>0</v>
      </c>
      <c r="Q62" s="149">
        <f t="shared" si="3"/>
        <v>0</v>
      </c>
      <c r="R62" s="127"/>
      <c r="S62" s="139">
        <f>+Q62</f>
        <v>0</v>
      </c>
      <c r="T62" s="201"/>
    </row>
    <row r="63" spans="1:20">
      <c r="A63" s="112">
        <f t="shared" si="11"/>
        <v>48</v>
      </c>
      <c r="B63" s="1285" t="str">
        <f t="shared" si="4"/>
        <v>2026W Increased ROE</v>
      </c>
      <c r="C63" s="201" t="str">
        <f t="shared" si="6"/>
        <v>W Increased ROE</v>
      </c>
      <c r="D63" s="137">
        <f t="shared" si="7"/>
        <v>2026</v>
      </c>
      <c r="E63" s="140">
        <f t="shared" si="8"/>
        <v>0</v>
      </c>
      <c r="F63" s="136">
        <f t="shared" si="5"/>
        <v>0</v>
      </c>
      <c r="G63" s="152">
        <f>+E63*E$25+F63</f>
        <v>0</v>
      </c>
      <c r="H63" s="140">
        <f>H62</f>
        <v>0</v>
      </c>
      <c r="I63" s="138">
        <f t="shared" si="9"/>
        <v>0</v>
      </c>
      <c r="J63" s="152">
        <f>+H63*H$25+I63</f>
        <v>0</v>
      </c>
      <c r="K63" s="140">
        <f t="shared" si="1"/>
        <v>0</v>
      </c>
      <c r="L63" s="138">
        <f t="shared" si="2"/>
        <v>0</v>
      </c>
      <c r="M63" s="152">
        <f>+K63*K$25+L63</f>
        <v>0</v>
      </c>
      <c r="N63" s="140">
        <v>0</v>
      </c>
      <c r="O63" s="138">
        <f t="shared" si="10"/>
        <v>0</v>
      </c>
      <c r="P63" s="152">
        <f>+N63*N$25+O63</f>
        <v>0</v>
      </c>
      <c r="Q63" s="149">
        <f t="shared" si="3"/>
        <v>0</v>
      </c>
      <c r="R63" s="216">
        <f>+Q63</f>
        <v>0</v>
      </c>
      <c r="S63" s="126"/>
      <c r="T63" s="1211">
        <f>R63-S62</f>
        <v>0</v>
      </c>
    </row>
    <row r="64" spans="1:20">
      <c r="A64" s="112">
        <f t="shared" si="11"/>
        <v>49</v>
      </c>
      <c r="B64" s="1285" t="str">
        <f t="shared" si="4"/>
        <v>2027W  9.8 % ROE</v>
      </c>
      <c r="C64" s="201" t="str">
        <f t="shared" si="6"/>
        <v>W  9.8 % ROE</v>
      </c>
      <c r="D64" s="137">
        <f t="shared" si="7"/>
        <v>2027</v>
      </c>
      <c r="E64" s="140">
        <f t="shared" si="8"/>
        <v>0</v>
      </c>
      <c r="F64" s="136">
        <f t="shared" si="5"/>
        <v>0</v>
      </c>
      <c r="G64" s="152">
        <f>+E64*E$24+F64</f>
        <v>0</v>
      </c>
      <c r="H64" s="140">
        <f>H63-(I63*0.5)</f>
        <v>0</v>
      </c>
      <c r="I64" s="138">
        <f t="shared" si="9"/>
        <v>0</v>
      </c>
      <c r="J64" s="152">
        <f>+H64*H$24+I64</f>
        <v>0</v>
      </c>
      <c r="K64" s="140">
        <f t="shared" si="1"/>
        <v>0</v>
      </c>
      <c r="L64" s="138">
        <f t="shared" si="2"/>
        <v>0</v>
      </c>
      <c r="M64" s="152">
        <f>+K64*K$24+L64</f>
        <v>0</v>
      </c>
      <c r="N64" s="140">
        <v>0</v>
      </c>
      <c r="O64" s="138">
        <f t="shared" si="10"/>
        <v>0</v>
      </c>
      <c r="P64" s="152">
        <f>+N64*N$24+O64</f>
        <v>0</v>
      </c>
      <c r="Q64" s="149">
        <f t="shared" si="3"/>
        <v>0</v>
      </c>
      <c r="R64" s="127"/>
      <c r="S64" s="139">
        <f>+Q64</f>
        <v>0</v>
      </c>
      <c r="T64" s="201"/>
    </row>
    <row r="65" spans="1:20">
      <c r="A65" s="112">
        <f t="shared" si="11"/>
        <v>50</v>
      </c>
      <c r="B65" s="1285" t="str">
        <f t="shared" si="4"/>
        <v>2027W Increased ROE</v>
      </c>
      <c r="C65" s="201" t="str">
        <f t="shared" si="6"/>
        <v>W Increased ROE</v>
      </c>
      <c r="D65" s="137">
        <f t="shared" si="7"/>
        <v>2027</v>
      </c>
      <c r="E65" s="140">
        <f t="shared" si="8"/>
        <v>0</v>
      </c>
      <c r="F65" s="136">
        <f t="shared" si="5"/>
        <v>0</v>
      </c>
      <c r="G65" s="152">
        <f>+E65*E$25+F65</f>
        <v>0</v>
      </c>
      <c r="H65" s="140">
        <f>H64</f>
        <v>0</v>
      </c>
      <c r="I65" s="138">
        <f t="shared" si="9"/>
        <v>0</v>
      </c>
      <c r="J65" s="152">
        <f>+H65*H$25+I65</f>
        <v>0</v>
      </c>
      <c r="K65" s="140">
        <f t="shared" si="1"/>
        <v>0</v>
      </c>
      <c r="L65" s="138">
        <f t="shared" si="2"/>
        <v>0</v>
      </c>
      <c r="M65" s="152">
        <f>+K65*K$25+L65</f>
        <v>0</v>
      </c>
      <c r="N65" s="140">
        <v>0</v>
      </c>
      <c r="O65" s="138">
        <f t="shared" si="10"/>
        <v>0</v>
      </c>
      <c r="P65" s="152">
        <f>+N65*N$25+O65</f>
        <v>0</v>
      </c>
      <c r="Q65" s="149">
        <f t="shared" si="3"/>
        <v>0</v>
      </c>
      <c r="R65" s="216">
        <f>+Q65</f>
        <v>0</v>
      </c>
      <c r="S65" s="126"/>
      <c r="T65" s="1211">
        <f>R65-S64</f>
        <v>0</v>
      </c>
    </row>
    <row r="66" spans="1:20">
      <c r="A66" s="112">
        <f t="shared" si="11"/>
        <v>51</v>
      </c>
      <c r="B66" s="1285" t="str">
        <f t="shared" si="4"/>
        <v>2028W  9.8 % ROE</v>
      </c>
      <c r="C66" s="201" t="str">
        <f t="shared" si="6"/>
        <v>W  9.8 % ROE</v>
      </c>
      <c r="D66" s="137">
        <f t="shared" si="7"/>
        <v>2028</v>
      </c>
      <c r="E66" s="140">
        <f t="shared" si="8"/>
        <v>0</v>
      </c>
      <c r="F66" s="136">
        <f t="shared" si="5"/>
        <v>0</v>
      </c>
      <c r="G66" s="152">
        <f>+E66*E$24+F66</f>
        <v>0</v>
      </c>
      <c r="H66" s="140">
        <f>H65-(I65*0.5)</f>
        <v>0</v>
      </c>
      <c r="I66" s="138">
        <f t="shared" si="9"/>
        <v>0</v>
      </c>
      <c r="J66" s="152">
        <f>+H66*H$24+I66</f>
        <v>0</v>
      </c>
      <c r="K66" s="140">
        <f t="shared" si="1"/>
        <v>0</v>
      </c>
      <c r="L66" s="138">
        <f t="shared" si="2"/>
        <v>0</v>
      </c>
      <c r="M66" s="152">
        <f>+K66*K$24+L66</f>
        <v>0</v>
      </c>
      <c r="N66" s="140">
        <v>0</v>
      </c>
      <c r="O66" s="138">
        <f t="shared" si="10"/>
        <v>0</v>
      </c>
      <c r="P66" s="152">
        <f>+N66*N$24+O66</f>
        <v>0</v>
      </c>
      <c r="Q66" s="149">
        <f t="shared" si="3"/>
        <v>0</v>
      </c>
      <c r="R66" s="127"/>
      <c r="S66" s="139">
        <f>+Q66</f>
        <v>0</v>
      </c>
      <c r="T66" s="201"/>
    </row>
    <row r="67" spans="1:20">
      <c r="A67" s="112">
        <f t="shared" si="11"/>
        <v>52</v>
      </c>
      <c r="B67" s="1285" t="str">
        <f t="shared" si="4"/>
        <v>2028W Increased ROE</v>
      </c>
      <c r="C67" s="201" t="str">
        <f t="shared" si="6"/>
        <v>W Increased ROE</v>
      </c>
      <c r="D67" s="137">
        <f t="shared" si="7"/>
        <v>2028</v>
      </c>
      <c r="E67" s="140">
        <f t="shared" si="8"/>
        <v>0</v>
      </c>
      <c r="F67" s="136">
        <f t="shared" si="5"/>
        <v>0</v>
      </c>
      <c r="G67" s="152">
        <f>+E67*E$25+F67</f>
        <v>0</v>
      </c>
      <c r="H67" s="140">
        <f>H66</f>
        <v>0</v>
      </c>
      <c r="I67" s="138">
        <f t="shared" si="9"/>
        <v>0</v>
      </c>
      <c r="J67" s="152">
        <f>+H67*H$25+I67</f>
        <v>0</v>
      </c>
      <c r="K67" s="140">
        <f t="shared" si="1"/>
        <v>0</v>
      </c>
      <c r="L67" s="138">
        <f t="shared" si="2"/>
        <v>0</v>
      </c>
      <c r="M67" s="152">
        <f>+K67*K$25+L67</f>
        <v>0</v>
      </c>
      <c r="N67" s="140">
        <v>0</v>
      </c>
      <c r="O67" s="138">
        <f t="shared" si="10"/>
        <v>0</v>
      </c>
      <c r="P67" s="152">
        <f>+N67*N$25+O67</f>
        <v>0</v>
      </c>
      <c r="Q67" s="149">
        <f t="shared" si="3"/>
        <v>0</v>
      </c>
      <c r="R67" s="216">
        <f>+Q67</f>
        <v>0</v>
      </c>
      <c r="S67" s="126"/>
      <c r="T67" s="1211">
        <f>R67-S66</f>
        <v>0</v>
      </c>
    </row>
    <row r="68" spans="1:20">
      <c r="A68" s="112">
        <f t="shared" si="11"/>
        <v>53</v>
      </c>
      <c r="B68" s="1285" t="str">
        <f t="shared" si="4"/>
        <v>2029W  9.8 % ROE</v>
      </c>
      <c r="C68" s="201" t="str">
        <f t="shared" si="6"/>
        <v>W  9.8 % ROE</v>
      </c>
      <c r="D68" s="137">
        <f t="shared" si="7"/>
        <v>2029</v>
      </c>
      <c r="E68" s="140">
        <f t="shared" si="8"/>
        <v>0</v>
      </c>
      <c r="F68" s="136">
        <f t="shared" si="5"/>
        <v>0</v>
      </c>
      <c r="G68" s="152">
        <f>+E68*E$24+F68</f>
        <v>0</v>
      </c>
      <c r="H68" s="140">
        <f>H67-(I67*0.5)</f>
        <v>0</v>
      </c>
      <c r="I68" s="138">
        <f t="shared" si="9"/>
        <v>0</v>
      </c>
      <c r="J68" s="152">
        <f>+H68*H$24+I68</f>
        <v>0</v>
      </c>
      <c r="K68" s="140">
        <f t="shared" si="1"/>
        <v>0</v>
      </c>
      <c r="L68" s="138">
        <f t="shared" si="2"/>
        <v>0</v>
      </c>
      <c r="M68" s="152">
        <f>+K68*K$24+L68</f>
        <v>0</v>
      </c>
      <c r="N68" s="140">
        <v>0</v>
      </c>
      <c r="O68" s="138">
        <f t="shared" si="10"/>
        <v>0</v>
      </c>
      <c r="P68" s="152">
        <f>+N68*N$24+O68</f>
        <v>0</v>
      </c>
      <c r="Q68" s="149">
        <f t="shared" si="3"/>
        <v>0</v>
      </c>
      <c r="R68" s="127"/>
      <c r="S68" s="139">
        <f>+Q68</f>
        <v>0</v>
      </c>
      <c r="T68" s="201"/>
    </row>
    <row r="69" spans="1:20">
      <c r="A69" s="112">
        <f t="shared" si="11"/>
        <v>54</v>
      </c>
      <c r="B69" s="1285" t="str">
        <f t="shared" si="4"/>
        <v>2029W Increased ROE</v>
      </c>
      <c r="C69" s="201" t="str">
        <f t="shared" si="6"/>
        <v>W Increased ROE</v>
      </c>
      <c r="D69" s="137">
        <f t="shared" si="7"/>
        <v>2029</v>
      </c>
      <c r="E69" s="140">
        <f t="shared" si="8"/>
        <v>0</v>
      </c>
      <c r="F69" s="136">
        <f t="shared" si="5"/>
        <v>0</v>
      </c>
      <c r="G69" s="152">
        <f>+E69*E$25+F69</f>
        <v>0</v>
      </c>
      <c r="H69" s="140">
        <f>H68</f>
        <v>0</v>
      </c>
      <c r="I69" s="138">
        <f t="shared" si="9"/>
        <v>0</v>
      </c>
      <c r="J69" s="152">
        <f>+H69*H$25+I69</f>
        <v>0</v>
      </c>
      <c r="K69" s="140">
        <f t="shared" si="1"/>
        <v>0</v>
      </c>
      <c r="L69" s="138">
        <f t="shared" si="2"/>
        <v>0</v>
      </c>
      <c r="M69" s="152">
        <f>+K69*K$25+L69</f>
        <v>0</v>
      </c>
      <c r="N69" s="140">
        <v>0</v>
      </c>
      <c r="O69" s="138">
        <f t="shared" si="10"/>
        <v>0</v>
      </c>
      <c r="P69" s="152">
        <f>+N69*N$25+O69</f>
        <v>0</v>
      </c>
      <c r="Q69" s="149">
        <f t="shared" si="3"/>
        <v>0</v>
      </c>
      <c r="R69" s="216">
        <f>+Q69</f>
        <v>0</v>
      </c>
      <c r="S69" s="126"/>
      <c r="T69" s="1211">
        <f>R69-S68</f>
        <v>0</v>
      </c>
    </row>
    <row r="70" spans="1:20">
      <c r="A70" s="112">
        <f t="shared" si="11"/>
        <v>55</v>
      </c>
      <c r="C70" s="201"/>
      <c r="D70" s="141" t="s">
        <v>95</v>
      </c>
      <c r="E70" s="178"/>
      <c r="F70" s="142"/>
      <c r="G70" s="142"/>
      <c r="H70" s="140">
        <v>0</v>
      </c>
      <c r="I70" s="138">
        <f>+I69</f>
        <v>0</v>
      </c>
      <c r="J70" s="135"/>
      <c r="K70" s="140">
        <f t="shared" si="1"/>
        <v>0</v>
      </c>
      <c r="L70" s="138">
        <f t="shared" si="2"/>
        <v>0</v>
      </c>
      <c r="M70" s="143" t="s">
        <v>95</v>
      </c>
      <c r="N70" s="140">
        <v>0</v>
      </c>
      <c r="O70" s="138">
        <f t="shared" si="10"/>
        <v>0</v>
      </c>
      <c r="P70" s="136"/>
      <c r="Q70" s="149"/>
      <c r="R70" s="127"/>
      <c r="S70" s="139">
        <f>+Q70</f>
        <v>0</v>
      </c>
      <c r="T70" s="201"/>
    </row>
    <row r="71" spans="1:20" ht="13.5" thickBot="1">
      <c r="A71" s="112">
        <f t="shared" si="11"/>
        <v>56</v>
      </c>
      <c r="C71" s="203"/>
      <c r="D71" s="144" t="s">
        <v>95</v>
      </c>
      <c r="E71" s="179"/>
      <c r="F71" s="1199"/>
      <c r="G71" s="1199"/>
      <c r="H71" s="1200">
        <v>0</v>
      </c>
      <c r="I71" s="1199" t="s">
        <v>96</v>
      </c>
      <c r="J71" s="428"/>
      <c r="K71" s="1200">
        <v>0</v>
      </c>
      <c r="L71" s="1199" t="s">
        <v>96</v>
      </c>
      <c r="M71" s="145" t="s">
        <v>95</v>
      </c>
      <c r="N71" s="1200">
        <v>0</v>
      </c>
      <c r="O71" s="1199" t="s">
        <v>96</v>
      </c>
      <c r="P71" s="428"/>
      <c r="Q71" s="150"/>
      <c r="R71" s="217">
        <f>+Q71</f>
        <v>0</v>
      </c>
      <c r="S71" s="128"/>
      <c r="T71" s="1212">
        <f>R71-S70</f>
        <v>0</v>
      </c>
    </row>
    <row r="72" spans="1:20">
      <c r="C72" s="115"/>
      <c r="D72" s="146"/>
      <c r="E72" s="146"/>
      <c r="F72" s="115"/>
      <c r="G72" s="115"/>
      <c r="H72" s="115"/>
      <c r="I72" s="115"/>
      <c r="J72" s="115"/>
      <c r="K72" s="115"/>
      <c r="L72" s="115"/>
      <c r="M72" s="147"/>
      <c r="N72" s="115"/>
      <c r="O72" s="115"/>
      <c r="P72" s="115"/>
      <c r="Q72" s="115"/>
      <c r="R72" s="148"/>
      <c r="S72" s="148"/>
    </row>
    <row r="73" spans="1:20" s="462" customFormat="1">
      <c r="A73" s="112"/>
      <c r="B73" s="161"/>
      <c r="C73" s="115"/>
      <c r="D73" s="146"/>
      <c r="E73" s="146"/>
      <c r="F73" s="115"/>
      <c r="G73" s="115"/>
      <c r="H73" s="115"/>
      <c r="I73" s="115"/>
      <c r="J73" s="115"/>
      <c r="K73" s="115"/>
      <c r="L73" s="115"/>
      <c r="M73" s="147"/>
      <c r="N73" s="115"/>
      <c r="O73" s="115"/>
      <c r="P73" s="115"/>
      <c r="Q73" s="115"/>
      <c r="R73" s="148"/>
      <c r="S73" s="148"/>
    </row>
    <row r="299" spans="3:10">
      <c r="C299" s="156"/>
      <c r="D299" s="155"/>
      <c r="E299" s="155"/>
      <c r="F299" s="156"/>
      <c r="G299" s="156"/>
      <c r="H299" s="156"/>
      <c r="I299" s="156"/>
      <c r="J299" s="156"/>
    </row>
    <row r="300" spans="3:10">
      <c r="C300" s="156"/>
      <c r="D300" s="155"/>
      <c r="E300" s="155"/>
      <c r="F300" s="156"/>
      <c r="G300" s="156"/>
      <c r="H300" s="156"/>
      <c r="I300" s="156"/>
      <c r="J300" s="156"/>
    </row>
    <row r="301" spans="3:10">
      <c r="C301" s="156"/>
      <c r="D301" s="155"/>
      <c r="E301" s="155"/>
      <c r="F301" s="156"/>
      <c r="G301" s="156"/>
      <c r="H301" s="156"/>
      <c r="I301" s="156"/>
      <c r="J301" s="156"/>
    </row>
    <row r="302" spans="3:10">
      <c r="C302" s="156"/>
      <c r="D302" s="155"/>
      <c r="E302" s="155"/>
      <c r="F302" s="156"/>
      <c r="G302" s="156"/>
      <c r="H302" s="156"/>
      <c r="I302" s="156"/>
      <c r="J302" s="156"/>
    </row>
    <row r="303" spans="3:10">
      <c r="C303" s="156"/>
      <c r="D303" s="155"/>
      <c r="E303" s="155"/>
      <c r="F303" s="156"/>
      <c r="G303" s="156"/>
      <c r="H303" s="156"/>
      <c r="I303" s="156"/>
      <c r="J303" s="156"/>
    </row>
    <row r="304" spans="3:10">
      <c r="C304" s="156"/>
      <c r="D304" s="155"/>
      <c r="E304" s="155"/>
      <c r="F304" s="156"/>
      <c r="G304" s="156"/>
      <c r="H304" s="156"/>
      <c r="I304" s="156"/>
      <c r="J304" s="156"/>
    </row>
    <row r="305" spans="3:10">
      <c r="C305" s="156"/>
      <c r="D305" s="155"/>
      <c r="E305" s="155"/>
      <c r="F305" s="156"/>
      <c r="G305" s="156"/>
      <c r="H305" s="156"/>
      <c r="I305" s="156"/>
      <c r="J305" s="156"/>
    </row>
    <row r="306" spans="3:10">
      <c r="C306" s="156"/>
      <c r="D306" s="155"/>
      <c r="E306" s="155"/>
      <c r="F306" s="156"/>
      <c r="G306" s="156"/>
      <c r="H306" s="156"/>
      <c r="I306" s="156"/>
      <c r="J306" s="156"/>
    </row>
    <row r="307" spans="3:10">
      <c r="C307" s="156"/>
      <c r="D307" s="155"/>
      <c r="E307" s="155"/>
      <c r="F307" s="156"/>
      <c r="G307" s="156"/>
      <c r="H307" s="156"/>
      <c r="I307" s="156"/>
      <c r="J307" s="156"/>
    </row>
  </sheetData>
  <mergeCells count="4">
    <mergeCell ref="E20:G20"/>
    <mergeCell ref="K20:M20"/>
    <mergeCell ref="N20:P20"/>
    <mergeCell ref="H20:J20"/>
  </mergeCells>
  <phoneticPr fontId="0" type="noConversion"/>
  <pageMargins left="0.5" right="0.5" top="1" bottom="0.5" header="0.22" footer="0.18"/>
  <pageSetup scale="40" pageOrder="overThenDown"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54"/>
  <sheetViews>
    <sheetView zoomScale="85" zoomScaleNormal="85" workbookViewId="0"/>
  </sheetViews>
  <sheetFormatPr defaultColWidth="9.140625" defaultRowHeight="12.75"/>
  <cols>
    <col min="1" max="1" width="2.42578125" style="338" customWidth="1"/>
    <col min="2" max="2" width="5.140625" style="338" customWidth="1"/>
    <col min="3" max="3" width="6.5703125" style="338" customWidth="1"/>
    <col min="4" max="4" width="52.28515625" style="338" customWidth="1"/>
    <col min="5" max="5" width="16.42578125" style="338" customWidth="1"/>
    <col min="6" max="6" width="6.7109375" style="338" customWidth="1"/>
    <col min="7" max="7" width="0.85546875" style="338" customWidth="1"/>
    <col min="8" max="8" width="16.42578125" style="338" customWidth="1"/>
    <col min="9" max="9" width="6.7109375" style="338" bestFit="1" customWidth="1"/>
    <col min="10" max="10" width="0.85546875" style="338" customWidth="1"/>
    <col min="11" max="11" width="16.42578125" style="338" customWidth="1"/>
    <col min="12" max="12" width="6.7109375" style="338" bestFit="1" customWidth="1"/>
    <col min="13" max="13" width="0.85546875" style="338" customWidth="1"/>
    <col min="14" max="14" width="16.42578125" style="338" customWidth="1"/>
    <col min="15" max="15" width="6.7109375" style="338" bestFit="1" customWidth="1"/>
    <col min="16" max="16" width="0.85546875" style="338" customWidth="1"/>
    <col min="17" max="17" width="16.42578125" style="338" customWidth="1"/>
    <col min="18" max="18" width="6.7109375" style="338" bestFit="1" customWidth="1"/>
    <col min="19" max="19" width="0.85546875" style="338" customWidth="1"/>
    <col min="20" max="20" width="16.42578125" style="338" customWidth="1"/>
    <col min="21" max="21" width="6.7109375" style="338" bestFit="1" customWidth="1"/>
    <col min="22" max="22" width="0.85546875" style="338" customWidth="1"/>
    <col min="23" max="23" width="16.42578125" style="338" customWidth="1"/>
    <col min="24" max="24" width="6.7109375" style="338" bestFit="1" customWidth="1"/>
    <col min="25" max="25" width="0.85546875" style="338" customWidth="1"/>
    <col min="26" max="26" width="13.28515625" style="338" customWidth="1"/>
    <col min="27" max="27" width="3" style="338" customWidth="1"/>
    <col min="28" max="16384" width="9.140625" style="338"/>
  </cols>
  <sheetData>
    <row r="1" spans="1:28" ht="15.75">
      <c r="A1" s="369" t="s">
        <v>365</v>
      </c>
      <c r="B1" s="369"/>
      <c r="C1" s="369"/>
      <c r="D1" s="369"/>
      <c r="E1" s="369"/>
      <c r="F1" s="369"/>
      <c r="G1" s="369"/>
      <c r="H1" s="369"/>
      <c r="I1" s="369"/>
      <c r="J1" s="369"/>
      <c r="K1" s="369"/>
      <c r="L1" s="369"/>
      <c r="M1" s="369"/>
      <c r="N1" s="369"/>
      <c r="O1" s="369"/>
      <c r="P1" s="369"/>
      <c r="Q1" s="369"/>
      <c r="R1" s="369"/>
      <c r="S1" s="369"/>
      <c r="T1" s="369"/>
      <c r="U1" s="369"/>
      <c r="V1" s="369"/>
      <c r="W1" s="369"/>
      <c r="X1" s="369"/>
      <c r="Y1" s="369"/>
      <c r="Z1" s="412"/>
      <c r="AA1" s="350"/>
    </row>
    <row r="2" spans="1:28" ht="15.75">
      <c r="A2" s="369" t="s">
        <v>471</v>
      </c>
      <c r="B2" s="369"/>
      <c r="C2" s="369"/>
      <c r="D2" s="369"/>
      <c r="E2" s="369"/>
      <c r="F2" s="369"/>
      <c r="G2" s="369"/>
      <c r="H2" s="369"/>
      <c r="I2" s="369"/>
      <c r="J2" s="369"/>
      <c r="K2" s="369"/>
      <c r="L2" s="369"/>
      <c r="M2" s="369"/>
      <c r="N2" s="369"/>
      <c r="O2" s="369"/>
      <c r="P2" s="369"/>
      <c r="Q2" s="369"/>
      <c r="R2" s="369"/>
      <c r="S2" s="369"/>
      <c r="T2" s="369"/>
      <c r="U2" s="369"/>
      <c r="V2" s="369"/>
      <c r="W2" s="369"/>
      <c r="X2" s="369"/>
      <c r="Y2" s="369"/>
      <c r="Z2" s="369"/>
      <c r="AA2" s="350"/>
    </row>
    <row r="3" spans="1:28">
      <c r="A3" s="370"/>
      <c r="B3" s="370"/>
      <c r="C3" s="370"/>
      <c r="D3" s="370"/>
      <c r="E3" s="370"/>
      <c r="F3" s="370"/>
      <c r="G3" s="370"/>
      <c r="H3" s="370"/>
      <c r="I3" s="370"/>
      <c r="J3" s="370"/>
      <c r="K3" s="370"/>
      <c r="L3" s="370"/>
      <c r="M3" s="370"/>
      <c r="N3" s="370"/>
      <c r="O3" s="370"/>
      <c r="P3" s="370"/>
      <c r="Q3" s="370"/>
      <c r="R3" s="370"/>
      <c r="S3" s="370"/>
      <c r="T3" s="370"/>
      <c r="U3" s="370"/>
      <c r="V3" s="370"/>
      <c r="W3" s="370"/>
      <c r="X3" s="370"/>
      <c r="Y3" s="370"/>
      <c r="Z3" s="350"/>
      <c r="AA3" s="350"/>
    </row>
    <row r="4" spans="1:28" ht="15.75">
      <c r="A4" s="369" t="s">
        <v>2088</v>
      </c>
      <c r="B4" s="369"/>
      <c r="C4" s="369"/>
      <c r="D4" s="369"/>
      <c r="E4" s="369"/>
      <c r="F4" s="369"/>
      <c r="G4" s="369"/>
      <c r="H4" s="369"/>
      <c r="I4" s="369"/>
      <c r="J4" s="369"/>
      <c r="K4" s="369"/>
      <c r="L4" s="369"/>
      <c r="M4" s="369"/>
      <c r="N4" s="369"/>
      <c r="O4" s="369"/>
      <c r="P4" s="369"/>
      <c r="Q4" s="369"/>
      <c r="R4" s="369"/>
      <c r="S4" s="369"/>
      <c r="T4" s="369"/>
      <c r="U4" s="369"/>
      <c r="V4" s="369"/>
      <c r="W4" s="369"/>
      <c r="X4" s="369"/>
      <c r="Y4" s="369"/>
      <c r="Z4" s="412"/>
      <c r="AA4" s="350"/>
    </row>
    <row r="5" spans="1:28">
      <c r="A5" s="370"/>
      <c r="B5" s="370"/>
      <c r="C5" s="370"/>
      <c r="D5" s="370"/>
      <c r="E5" s="370"/>
      <c r="F5" s="370"/>
      <c r="G5" s="370"/>
      <c r="H5" s="370"/>
      <c r="I5" s="370"/>
      <c r="J5" s="370"/>
      <c r="K5" s="370"/>
      <c r="L5" s="370"/>
      <c r="M5" s="370"/>
      <c r="N5" s="370"/>
      <c r="O5" s="370"/>
      <c r="P5" s="370"/>
      <c r="Q5" s="370"/>
      <c r="R5" s="370"/>
      <c r="S5" s="370"/>
      <c r="T5" s="370"/>
      <c r="U5" s="370"/>
      <c r="V5" s="370"/>
      <c r="W5" s="370"/>
      <c r="X5" s="370"/>
      <c r="Y5" s="370"/>
      <c r="Z5" s="350"/>
      <c r="AA5" s="350"/>
    </row>
    <row r="6" spans="1:28" s="350" customFormat="1" ht="13.5" thickBot="1">
      <c r="A6" s="412"/>
      <c r="B6" s="1513"/>
      <c r="C6" s="1513"/>
      <c r="D6" s="1513"/>
      <c r="E6" s="412"/>
      <c r="F6" s="412"/>
      <c r="G6" s="412"/>
      <c r="H6" s="412"/>
      <c r="I6" s="412"/>
      <c r="J6" s="412"/>
      <c r="K6" s="412"/>
      <c r="L6" s="412"/>
      <c r="M6" s="412"/>
      <c r="N6" s="412"/>
      <c r="O6" s="412"/>
      <c r="P6" s="412"/>
      <c r="Q6" s="412"/>
      <c r="R6" s="412"/>
      <c r="S6" s="412"/>
      <c r="T6" s="412"/>
      <c r="U6" s="412"/>
      <c r="V6" s="412"/>
      <c r="W6" s="412"/>
      <c r="X6" s="412"/>
      <c r="Y6" s="412"/>
      <c r="Z6" s="412"/>
    </row>
    <row r="7" spans="1:28" s="350" customFormat="1" ht="13.5" thickBot="1">
      <c r="B7" s="1503"/>
      <c r="C7" s="1503"/>
      <c r="D7" s="1503"/>
      <c r="E7" s="2709" t="s">
        <v>458</v>
      </c>
      <c r="F7" s="2710"/>
      <c r="H7" s="2705" t="s">
        <v>459</v>
      </c>
      <c r="I7" s="2706"/>
      <c r="K7" s="2705" t="s">
        <v>460</v>
      </c>
      <c r="L7" s="2706"/>
      <c r="N7" s="2705" t="s">
        <v>461</v>
      </c>
      <c r="O7" s="2706"/>
      <c r="Q7" s="2705" t="s">
        <v>682</v>
      </c>
      <c r="R7" s="2706"/>
      <c r="T7" s="2705" t="s">
        <v>683</v>
      </c>
      <c r="U7" s="2706"/>
      <c r="W7" s="2705" t="s">
        <v>462</v>
      </c>
      <c r="X7" s="2706"/>
      <c r="Z7" s="663" t="s">
        <v>536</v>
      </c>
    </row>
    <row r="8" spans="1:28" s="350" customFormat="1" ht="13.5" thickBot="1">
      <c r="B8" s="666" t="s">
        <v>693</v>
      </c>
      <c r="C8" s="667" t="s">
        <v>441</v>
      </c>
      <c r="D8" s="668" t="s">
        <v>24</v>
      </c>
      <c r="E8" s="351" t="s">
        <v>158</v>
      </c>
      <c r="F8" s="664" t="s">
        <v>442</v>
      </c>
      <c r="G8" s="671"/>
      <c r="H8" s="351" t="s">
        <v>158</v>
      </c>
      <c r="I8" s="664" t="s">
        <v>443</v>
      </c>
      <c r="J8" s="671"/>
      <c r="K8" s="351" t="s">
        <v>158</v>
      </c>
      <c r="L8" s="664" t="s">
        <v>442</v>
      </c>
      <c r="M8" s="671"/>
      <c r="N8" s="351" t="s">
        <v>158</v>
      </c>
      <c r="O8" s="664" t="s">
        <v>443</v>
      </c>
      <c r="P8" s="671"/>
      <c r="Q8" s="351" t="s">
        <v>158</v>
      </c>
      <c r="R8" s="664" t="s">
        <v>442</v>
      </c>
      <c r="S8" s="671"/>
      <c r="T8" s="351" t="s">
        <v>158</v>
      </c>
      <c r="U8" s="664" t="s">
        <v>442</v>
      </c>
      <c r="V8" s="671"/>
      <c r="W8" s="351" t="s">
        <v>158</v>
      </c>
      <c r="X8" s="665" t="s">
        <v>443</v>
      </c>
      <c r="Y8" s="671"/>
      <c r="Z8" s="425" t="s">
        <v>443</v>
      </c>
    </row>
    <row r="9" spans="1:28" s="350" customFormat="1" ht="13.5" thickBot="1">
      <c r="B9" s="672"/>
      <c r="C9" s="673"/>
      <c r="D9" s="674"/>
      <c r="E9" s="1515" t="s">
        <v>444</v>
      </c>
      <c r="F9" s="1516" t="s">
        <v>445</v>
      </c>
      <c r="G9" s="670"/>
      <c r="H9" s="1515" t="s">
        <v>446</v>
      </c>
      <c r="I9" s="1516" t="s">
        <v>447</v>
      </c>
      <c r="J9" s="670"/>
      <c r="K9" s="1515" t="s">
        <v>448</v>
      </c>
      <c r="L9" s="1516" t="s">
        <v>449</v>
      </c>
      <c r="M9" s="670"/>
      <c r="N9" s="1515" t="s">
        <v>475</v>
      </c>
      <c r="O9" s="1516" t="s">
        <v>476</v>
      </c>
      <c r="P9" s="670"/>
      <c r="Q9" s="1515" t="s">
        <v>450</v>
      </c>
      <c r="R9" s="1516" t="s">
        <v>477</v>
      </c>
      <c r="S9" s="670"/>
      <c r="T9" s="1517" t="s">
        <v>478</v>
      </c>
      <c r="U9" s="1518" t="s">
        <v>479</v>
      </c>
      <c r="V9" s="675"/>
      <c r="W9" s="1517" t="s">
        <v>480</v>
      </c>
      <c r="X9" s="1518" t="s">
        <v>481</v>
      </c>
      <c r="Y9" s="675"/>
      <c r="Z9" s="1519" t="s">
        <v>669</v>
      </c>
      <c r="AA9" s="1512"/>
    </row>
    <row r="10" spans="1:28" s="350" customFormat="1" ht="14.25" customHeight="1">
      <c r="B10" s="730">
        <v>1</v>
      </c>
      <c r="C10" s="731">
        <v>350.2</v>
      </c>
      <c r="D10" s="669" t="s">
        <v>186</v>
      </c>
      <c r="E10" s="819"/>
      <c r="F10" s="732"/>
      <c r="G10" s="733"/>
      <c r="H10" s="819"/>
      <c r="I10" s="732"/>
      <c r="J10" s="733"/>
      <c r="K10" s="819"/>
      <c r="L10" s="732"/>
      <c r="M10" s="733"/>
      <c r="N10" s="819"/>
      <c r="O10" s="732"/>
      <c r="P10" s="733"/>
      <c r="Q10" s="819"/>
      <c r="R10" s="732"/>
      <c r="S10" s="733"/>
      <c r="T10" s="819"/>
      <c r="U10" s="732"/>
      <c r="V10" s="733"/>
      <c r="W10" s="819"/>
      <c r="X10" s="728"/>
      <c r="Y10" s="729"/>
      <c r="Z10" s="1514">
        <v>1.2699999999999999E-2</v>
      </c>
      <c r="AB10" s="2432"/>
    </row>
    <row r="11" spans="1:28" s="350" customFormat="1" ht="14.25" customHeight="1">
      <c r="B11" s="734">
        <v>2</v>
      </c>
      <c r="C11" s="735">
        <v>352</v>
      </c>
      <c r="D11" s="736" t="s">
        <v>92</v>
      </c>
      <c r="E11" s="820"/>
      <c r="F11" s="1510"/>
      <c r="G11" s="1505"/>
      <c r="H11" s="820"/>
      <c r="I11" s="1510"/>
      <c r="J11" s="1505"/>
      <c r="K11" s="820"/>
      <c r="L11" s="1510"/>
      <c r="M11" s="1505"/>
      <c r="N11" s="820"/>
      <c r="O11" s="1510"/>
      <c r="P11" s="1505"/>
      <c r="Q11" s="820"/>
      <c r="R11" s="1510"/>
      <c r="S11" s="1505"/>
      <c r="T11" s="820"/>
      <c r="U11" s="1510"/>
      <c r="V11" s="1505"/>
      <c r="W11" s="820"/>
      <c r="X11" s="1510"/>
      <c r="Y11" s="1505"/>
      <c r="Z11" s="1509">
        <v>1.4200000000000001E-2</v>
      </c>
      <c r="AB11" s="2432"/>
    </row>
    <row r="12" spans="1:28" s="350" customFormat="1" ht="14.25" customHeight="1">
      <c r="B12" s="734">
        <v>3</v>
      </c>
      <c r="C12" s="735">
        <v>353</v>
      </c>
      <c r="D12" s="736" t="s">
        <v>180</v>
      </c>
      <c r="E12" s="820"/>
      <c r="F12" s="1510"/>
      <c r="G12" s="1505"/>
      <c r="H12" s="820"/>
      <c r="I12" s="1510"/>
      <c r="J12" s="1505"/>
      <c r="K12" s="820"/>
      <c r="L12" s="1510"/>
      <c r="M12" s="1505"/>
      <c r="N12" s="820"/>
      <c r="O12" s="1510"/>
      <c r="P12" s="1505"/>
      <c r="Q12" s="820"/>
      <c r="R12" s="1510"/>
      <c r="S12" s="1505"/>
      <c r="T12" s="820"/>
      <c r="U12" s="1510"/>
      <c r="V12" s="1505"/>
      <c r="W12" s="820"/>
      <c r="X12" s="1510"/>
      <c r="Y12" s="1505"/>
      <c r="Z12" s="1509">
        <v>1.7399999999999999E-2</v>
      </c>
      <c r="AB12" s="2432"/>
    </row>
    <row r="13" spans="1:28" s="350" customFormat="1" ht="14.25" customHeight="1">
      <c r="B13" s="734">
        <v>4</v>
      </c>
      <c r="C13" s="735">
        <v>353.7</v>
      </c>
      <c r="D13" s="736" t="s">
        <v>430</v>
      </c>
      <c r="E13" s="820"/>
      <c r="F13" s="1510"/>
      <c r="G13" s="1505"/>
      <c r="H13" s="820"/>
      <c r="I13" s="1510"/>
      <c r="J13" s="1505"/>
      <c r="K13" s="820"/>
      <c r="L13" s="1510"/>
      <c r="M13" s="1505"/>
      <c r="N13" s="820"/>
      <c r="O13" s="1510"/>
      <c r="P13" s="1505"/>
      <c r="Q13" s="820"/>
      <c r="R13" s="1510"/>
      <c r="S13" s="1505"/>
      <c r="T13" s="820"/>
      <c r="U13" s="1510"/>
      <c r="V13" s="1505"/>
      <c r="W13" s="820"/>
      <c r="X13" s="1510"/>
      <c r="Y13" s="1505"/>
      <c r="Z13" s="1509">
        <v>1.7399999999999999E-2</v>
      </c>
      <c r="AB13" s="2432"/>
    </row>
    <row r="14" spans="1:28" s="350" customFormat="1" ht="14.25" customHeight="1">
      <c r="B14" s="734">
        <v>5</v>
      </c>
      <c r="C14" s="735">
        <v>354</v>
      </c>
      <c r="D14" s="736" t="s">
        <v>181</v>
      </c>
      <c r="E14" s="820"/>
      <c r="F14" s="1510"/>
      <c r="G14" s="1505"/>
      <c r="H14" s="820"/>
      <c r="I14" s="1510"/>
      <c r="J14" s="1505"/>
      <c r="K14" s="820"/>
      <c r="L14" s="1510"/>
      <c r="M14" s="1505"/>
      <c r="N14" s="820"/>
      <c r="O14" s="1510"/>
      <c r="P14" s="1505"/>
      <c r="Q14" s="820"/>
      <c r="R14" s="1510"/>
      <c r="S14" s="1505"/>
      <c r="T14" s="820"/>
      <c r="U14" s="1510"/>
      <c r="V14" s="1505"/>
      <c r="W14" s="820"/>
      <c r="X14" s="1510"/>
      <c r="Y14" s="1505"/>
      <c r="Z14" s="1509">
        <v>1.5299999999999999E-2</v>
      </c>
      <c r="AB14" s="2432"/>
    </row>
    <row r="15" spans="1:28" s="350" customFormat="1" ht="14.25" customHeight="1">
      <c r="B15" s="734">
        <v>6</v>
      </c>
      <c r="C15" s="735">
        <v>355</v>
      </c>
      <c r="D15" s="736" t="s">
        <v>182</v>
      </c>
      <c r="E15" s="820"/>
      <c r="F15" s="1510"/>
      <c r="G15" s="1505"/>
      <c r="H15" s="820"/>
      <c r="I15" s="1510"/>
      <c r="J15" s="1505"/>
      <c r="K15" s="820"/>
      <c r="L15" s="1510"/>
      <c r="M15" s="1505"/>
      <c r="N15" s="820"/>
      <c r="O15" s="1510"/>
      <c r="P15" s="1505"/>
      <c r="Q15" s="820"/>
      <c r="R15" s="1510"/>
      <c r="S15" s="1505"/>
      <c r="T15" s="820"/>
      <c r="U15" s="1510"/>
      <c r="V15" s="1505"/>
      <c r="W15" s="820"/>
      <c r="X15" s="1510"/>
      <c r="Y15" s="1505"/>
      <c r="Z15" s="1509">
        <v>2.18E-2</v>
      </c>
      <c r="AB15" s="2432"/>
    </row>
    <row r="16" spans="1:28" s="350" customFormat="1" ht="14.25" customHeight="1">
      <c r="B16" s="734">
        <v>7</v>
      </c>
      <c r="C16" s="735">
        <v>356</v>
      </c>
      <c r="D16" s="736" t="s">
        <v>183</v>
      </c>
      <c r="E16" s="820"/>
      <c r="F16" s="1510"/>
      <c r="G16" s="1505"/>
      <c r="H16" s="820"/>
      <c r="I16" s="1510"/>
      <c r="J16" s="1505"/>
      <c r="K16" s="820"/>
      <c r="L16" s="1510"/>
      <c r="M16" s="1505"/>
      <c r="N16" s="820"/>
      <c r="O16" s="1510"/>
      <c r="P16" s="1505"/>
      <c r="Q16" s="820"/>
      <c r="R16" s="1510"/>
      <c r="S16" s="1505"/>
      <c r="T16" s="820"/>
      <c r="U16" s="1510"/>
      <c r="V16" s="1505"/>
      <c r="W16" s="820"/>
      <c r="X16" s="1510"/>
      <c r="Y16" s="1505"/>
      <c r="Z16" s="1509">
        <v>1.8800000000000001E-2</v>
      </c>
      <c r="AB16" s="2432"/>
    </row>
    <row r="17" spans="2:28" s="350" customFormat="1" ht="14.25" customHeight="1">
      <c r="B17" s="734">
        <v>8</v>
      </c>
      <c r="C17" s="735">
        <v>356.2</v>
      </c>
      <c r="D17" s="736" t="s">
        <v>431</v>
      </c>
      <c r="E17" s="820"/>
      <c r="F17" s="1510"/>
      <c r="G17" s="1505"/>
      <c r="H17" s="820"/>
      <c r="I17" s="1510"/>
      <c r="J17" s="1505"/>
      <c r="K17" s="820"/>
      <c r="L17" s="1510"/>
      <c r="M17" s="1505"/>
      <c r="N17" s="820"/>
      <c r="O17" s="1510"/>
      <c r="P17" s="1505"/>
      <c r="Q17" s="820"/>
      <c r="R17" s="1510"/>
      <c r="S17" s="1505"/>
      <c r="T17" s="820"/>
      <c r="U17" s="1510"/>
      <c r="V17" s="1505"/>
      <c r="W17" s="820"/>
      <c r="X17" s="1510"/>
      <c r="Y17" s="1505"/>
      <c r="Z17" s="1509">
        <v>1.8800000000000001E-2</v>
      </c>
      <c r="AB17" s="2432"/>
    </row>
    <row r="18" spans="2:28" s="350" customFormat="1" ht="14.25" customHeight="1">
      <c r="B18" s="734">
        <v>9</v>
      </c>
      <c r="C18" s="735">
        <v>357</v>
      </c>
      <c r="D18" s="736" t="s">
        <v>184</v>
      </c>
      <c r="E18" s="820"/>
      <c r="F18" s="1510"/>
      <c r="G18" s="1505"/>
      <c r="H18" s="820"/>
      <c r="I18" s="1510"/>
      <c r="J18" s="1505"/>
      <c r="K18" s="820"/>
      <c r="L18" s="1510"/>
      <c r="M18" s="1505"/>
      <c r="N18" s="820"/>
      <c r="O18" s="1510"/>
      <c r="P18" s="1505"/>
      <c r="Q18" s="820"/>
      <c r="R18" s="1510"/>
      <c r="S18" s="1505"/>
      <c r="T18" s="820"/>
      <c r="U18" s="1510"/>
      <c r="V18" s="1505"/>
      <c r="W18" s="820"/>
      <c r="X18" s="1510"/>
      <c r="Y18" s="1505"/>
      <c r="Z18" s="1509">
        <v>1.6E-2</v>
      </c>
      <c r="AB18" s="2432"/>
    </row>
    <row r="19" spans="2:28" s="350" customFormat="1" ht="14.25" customHeight="1">
      <c r="B19" s="734">
        <v>10</v>
      </c>
      <c r="C19" s="735">
        <v>358</v>
      </c>
      <c r="D19" s="736" t="s">
        <v>185</v>
      </c>
      <c r="E19" s="820"/>
      <c r="F19" s="1510"/>
      <c r="G19" s="1505"/>
      <c r="H19" s="820"/>
      <c r="I19" s="1510"/>
      <c r="J19" s="1505"/>
      <c r="K19" s="820"/>
      <c r="L19" s="1510"/>
      <c r="M19" s="1505"/>
      <c r="N19" s="820"/>
      <c r="O19" s="1510"/>
      <c r="P19" s="1505"/>
      <c r="Q19" s="820"/>
      <c r="R19" s="1510"/>
      <c r="S19" s="1505"/>
      <c r="T19" s="820"/>
      <c r="U19" s="1510"/>
      <c r="V19" s="1505"/>
      <c r="W19" s="820"/>
      <c r="X19" s="1510"/>
      <c r="Y19" s="1505"/>
      <c r="Z19" s="1509">
        <v>1.66E-2</v>
      </c>
      <c r="AB19" s="2432"/>
    </row>
    <row r="20" spans="2:28" s="350" customFormat="1" ht="14.25" customHeight="1">
      <c r="B20" s="734">
        <v>11</v>
      </c>
      <c r="C20" s="735">
        <v>359</v>
      </c>
      <c r="D20" s="736" t="s">
        <v>440</v>
      </c>
      <c r="E20" s="820"/>
      <c r="F20" s="1510"/>
      <c r="G20" s="1505"/>
      <c r="H20" s="820"/>
      <c r="I20" s="1510"/>
      <c r="J20" s="1505"/>
      <c r="K20" s="820"/>
      <c r="L20" s="1510"/>
      <c r="M20" s="1505"/>
      <c r="N20" s="820"/>
      <c r="O20" s="1510"/>
      <c r="P20" s="1505"/>
      <c r="Q20" s="820"/>
      <c r="R20" s="1510"/>
      <c r="S20" s="1505"/>
      <c r="T20" s="820"/>
      <c r="U20" s="1510"/>
      <c r="V20" s="1505"/>
      <c r="W20" s="820"/>
      <c r="X20" s="1510"/>
      <c r="Y20" s="1505"/>
      <c r="Z20" s="1509">
        <v>1.32E-2</v>
      </c>
      <c r="AB20" s="2432"/>
    </row>
    <row r="21" spans="2:28" s="350" customFormat="1" ht="14.25" customHeight="1">
      <c r="B21" s="734">
        <v>12</v>
      </c>
      <c r="C21" s="735"/>
      <c r="D21" s="736" t="s">
        <v>694</v>
      </c>
      <c r="E21" s="820"/>
      <c r="F21" s="1510"/>
      <c r="G21" s="1505"/>
      <c r="H21" s="820"/>
      <c r="I21" s="1510"/>
      <c r="J21" s="1505"/>
      <c r="K21" s="820"/>
      <c r="L21" s="1510"/>
      <c r="M21" s="1505"/>
      <c r="N21" s="820"/>
      <c r="O21" s="1510"/>
      <c r="P21" s="1505"/>
      <c r="Q21" s="820"/>
      <c r="R21" s="1510"/>
      <c r="S21" s="1505"/>
      <c r="T21" s="820"/>
      <c r="U21" s="1510"/>
      <c r="V21" s="1505"/>
      <c r="W21" s="820"/>
      <c r="X21" s="1510"/>
      <c r="Y21" s="1505"/>
      <c r="Z21" s="1509">
        <v>1.7600000000000001E-2</v>
      </c>
      <c r="AB21" s="2432"/>
    </row>
    <row r="22" spans="2:28" s="350" customFormat="1" ht="14.25" customHeight="1">
      <c r="B22" s="734"/>
      <c r="C22" s="735"/>
      <c r="D22" s="736"/>
      <c r="E22" s="737"/>
      <c r="F22" s="1520"/>
      <c r="G22" s="1521"/>
      <c r="H22" s="737"/>
      <c r="I22" s="1522"/>
      <c r="J22" s="1521"/>
      <c r="K22" s="737"/>
      <c r="L22" s="1522"/>
      <c r="M22" s="1521"/>
      <c r="N22" s="737"/>
      <c r="O22" s="1522"/>
      <c r="P22" s="1521"/>
      <c r="Q22" s="737"/>
      <c r="R22" s="1522"/>
      <c r="S22" s="1521"/>
      <c r="T22" s="737"/>
      <c r="U22" s="1522"/>
      <c r="V22" s="1521"/>
      <c r="W22" s="737"/>
      <c r="X22" s="1522"/>
      <c r="Y22" s="1521"/>
      <c r="Z22" s="1509"/>
      <c r="AB22" s="2432"/>
    </row>
    <row r="23" spans="2:28" s="350" customFormat="1" ht="14.25" customHeight="1">
      <c r="B23" s="734">
        <v>13</v>
      </c>
      <c r="C23" s="735">
        <v>389.2</v>
      </c>
      <c r="D23" s="736" t="s">
        <v>186</v>
      </c>
      <c r="E23" s="2247"/>
      <c r="F23" s="1510">
        <v>0</v>
      </c>
      <c r="G23" s="1505"/>
      <c r="H23" s="2247"/>
      <c r="I23" s="1510">
        <v>0</v>
      </c>
      <c r="J23" s="1505"/>
      <c r="K23" s="2247"/>
      <c r="L23" s="1510">
        <v>0</v>
      </c>
      <c r="M23" s="1505"/>
      <c r="N23" s="2247">
        <v>85283.36</v>
      </c>
      <c r="O23" s="1510">
        <v>2.0299999999999999E-2</v>
      </c>
      <c r="P23" s="1505"/>
      <c r="Q23" s="2247">
        <v>74314.75</v>
      </c>
      <c r="R23" s="1510">
        <v>1.9800000000000002E-2</v>
      </c>
      <c r="S23" s="1505"/>
      <c r="T23" s="2247"/>
      <c r="U23" s="1510">
        <v>0</v>
      </c>
      <c r="V23" s="1505"/>
      <c r="W23" s="2247">
        <v>4867.6400000000003</v>
      </c>
      <c r="X23" s="1510">
        <v>1.17E-2</v>
      </c>
      <c r="Y23" s="1505"/>
      <c r="Z23" s="1509"/>
      <c r="AB23" s="2432"/>
    </row>
    <row r="24" spans="2:28" s="350" customFormat="1" ht="14.25" customHeight="1">
      <c r="B24" s="734">
        <v>14</v>
      </c>
      <c r="C24" s="735">
        <v>390</v>
      </c>
      <c r="D24" s="736" t="s">
        <v>92</v>
      </c>
      <c r="E24" s="2247">
        <v>81057030.930000007</v>
      </c>
      <c r="F24" s="1510">
        <v>1.8599999999999998E-2</v>
      </c>
      <c r="G24" s="1505"/>
      <c r="H24" s="2247">
        <v>12943429.82</v>
      </c>
      <c r="I24" s="1510">
        <v>2.52E-2</v>
      </c>
      <c r="J24" s="1505"/>
      <c r="K24" s="2247">
        <v>3315995.45</v>
      </c>
      <c r="L24" s="1510">
        <v>1.7100000000000001E-2</v>
      </c>
      <c r="M24" s="1505"/>
      <c r="N24" s="2247">
        <v>92994957.780000001</v>
      </c>
      <c r="O24" s="1510">
        <v>1.5299999999999999E-2</v>
      </c>
      <c r="P24" s="1505"/>
      <c r="Q24" s="2247">
        <v>10897599.48</v>
      </c>
      <c r="R24" s="1510">
        <v>1.95E-2</v>
      </c>
      <c r="S24" s="1505"/>
      <c r="T24" s="2247">
        <v>385400.84</v>
      </c>
      <c r="U24" s="1510">
        <v>1.5100000000000001E-2</v>
      </c>
      <c r="V24" s="1505"/>
      <c r="W24" s="2247">
        <v>12708343.51</v>
      </c>
      <c r="X24" s="1510">
        <v>1.6500000000000001E-2</v>
      </c>
      <c r="Y24" s="1505"/>
      <c r="Z24" s="1509"/>
      <c r="AB24" s="2432"/>
    </row>
    <row r="25" spans="2:28" s="350" customFormat="1" ht="14.25" customHeight="1">
      <c r="B25" s="734">
        <v>15</v>
      </c>
      <c r="C25" s="735">
        <v>390.3</v>
      </c>
      <c r="D25" s="736" t="s">
        <v>432</v>
      </c>
      <c r="E25" s="2247"/>
      <c r="F25" s="1510"/>
      <c r="G25" s="1505"/>
      <c r="H25" s="2247"/>
      <c r="I25" s="1510"/>
      <c r="J25" s="1505"/>
      <c r="K25" s="2247"/>
      <c r="L25" s="1510"/>
      <c r="M25" s="1505"/>
      <c r="N25" s="2247"/>
      <c r="O25" s="1510"/>
      <c r="P25" s="1505"/>
      <c r="Q25" s="2247"/>
      <c r="R25" s="1510"/>
      <c r="S25" s="1505"/>
      <c r="T25" s="2247"/>
      <c r="U25" s="1510"/>
      <c r="V25" s="1505"/>
      <c r="W25" s="2247"/>
      <c r="X25" s="1510"/>
      <c r="Y25" s="1505"/>
      <c r="Z25" s="1511">
        <v>6.6699999999999995E-2</v>
      </c>
      <c r="AB25" s="2432"/>
    </row>
    <row r="26" spans="2:28" s="350" customFormat="1" ht="14.25" customHeight="1">
      <c r="B26" s="734">
        <v>16</v>
      </c>
      <c r="C26" s="735">
        <v>391</v>
      </c>
      <c r="D26" s="736" t="s">
        <v>433</v>
      </c>
      <c r="E26" s="2247"/>
      <c r="F26" s="1510"/>
      <c r="G26" s="1505"/>
      <c r="H26" s="2247"/>
      <c r="I26" s="1510"/>
      <c r="J26" s="1505"/>
      <c r="K26" s="2247"/>
      <c r="L26" s="1510"/>
      <c r="M26" s="1505"/>
      <c r="N26" s="2247"/>
      <c r="O26" s="1510"/>
      <c r="P26" s="1505"/>
      <c r="Q26" s="2247"/>
      <c r="R26" s="1510"/>
      <c r="S26" s="1505"/>
      <c r="T26" s="2247"/>
      <c r="U26" s="1510"/>
      <c r="V26" s="1505"/>
      <c r="W26" s="2247"/>
      <c r="X26" s="1510"/>
      <c r="Y26" s="1505"/>
      <c r="Z26" s="1511">
        <v>0.05</v>
      </c>
      <c r="AB26" s="2432"/>
    </row>
    <row r="27" spans="2:28" s="350" customFormat="1" ht="14.25" customHeight="1">
      <c r="B27" s="734">
        <v>17</v>
      </c>
      <c r="C27" s="735">
        <v>391.2</v>
      </c>
      <c r="D27" s="736" t="s">
        <v>434</v>
      </c>
      <c r="E27" s="2247"/>
      <c r="F27" s="1510"/>
      <c r="G27" s="1505"/>
      <c r="H27" s="2247"/>
      <c r="I27" s="1510"/>
      <c r="J27" s="1505"/>
      <c r="K27" s="2247"/>
      <c r="L27" s="1510"/>
      <c r="M27" s="1505"/>
      <c r="N27" s="2247"/>
      <c r="O27" s="1510"/>
      <c r="P27" s="1505"/>
      <c r="Q27" s="2247"/>
      <c r="R27" s="1510"/>
      <c r="S27" s="1505"/>
      <c r="T27" s="2247"/>
      <c r="U27" s="1510"/>
      <c r="V27" s="1505"/>
      <c r="W27" s="2247"/>
      <c r="X27" s="1510"/>
      <c r="Y27" s="1505"/>
      <c r="Z27" s="1511">
        <v>0.2</v>
      </c>
      <c r="AB27" s="2432"/>
    </row>
    <row r="28" spans="2:28" s="350" customFormat="1" ht="14.25" customHeight="1">
      <c r="B28" s="734">
        <v>18</v>
      </c>
      <c r="C28" s="735">
        <v>393</v>
      </c>
      <c r="D28" s="736" t="s">
        <v>187</v>
      </c>
      <c r="E28" s="2247"/>
      <c r="F28" s="1510"/>
      <c r="G28" s="1505"/>
      <c r="H28" s="2247"/>
      <c r="I28" s="1510"/>
      <c r="J28" s="1505"/>
      <c r="K28" s="2247"/>
      <c r="L28" s="1510"/>
      <c r="M28" s="1505"/>
      <c r="N28" s="2247"/>
      <c r="O28" s="1510"/>
      <c r="P28" s="1505"/>
      <c r="Q28" s="2247"/>
      <c r="R28" s="1510"/>
      <c r="S28" s="1505"/>
      <c r="T28" s="2247"/>
      <c r="U28" s="1510"/>
      <c r="V28" s="1505"/>
      <c r="W28" s="2247"/>
      <c r="X28" s="1510"/>
      <c r="Y28" s="1505"/>
      <c r="Z28" s="1511">
        <v>0.04</v>
      </c>
      <c r="AB28" s="2432"/>
    </row>
    <row r="29" spans="2:28" s="350" customFormat="1" ht="14.25" customHeight="1">
      <c r="B29" s="734">
        <v>19</v>
      </c>
      <c r="C29" s="735">
        <v>394</v>
      </c>
      <c r="D29" s="736" t="s">
        <v>435</v>
      </c>
      <c r="E29" s="2247"/>
      <c r="F29" s="1510"/>
      <c r="G29" s="1505"/>
      <c r="H29" s="2247"/>
      <c r="I29" s="1510"/>
      <c r="J29" s="1505"/>
      <c r="K29" s="2247"/>
      <c r="L29" s="1510"/>
      <c r="M29" s="1505"/>
      <c r="N29" s="2247"/>
      <c r="O29" s="1510"/>
      <c r="P29" s="1505"/>
      <c r="Q29" s="2247"/>
      <c r="R29" s="1510"/>
      <c r="S29" s="1505"/>
      <c r="T29" s="2247"/>
      <c r="U29" s="1510"/>
      <c r="V29" s="1505"/>
      <c r="W29" s="2247"/>
      <c r="X29" s="1510"/>
      <c r="Y29" s="1505"/>
      <c r="Z29" s="1511">
        <v>4.1700000000000001E-2</v>
      </c>
      <c r="AB29" s="2432"/>
    </row>
    <row r="30" spans="2:28" s="350" customFormat="1" ht="14.25" customHeight="1">
      <c r="B30" s="734">
        <v>20</v>
      </c>
      <c r="C30" s="735">
        <v>395</v>
      </c>
      <c r="D30" s="736" t="s">
        <v>188</v>
      </c>
      <c r="E30" s="2247"/>
      <c r="F30" s="1510"/>
      <c r="G30" s="1505"/>
      <c r="H30" s="2247"/>
      <c r="I30" s="1510"/>
      <c r="J30" s="1505"/>
      <c r="K30" s="2247"/>
      <c r="L30" s="1510"/>
      <c r="M30" s="1505"/>
      <c r="N30" s="2247"/>
      <c r="O30" s="1510"/>
      <c r="P30" s="1505"/>
      <c r="Q30" s="2247"/>
      <c r="R30" s="1510"/>
      <c r="S30" s="1505"/>
      <c r="T30" s="2247"/>
      <c r="U30" s="1510"/>
      <c r="V30" s="1505"/>
      <c r="W30" s="2247"/>
      <c r="X30" s="1510"/>
      <c r="Y30" s="1505"/>
      <c r="Z30" s="1511">
        <v>0.05</v>
      </c>
      <c r="AB30" s="2432"/>
    </row>
    <row r="31" spans="2:28" s="350" customFormat="1" ht="14.25" customHeight="1">
      <c r="B31" s="734">
        <v>21</v>
      </c>
      <c r="C31" s="735">
        <v>397</v>
      </c>
      <c r="D31" s="736" t="s">
        <v>189</v>
      </c>
      <c r="E31" s="2247"/>
      <c r="F31" s="1751"/>
      <c r="G31" s="1505"/>
      <c r="H31" s="2247"/>
      <c r="I31" s="1751"/>
      <c r="J31" s="1505"/>
      <c r="K31" s="2247"/>
      <c r="L31" s="1751"/>
      <c r="M31" s="1505"/>
      <c r="N31" s="2247"/>
      <c r="O31" s="1751"/>
      <c r="P31" s="1505"/>
      <c r="Q31" s="2247"/>
      <c r="R31" s="1751"/>
      <c r="S31" s="1505"/>
      <c r="T31" s="2247"/>
      <c r="U31" s="1751"/>
      <c r="V31" s="1505"/>
      <c r="W31" s="2247"/>
      <c r="X31" s="1751"/>
      <c r="Y31" s="1505"/>
      <c r="Z31" s="1511">
        <v>4.2999999999999997E-2</v>
      </c>
      <c r="AB31" s="2432"/>
    </row>
    <row r="32" spans="2:28" s="350" customFormat="1" ht="14.25" customHeight="1">
      <c r="B32" s="734">
        <v>22</v>
      </c>
      <c r="C32" s="735">
        <v>397.2</v>
      </c>
      <c r="D32" s="736" t="s">
        <v>436</v>
      </c>
      <c r="E32" s="2247"/>
      <c r="F32" s="1510"/>
      <c r="G32" s="1505"/>
      <c r="H32" s="2247"/>
      <c r="I32" s="1510"/>
      <c r="J32" s="1505"/>
      <c r="K32" s="2247"/>
      <c r="L32" s="1510"/>
      <c r="M32" s="1505"/>
      <c r="N32" s="2247"/>
      <c r="O32" s="1510"/>
      <c r="P32" s="1505"/>
      <c r="Q32" s="2247"/>
      <c r="R32" s="1510"/>
      <c r="S32" s="1505"/>
      <c r="T32" s="2247"/>
      <c r="U32" s="1510"/>
      <c r="V32" s="1505"/>
      <c r="W32" s="2247"/>
      <c r="X32" s="1510"/>
      <c r="Y32" s="1505"/>
      <c r="Z32" s="1511">
        <v>9.0899999999999995E-2</v>
      </c>
      <c r="AB32" s="2432"/>
    </row>
    <row r="33" spans="1:28" s="350" customFormat="1" ht="14.25" customHeight="1">
      <c r="B33" s="734">
        <v>23</v>
      </c>
      <c r="C33" s="735">
        <v>398</v>
      </c>
      <c r="D33" s="736" t="s">
        <v>190</v>
      </c>
      <c r="E33" s="2247"/>
      <c r="F33" s="1510"/>
      <c r="G33" s="1505"/>
      <c r="H33" s="2247"/>
      <c r="I33" s="1510"/>
      <c r="J33" s="1505"/>
      <c r="K33" s="2247"/>
      <c r="L33" s="1510"/>
      <c r="M33" s="1505"/>
      <c r="N33" s="2247"/>
      <c r="O33" s="1510"/>
      <c r="P33" s="1505"/>
      <c r="Q33" s="2247"/>
      <c r="R33" s="1510"/>
      <c r="S33" s="1505"/>
      <c r="T33" s="2247"/>
      <c r="U33" s="1510"/>
      <c r="V33" s="1505"/>
      <c r="W33" s="2247"/>
      <c r="X33" s="1510"/>
      <c r="Y33" s="1505"/>
      <c r="Z33" s="1511">
        <v>0.05</v>
      </c>
      <c r="AB33" s="2432"/>
    </row>
    <row r="34" spans="1:28" s="350" customFormat="1" ht="14.25" customHeight="1">
      <c r="B34" s="734">
        <v>24</v>
      </c>
      <c r="C34" s="735"/>
      <c r="D34" s="736" t="s">
        <v>695</v>
      </c>
      <c r="E34" s="2247">
        <v>6408302.4400000004</v>
      </c>
      <c r="F34" s="1510">
        <v>3.5900000000000001E-2</v>
      </c>
      <c r="G34" s="1505"/>
      <c r="H34" s="2247">
        <v>984534.56</v>
      </c>
      <c r="I34" s="1510">
        <v>4.2099999999999999E-2</v>
      </c>
      <c r="J34" s="1505"/>
      <c r="K34" s="2247">
        <v>298224.13</v>
      </c>
      <c r="L34" s="1510">
        <v>3.8300000000000001E-2</v>
      </c>
      <c r="M34" s="1505"/>
      <c r="N34" s="2247">
        <v>6138144.8499999996</v>
      </c>
      <c r="O34" s="1510">
        <v>3.4200000000000001E-2</v>
      </c>
      <c r="P34" s="1505"/>
      <c r="Q34" s="2247">
        <v>2232059.2200000002</v>
      </c>
      <c r="R34" s="1510">
        <v>4.6600000000000003E-2</v>
      </c>
      <c r="S34" s="1505"/>
      <c r="T34" s="2247">
        <v>102040.75</v>
      </c>
      <c r="U34" s="1510">
        <v>1.9300000000000001E-2</v>
      </c>
      <c r="V34" s="1505"/>
      <c r="W34" s="2247">
        <v>362988.81</v>
      </c>
      <c r="X34" s="1510">
        <v>3.1699999999999999E-2</v>
      </c>
      <c r="Y34" s="1505"/>
      <c r="Z34" s="1509"/>
      <c r="AB34" s="2432"/>
    </row>
    <row r="35" spans="1:28" s="350" customFormat="1" ht="14.25" customHeight="1">
      <c r="B35" s="734"/>
      <c r="C35" s="735"/>
      <c r="D35" s="736"/>
      <c r="E35" s="2248"/>
      <c r="F35" s="1522"/>
      <c r="G35" s="1521"/>
      <c r="H35" s="737"/>
      <c r="I35" s="1522"/>
      <c r="J35" s="1521"/>
      <c r="K35" s="737"/>
      <c r="L35" s="1522"/>
      <c r="M35" s="1521"/>
      <c r="N35" s="737"/>
      <c r="O35" s="1522"/>
      <c r="P35" s="1521"/>
      <c r="Q35" s="737"/>
      <c r="R35" s="1522"/>
      <c r="S35" s="1521"/>
      <c r="T35" s="737"/>
      <c r="U35" s="1522"/>
      <c r="V35" s="1521"/>
      <c r="W35" s="737"/>
      <c r="X35" s="1522"/>
      <c r="Y35" s="1521"/>
      <c r="Z35" s="1509"/>
      <c r="AB35" s="2432"/>
    </row>
    <row r="36" spans="1:28" s="350" customFormat="1" ht="14.25" customHeight="1">
      <c r="B36" s="734">
        <v>25</v>
      </c>
      <c r="C36" s="735">
        <v>302</v>
      </c>
      <c r="D36" s="736" t="s">
        <v>830</v>
      </c>
      <c r="E36" s="820"/>
      <c r="F36" s="1510"/>
      <c r="G36" s="1505"/>
      <c r="H36" s="820"/>
      <c r="I36" s="1510"/>
      <c r="J36" s="1505"/>
      <c r="K36" s="820"/>
      <c r="L36" s="1510"/>
      <c r="M36" s="1505"/>
      <c r="N36" s="820"/>
      <c r="O36" s="1510"/>
      <c r="P36" s="1505"/>
      <c r="Q36" s="820"/>
      <c r="R36" s="1510"/>
      <c r="S36" s="1505"/>
      <c r="T36" s="820"/>
      <c r="U36" s="1510"/>
      <c r="V36" s="1505"/>
      <c r="W36" s="820"/>
      <c r="X36" s="1510"/>
      <c r="Y36" s="1505"/>
      <c r="Z36" s="1509">
        <v>6.5500000000000003E-2</v>
      </c>
      <c r="AB36" s="2432"/>
    </row>
    <row r="37" spans="1:28" s="350" customFormat="1" ht="14.25" customHeight="1">
      <c r="B37" s="734">
        <v>26</v>
      </c>
      <c r="C37" s="735">
        <v>303</v>
      </c>
      <c r="D37" s="736" t="s">
        <v>829</v>
      </c>
      <c r="E37" s="820"/>
      <c r="F37" s="1510"/>
      <c r="G37" s="1505"/>
      <c r="H37" s="820"/>
      <c r="I37" s="1510"/>
      <c r="J37" s="1505"/>
      <c r="K37" s="820"/>
      <c r="L37" s="1510"/>
      <c r="M37" s="1505"/>
      <c r="N37" s="820"/>
      <c r="O37" s="1510"/>
      <c r="P37" s="1505"/>
      <c r="Q37" s="820"/>
      <c r="R37" s="1510"/>
      <c r="S37" s="1505"/>
      <c r="T37" s="820"/>
      <c r="U37" s="1510"/>
      <c r="V37" s="1505"/>
      <c r="W37" s="820"/>
      <c r="X37" s="1510"/>
      <c r="Y37" s="1505"/>
      <c r="Z37" s="1509">
        <v>3.6499999999999998E-2</v>
      </c>
      <c r="AB37" s="2432"/>
    </row>
    <row r="38" spans="1:28" s="350" customFormat="1" ht="14.25" customHeight="1" thickBot="1">
      <c r="B38" s="738">
        <v>27</v>
      </c>
      <c r="C38" s="739">
        <v>390.1</v>
      </c>
      <c r="D38" s="740" t="s">
        <v>696</v>
      </c>
      <c r="E38" s="821"/>
      <c r="F38" s="1508"/>
      <c r="G38" s="1507"/>
      <c r="H38" s="821"/>
      <c r="I38" s="1508"/>
      <c r="J38" s="1507"/>
      <c r="K38" s="821"/>
      <c r="L38" s="1508"/>
      <c r="M38" s="1507"/>
      <c r="N38" s="821"/>
      <c r="O38" s="1508"/>
      <c r="P38" s="1507"/>
      <c r="Q38" s="821"/>
      <c r="R38" s="1508"/>
      <c r="S38" s="1507"/>
      <c r="T38" s="821"/>
      <c r="U38" s="1508"/>
      <c r="V38" s="1507"/>
      <c r="W38" s="821"/>
      <c r="X38" s="1508"/>
      <c r="Y38" s="1507"/>
      <c r="Z38" s="1506">
        <v>6.2100000000000002E-2</v>
      </c>
      <c r="AB38" s="2432"/>
    </row>
    <row r="39" spans="1:28" s="350" customFormat="1">
      <c r="B39" s="1505"/>
      <c r="C39" s="1505"/>
      <c r="D39" s="1503"/>
      <c r="E39" s="1505"/>
      <c r="F39" s="1503"/>
      <c r="G39" s="1503"/>
      <c r="H39" s="1505"/>
      <c r="I39" s="1503"/>
      <c r="J39" s="1503"/>
      <c r="K39" s="1505"/>
      <c r="L39" s="1503"/>
      <c r="M39" s="1503"/>
      <c r="N39" s="1505"/>
      <c r="O39" s="1503"/>
      <c r="P39" s="1503"/>
      <c r="Q39" s="1505"/>
      <c r="R39" s="1503"/>
      <c r="S39" s="1503"/>
      <c r="T39" s="1505"/>
      <c r="U39" s="1503"/>
      <c r="V39" s="1503"/>
      <c r="W39" s="1505"/>
      <c r="X39" s="1503"/>
      <c r="Y39" s="1503"/>
    </row>
    <row r="40" spans="1:28" s="350" customFormat="1">
      <c r="B40" s="1505"/>
      <c r="C40" s="1505"/>
      <c r="D40" s="1503"/>
      <c r="E40" s="1504"/>
      <c r="F40" s="1503"/>
      <c r="G40" s="1503"/>
      <c r="H40" s="1504"/>
      <c r="I40" s="1503"/>
      <c r="J40" s="1504"/>
      <c r="K40" s="1504"/>
      <c r="L40" s="1503"/>
      <c r="M40" s="1503"/>
      <c r="N40" s="1504"/>
      <c r="O40" s="1503"/>
      <c r="P40" s="1503"/>
      <c r="Q40" s="1504"/>
      <c r="R40" s="1503"/>
      <c r="S40" s="1503"/>
      <c r="T40" s="1504"/>
      <c r="U40" s="1503"/>
      <c r="V40" s="1503"/>
      <c r="W40" s="1504"/>
      <c r="X40" s="1503"/>
      <c r="Y40" s="1503"/>
      <c r="Z40" s="429"/>
    </row>
    <row r="41" spans="1:28" s="350" customFormat="1">
      <c r="B41" s="2707" t="s">
        <v>304</v>
      </c>
      <c r="C41" s="2707"/>
      <c r="D41" s="1503"/>
      <c r="E41" s="1503"/>
      <c r="F41" s="1503"/>
      <c r="G41" s="1503"/>
      <c r="H41" s="1503"/>
      <c r="I41" s="1503"/>
      <c r="J41" s="1503"/>
      <c r="K41" s="1503"/>
      <c r="L41" s="1503"/>
      <c r="M41" s="1503"/>
      <c r="N41" s="1503"/>
      <c r="O41" s="1503"/>
      <c r="P41" s="1503"/>
      <c r="Q41" s="1503"/>
      <c r="R41" s="1503"/>
      <c r="S41" s="1503"/>
      <c r="T41" s="1503"/>
      <c r="U41" s="1503"/>
      <c r="V41" s="1503"/>
      <c r="W41" s="1503"/>
      <c r="X41" s="1503"/>
      <c r="Y41" s="1503"/>
      <c r="Z41" s="429"/>
    </row>
    <row r="42" spans="1:28" s="352" customFormat="1" ht="15" customHeight="1">
      <c r="A42" s="350"/>
      <c r="B42" s="430">
        <v>1</v>
      </c>
      <c r="C42" s="2704" t="s">
        <v>697</v>
      </c>
      <c r="D42" s="2704"/>
      <c r="E42" s="2704"/>
      <c r="F42" s="2704"/>
      <c r="G42" s="2704"/>
      <c r="H42" s="2704"/>
      <c r="I42" s="2704"/>
      <c r="J42" s="2704"/>
      <c r="K42" s="2704"/>
      <c r="L42" s="2704"/>
      <c r="M42" s="2704"/>
      <c r="N42" s="2704"/>
      <c r="O42" s="2704"/>
      <c r="P42" s="2704"/>
      <c r="Q42" s="2704"/>
      <c r="R42" s="2704"/>
      <c r="S42" s="2704"/>
      <c r="T42" s="350"/>
    </row>
    <row r="43" spans="1:28" s="352" customFormat="1" ht="15" customHeight="1">
      <c r="A43" s="350"/>
      <c r="B43" s="430">
        <v>2</v>
      </c>
      <c r="C43" s="2708" t="s">
        <v>684</v>
      </c>
      <c r="D43" s="2708"/>
      <c r="E43" s="2708"/>
      <c r="F43" s="2708"/>
      <c r="G43" s="2708"/>
      <c r="H43" s="2708"/>
      <c r="I43" s="2708"/>
      <c r="J43" s="2708"/>
      <c r="K43" s="2708"/>
      <c r="L43" s="2708"/>
      <c r="M43" s="2708"/>
      <c r="N43" s="2708"/>
      <c r="O43" s="2708"/>
      <c r="P43" s="2708"/>
      <c r="Q43" s="2708"/>
      <c r="R43" s="2708"/>
      <c r="S43" s="2708"/>
      <c r="T43" s="1677"/>
      <c r="U43" s="1677"/>
      <c r="V43" s="1677"/>
      <c r="W43" s="1677"/>
      <c r="X43" s="1677"/>
      <c r="Y43" s="1677"/>
      <c r="Z43" s="350"/>
      <c r="AA43" s="350"/>
    </row>
    <row r="44" spans="1:28" s="352" customFormat="1" ht="15" customHeight="1">
      <c r="A44" s="350"/>
      <c r="B44" s="430">
        <v>3</v>
      </c>
      <c r="C44" s="2708" t="s">
        <v>685</v>
      </c>
      <c r="D44" s="2708"/>
      <c r="E44" s="2708"/>
      <c r="F44" s="2708"/>
      <c r="G44" s="2708"/>
      <c r="H44" s="2708"/>
      <c r="I44" s="2708"/>
      <c r="J44" s="2708"/>
      <c r="K44" s="2708"/>
      <c r="L44" s="2708"/>
      <c r="M44" s="2708"/>
      <c r="N44" s="2708"/>
      <c r="O44" s="2708"/>
      <c r="P44" s="2708"/>
      <c r="Q44" s="2708"/>
      <c r="R44" s="2708"/>
      <c r="S44" s="2708"/>
      <c r="T44" s="1678"/>
      <c r="U44" s="1678"/>
      <c r="V44" s="1678"/>
      <c r="W44" s="1678"/>
      <c r="X44" s="1678"/>
      <c r="Y44" s="1678"/>
      <c r="Z44" s="350"/>
      <c r="AA44" s="350"/>
    </row>
    <row r="45" spans="1:28" s="352" customFormat="1" ht="15" customHeight="1">
      <c r="A45" s="350"/>
      <c r="B45" s="430">
        <v>4</v>
      </c>
      <c r="C45" s="2708" t="s">
        <v>686</v>
      </c>
      <c r="D45" s="2708"/>
      <c r="E45" s="2708"/>
      <c r="F45" s="2708"/>
      <c r="G45" s="2708"/>
      <c r="H45" s="2708"/>
      <c r="I45" s="2708"/>
      <c r="J45" s="2708"/>
      <c r="K45" s="2708"/>
      <c r="L45" s="2708"/>
      <c r="M45" s="2708"/>
      <c r="N45" s="2708"/>
      <c r="O45" s="2708"/>
      <c r="P45" s="2708"/>
      <c r="Q45" s="2708"/>
      <c r="R45" s="2708"/>
      <c r="S45" s="2708"/>
      <c r="T45" s="1678"/>
      <c r="U45" s="1678"/>
      <c r="V45" s="1678"/>
      <c r="W45" s="1678"/>
      <c r="X45" s="1678"/>
      <c r="Y45" s="1678"/>
      <c r="Z45" s="350"/>
      <c r="AA45" s="350"/>
    </row>
    <row r="46" spans="1:28" s="352" customFormat="1" ht="15" customHeight="1">
      <c r="A46" s="350"/>
      <c r="B46" s="430">
        <v>5</v>
      </c>
      <c r="C46" s="2704" t="s">
        <v>698</v>
      </c>
      <c r="D46" s="2704"/>
      <c r="E46" s="2704"/>
      <c r="F46" s="2704"/>
      <c r="G46" s="2704"/>
      <c r="H46" s="2704"/>
      <c r="I46" s="2704"/>
      <c r="J46" s="2704"/>
      <c r="K46" s="2704"/>
      <c r="L46" s="2704"/>
      <c r="M46" s="2704"/>
      <c r="N46" s="2704"/>
      <c r="O46" s="2704"/>
      <c r="P46" s="2704"/>
      <c r="Q46" s="2704"/>
      <c r="R46" s="2704"/>
      <c r="S46" s="2704"/>
      <c r="T46" s="1677"/>
    </row>
    <row r="47" spans="1:28" s="352" customFormat="1" ht="28.5" customHeight="1">
      <c r="A47" s="350"/>
      <c r="B47" s="430">
        <v>6</v>
      </c>
      <c r="C47" s="2704" t="s">
        <v>699</v>
      </c>
      <c r="D47" s="2704"/>
      <c r="E47" s="2704"/>
      <c r="F47" s="2704"/>
      <c r="G47" s="2704"/>
      <c r="H47" s="2704"/>
      <c r="I47" s="2704"/>
      <c r="J47" s="2704"/>
      <c r="K47" s="2704"/>
      <c r="L47" s="2704"/>
      <c r="M47" s="2704"/>
      <c r="N47" s="2704"/>
      <c r="O47" s="2704"/>
      <c r="P47" s="2704"/>
      <c r="Q47" s="2704"/>
      <c r="R47" s="2704"/>
      <c r="S47" s="2704"/>
      <c r="T47" s="1677"/>
    </row>
    <row r="48" spans="1:28" s="352" customFormat="1" ht="27.75" customHeight="1">
      <c r="A48" s="350"/>
      <c r="B48" s="430">
        <v>7</v>
      </c>
      <c r="C48" s="2704" t="s">
        <v>700</v>
      </c>
      <c r="D48" s="2704"/>
      <c r="E48" s="2704"/>
      <c r="F48" s="2704"/>
      <c r="G48" s="2704"/>
      <c r="H48" s="2704"/>
      <c r="I48" s="2704"/>
      <c r="J48" s="2704"/>
      <c r="K48" s="2704"/>
      <c r="L48" s="2704"/>
      <c r="M48" s="2704"/>
      <c r="N48" s="2704"/>
      <c r="O48" s="2704"/>
      <c r="P48" s="2704"/>
      <c r="Q48" s="2704"/>
      <c r="R48" s="2704"/>
      <c r="S48" s="2704"/>
      <c r="T48" s="1677"/>
    </row>
    <row r="49" spans="1:25" s="352" customFormat="1" ht="15" customHeight="1">
      <c r="A49" s="350"/>
      <c r="B49" s="430">
        <v>8</v>
      </c>
      <c r="C49" s="2704" t="s">
        <v>701</v>
      </c>
      <c r="D49" s="2704"/>
      <c r="E49" s="2704"/>
      <c r="F49" s="2704"/>
      <c r="G49" s="2704"/>
      <c r="H49" s="2704"/>
      <c r="I49" s="2704"/>
      <c r="J49" s="2704"/>
      <c r="K49" s="2704"/>
      <c r="L49" s="2704"/>
      <c r="M49" s="2704"/>
      <c r="N49" s="2704"/>
      <c r="O49" s="2704"/>
      <c r="P49" s="2704"/>
      <c r="Q49" s="2704"/>
      <c r="R49" s="2704"/>
      <c r="S49" s="2704"/>
      <c r="T49" s="1677"/>
    </row>
    <row r="50" spans="1:25" s="352" customFormat="1" ht="15" customHeight="1">
      <c r="A50" s="350"/>
      <c r="B50" s="430">
        <v>9</v>
      </c>
      <c r="C50" s="2704" t="s">
        <v>702</v>
      </c>
      <c r="D50" s="2704"/>
      <c r="E50" s="2704"/>
      <c r="F50" s="2704"/>
      <c r="G50" s="2704"/>
      <c r="H50" s="2704"/>
      <c r="I50" s="2704"/>
      <c r="J50" s="2704"/>
      <c r="K50" s="2704"/>
      <c r="L50" s="2704"/>
      <c r="M50" s="2704"/>
      <c r="N50" s="2704"/>
      <c r="O50" s="2704"/>
      <c r="P50" s="2704"/>
      <c r="Q50" s="2704"/>
      <c r="R50" s="2704"/>
      <c r="S50" s="2704"/>
      <c r="T50" s="1677"/>
    </row>
    <row r="51" spans="1:25" s="352" customFormat="1" ht="15" customHeight="1">
      <c r="A51" s="350"/>
      <c r="B51" s="430">
        <v>10</v>
      </c>
      <c r="C51" s="2704" t="s">
        <v>2089</v>
      </c>
      <c r="D51" s="2704"/>
      <c r="E51" s="2704"/>
      <c r="F51" s="2704"/>
      <c r="G51" s="2704"/>
      <c r="H51" s="2704"/>
      <c r="I51" s="2704"/>
      <c r="J51" s="2704"/>
      <c r="K51" s="2704"/>
      <c r="L51" s="2704"/>
      <c r="M51" s="2704"/>
      <c r="N51" s="2704"/>
      <c r="O51" s="2704"/>
      <c r="P51" s="2704"/>
      <c r="Q51" s="2704"/>
      <c r="R51" s="2704"/>
      <c r="S51" s="2704"/>
      <c r="T51" s="1677"/>
    </row>
    <row r="52" spans="1:25" s="352" customFormat="1" ht="15" customHeight="1">
      <c r="A52" s="350"/>
      <c r="B52" s="430">
        <v>11</v>
      </c>
      <c r="C52" s="2704" t="s">
        <v>703</v>
      </c>
      <c r="D52" s="2704"/>
      <c r="E52" s="2704"/>
      <c r="F52" s="2704"/>
      <c r="G52" s="2704"/>
      <c r="H52" s="2704"/>
      <c r="I52" s="2704"/>
      <c r="J52" s="2704"/>
      <c r="K52" s="2704"/>
      <c r="L52" s="2704"/>
      <c r="M52" s="2704"/>
      <c r="N52" s="2704"/>
      <c r="O52" s="2704"/>
      <c r="P52" s="2704"/>
      <c r="Q52" s="2704"/>
      <c r="R52" s="2704"/>
      <c r="S52" s="2704"/>
      <c r="T52" s="1677"/>
    </row>
    <row r="53" spans="1:25" s="352" customFormat="1" ht="27.75" customHeight="1">
      <c r="A53" s="350"/>
      <c r="B53" s="430">
        <v>12</v>
      </c>
      <c r="C53" s="2704" t="s">
        <v>1335</v>
      </c>
      <c r="D53" s="2704"/>
      <c r="E53" s="2704"/>
      <c r="F53" s="2704"/>
      <c r="G53" s="2704"/>
      <c r="H53" s="2704"/>
      <c r="I53" s="2704"/>
      <c r="J53" s="2704"/>
      <c r="K53" s="2704"/>
      <c r="L53" s="2704"/>
      <c r="M53" s="2704"/>
      <c r="N53" s="2704"/>
      <c r="O53" s="2704"/>
      <c r="P53" s="2704"/>
      <c r="Q53" s="2704"/>
      <c r="R53" s="2704"/>
      <c r="S53" s="2704"/>
      <c r="T53" s="1677"/>
    </row>
    <row r="54" spans="1:25" s="350" customFormat="1">
      <c r="B54" s="430">
        <v>13</v>
      </c>
      <c r="C54" s="350" t="s">
        <v>1409</v>
      </c>
      <c r="D54" s="1503"/>
      <c r="E54" s="1503"/>
      <c r="F54" s="1503"/>
      <c r="G54" s="1503"/>
      <c r="H54" s="1503"/>
      <c r="I54" s="1503"/>
      <c r="J54" s="1503"/>
      <c r="K54" s="1503"/>
      <c r="L54" s="1503"/>
      <c r="M54" s="1503"/>
      <c r="N54" s="1503"/>
      <c r="O54" s="1503"/>
      <c r="P54" s="1503"/>
      <c r="Q54" s="1503"/>
      <c r="R54" s="1503"/>
      <c r="S54" s="1503"/>
      <c r="T54" s="1503"/>
      <c r="U54" s="1503"/>
      <c r="V54" s="1503"/>
      <c r="W54" s="1503"/>
      <c r="X54" s="1503"/>
      <c r="Y54" s="1503"/>
    </row>
  </sheetData>
  <mergeCells count="20">
    <mergeCell ref="C45:S45"/>
    <mergeCell ref="E7:F7"/>
    <mergeCell ref="H7:I7"/>
    <mergeCell ref="K7:L7"/>
    <mergeCell ref="N7:O7"/>
    <mergeCell ref="Q7:R7"/>
    <mergeCell ref="W7:X7"/>
    <mergeCell ref="B41:C41"/>
    <mergeCell ref="C42:S42"/>
    <mergeCell ref="C43:S43"/>
    <mergeCell ref="C44:S44"/>
    <mergeCell ref="T7:U7"/>
    <mergeCell ref="C52:S52"/>
    <mergeCell ref="C53:S53"/>
    <mergeCell ref="C46:S46"/>
    <mergeCell ref="C47:S47"/>
    <mergeCell ref="C48:S48"/>
    <mergeCell ref="C49:S49"/>
    <mergeCell ref="C50:S50"/>
    <mergeCell ref="C51:S51"/>
  </mergeCells>
  <pageMargins left="0.17" right="0.09" top="0.34" bottom="0.24" header="0.3" footer="0.3"/>
  <pageSetup scale="25"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AG49"/>
  <sheetViews>
    <sheetView zoomScale="85" zoomScaleNormal="85" zoomScaleSheetLayoutView="85" workbookViewId="0"/>
  </sheetViews>
  <sheetFormatPr defaultRowHeight="15.75"/>
  <cols>
    <col min="1" max="1" width="4.7109375" style="1849" customWidth="1"/>
    <col min="2" max="2" width="14.28515625" style="1849" customWidth="1"/>
    <col min="3" max="23" width="11.5703125" style="1849" customWidth="1"/>
    <col min="24" max="24" width="11.5703125" style="1858" customWidth="1"/>
    <col min="25" max="28" width="11.5703125" style="1849" customWidth="1"/>
    <col min="29" max="29" width="10.85546875" style="1849" customWidth="1"/>
    <col min="30" max="30" width="11.5703125" style="1849" customWidth="1"/>
    <col min="31" max="31" width="3.85546875" style="1849" customWidth="1"/>
    <col min="32" max="32" width="13.28515625" style="1849" customWidth="1"/>
    <col min="33" max="16384" width="9.140625" style="1849"/>
  </cols>
  <sheetData>
    <row r="1" spans="1:29" ht="16.5" customHeight="1">
      <c r="A1" s="1845"/>
      <c r="B1" s="1846" t="s">
        <v>365</v>
      </c>
      <c r="C1" s="1847"/>
      <c r="D1" s="1847"/>
      <c r="E1" s="1847"/>
      <c r="F1" s="1847"/>
      <c r="G1" s="1848"/>
      <c r="H1" s="1848"/>
      <c r="I1" s="1848"/>
      <c r="J1" s="1848"/>
      <c r="K1" s="1848"/>
      <c r="L1" s="1848"/>
      <c r="M1" s="1848"/>
      <c r="N1" s="1848"/>
      <c r="O1" s="1848"/>
      <c r="P1" s="1848"/>
      <c r="Q1" s="1848"/>
      <c r="R1" s="1848"/>
      <c r="S1" s="1848"/>
      <c r="T1" s="1848"/>
      <c r="U1" s="1848"/>
      <c r="V1" s="1848"/>
      <c r="W1" s="1848"/>
      <c r="X1" s="1847"/>
      <c r="Y1" s="1848"/>
      <c r="Z1" s="1848"/>
    </row>
    <row r="2" spans="1:29" ht="16.5" customHeight="1">
      <c r="A2" s="1852"/>
      <c r="B2" s="2716" t="s">
        <v>1015</v>
      </c>
      <c r="C2" s="2716"/>
      <c r="D2" s="2716"/>
      <c r="E2" s="2716"/>
      <c r="F2" s="2716"/>
      <c r="G2" s="2716"/>
      <c r="H2" s="2716"/>
      <c r="I2" s="2716"/>
      <c r="J2" s="2716"/>
      <c r="K2" s="2716"/>
      <c r="L2" s="2716"/>
      <c r="M2" s="2716"/>
      <c r="N2" s="2716"/>
      <c r="O2" s="2716"/>
      <c r="P2" s="2716"/>
      <c r="Q2" s="2716"/>
      <c r="R2" s="2716"/>
      <c r="S2" s="2716"/>
      <c r="T2" s="2716"/>
      <c r="U2" s="2716"/>
      <c r="V2" s="2716"/>
      <c r="W2" s="2716"/>
      <c r="X2" s="2716"/>
      <c r="Y2" s="2716"/>
      <c r="Z2" s="2716"/>
      <c r="AA2" s="2716"/>
      <c r="AB2" s="2716"/>
    </row>
    <row r="3" spans="1:29" ht="16.5" customHeight="1">
      <c r="A3" s="1845"/>
      <c r="B3" s="2372"/>
      <c r="C3" s="1564"/>
      <c r="D3" s="1564"/>
      <c r="E3" s="1564"/>
      <c r="F3" s="1564"/>
      <c r="G3" s="1564"/>
      <c r="H3" s="1851"/>
      <c r="I3" s="1848"/>
      <c r="J3" s="1848"/>
      <c r="K3" s="1848"/>
      <c r="L3" s="1848"/>
      <c r="M3" s="1848"/>
      <c r="N3" s="1848"/>
      <c r="O3" s="1848"/>
      <c r="P3" s="1848"/>
      <c r="Q3" s="1848"/>
      <c r="R3" s="1858"/>
      <c r="S3" s="1848"/>
      <c r="T3" s="1848"/>
      <c r="U3" s="1848"/>
      <c r="V3" s="1848"/>
      <c r="W3" s="1848"/>
      <c r="X3" s="1847"/>
      <c r="Y3" s="1848"/>
      <c r="Z3" s="1848"/>
    </row>
    <row r="4" spans="1:29" ht="16.5" customHeight="1" thickBot="1">
      <c r="R4" s="1858"/>
      <c r="S4" s="1854"/>
      <c r="T4" s="1848"/>
      <c r="U4" s="1854"/>
      <c r="V4" s="1854"/>
      <c r="W4" s="1854"/>
      <c r="X4" s="1855"/>
    </row>
    <row r="5" spans="1:29" ht="16.5" customHeight="1" thickBot="1">
      <c r="B5" s="1856"/>
      <c r="C5" s="2711" t="s">
        <v>1400</v>
      </c>
      <c r="D5" s="2712"/>
      <c r="E5" s="2712"/>
      <c r="F5" s="2712"/>
      <c r="G5" s="2712"/>
      <c r="H5" s="2712"/>
      <c r="I5" s="2712"/>
      <c r="J5" s="2712"/>
      <c r="K5" s="2712"/>
      <c r="L5" s="2712"/>
      <c r="M5" s="2712"/>
      <c r="N5" s="2712"/>
      <c r="O5" s="2712"/>
      <c r="P5" s="2712"/>
      <c r="Q5" s="2712"/>
      <c r="R5" s="2712"/>
      <c r="S5" s="2713"/>
      <c r="T5" s="1848"/>
      <c r="U5" s="2711" t="s">
        <v>812</v>
      </c>
      <c r="V5" s="2712"/>
      <c r="W5" s="2712"/>
      <c r="X5" s="2712"/>
      <c r="Y5" s="2712"/>
      <c r="Z5" s="2713"/>
      <c r="AA5" s="1859"/>
      <c r="AB5" s="1858"/>
      <c r="AC5" s="1858"/>
    </row>
    <row r="6" spans="1:29" ht="16.5" customHeight="1" thickBot="1">
      <c r="B6" s="1860" t="s">
        <v>328</v>
      </c>
      <c r="C6" s="1957" t="s">
        <v>359</v>
      </c>
      <c r="D6" s="1865" t="s">
        <v>811</v>
      </c>
      <c r="E6" s="1866" t="s">
        <v>810</v>
      </c>
      <c r="F6" s="1866" t="s">
        <v>809</v>
      </c>
      <c r="G6" s="1866" t="s">
        <v>808</v>
      </c>
      <c r="H6" s="1866" t="s">
        <v>807</v>
      </c>
      <c r="I6" s="1866" t="s">
        <v>806</v>
      </c>
      <c r="J6" s="1866" t="s">
        <v>805</v>
      </c>
      <c r="K6" s="1866" t="s">
        <v>804</v>
      </c>
      <c r="L6" s="1866" t="s">
        <v>803</v>
      </c>
      <c r="M6" s="1866" t="s">
        <v>802</v>
      </c>
      <c r="N6" s="1866" t="s">
        <v>801</v>
      </c>
      <c r="O6" s="1866" t="s">
        <v>800</v>
      </c>
      <c r="P6" s="1866" t="s">
        <v>1734</v>
      </c>
      <c r="Q6" s="1866" t="s">
        <v>2004</v>
      </c>
      <c r="R6" s="1866" t="s">
        <v>2005</v>
      </c>
      <c r="S6" s="1864" t="s">
        <v>397</v>
      </c>
      <c r="T6" s="1848"/>
      <c r="U6" s="1865" t="s">
        <v>799</v>
      </c>
      <c r="V6" s="1866" t="s">
        <v>798</v>
      </c>
      <c r="W6" s="1866" t="s">
        <v>797</v>
      </c>
      <c r="X6" s="1866" t="s">
        <v>796</v>
      </c>
      <c r="Y6" s="1867" t="s">
        <v>955</v>
      </c>
      <c r="Z6" s="1864" t="s">
        <v>795</v>
      </c>
      <c r="AA6" s="1859"/>
      <c r="AB6" s="1858"/>
      <c r="AC6" s="1858"/>
    </row>
    <row r="7" spans="1:29" ht="47.25" customHeight="1">
      <c r="B7" s="1868" t="s">
        <v>751</v>
      </c>
      <c r="C7" s="2396" t="s">
        <v>365</v>
      </c>
      <c r="D7" s="1871" t="s">
        <v>794</v>
      </c>
      <c r="E7" s="1871" t="s">
        <v>793</v>
      </c>
      <c r="F7" s="1871" t="s">
        <v>1989</v>
      </c>
      <c r="G7" s="1871" t="s">
        <v>792</v>
      </c>
      <c r="H7" s="1871" t="s">
        <v>791</v>
      </c>
      <c r="I7" s="1871" t="s">
        <v>790</v>
      </c>
      <c r="J7" s="1871" t="s">
        <v>1990</v>
      </c>
      <c r="K7" s="1871" t="s">
        <v>789</v>
      </c>
      <c r="L7" s="1871" t="s">
        <v>788</v>
      </c>
      <c r="M7" s="1871" t="s">
        <v>787</v>
      </c>
      <c r="N7" s="1871" t="s">
        <v>786</v>
      </c>
      <c r="O7" s="1871" t="s">
        <v>748</v>
      </c>
      <c r="P7" s="1871" t="s">
        <v>2006</v>
      </c>
      <c r="Q7" s="1871" t="s">
        <v>2007</v>
      </c>
      <c r="R7" s="2382" t="s">
        <v>2008</v>
      </c>
      <c r="S7" s="2391"/>
      <c r="T7" s="1848"/>
      <c r="U7" s="1870" t="s">
        <v>785</v>
      </c>
      <c r="V7" s="1871" t="s">
        <v>784</v>
      </c>
      <c r="W7" s="1871" t="s">
        <v>783</v>
      </c>
      <c r="X7" s="1871" t="s">
        <v>1826</v>
      </c>
      <c r="Y7" s="1873" t="s">
        <v>956</v>
      </c>
      <c r="Z7" s="1874"/>
      <c r="AA7" s="1859"/>
      <c r="AB7" s="1858"/>
      <c r="AC7" s="1858"/>
    </row>
    <row r="8" spans="1:29" ht="15.75" customHeight="1">
      <c r="B8" s="1875" t="s">
        <v>468</v>
      </c>
      <c r="C8" s="2397" t="s">
        <v>782</v>
      </c>
      <c r="D8" s="1873" t="s">
        <v>781</v>
      </c>
      <c r="E8" s="1873" t="s">
        <v>781</v>
      </c>
      <c r="F8" s="1873" t="s">
        <v>781</v>
      </c>
      <c r="G8" s="1873" t="s">
        <v>781</v>
      </c>
      <c r="H8" s="1873" t="s">
        <v>781</v>
      </c>
      <c r="I8" s="1873" t="s">
        <v>781</v>
      </c>
      <c r="J8" s="1873" t="s">
        <v>781</v>
      </c>
      <c r="K8" s="1873" t="s">
        <v>781</v>
      </c>
      <c r="L8" s="1873" t="s">
        <v>781</v>
      </c>
      <c r="M8" s="1873" t="s">
        <v>781</v>
      </c>
      <c r="N8" s="1873" t="s">
        <v>781</v>
      </c>
      <c r="O8" s="1873" t="s">
        <v>781</v>
      </c>
      <c r="P8" s="1873" t="s">
        <v>781</v>
      </c>
      <c r="Q8" s="1873" t="s">
        <v>781</v>
      </c>
      <c r="R8" s="2383" t="s">
        <v>781</v>
      </c>
      <c r="S8" s="2392" t="s">
        <v>780</v>
      </c>
      <c r="T8" s="1858"/>
      <c r="U8" s="1877" t="s">
        <v>779</v>
      </c>
      <c r="V8" s="1873" t="s">
        <v>779</v>
      </c>
      <c r="W8" s="1873" t="s">
        <v>779</v>
      </c>
      <c r="X8" s="1873" t="s">
        <v>779</v>
      </c>
      <c r="Y8" s="1873" t="s">
        <v>779</v>
      </c>
      <c r="Z8" s="1874" t="s">
        <v>778</v>
      </c>
      <c r="AA8" s="1858"/>
    </row>
    <row r="9" spans="1:29" ht="16.5" customHeight="1" thickBot="1">
      <c r="B9" s="1879" t="s">
        <v>743</v>
      </c>
      <c r="C9" s="2398" t="s">
        <v>1998</v>
      </c>
      <c r="D9" s="1883" t="s">
        <v>776</v>
      </c>
      <c r="E9" s="1883" t="s">
        <v>775</v>
      </c>
      <c r="F9" s="1883" t="s">
        <v>1991</v>
      </c>
      <c r="G9" s="1883" t="s">
        <v>774</v>
      </c>
      <c r="H9" s="1883" t="s">
        <v>773</v>
      </c>
      <c r="I9" s="1883" t="s">
        <v>772</v>
      </c>
      <c r="J9" s="1883" t="s">
        <v>771</v>
      </c>
      <c r="K9" s="1883" t="s">
        <v>770</v>
      </c>
      <c r="L9" s="1883" t="s">
        <v>769</v>
      </c>
      <c r="M9" s="1883" t="s">
        <v>768</v>
      </c>
      <c r="N9" s="1883" t="s">
        <v>767</v>
      </c>
      <c r="O9" s="1883" t="s">
        <v>1641</v>
      </c>
      <c r="P9" s="1883" t="s">
        <v>1992</v>
      </c>
      <c r="Q9" s="1883" t="s">
        <v>2009</v>
      </c>
      <c r="R9" s="2384" t="s">
        <v>2010</v>
      </c>
      <c r="S9" s="2393"/>
      <c r="T9" s="1858"/>
      <c r="U9" s="1882" t="s">
        <v>766</v>
      </c>
      <c r="V9" s="1883" t="s">
        <v>765</v>
      </c>
      <c r="W9" s="1883" t="s">
        <v>764</v>
      </c>
      <c r="X9" s="1883" t="s">
        <v>2003</v>
      </c>
      <c r="Y9" s="1883" t="s">
        <v>957</v>
      </c>
      <c r="Z9" s="1885"/>
      <c r="AA9" s="1858"/>
    </row>
    <row r="10" spans="1:29">
      <c r="B10" s="1860" t="s">
        <v>147</v>
      </c>
      <c r="C10" s="2399">
        <v>8368.51</v>
      </c>
      <c r="D10" s="2389">
        <f>ROUND(AVERAGE('Att 9a1-2016 Actual'!F10,'Att 9a2 - 2015 actual'!F10,'Att 9a3 - 2014 actual'!F10),2)</f>
        <v>5.39</v>
      </c>
      <c r="E10" s="2389">
        <f>ROUND(AVERAGE('Att 9a1-2016 Actual'!G10,'Att 9a2 - 2015 actual'!G10,'Att 9a3 - 2014 actual'!G10),2)</f>
        <v>3.29</v>
      </c>
      <c r="F10" s="2389">
        <f>ROUND(AVERAGE('Att 9a1-2016 Actual'!H10,'Att 9a2 - 2015 actual'!H10,'Att 9a3 - 2014 actual'!H10),2)</f>
        <v>25.66</v>
      </c>
      <c r="G10" s="2389">
        <f>ROUND(AVERAGE('Att 9a1-2016 Actual'!I10,'Att 9a2 - 2015 actual'!I10,'Att 9a3 - 2014 actual'!I10),2)</f>
        <v>1.27</v>
      </c>
      <c r="H10" s="2389">
        <f>ROUND(AVERAGE('Att 9a1-2016 Actual'!J10,'Att 9a2 - 2015 actual'!J10,'Att 9a3 - 2014 actual'!J10),2)</f>
        <v>0.32</v>
      </c>
      <c r="I10" s="2389">
        <f>ROUND(AVERAGE('Att 9a1-2016 Actual'!M10,'Att 9a2 - 2015 actual'!K10,'Att 9a3 - 2014 actual'!K10),2)</f>
        <v>13.53</v>
      </c>
      <c r="J10" s="2389">
        <f>ROUND(AVERAGE('Att 9a1-2016 Actual'!N10,'Att 9a2 - 2015 actual'!L10,'Att 9a3 - 2014 actual'!L10),2)</f>
        <v>17.89</v>
      </c>
      <c r="K10" s="2389">
        <f>ROUND(AVERAGE('Att 9a1-2016 Actual'!Q10,'Att 9a2 - 2015 actual'!M10,'Att 9a3 - 2014 actual'!M10),2)</f>
        <v>3.52</v>
      </c>
      <c r="L10" s="2389">
        <f>ROUND(AVERAGE('Att 9a1-2016 Actual'!R10,'Att 9a2 - 2015 actual'!N10,'Att 9a3 - 2014 actual'!N10),2)</f>
        <v>47.68</v>
      </c>
      <c r="M10" s="2389">
        <f>ROUND(AVERAGE('Att 9a1-2016 Actual'!S10,'Att 9a2 - 2015 actual'!O10,'Att 9a3 - 2014 actual'!O10),2)</f>
        <v>0</v>
      </c>
      <c r="N10" s="2389">
        <f>ROUND(AVERAGE('Att 9a1-2016 Actual'!T10,'Att 9a2 - 2015 actual'!P10,'Att 9a3 - 2014 actual'!P10),2)</f>
        <v>0</v>
      </c>
      <c r="O10" s="2389">
        <f>ROUND(AVERAGE('Att 9a1-2016 Actual'!O10,'Att 9a2 - 2015 actual'!Q10,'Att 9a3 - 2014 actual'!Q10),2)</f>
        <v>6.74</v>
      </c>
      <c r="P10" s="2389">
        <f>ROUND(AVERAGE('Att 9a1-2016 Actual'!P10,'Att 9a2 - 2015 actual'!R10),2)</f>
        <v>2.79</v>
      </c>
      <c r="Q10" s="2389">
        <v>343.26</v>
      </c>
      <c r="R10" s="2390">
        <v>105.93</v>
      </c>
      <c r="S10" s="2394">
        <f>SUM(D10:R10)</f>
        <v>577.27</v>
      </c>
      <c r="T10" s="1858"/>
      <c r="U10" s="2620">
        <v>383.59</v>
      </c>
      <c r="V10" s="2621">
        <v>184.76</v>
      </c>
      <c r="W10" s="2621">
        <v>76.23</v>
      </c>
      <c r="X10" s="2621">
        <v>252.08</v>
      </c>
      <c r="Y10" s="2622">
        <f>ROUND(AVERAGE('Att 9a1-2016 Actual'!I31,'Att 9a2 - 2015 actual'!I31,'Att 9a3 - 2014 actual'!I31),2)</f>
        <v>0</v>
      </c>
      <c r="Z10" s="1890">
        <f>SUM(U10:Y10)</f>
        <v>896.66</v>
      </c>
      <c r="AA10" s="1892"/>
    </row>
    <row r="11" spans="1:29">
      <c r="B11" s="1860" t="s">
        <v>148</v>
      </c>
      <c r="C11" s="1893">
        <v>8272.89</v>
      </c>
      <c r="D11" s="2172">
        <f>ROUND(AVERAGE('Att 9a1-2016 Actual'!F11,'Att 9a2 - 2015 actual'!F11,'Att 9a3 - 2014 actual'!F11),2)</f>
        <v>6.18</v>
      </c>
      <c r="E11" s="2172">
        <f>ROUND(AVERAGE('Att 9a1-2016 Actual'!G11,'Att 9a2 - 2015 actual'!G11,'Att 9a3 - 2014 actual'!G11),2)</f>
        <v>3.25</v>
      </c>
      <c r="F11" s="2172">
        <f>ROUND(AVERAGE('Att 9a1-2016 Actual'!H11,'Att 9a2 - 2015 actual'!H11,'Att 9a3 - 2014 actual'!H11),2)</f>
        <v>30.4</v>
      </c>
      <c r="G11" s="2172">
        <f>ROUND(AVERAGE('Att 9a1-2016 Actual'!I11,'Att 9a2 - 2015 actual'!I11,'Att 9a3 - 2014 actual'!I11),2)</f>
        <v>1.34</v>
      </c>
      <c r="H11" s="2172">
        <f>ROUND(AVERAGE('Att 9a1-2016 Actual'!J11,'Att 9a2 - 2015 actual'!J11,'Att 9a3 - 2014 actual'!J11),2)</f>
        <v>0.38</v>
      </c>
      <c r="I11" s="2172">
        <f>ROUND(AVERAGE('Att 9a1-2016 Actual'!M11,'Att 9a2 - 2015 actual'!K11,'Att 9a3 - 2014 actual'!K11),2)</f>
        <v>26.12</v>
      </c>
      <c r="J11" s="2172">
        <f>ROUND(AVERAGE('Att 9a1-2016 Actual'!N11,'Att 9a2 - 2015 actual'!L11,'Att 9a3 - 2014 actual'!L11),2)</f>
        <v>18.12</v>
      </c>
      <c r="K11" s="2172">
        <f>ROUND(AVERAGE('Att 9a1-2016 Actual'!Q11,'Att 9a2 - 2015 actual'!M11,'Att 9a3 - 2014 actual'!M11),2)</f>
        <v>3.66</v>
      </c>
      <c r="L11" s="2172">
        <f>ROUND(AVERAGE('Att 9a1-2016 Actual'!R11,'Att 9a2 - 2015 actual'!N11,'Att 9a3 - 2014 actual'!N11),2)</f>
        <v>49.58</v>
      </c>
      <c r="M11" s="2172">
        <f>ROUND(AVERAGE('Att 9a1-2016 Actual'!S11,'Att 9a2 - 2015 actual'!O11,'Att 9a3 - 2014 actual'!O11),2)</f>
        <v>0</v>
      </c>
      <c r="N11" s="2172">
        <f>ROUND(AVERAGE('Att 9a1-2016 Actual'!T11,'Att 9a2 - 2015 actual'!P11,'Att 9a3 - 2014 actual'!P11),2)</f>
        <v>0</v>
      </c>
      <c r="O11" s="2172">
        <f>ROUND(AVERAGE('Att 9a1-2016 Actual'!O11,'Att 9a2 - 2015 actual'!Q11,'Att 9a3 - 2014 actual'!Q11),2)</f>
        <v>9.2200000000000006</v>
      </c>
      <c r="P11" s="2172">
        <f>ROUND(AVERAGE('Att 9a1-2016 Actual'!P11,'Att 9a2 - 2015 actual'!R11),2)</f>
        <v>2.25</v>
      </c>
      <c r="Q11" s="2172">
        <v>236.68</v>
      </c>
      <c r="R11" s="2385">
        <v>69.3</v>
      </c>
      <c r="S11" s="2394">
        <f t="shared" ref="S11:S21" si="0">SUM(D11:R11)</f>
        <v>456.48</v>
      </c>
      <c r="T11" s="1858"/>
      <c r="U11" s="1891">
        <v>369.37</v>
      </c>
      <c r="V11" s="1887">
        <v>158.85</v>
      </c>
      <c r="W11" s="1887">
        <v>80.11</v>
      </c>
      <c r="X11" s="1887">
        <v>252.24</v>
      </c>
      <c r="Y11" s="1977">
        <f>ROUND(AVERAGE('Att 9a1-2016 Actual'!I32,'Att 9a2 - 2015 actual'!I32,'Att 9a3 - 2014 actual'!I32),2)</f>
        <v>0</v>
      </c>
      <c r="Z11" s="1890">
        <f t="shared" ref="Z11:Z21" si="1">SUM(U11:Y11)</f>
        <v>860.57</v>
      </c>
      <c r="AA11" s="1892"/>
    </row>
    <row r="12" spans="1:29">
      <c r="B12" s="1860" t="s">
        <v>352</v>
      </c>
      <c r="C12" s="1893">
        <v>7559.19</v>
      </c>
      <c r="D12" s="2172">
        <f>ROUND(AVERAGE('Att 9a1-2016 Actual'!F12,'Att 9a2 - 2015 actual'!F12,'Att 9a3 - 2014 actual'!F12),2)</f>
        <v>6.06</v>
      </c>
      <c r="E12" s="2172">
        <f>ROUND(AVERAGE('Att 9a1-2016 Actual'!G12,'Att 9a2 - 2015 actual'!G12,'Att 9a3 - 2014 actual'!G12),2)</f>
        <v>3.04</v>
      </c>
      <c r="F12" s="2172">
        <f>ROUND(AVERAGE('Att 9a1-2016 Actual'!H12,'Att 9a2 - 2015 actual'!H12,'Att 9a3 - 2014 actual'!H12),2)</f>
        <v>25.24</v>
      </c>
      <c r="G12" s="2172">
        <f>ROUND(AVERAGE('Att 9a1-2016 Actual'!I12,'Att 9a2 - 2015 actual'!I12,'Att 9a3 - 2014 actual'!I12),2)</f>
        <v>1.08</v>
      </c>
      <c r="H12" s="2172">
        <f>ROUND(AVERAGE('Att 9a1-2016 Actual'!J12,'Att 9a2 - 2015 actual'!J12,'Att 9a3 - 2014 actual'!J12),2)</f>
        <v>0.24</v>
      </c>
      <c r="I12" s="2172">
        <f>ROUND(AVERAGE('Att 9a1-2016 Actual'!M12,'Att 9a2 - 2015 actual'!K12,'Att 9a3 - 2014 actual'!K12),2)</f>
        <v>17.57</v>
      </c>
      <c r="J12" s="2172">
        <f>ROUND(AVERAGE('Att 9a1-2016 Actual'!N12,'Att 9a2 - 2015 actual'!L12,'Att 9a3 - 2014 actual'!L12),2)</f>
        <v>17.489999999999998</v>
      </c>
      <c r="K12" s="2172">
        <f>ROUND(AVERAGE('Att 9a1-2016 Actual'!Q12,'Att 9a2 - 2015 actual'!M12,'Att 9a3 - 2014 actual'!M12),2)</f>
        <v>3.54</v>
      </c>
      <c r="L12" s="2172">
        <f>ROUND(AVERAGE('Att 9a1-2016 Actual'!R12,'Att 9a2 - 2015 actual'!N12,'Att 9a3 - 2014 actual'!N12),2)</f>
        <v>41.98</v>
      </c>
      <c r="M12" s="2172">
        <f>ROUND(AVERAGE('Att 9a1-2016 Actual'!S12,'Att 9a2 - 2015 actual'!O12,'Att 9a3 - 2014 actual'!O12),2)</f>
        <v>0.1</v>
      </c>
      <c r="N12" s="2172">
        <f>ROUND(AVERAGE('Att 9a1-2016 Actual'!T12,'Att 9a2 - 2015 actual'!P12,'Att 9a3 - 2014 actual'!P12),2)</f>
        <v>0</v>
      </c>
      <c r="O12" s="2172">
        <f>ROUND(AVERAGE('Att 9a1-2016 Actual'!O12,'Att 9a2 - 2015 actual'!Q12,'Att 9a3 - 2014 actual'!Q12),2)</f>
        <v>7.49</v>
      </c>
      <c r="P12" s="2172">
        <f>ROUND(AVERAGE('Att 9a1-2016 Actual'!P12,'Att 9a2 - 2015 actual'!R12),2)</f>
        <v>2.1800000000000002</v>
      </c>
      <c r="Q12" s="2172">
        <v>245.2</v>
      </c>
      <c r="R12" s="2385">
        <v>77.22</v>
      </c>
      <c r="S12" s="2394">
        <f t="shared" si="0"/>
        <v>448.42999999999995</v>
      </c>
      <c r="T12" s="1858"/>
      <c r="U12" s="1891">
        <v>311.42</v>
      </c>
      <c r="V12" s="1887">
        <v>169.79</v>
      </c>
      <c r="W12" s="1887">
        <v>83.62</v>
      </c>
      <c r="X12" s="1887">
        <v>203.22</v>
      </c>
      <c r="Y12" s="1977">
        <f>ROUND(AVERAGE('Att 9a1-2016 Actual'!I33,'Att 9a2 - 2015 actual'!I33,'Att 9a3 - 2014 actual'!I33),2)</f>
        <v>0</v>
      </c>
      <c r="Z12" s="1890">
        <f t="shared" si="1"/>
        <v>768.05000000000007</v>
      </c>
      <c r="AA12" s="1892"/>
    </row>
    <row r="13" spans="1:29">
      <c r="B13" s="1860" t="s">
        <v>143</v>
      </c>
      <c r="C13" s="1893">
        <v>7203.24</v>
      </c>
      <c r="D13" s="2172">
        <f>ROUND(AVERAGE('Att 9a1-2016 Actual'!F13,'Att 9a2 - 2015 actual'!F13,'Att 9a3 - 2014 actual'!F13),2)</f>
        <v>5.48</v>
      </c>
      <c r="E13" s="2172">
        <f>ROUND(AVERAGE('Att 9a1-2016 Actual'!G13,'Att 9a2 - 2015 actual'!G13,'Att 9a3 - 2014 actual'!G13),2)</f>
        <v>3.15</v>
      </c>
      <c r="F13" s="2172">
        <f>ROUND(AVERAGE('Att 9a1-2016 Actual'!H13,'Att 9a2 - 2015 actual'!H13,'Att 9a3 - 2014 actual'!H13),2)</f>
        <v>20.11</v>
      </c>
      <c r="G13" s="2172">
        <f>ROUND(AVERAGE('Att 9a1-2016 Actual'!I13,'Att 9a2 - 2015 actual'!I13,'Att 9a3 - 2014 actual'!I13),2)</f>
        <v>0.78</v>
      </c>
      <c r="H13" s="2172">
        <f>ROUND(AVERAGE('Att 9a1-2016 Actual'!J13,'Att 9a2 - 2015 actual'!J13,'Att 9a3 - 2014 actual'!J13),2)</f>
        <v>0.15</v>
      </c>
      <c r="I13" s="2172">
        <f>ROUND(AVERAGE('Att 9a1-2016 Actual'!M13,'Att 9a2 - 2015 actual'!K13,'Att 9a3 - 2014 actual'!K13),2)</f>
        <v>11</v>
      </c>
      <c r="J13" s="2172">
        <f>ROUND(AVERAGE('Att 9a1-2016 Actual'!N13,'Att 9a2 - 2015 actual'!L13,'Att 9a3 - 2014 actual'!L13),2)</f>
        <v>17.79</v>
      </c>
      <c r="K13" s="2172">
        <f>ROUND(AVERAGE('Att 9a1-2016 Actual'!Q13,'Att 9a2 - 2015 actual'!M13,'Att 9a3 - 2014 actual'!M13),2)</f>
        <v>2.94</v>
      </c>
      <c r="L13" s="2172">
        <f>ROUND(AVERAGE('Att 9a1-2016 Actual'!R13,'Att 9a2 - 2015 actual'!N13,'Att 9a3 - 2014 actual'!N13),2)</f>
        <v>36.28</v>
      </c>
      <c r="M13" s="2172">
        <f>ROUND(AVERAGE('Att 9a1-2016 Actual'!S13,'Att 9a2 - 2015 actual'!O13,'Att 9a3 - 2014 actual'!O13),2)</f>
        <v>0.25</v>
      </c>
      <c r="N13" s="2172">
        <f>ROUND(AVERAGE('Att 9a1-2016 Actual'!T13,'Att 9a2 - 2015 actual'!P13,'Att 9a3 - 2014 actual'!P13),2)</f>
        <v>1.03</v>
      </c>
      <c r="O13" s="2172">
        <f>ROUND(AVERAGE('Att 9a1-2016 Actual'!O13,'Att 9a2 - 2015 actual'!Q13,'Att 9a3 - 2014 actual'!Q13),2)</f>
        <v>8.0500000000000007</v>
      </c>
      <c r="P13" s="2172">
        <f>ROUND(AVERAGE('Att 9a1-2016 Actual'!P13,'Att 9a2 - 2015 actual'!R13),2)</f>
        <v>1.03</v>
      </c>
      <c r="Q13" s="2172">
        <v>219.9</v>
      </c>
      <c r="R13" s="2385">
        <v>75.83</v>
      </c>
      <c r="S13" s="2394">
        <f t="shared" si="0"/>
        <v>403.77</v>
      </c>
      <c r="T13" s="1858"/>
      <c r="U13" s="1891">
        <v>306.3</v>
      </c>
      <c r="V13" s="1887">
        <v>165.03</v>
      </c>
      <c r="W13" s="1887">
        <v>74.58</v>
      </c>
      <c r="X13" s="1887">
        <v>211.4</v>
      </c>
      <c r="Y13" s="1977">
        <f>ROUND(AVERAGE('Att 9a1-2016 Actual'!I34,'Att 9a2 - 2015 actual'!I34,'Att 9a3 - 2014 actual'!I34),2)</f>
        <v>0</v>
      </c>
      <c r="Z13" s="1890">
        <f t="shared" si="1"/>
        <v>757.31000000000006</v>
      </c>
      <c r="AA13" s="1892"/>
    </row>
    <row r="14" spans="1:29">
      <c r="A14" s="1886"/>
      <c r="B14" s="1860" t="s">
        <v>144</v>
      </c>
      <c r="C14" s="1893">
        <v>7717.09</v>
      </c>
      <c r="D14" s="2172">
        <f>ROUND(AVERAGE('Att 9a1-2016 Actual'!F14,'Att 9a2 - 2015 actual'!F14,'Att 9a3 - 2014 actual'!F14),2)</f>
        <v>4.78</v>
      </c>
      <c r="E14" s="2172">
        <f>ROUND(AVERAGE('Att 9a1-2016 Actual'!G14,'Att 9a2 - 2015 actual'!G14,'Att 9a3 - 2014 actual'!G14),2)</f>
        <v>3</v>
      </c>
      <c r="F14" s="2172">
        <f>ROUND(AVERAGE('Att 9a1-2016 Actual'!H14,'Att 9a2 - 2015 actual'!H14,'Att 9a3 - 2014 actual'!H14),2)</f>
        <v>12.06</v>
      </c>
      <c r="G14" s="2172">
        <f>ROUND(AVERAGE('Att 9a1-2016 Actual'!I14,'Att 9a2 - 2015 actual'!I14,'Att 9a3 - 2014 actual'!I14),2)</f>
        <v>0.32</v>
      </c>
      <c r="H14" s="2172">
        <f>ROUND(AVERAGE('Att 9a1-2016 Actual'!J14,'Att 9a2 - 2015 actual'!J14,'Att 9a3 - 2014 actual'!J14),2)</f>
        <v>0.14000000000000001</v>
      </c>
      <c r="I14" s="2172">
        <f>ROUND(AVERAGE('Att 9a1-2016 Actual'!M14,'Att 9a2 - 2015 actual'!K14,'Att 9a3 - 2014 actual'!K14),2)</f>
        <v>8.3699999999999992</v>
      </c>
      <c r="J14" s="2172">
        <f>ROUND(AVERAGE('Att 9a1-2016 Actual'!N14,'Att 9a2 - 2015 actual'!L14,'Att 9a3 - 2014 actual'!L14),2)</f>
        <v>19.77</v>
      </c>
      <c r="K14" s="2172">
        <f>ROUND(AVERAGE('Att 9a1-2016 Actual'!Q14,'Att 9a2 - 2015 actual'!M14,'Att 9a3 - 2014 actual'!M14),2)</f>
        <v>3.11</v>
      </c>
      <c r="L14" s="2172">
        <f>ROUND(AVERAGE('Att 9a1-2016 Actual'!R14,'Att 9a2 - 2015 actual'!N14,'Att 9a3 - 2014 actual'!N14),2)</f>
        <v>36.630000000000003</v>
      </c>
      <c r="M14" s="2172">
        <f>ROUND(AVERAGE('Att 9a1-2016 Actual'!S14,'Att 9a2 - 2015 actual'!O14,'Att 9a3 - 2014 actual'!O14),2)</f>
        <v>0.47</v>
      </c>
      <c r="N14" s="2172">
        <f>ROUND(AVERAGE('Att 9a1-2016 Actual'!T14,'Att 9a2 - 2015 actual'!P14,'Att 9a3 - 2014 actual'!P14),2)</f>
        <v>1.98</v>
      </c>
      <c r="O14" s="2172">
        <f>ROUND(AVERAGE('Att 9a1-2016 Actual'!O14,'Att 9a2 - 2015 actual'!Q14,'Att 9a3 - 2014 actual'!Q14),2)</f>
        <v>9.01</v>
      </c>
      <c r="P14" s="2172">
        <f>ROUND(AVERAGE('Att 9a1-2016 Actual'!P14,'Att 9a2 - 2015 actual'!R14),2)</f>
        <v>1.82</v>
      </c>
      <c r="Q14" s="2172">
        <v>219.9</v>
      </c>
      <c r="R14" s="2385">
        <v>75.83</v>
      </c>
      <c r="S14" s="2394">
        <f t="shared" si="0"/>
        <v>397.19</v>
      </c>
      <c r="T14" s="1858"/>
      <c r="U14" s="1891">
        <v>449.61</v>
      </c>
      <c r="V14" s="1887">
        <v>189.56</v>
      </c>
      <c r="W14" s="1887">
        <v>92.49</v>
      </c>
      <c r="X14" s="1887">
        <v>227.57</v>
      </c>
      <c r="Y14" s="1977">
        <f>ROUND(AVERAGE('Att 9a1-2016 Actual'!I35,'Att 9a2 - 2015 actual'!I35,'Att 9a3 - 2014 actual'!I35),2)</f>
        <v>0</v>
      </c>
      <c r="Z14" s="1890">
        <f t="shared" si="1"/>
        <v>959.23</v>
      </c>
      <c r="AA14" s="1892"/>
    </row>
    <row r="15" spans="1:29">
      <c r="B15" s="1860" t="s">
        <v>151</v>
      </c>
      <c r="C15" s="1893">
        <v>9802.77</v>
      </c>
      <c r="D15" s="2172">
        <f>ROUND(AVERAGE('Att 9a1-2016 Actual'!F15,'Att 9a2 - 2015 actual'!F15,'Att 9a3 - 2014 actual'!F15),2)</f>
        <v>5.46</v>
      </c>
      <c r="E15" s="2172">
        <f>ROUND(AVERAGE('Att 9a1-2016 Actual'!G15,'Att 9a2 - 2015 actual'!G15,'Att 9a3 - 2014 actual'!G15),2)</f>
        <v>3.37</v>
      </c>
      <c r="F15" s="2172">
        <f>ROUND(AVERAGE('Att 9a1-2016 Actual'!H15,'Att 9a2 - 2015 actual'!H15,'Att 9a3 - 2014 actual'!H15),2)</f>
        <v>10.5</v>
      </c>
      <c r="G15" s="2172">
        <f>ROUND(AVERAGE('Att 9a1-2016 Actual'!I15,'Att 9a2 - 2015 actual'!I15,'Att 9a3 - 2014 actual'!I15),2)</f>
        <v>0.36</v>
      </c>
      <c r="H15" s="2172">
        <f>ROUND(AVERAGE('Att 9a1-2016 Actual'!J15,'Att 9a2 - 2015 actual'!J15,'Att 9a3 - 2014 actual'!J15),2)</f>
        <v>0.2</v>
      </c>
      <c r="I15" s="2172">
        <f>ROUND(AVERAGE('Att 9a1-2016 Actual'!M15,'Att 9a2 - 2015 actual'!K15,'Att 9a3 - 2014 actual'!K15),2)</f>
        <v>18.489999999999998</v>
      </c>
      <c r="J15" s="2172">
        <f>ROUND(AVERAGE('Att 9a1-2016 Actual'!N15,'Att 9a2 - 2015 actual'!L15,'Att 9a3 - 2014 actual'!L15),2)</f>
        <v>22.41</v>
      </c>
      <c r="K15" s="2172">
        <f>ROUND(AVERAGE('Att 9a1-2016 Actual'!Q15,'Att 9a2 - 2015 actual'!M15,'Att 9a3 - 2014 actual'!M15),2)</f>
        <v>3.67</v>
      </c>
      <c r="L15" s="2172">
        <f>ROUND(AVERAGE('Att 9a1-2016 Actual'!R15,'Att 9a2 - 2015 actual'!N15,'Att 9a3 - 2014 actual'!N15),2)</f>
        <v>47.99</v>
      </c>
      <c r="M15" s="2172">
        <f>ROUND(AVERAGE('Att 9a1-2016 Actual'!S15,'Att 9a2 - 2015 actual'!O15,'Att 9a3 - 2014 actual'!O15),2)</f>
        <v>0.47</v>
      </c>
      <c r="N15" s="2172">
        <f>ROUND(AVERAGE('Att 9a1-2016 Actual'!T15,'Att 9a2 - 2015 actual'!P15,'Att 9a3 - 2014 actual'!P15),2)</f>
        <v>3.11</v>
      </c>
      <c r="O15" s="2172">
        <f>ROUND(AVERAGE('Att 9a1-2016 Actual'!O15,'Att 9a2 - 2015 actual'!Q15,'Att 9a3 - 2014 actual'!Q15),2)</f>
        <v>9.74</v>
      </c>
      <c r="P15" s="2172">
        <f>ROUND(AVERAGE('Att 9a1-2016 Actual'!P15,'Att 9a2 - 2015 actual'!R15),2)</f>
        <v>2.75</v>
      </c>
      <c r="Q15" s="2172">
        <v>219.9</v>
      </c>
      <c r="R15" s="2385">
        <v>75.83</v>
      </c>
      <c r="S15" s="2394">
        <f t="shared" si="0"/>
        <v>424.24999999999994</v>
      </c>
      <c r="T15" s="1858"/>
      <c r="U15" s="1891">
        <v>612.36</v>
      </c>
      <c r="V15" s="1887">
        <v>352.08</v>
      </c>
      <c r="W15" s="1887">
        <v>127.14</v>
      </c>
      <c r="X15" s="1887">
        <v>250.77</v>
      </c>
      <c r="Y15" s="1977">
        <f>ROUND(AVERAGE('Att 9a1-2016 Actual'!I36,'Att 9a2 - 2015 actual'!I36,'Att 9a3 - 2014 actual'!I36),2)</f>
        <v>0</v>
      </c>
      <c r="Z15" s="1890">
        <f t="shared" si="1"/>
        <v>1342.3500000000001</v>
      </c>
      <c r="AA15" s="1892"/>
    </row>
    <row r="16" spans="1:29">
      <c r="B16" s="1860" t="s">
        <v>742</v>
      </c>
      <c r="C16" s="1893">
        <v>10311.200000000001</v>
      </c>
      <c r="D16" s="2172">
        <f>ROUND(AVERAGE('Att 9a1-2016 Actual'!F16,'Att 9a2 - 2015 actual'!F16,'Att 9a3 - 2014 actual'!F16),2)</f>
        <v>5.99</v>
      </c>
      <c r="E16" s="2172">
        <f>ROUND(AVERAGE('Att 9a1-2016 Actual'!G16,'Att 9a2 - 2015 actual'!G16,'Att 9a3 - 2014 actual'!G16),2)</f>
        <v>3.54</v>
      </c>
      <c r="F16" s="2172">
        <f>ROUND(AVERAGE('Att 9a1-2016 Actual'!H16,'Att 9a2 - 2015 actual'!H16,'Att 9a3 - 2014 actual'!H16),2)</f>
        <v>13.2</v>
      </c>
      <c r="G16" s="2172">
        <f>ROUND(AVERAGE('Att 9a1-2016 Actual'!I16,'Att 9a2 - 2015 actual'!I16,'Att 9a3 - 2014 actual'!I16),2)</f>
        <v>0.43</v>
      </c>
      <c r="H16" s="2172">
        <f>ROUND(AVERAGE('Att 9a1-2016 Actual'!J16,'Att 9a2 - 2015 actual'!J16,'Att 9a3 - 2014 actual'!J16),2)</f>
        <v>0.04</v>
      </c>
      <c r="I16" s="2172">
        <f>ROUND(AVERAGE('Att 9a1-2016 Actual'!M16,'Att 9a2 - 2015 actual'!K16,'Att 9a3 - 2014 actual'!K16),2)</f>
        <v>15.52</v>
      </c>
      <c r="J16" s="2172">
        <f>ROUND(AVERAGE('Att 9a1-2016 Actual'!N16,'Att 9a2 - 2015 actual'!L16,'Att 9a3 - 2014 actual'!L16),2)</f>
        <v>25.52</v>
      </c>
      <c r="K16" s="2172">
        <f>ROUND(AVERAGE('Att 9a1-2016 Actual'!Q16,'Att 9a2 - 2015 actual'!M16,'Att 9a3 - 2014 actual'!M16),2)</f>
        <v>3.6</v>
      </c>
      <c r="L16" s="2172">
        <f>ROUND(AVERAGE('Att 9a1-2016 Actual'!R16,'Att 9a2 - 2015 actual'!N16,'Att 9a3 - 2014 actual'!N16),2)</f>
        <v>47.79</v>
      </c>
      <c r="M16" s="2172">
        <f>ROUND(AVERAGE('Att 9a1-2016 Actual'!S16,'Att 9a2 - 2015 actual'!O16,'Att 9a3 - 2014 actual'!O16),2)</f>
        <v>0.62</v>
      </c>
      <c r="N16" s="2172">
        <f>ROUND(AVERAGE('Att 9a1-2016 Actual'!T16,'Att 9a2 - 2015 actual'!P16,'Att 9a3 - 2014 actual'!P16),2)</f>
        <v>3.25</v>
      </c>
      <c r="O16" s="2172">
        <f>ROUND(AVERAGE('Att 9a1-2016 Actual'!O16,'Att 9a2 - 2015 actual'!Q16,'Att 9a3 - 2014 actual'!Q16),2)</f>
        <v>9.9600000000000009</v>
      </c>
      <c r="P16" s="2172">
        <f>ROUND(AVERAGE('Att 9a1-2016 Actual'!P16,'Att 9a2 - 2015 actual'!R16),2)</f>
        <v>2.34</v>
      </c>
      <c r="Q16" s="2172">
        <v>180.29900000000001</v>
      </c>
      <c r="R16" s="2385">
        <v>68</v>
      </c>
      <c r="S16" s="2394">
        <f t="shared" si="0"/>
        <v>380.09900000000005</v>
      </c>
      <c r="T16" s="1858"/>
      <c r="U16" s="1891">
        <v>706.88</v>
      </c>
      <c r="V16" s="1887">
        <v>378.06</v>
      </c>
      <c r="W16" s="1887">
        <v>127.73</v>
      </c>
      <c r="X16" s="1887">
        <v>257.83999999999997</v>
      </c>
      <c r="Y16" s="1977">
        <f>ROUND(AVERAGE('Att 9a1-2016 Actual'!I37,'Att 9a2 - 2015 actual'!I37,'Att 9a3 - 2014 actual'!I37),2)</f>
        <v>0</v>
      </c>
      <c r="Z16" s="1890">
        <f t="shared" si="1"/>
        <v>1470.51</v>
      </c>
      <c r="AA16" s="1892"/>
    </row>
    <row r="17" spans="1:33">
      <c r="B17" s="1860" t="s">
        <v>153</v>
      </c>
      <c r="C17" s="1893">
        <v>9639.77</v>
      </c>
      <c r="D17" s="2172">
        <f>ROUND(AVERAGE('Att 9a1-2016 Actual'!F17,'Att 9a2 - 2015 actual'!F17,'Att 9a3 - 2014 actual'!F17),2)</f>
        <v>6.44</v>
      </c>
      <c r="E17" s="2172">
        <f>ROUND(AVERAGE('Att 9a1-2016 Actual'!G17,'Att 9a2 - 2015 actual'!G17,'Att 9a3 - 2014 actual'!G17),2)</f>
        <v>3.46</v>
      </c>
      <c r="F17" s="2172">
        <f>ROUND(AVERAGE('Att 9a1-2016 Actual'!H17,'Att 9a2 - 2015 actual'!H17,'Att 9a3 - 2014 actual'!H17),2)</f>
        <v>12.51</v>
      </c>
      <c r="G17" s="2172">
        <f>ROUND(AVERAGE('Att 9a1-2016 Actual'!I17,'Att 9a2 - 2015 actual'!I17,'Att 9a3 - 2014 actual'!I17),2)</f>
        <v>0.35</v>
      </c>
      <c r="H17" s="2172">
        <f>ROUND(AVERAGE('Att 9a1-2016 Actual'!J17,'Att 9a2 - 2015 actual'!J17,'Att 9a3 - 2014 actual'!J17),2)</f>
        <v>0.14000000000000001</v>
      </c>
      <c r="I17" s="2172">
        <f>ROUND(AVERAGE('Att 9a1-2016 Actual'!M17,'Att 9a2 - 2015 actual'!K17,'Att 9a3 - 2014 actual'!K17),2)</f>
        <v>14.17</v>
      </c>
      <c r="J17" s="2172">
        <f>ROUND(AVERAGE('Att 9a1-2016 Actual'!N17,'Att 9a2 - 2015 actual'!L17,'Att 9a3 - 2014 actual'!L17),2)</f>
        <v>24.68</v>
      </c>
      <c r="K17" s="2172">
        <f>ROUND(AVERAGE('Att 9a1-2016 Actual'!Q17,'Att 9a2 - 2015 actual'!M17,'Att 9a3 - 2014 actual'!M17),2)</f>
        <v>3.65</v>
      </c>
      <c r="L17" s="2172">
        <f>ROUND(AVERAGE('Att 9a1-2016 Actual'!R17,'Att 9a2 - 2015 actual'!N17,'Att 9a3 - 2014 actual'!N17),2)</f>
        <v>55.18</v>
      </c>
      <c r="M17" s="2172">
        <f>ROUND(AVERAGE('Att 9a1-2016 Actual'!S17,'Att 9a2 - 2015 actual'!O17,'Att 9a3 - 2014 actual'!O17),2)</f>
        <v>0.6</v>
      </c>
      <c r="N17" s="2172">
        <f>ROUND(AVERAGE('Att 9a1-2016 Actual'!T17,'Att 9a2 - 2015 actual'!P17,'Att 9a3 - 2014 actual'!P17),2)</f>
        <v>3</v>
      </c>
      <c r="O17" s="2172">
        <f>ROUND(AVERAGE('Att 9a1-2016 Actual'!O17,'Att 9a2 - 2015 actual'!Q17,'Att 9a3 - 2014 actual'!Q17),2)</f>
        <v>10.57</v>
      </c>
      <c r="P17" s="2172">
        <f>ROUND(AVERAGE('Att 9a1-2016 Actual'!P17,'Att 9a2 - 2015 actual'!R17),2)</f>
        <v>2.27</v>
      </c>
      <c r="Q17" s="2172">
        <v>158.40100000000001</v>
      </c>
      <c r="R17" s="2385">
        <v>64</v>
      </c>
      <c r="S17" s="2394">
        <f t="shared" si="0"/>
        <v>359.42100000000005</v>
      </c>
      <c r="T17" s="1858"/>
      <c r="U17" s="1891">
        <v>664.21</v>
      </c>
      <c r="V17" s="1887">
        <v>337.05</v>
      </c>
      <c r="W17" s="1887">
        <v>114.76</v>
      </c>
      <c r="X17" s="1887">
        <v>258.29000000000002</v>
      </c>
      <c r="Y17" s="1977">
        <f>ROUND(AVERAGE('Att 9a1-2016 Actual'!I38,'Att 9a2 - 2015 actual'!I38,'Att 9a3 - 2014 actual'!I38),2)</f>
        <v>0</v>
      </c>
      <c r="Z17" s="1890">
        <f t="shared" si="1"/>
        <v>1374.31</v>
      </c>
      <c r="AA17" s="1892"/>
    </row>
    <row r="18" spans="1:33">
      <c r="B18" s="1860" t="s">
        <v>741</v>
      </c>
      <c r="C18" s="1893">
        <v>8647.15</v>
      </c>
      <c r="D18" s="2172">
        <f>ROUND(AVERAGE('Att 9a1-2016 Actual'!F18,'Att 9a2 - 2015 actual'!F18,'Att 9a3 - 2014 actual'!F18),2)</f>
        <v>5.91</v>
      </c>
      <c r="E18" s="2172">
        <f>ROUND(AVERAGE('Att 9a1-2016 Actual'!G18,'Att 9a2 - 2015 actual'!G18,'Att 9a3 - 2014 actual'!G18),2)</f>
        <v>2.85</v>
      </c>
      <c r="F18" s="2172">
        <f>ROUND(AVERAGE('Att 9a1-2016 Actual'!H18,'Att 9a2 - 2015 actual'!H18,'Att 9a3 - 2014 actual'!H18),2)</f>
        <v>9.1300000000000008</v>
      </c>
      <c r="G18" s="2172">
        <f>ROUND(AVERAGE('Att 9a1-2016 Actual'!I18,'Att 9a2 - 2015 actual'!I18,'Att 9a3 - 2014 actual'!I18),2)</f>
        <v>0.26</v>
      </c>
      <c r="H18" s="2172">
        <f>ROUND(AVERAGE('Att 9a1-2016 Actual'!J18,'Att 9a2 - 2015 actual'!J18,'Att 9a3 - 2014 actual'!J18),2)</f>
        <v>0.1</v>
      </c>
      <c r="I18" s="2172">
        <f>ROUND(AVERAGE('Att 9a1-2016 Actual'!M18,'Att 9a2 - 2015 actual'!K18,'Att 9a3 - 2014 actual'!K18),2)</f>
        <v>13.8</v>
      </c>
      <c r="J18" s="2172">
        <f>ROUND(AVERAGE('Att 9a1-2016 Actual'!N18,'Att 9a2 - 2015 actual'!L18,'Att 9a3 - 2014 actual'!L18),2)</f>
        <v>21.97</v>
      </c>
      <c r="K18" s="2172">
        <f>ROUND(AVERAGE('Att 9a1-2016 Actual'!Q18,'Att 9a2 - 2015 actual'!M18,'Att 9a3 - 2014 actual'!M18),2)</f>
        <v>3.85</v>
      </c>
      <c r="L18" s="2172">
        <f>ROUND(AVERAGE('Att 9a1-2016 Actual'!R18,'Att 9a2 - 2015 actual'!N18,'Att 9a3 - 2014 actual'!N18),2)</f>
        <v>47.05</v>
      </c>
      <c r="M18" s="2172">
        <f>ROUND(AVERAGE('Att 9a1-2016 Actual'!S18,'Att 9a2 - 2015 actual'!O18,'Att 9a3 - 2014 actual'!O18),2)</f>
        <v>0.47</v>
      </c>
      <c r="N18" s="2172">
        <f>ROUND(AVERAGE('Att 9a1-2016 Actual'!T18,'Att 9a2 - 2015 actual'!P18,'Att 9a3 - 2014 actual'!P18),2)</f>
        <v>2.44</v>
      </c>
      <c r="O18" s="2172">
        <f>ROUND(AVERAGE('Att 9a1-2016 Actual'!O18,'Att 9a2 - 2015 actual'!Q18,'Att 9a3 - 2014 actual'!Q18),2)</f>
        <v>10.43</v>
      </c>
      <c r="P18" s="2172">
        <f>ROUND(AVERAGE('Att 9a1-2016 Actual'!P18,'Att 9a2 - 2015 actual'!R18),2)</f>
        <v>2.0099999999999998</v>
      </c>
      <c r="Q18" s="2172">
        <v>138.32</v>
      </c>
      <c r="R18" s="2385">
        <v>54</v>
      </c>
      <c r="S18" s="2394">
        <f t="shared" si="0"/>
        <v>312.58999999999997</v>
      </c>
      <c r="T18" s="1858"/>
      <c r="U18" s="1891">
        <v>585.13</v>
      </c>
      <c r="V18" s="1887">
        <v>310.99</v>
      </c>
      <c r="W18" s="1887">
        <v>105.95</v>
      </c>
      <c r="X18" s="1887">
        <v>246.93</v>
      </c>
      <c r="Y18" s="1977">
        <f>ROUND(AVERAGE('Att 9a1-2016 Actual'!I39,'Att 9a2 - 2015 actual'!I39,'Att 9a3 - 2014 actual'!I39),2)</f>
        <v>0</v>
      </c>
      <c r="Z18" s="1890">
        <f t="shared" si="1"/>
        <v>1249</v>
      </c>
      <c r="AA18" s="1892"/>
    </row>
    <row r="19" spans="1:33">
      <c r="B19" s="1860" t="s">
        <v>155</v>
      </c>
      <c r="C19" s="1893">
        <v>7346.78</v>
      </c>
      <c r="D19" s="2172">
        <f>ROUND(AVERAGE('Att 9a1-2016 Actual'!F19,'Att 9a2 - 2015 actual'!F19,'Att 9a3 - 2014 actual'!F19),2)</f>
        <v>5.21</v>
      </c>
      <c r="E19" s="2172">
        <f>ROUND(AVERAGE('Att 9a1-2016 Actual'!G19,'Att 9a2 - 2015 actual'!G19,'Att 9a3 - 2014 actual'!G19),2)</f>
        <v>2.93</v>
      </c>
      <c r="F19" s="2172">
        <f>ROUND(AVERAGE('Att 9a1-2016 Actual'!H19,'Att 9a2 - 2015 actual'!H19,'Att 9a3 - 2014 actual'!H19),2)</f>
        <v>12.68</v>
      </c>
      <c r="G19" s="2172">
        <f>ROUND(AVERAGE('Att 9a1-2016 Actual'!I19,'Att 9a2 - 2015 actual'!I19,'Att 9a3 - 2014 actual'!I19),2)</f>
        <v>0.19</v>
      </c>
      <c r="H19" s="2172">
        <f>ROUND(AVERAGE('Att 9a1-2016 Actual'!J19,'Att 9a2 - 2015 actual'!J19,'Att 9a3 - 2014 actual'!J19),2)</f>
        <v>0.28999999999999998</v>
      </c>
      <c r="I19" s="2172">
        <f>ROUND(AVERAGE('Att 9a1-2016 Actual'!M19,'Att 9a2 - 2015 actual'!K19,'Att 9a3 - 2014 actual'!K19),2)</f>
        <v>13.94</v>
      </c>
      <c r="J19" s="2172">
        <f>ROUND(AVERAGE('Att 9a1-2016 Actual'!N19,'Att 9a2 - 2015 actual'!L19,'Att 9a3 - 2014 actual'!L19),2)</f>
        <v>20.48</v>
      </c>
      <c r="K19" s="2172">
        <f>ROUND(AVERAGE('Att 9a1-2016 Actual'!Q19,'Att 9a2 - 2015 actual'!M19,'Att 9a3 - 2014 actual'!M19),2)</f>
        <v>3.16</v>
      </c>
      <c r="L19" s="2172">
        <f>ROUND(AVERAGE('Att 9a1-2016 Actual'!R19,'Att 9a2 - 2015 actual'!N19,'Att 9a3 - 2014 actual'!N19),2)</f>
        <v>33.380000000000003</v>
      </c>
      <c r="M19" s="2172">
        <f>ROUND(AVERAGE('Att 9a1-2016 Actual'!S19,'Att 9a2 - 2015 actual'!O19,'Att 9a3 - 2014 actual'!O19),2)</f>
        <v>0.27</v>
      </c>
      <c r="N19" s="2172">
        <f>ROUND(AVERAGE('Att 9a1-2016 Actual'!T19,'Att 9a2 - 2015 actual'!P19,'Att 9a3 - 2014 actual'!P19),2)</f>
        <v>1.04</v>
      </c>
      <c r="O19" s="2172">
        <f>ROUND(AVERAGE('Att 9a1-2016 Actual'!O19,'Att 9a2 - 2015 actual'!Q19,'Att 9a3 - 2014 actual'!Q19),2)</f>
        <v>11.2</v>
      </c>
      <c r="P19" s="2172">
        <f>ROUND(AVERAGE('Att 9a1-2016 Actual'!P19,'Att 9a2 - 2015 actual'!R19),2)</f>
        <v>1.45</v>
      </c>
      <c r="Q19" s="2172">
        <v>170.34899999999999</v>
      </c>
      <c r="R19" s="2385">
        <v>67</v>
      </c>
      <c r="S19" s="2394">
        <f t="shared" si="0"/>
        <v>343.56899999999996</v>
      </c>
      <c r="T19" s="1858"/>
      <c r="U19" s="1891">
        <v>361.34</v>
      </c>
      <c r="V19" s="1887">
        <v>231.81</v>
      </c>
      <c r="W19" s="1887">
        <v>88.11</v>
      </c>
      <c r="X19" s="1887">
        <v>191.81</v>
      </c>
      <c r="Y19" s="1977">
        <f>ROUND(AVERAGE('Att 9a1-2016 Actual'!I40,'Att 9a2 - 2015 actual'!I40,'Att 9a3 - 2014 actual'!I40),2)</f>
        <v>0</v>
      </c>
      <c r="Z19" s="1890">
        <f t="shared" si="1"/>
        <v>873.06999999999994</v>
      </c>
      <c r="AA19" s="1892"/>
    </row>
    <row r="20" spans="1:33">
      <c r="B20" s="1860" t="s">
        <v>156</v>
      </c>
      <c r="C20" s="1893">
        <v>8236.2900000000009</v>
      </c>
      <c r="D20" s="2172">
        <f>ROUND(AVERAGE('Att 9a1-2016 Actual'!F20,'Att 9a2 - 2015 actual'!F20,'Att 9a3 - 2014 actual'!F20),2)</f>
        <v>5.76</v>
      </c>
      <c r="E20" s="2172">
        <f>ROUND(AVERAGE('Att 9a1-2016 Actual'!G20,'Att 9a2 - 2015 actual'!G20,'Att 9a3 - 2014 actual'!G20),2)</f>
        <v>3.01</v>
      </c>
      <c r="F20" s="2172">
        <f>ROUND(AVERAGE('Att 9a1-2016 Actual'!H20,'Att 9a2 - 2015 actual'!H20,'Att 9a3 - 2014 actual'!H20),2)</f>
        <v>25.22</v>
      </c>
      <c r="G20" s="2172">
        <f>ROUND(AVERAGE('Att 9a1-2016 Actual'!I20,'Att 9a2 - 2015 actual'!I20,'Att 9a3 - 2014 actual'!I20),2)</f>
        <v>1.1299999999999999</v>
      </c>
      <c r="H20" s="2172">
        <f>ROUND(AVERAGE('Att 9a1-2016 Actual'!J20,'Att 9a2 - 2015 actual'!J20,'Att 9a3 - 2014 actual'!J20),2)</f>
        <v>0.28000000000000003</v>
      </c>
      <c r="I20" s="2172">
        <f>ROUND(AVERAGE('Att 9a1-2016 Actual'!M20,'Att 9a2 - 2015 actual'!K20,'Att 9a3 - 2014 actual'!K20),2)</f>
        <v>21.29</v>
      </c>
      <c r="J20" s="2172">
        <f>ROUND(AVERAGE('Att 9a1-2016 Actual'!N20,'Att 9a2 - 2015 actual'!L20,'Att 9a3 - 2014 actual'!L20),2)</f>
        <v>18.86</v>
      </c>
      <c r="K20" s="2172">
        <f>ROUND(AVERAGE('Att 9a1-2016 Actual'!Q20,'Att 9a2 - 2015 actual'!M20,'Att 9a3 - 2014 actual'!M20),2)</f>
        <v>3.41</v>
      </c>
      <c r="L20" s="2172">
        <f>ROUND(AVERAGE('Att 9a1-2016 Actual'!R20,'Att 9a2 - 2015 actual'!N20,'Att 9a3 - 2014 actual'!N20),2)</f>
        <v>45.94</v>
      </c>
      <c r="M20" s="2172">
        <f>ROUND(AVERAGE('Att 9a1-2016 Actual'!S20,'Att 9a2 - 2015 actual'!O20,'Att 9a3 - 2014 actual'!O20),2)</f>
        <v>0</v>
      </c>
      <c r="N20" s="2172">
        <f>ROUND(AVERAGE('Att 9a1-2016 Actual'!T20,'Att 9a2 - 2015 actual'!P20,'Att 9a3 - 2014 actual'!P20),2)</f>
        <v>0</v>
      </c>
      <c r="O20" s="2172">
        <f>ROUND(AVERAGE('Att 9a1-2016 Actual'!O20,'Att 9a2 - 2015 actual'!Q20,'Att 9a3 - 2014 actual'!Q20),2)</f>
        <v>12.03</v>
      </c>
      <c r="P20" s="2172">
        <f>ROUND(AVERAGE('Att 9a1-2016 Actual'!P20,'Att 9a2 - 2015 actual'!R20),2)</f>
        <v>2.2999999999999998</v>
      </c>
      <c r="Q20" s="2172">
        <v>217.12</v>
      </c>
      <c r="R20" s="2385">
        <v>82</v>
      </c>
      <c r="S20" s="2394">
        <f t="shared" si="0"/>
        <v>438.35</v>
      </c>
      <c r="T20" s="1858"/>
      <c r="U20" s="1891">
        <v>355.48</v>
      </c>
      <c r="V20" s="1887">
        <v>199.73</v>
      </c>
      <c r="W20" s="1887">
        <v>74</v>
      </c>
      <c r="X20" s="1887">
        <v>240.66</v>
      </c>
      <c r="Y20" s="1977">
        <f>ROUND(AVERAGE('Att 9a1-2016 Actual'!I41,'Att 9a2 - 2015 actual'!I41,'Att 9a3 - 2014 actual'!I41),2)</f>
        <v>0</v>
      </c>
      <c r="Z20" s="1890">
        <f t="shared" si="1"/>
        <v>869.87</v>
      </c>
      <c r="AA20" s="1892"/>
    </row>
    <row r="21" spans="1:33" ht="16.5" thickBot="1">
      <c r="B21" s="1879" t="s">
        <v>157</v>
      </c>
      <c r="C21" s="2400">
        <v>8608.16</v>
      </c>
      <c r="D21" s="2386">
        <f>ROUND(AVERAGE('Att 9a1-2016 Actual'!F21,'Att 9a2 - 2015 actual'!F21,'Att 9a3 - 2014 actual'!F21),2)</f>
        <v>5.49</v>
      </c>
      <c r="E21" s="2386">
        <f>ROUND(AVERAGE('Att 9a1-2016 Actual'!G21,'Att 9a2 - 2015 actual'!G21,'Att 9a3 - 2014 actual'!G21),2)</f>
        <v>3.25</v>
      </c>
      <c r="F21" s="2386">
        <f>ROUND(AVERAGE('Att 9a1-2016 Actual'!H21,'Att 9a2 - 2015 actual'!H21,'Att 9a3 - 2014 actual'!H21),2)</f>
        <v>28.27</v>
      </c>
      <c r="G21" s="2386">
        <f>ROUND(AVERAGE('Att 9a1-2016 Actual'!I21,'Att 9a2 - 2015 actual'!I21,'Att 9a3 - 2014 actual'!I21),2)</f>
        <v>1.36</v>
      </c>
      <c r="H21" s="2386">
        <f>ROUND(AVERAGE('Att 9a1-2016 Actual'!J21,'Att 9a2 - 2015 actual'!J21,'Att 9a3 - 2014 actual'!J21),2)</f>
        <v>0.11</v>
      </c>
      <c r="I21" s="2386">
        <f>ROUND(AVERAGE('Att 9a1-2016 Actual'!M21,'Att 9a2 - 2015 actual'!K21,'Att 9a3 - 2014 actual'!K21),2)</f>
        <v>27.21</v>
      </c>
      <c r="J21" s="2386">
        <f>ROUND(AVERAGE('Att 9a1-2016 Actual'!N21,'Att 9a2 - 2015 actual'!L21,'Att 9a3 - 2014 actual'!L21),2)</f>
        <v>17.98</v>
      </c>
      <c r="K21" s="2386">
        <f>ROUND(AVERAGE('Att 9a1-2016 Actual'!Q21,'Att 9a2 - 2015 actual'!M21,'Att 9a3 - 2014 actual'!M21),2)</f>
        <v>3.82</v>
      </c>
      <c r="L21" s="2386">
        <f>ROUND(AVERAGE('Att 9a1-2016 Actual'!R21,'Att 9a2 - 2015 actual'!N21,'Att 9a3 - 2014 actual'!N21),2)</f>
        <v>50.83</v>
      </c>
      <c r="M21" s="2386">
        <f>ROUND(AVERAGE('Att 9a1-2016 Actual'!S21,'Att 9a2 - 2015 actual'!O21,'Att 9a3 - 2014 actual'!O21),2)</f>
        <v>0</v>
      </c>
      <c r="N21" s="2386">
        <f>ROUND(AVERAGE('Att 9a1-2016 Actual'!T21,'Att 9a2 - 2015 actual'!P21,'Att 9a3 - 2014 actual'!P21),2)</f>
        <v>0</v>
      </c>
      <c r="O21" s="2386">
        <f>ROUND(AVERAGE('Att 9a1-2016 Actual'!O21,'Att 9a2 - 2015 actual'!Q21,'Att 9a3 - 2014 actual'!Q21),2)</f>
        <v>12.35</v>
      </c>
      <c r="P21" s="2386">
        <f>ROUND(AVERAGE('Att 9a1-2016 Actual'!P21,'Att 9a2 - 2015 actual'!R21),2)</f>
        <v>2.31</v>
      </c>
      <c r="Q21" s="2386">
        <v>289.49700000000001</v>
      </c>
      <c r="R21" s="2387">
        <v>95</v>
      </c>
      <c r="S21" s="2395">
        <f t="shared" si="0"/>
        <v>537.47699999999998</v>
      </c>
      <c r="T21" s="1858"/>
      <c r="U21" s="1897">
        <v>422.38</v>
      </c>
      <c r="V21" s="1894">
        <v>204.55</v>
      </c>
      <c r="W21" s="1894">
        <v>69.64</v>
      </c>
      <c r="X21" s="1894">
        <v>253.5</v>
      </c>
      <c r="Y21" s="1898">
        <f>ROUND(AVERAGE('Att 9a1-2016 Actual'!I42,'Att 9a2 - 2015 actual'!I42,'Att 9a3 - 2014 actual'!I42),2)</f>
        <v>0</v>
      </c>
      <c r="Z21" s="1885">
        <f t="shared" si="1"/>
        <v>950.07</v>
      </c>
      <c r="AA21" s="1892"/>
    </row>
    <row r="22" spans="1:33" ht="16.5" thickBot="1">
      <c r="A22" s="1858"/>
      <c r="B22" s="1899" t="s">
        <v>282</v>
      </c>
      <c r="C22" s="1885">
        <f t="shared" ref="C22:I22" si="2">SUM(C10:C21)</f>
        <v>101713.04000000001</v>
      </c>
      <c r="D22" s="2388">
        <f t="shared" si="2"/>
        <v>68.149999999999991</v>
      </c>
      <c r="E22" s="2388">
        <f t="shared" si="2"/>
        <v>38.14</v>
      </c>
      <c r="F22" s="2388">
        <f t="shared" si="2"/>
        <v>224.98</v>
      </c>
      <c r="G22" s="2388">
        <f t="shared" si="2"/>
        <v>8.870000000000001</v>
      </c>
      <c r="H22" s="2388">
        <f t="shared" si="2"/>
        <v>2.39</v>
      </c>
      <c r="I22" s="2388">
        <f t="shared" si="2"/>
        <v>201.01</v>
      </c>
      <c r="J22" s="2388">
        <f t="shared" ref="J22:R22" si="3">SUM(J10:J21)</f>
        <v>242.95999999999995</v>
      </c>
      <c r="K22" s="2388">
        <f t="shared" si="3"/>
        <v>41.93</v>
      </c>
      <c r="L22" s="2388">
        <f t="shared" si="3"/>
        <v>540.31000000000006</v>
      </c>
      <c r="M22" s="2388">
        <f t="shared" si="3"/>
        <v>3.2500000000000004</v>
      </c>
      <c r="N22" s="2388">
        <f t="shared" si="3"/>
        <v>15.849999999999998</v>
      </c>
      <c r="O22" s="2388">
        <f t="shared" si="3"/>
        <v>116.79</v>
      </c>
      <c r="P22" s="2388">
        <f t="shared" si="3"/>
        <v>25.499999999999996</v>
      </c>
      <c r="Q22" s="2388">
        <f t="shared" si="3"/>
        <v>2638.826</v>
      </c>
      <c r="R22" s="2388">
        <f t="shared" si="3"/>
        <v>909.94</v>
      </c>
      <c r="S22" s="1885">
        <f>SUM(D22:R22)</f>
        <v>5078.8960000000006</v>
      </c>
      <c r="T22" s="1858"/>
      <c r="U22" s="1903">
        <f t="shared" ref="U22:Z22" si="4">SUM(U10:U21)</f>
        <v>5528.0700000000006</v>
      </c>
      <c r="V22" s="1902">
        <f t="shared" si="4"/>
        <v>2882.26</v>
      </c>
      <c r="W22" s="1902">
        <f t="shared" si="4"/>
        <v>1114.3600000000004</v>
      </c>
      <c r="X22" s="1902">
        <f t="shared" si="4"/>
        <v>2846.3099999999995</v>
      </c>
      <c r="Y22" s="1902">
        <f t="shared" si="4"/>
        <v>0</v>
      </c>
      <c r="Z22" s="1885">
        <f t="shared" si="4"/>
        <v>12371</v>
      </c>
      <c r="AA22" s="1892"/>
      <c r="AD22" s="1904"/>
    </row>
    <row r="23" spans="1:33" ht="16.5" thickBot="1">
      <c r="A23" s="1858"/>
      <c r="B23" s="1905" t="s">
        <v>1721</v>
      </c>
      <c r="C23" s="1945">
        <f t="shared" ref="C23:S23" si="5">+C22/12</f>
        <v>8476.086666666668</v>
      </c>
      <c r="D23" s="2401">
        <f t="shared" si="5"/>
        <v>5.6791666666666663</v>
      </c>
      <c r="E23" s="2401">
        <f t="shared" si="5"/>
        <v>3.1783333333333332</v>
      </c>
      <c r="F23" s="2401">
        <f t="shared" si="5"/>
        <v>18.748333333333331</v>
      </c>
      <c r="G23" s="2401">
        <f t="shared" si="5"/>
        <v>0.73916666666666675</v>
      </c>
      <c r="H23" s="2401">
        <f t="shared" si="5"/>
        <v>0.19916666666666669</v>
      </c>
      <c r="I23" s="2401">
        <f t="shared" si="5"/>
        <v>16.750833333333333</v>
      </c>
      <c r="J23" s="2401">
        <f t="shared" ref="J23:R23" si="6">+J22/12</f>
        <v>20.246666666666663</v>
      </c>
      <c r="K23" s="2401">
        <f t="shared" si="6"/>
        <v>3.4941666666666666</v>
      </c>
      <c r="L23" s="2401">
        <f t="shared" si="6"/>
        <v>45.025833333333338</v>
      </c>
      <c r="M23" s="2401">
        <f t="shared" si="6"/>
        <v>0.27083333333333337</v>
      </c>
      <c r="N23" s="2401">
        <f t="shared" si="6"/>
        <v>1.3208333333333331</v>
      </c>
      <c r="O23" s="2401">
        <f t="shared" si="6"/>
        <v>9.7324999999999999</v>
      </c>
      <c r="P23" s="2401">
        <f t="shared" si="6"/>
        <v>2.1249999999999996</v>
      </c>
      <c r="Q23" s="2401">
        <f t="shared" si="6"/>
        <v>219.90216666666666</v>
      </c>
      <c r="R23" s="2401">
        <f t="shared" si="6"/>
        <v>75.828333333333333</v>
      </c>
      <c r="S23" s="1945">
        <f t="shared" si="5"/>
        <v>423.24133333333339</v>
      </c>
      <c r="T23" s="1858"/>
      <c r="U23" s="2402">
        <f t="shared" ref="U23:Z23" si="7">+U22/12</f>
        <v>460.67250000000007</v>
      </c>
      <c r="V23" s="2403">
        <f t="shared" si="7"/>
        <v>240.18833333333336</v>
      </c>
      <c r="W23" s="2403">
        <f t="shared" si="7"/>
        <v>92.863333333333358</v>
      </c>
      <c r="X23" s="2403">
        <f t="shared" si="7"/>
        <v>237.19249999999997</v>
      </c>
      <c r="Y23" s="2403">
        <f t="shared" si="7"/>
        <v>0</v>
      </c>
      <c r="Z23" s="1945">
        <f t="shared" si="7"/>
        <v>1030.9166666666667</v>
      </c>
      <c r="AA23" s="1911"/>
    </row>
    <row r="24" spans="1:33" ht="16.5" thickBot="1">
      <c r="C24" s="1858"/>
      <c r="D24" s="2405"/>
      <c r="E24" s="2405"/>
      <c r="F24" s="2405"/>
      <c r="G24" s="2405"/>
      <c r="H24" s="2405"/>
      <c r="I24" s="2405"/>
      <c r="J24" s="2405"/>
      <c r="K24" s="2405"/>
      <c r="L24" s="2405"/>
      <c r="M24" s="2405"/>
      <c r="N24" s="2405"/>
      <c r="O24" s="2405"/>
      <c r="P24" s="2405"/>
      <c r="Q24" s="2405"/>
      <c r="R24" s="1858"/>
      <c r="S24" s="1858"/>
      <c r="T24" s="1858"/>
      <c r="U24" s="1858"/>
      <c r="V24" s="1858"/>
      <c r="W24" s="1858"/>
      <c r="Y24" s="1858"/>
      <c r="Z24" s="1858"/>
      <c r="AA24" s="1904"/>
    </row>
    <row r="25" spans="1:33" ht="16.5" thickBot="1">
      <c r="B25" s="1856"/>
      <c r="C25" s="2711" t="s">
        <v>1401</v>
      </c>
      <c r="D25" s="2712"/>
      <c r="E25" s="2712"/>
      <c r="F25" s="2712"/>
      <c r="G25" s="2712"/>
      <c r="H25" s="2712"/>
      <c r="I25" s="2712"/>
      <c r="J25" s="2712"/>
      <c r="K25" s="2712"/>
      <c r="L25" s="2712"/>
      <c r="M25" s="2712"/>
      <c r="N25" s="2712"/>
      <c r="O25" s="2712"/>
      <c r="P25" s="2712"/>
      <c r="Q25" s="2712"/>
      <c r="R25" s="2712"/>
      <c r="S25" s="2712"/>
      <c r="T25" s="2712"/>
      <c r="U25" s="2712"/>
      <c r="V25" s="2712"/>
      <c r="W25" s="2712"/>
      <c r="X25" s="2712"/>
      <c r="Y25" s="2713"/>
      <c r="Z25" s="1858"/>
      <c r="AA25" s="1858"/>
      <c r="AB25" s="1858"/>
      <c r="AC25" s="1858"/>
      <c r="AD25" s="1858"/>
    </row>
    <row r="26" spans="1:33" ht="16.5" thickBot="1">
      <c r="B26" s="1860" t="s">
        <v>328</v>
      </c>
      <c r="C26" s="1913" t="s">
        <v>762</v>
      </c>
      <c r="D26" s="1914" t="s">
        <v>761</v>
      </c>
      <c r="E26" s="1914" t="s">
        <v>760</v>
      </c>
      <c r="F26" s="1914" t="s">
        <v>759</v>
      </c>
      <c r="G26" s="1914" t="s">
        <v>758</v>
      </c>
      <c r="H26" s="1914" t="s">
        <v>757</v>
      </c>
      <c r="I26" s="1914" t="s">
        <v>756</v>
      </c>
      <c r="J26" s="1914" t="s">
        <v>755</v>
      </c>
      <c r="K26" s="1914" t="s">
        <v>1993</v>
      </c>
      <c r="L26" s="1914" t="s">
        <v>754</v>
      </c>
      <c r="M26" s="1914" t="s">
        <v>825</v>
      </c>
      <c r="N26" s="1914" t="s">
        <v>753</v>
      </c>
      <c r="O26" s="1914" t="s">
        <v>752</v>
      </c>
      <c r="P26" s="1914" t="s">
        <v>826</v>
      </c>
      <c r="Q26" s="1914" t="s">
        <v>827</v>
      </c>
      <c r="R26" s="1914" t="s">
        <v>1344</v>
      </c>
      <c r="S26" s="1914" t="s">
        <v>1642</v>
      </c>
      <c r="T26" s="1914" t="s">
        <v>1643</v>
      </c>
      <c r="U26" s="1914" t="s">
        <v>824</v>
      </c>
      <c r="V26" s="1914" t="s">
        <v>1994</v>
      </c>
      <c r="W26" s="1914" t="s">
        <v>2000</v>
      </c>
      <c r="X26" s="1914" t="s">
        <v>2002</v>
      </c>
      <c r="Y26" s="1915" t="s">
        <v>360</v>
      </c>
      <c r="Z26" s="1858"/>
      <c r="AA26" s="1858"/>
      <c r="AB26" s="1858"/>
      <c r="AC26" s="1858"/>
      <c r="AD26" s="1858"/>
      <c r="AE26" s="1858"/>
      <c r="AF26" s="1858"/>
    </row>
    <row r="27" spans="1:33" ht="47.25" customHeight="1" thickBot="1">
      <c r="B27" s="1868" t="s">
        <v>751</v>
      </c>
      <c r="C27" s="1916" t="s">
        <v>365</v>
      </c>
      <c r="D27" s="1917" t="s">
        <v>750</v>
      </c>
      <c r="E27" s="1917" t="s">
        <v>1995</v>
      </c>
      <c r="F27" s="1917" t="s">
        <v>1995</v>
      </c>
      <c r="G27" s="1917" t="s">
        <v>749</v>
      </c>
      <c r="H27" s="1917" t="s">
        <v>748</v>
      </c>
      <c r="I27" s="1917" t="s">
        <v>2186</v>
      </c>
      <c r="J27" s="1917" t="s">
        <v>828</v>
      </c>
      <c r="K27" s="1917" t="s">
        <v>1733</v>
      </c>
      <c r="L27" s="1917" t="s">
        <v>1997</v>
      </c>
      <c r="M27" s="1917" t="s">
        <v>1996</v>
      </c>
      <c r="N27" s="1917" t="s">
        <v>1732</v>
      </c>
      <c r="O27" s="1917" t="s">
        <v>2001</v>
      </c>
      <c r="P27" s="1917" t="s">
        <v>2187</v>
      </c>
      <c r="Q27" s="1917"/>
      <c r="R27" s="1917"/>
      <c r="S27" s="1917" t="s">
        <v>648</v>
      </c>
      <c r="T27" s="1917" t="s">
        <v>828</v>
      </c>
      <c r="U27" s="1917" t="s">
        <v>828</v>
      </c>
      <c r="V27" s="1917" t="s">
        <v>828</v>
      </c>
      <c r="W27" s="1917" t="s">
        <v>828</v>
      </c>
      <c r="X27" s="1917" t="s">
        <v>828</v>
      </c>
      <c r="Y27" s="1918"/>
      <c r="AE27" s="1858"/>
      <c r="AF27" s="1919" t="s">
        <v>747</v>
      </c>
      <c r="AG27" s="1858"/>
    </row>
    <row r="28" spans="1:33" ht="15.75" customHeight="1">
      <c r="B28" s="1875" t="s">
        <v>468</v>
      </c>
      <c r="C28" s="1920" t="s">
        <v>746</v>
      </c>
      <c r="D28" s="1921" t="s">
        <v>746</v>
      </c>
      <c r="E28" s="1921" t="s">
        <v>746</v>
      </c>
      <c r="F28" s="1921" t="s">
        <v>746</v>
      </c>
      <c r="G28" s="1921" t="s">
        <v>746</v>
      </c>
      <c r="H28" s="1921" t="s">
        <v>746</v>
      </c>
      <c r="I28" s="1921" t="s">
        <v>746</v>
      </c>
      <c r="J28" s="1921" t="s">
        <v>746</v>
      </c>
      <c r="K28" s="1921" t="s">
        <v>746</v>
      </c>
      <c r="L28" s="1921" t="s">
        <v>746</v>
      </c>
      <c r="M28" s="1921" t="s">
        <v>746</v>
      </c>
      <c r="N28" s="1922" t="s">
        <v>746</v>
      </c>
      <c r="O28" s="1922" t="s">
        <v>746</v>
      </c>
      <c r="P28" s="1922" t="s">
        <v>746</v>
      </c>
      <c r="Q28" s="1922"/>
      <c r="R28" s="1922"/>
      <c r="S28" s="1922" t="s">
        <v>746</v>
      </c>
      <c r="T28" s="1922" t="s">
        <v>746</v>
      </c>
      <c r="U28" s="1922" t="s">
        <v>746</v>
      </c>
      <c r="V28" s="1922" t="s">
        <v>746</v>
      </c>
      <c r="W28" s="1922" t="s">
        <v>746</v>
      </c>
      <c r="X28" s="1922" t="s">
        <v>746</v>
      </c>
      <c r="Y28" s="1923" t="s">
        <v>745</v>
      </c>
      <c r="AA28" s="1924" t="s">
        <v>777</v>
      </c>
      <c r="AB28" s="1925">
        <v>0.01</v>
      </c>
      <c r="AC28" s="1924" t="s">
        <v>816</v>
      </c>
      <c r="AD28" s="1924" t="s">
        <v>818</v>
      </c>
      <c r="AE28" s="1858"/>
      <c r="AF28" s="2714" t="s">
        <v>744</v>
      </c>
      <c r="AG28" s="1858"/>
    </row>
    <row r="29" spans="1:33" ht="28.5" customHeight="1" thickBot="1">
      <c r="B29" s="1879" t="s">
        <v>743</v>
      </c>
      <c r="C29" s="1926" t="s">
        <v>2188</v>
      </c>
      <c r="D29" s="1927" t="s">
        <v>2189</v>
      </c>
      <c r="E29" s="1927" t="s">
        <v>2190</v>
      </c>
      <c r="F29" s="1927" t="s">
        <v>2191</v>
      </c>
      <c r="G29" s="1927" t="s">
        <v>2192</v>
      </c>
      <c r="H29" s="1927" t="s">
        <v>2193</v>
      </c>
      <c r="I29" s="1927" t="s">
        <v>2194</v>
      </c>
      <c r="J29" s="1927" t="s">
        <v>2195</v>
      </c>
      <c r="K29" s="1927" t="s">
        <v>2196</v>
      </c>
      <c r="L29" s="1927" t="s">
        <v>2197</v>
      </c>
      <c r="M29" s="1927" t="s">
        <v>2198</v>
      </c>
      <c r="N29" s="1927" t="s">
        <v>2199</v>
      </c>
      <c r="O29" s="1927" t="s">
        <v>2200</v>
      </c>
      <c r="P29" s="1927" t="s">
        <v>2201</v>
      </c>
      <c r="Q29" s="1927"/>
      <c r="R29" s="1927"/>
      <c r="S29" s="1927">
        <v>0</v>
      </c>
      <c r="T29" s="1927" t="s">
        <v>2202</v>
      </c>
      <c r="U29" s="1927" t="s">
        <v>2203</v>
      </c>
      <c r="V29" s="1927" t="s">
        <v>2204</v>
      </c>
      <c r="W29" s="1927">
        <v>748</v>
      </c>
      <c r="X29" s="1927">
        <v>749</v>
      </c>
      <c r="Y29" s="1928"/>
      <c r="AA29" s="1929" t="s">
        <v>763</v>
      </c>
      <c r="AB29" s="1929" t="s">
        <v>1644</v>
      </c>
      <c r="AC29" s="1930" t="s">
        <v>817</v>
      </c>
      <c r="AD29" s="1930" t="s">
        <v>819</v>
      </c>
      <c r="AE29" s="1858"/>
      <c r="AF29" s="2715"/>
      <c r="AG29" s="1858"/>
    </row>
    <row r="30" spans="1:33">
      <c r="B30" s="1860" t="s">
        <v>147</v>
      </c>
      <c r="C30" s="2623">
        <v>2534</v>
      </c>
      <c r="D30" s="2624">
        <v>50</v>
      </c>
      <c r="E30" s="2624">
        <v>18</v>
      </c>
      <c r="F30" s="2624">
        <v>56</v>
      </c>
      <c r="G30" s="2624">
        <v>0</v>
      </c>
      <c r="H30" s="2624">
        <v>30</v>
      </c>
      <c r="I30" s="2624">
        <v>11</v>
      </c>
      <c r="J30" s="2624">
        <v>80</v>
      </c>
      <c r="K30" s="2624">
        <v>74</v>
      </c>
      <c r="L30" s="2624">
        <v>25</v>
      </c>
      <c r="M30" s="2624">
        <v>4</v>
      </c>
      <c r="N30" s="2624">
        <v>30</v>
      </c>
      <c r="O30" s="2624">
        <v>25</v>
      </c>
      <c r="P30" s="2624">
        <v>0</v>
      </c>
      <c r="Q30" s="2624">
        <v>0</v>
      </c>
      <c r="R30" s="2624">
        <v>0</v>
      </c>
      <c r="S30" s="2624">
        <v>130.69999999999999</v>
      </c>
      <c r="T30" s="2624">
        <v>67</v>
      </c>
      <c r="U30" s="2624">
        <v>67</v>
      </c>
      <c r="V30" s="2624">
        <v>66</v>
      </c>
      <c r="W30" s="2624">
        <v>50</v>
      </c>
      <c r="X30" s="2625">
        <v>150</v>
      </c>
      <c r="Y30" s="1933">
        <f t="shared" ref="Y30:Y41" si="8">SUM(C30:X30)</f>
        <v>3467.7</v>
      </c>
      <c r="AA30" s="1934">
        <f t="shared" ref="AA30:AA41" si="9">+C10+S10+Z10</f>
        <v>9842.44</v>
      </c>
      <c r="AB30" s="1934">
        <f>(AA30*1.01)+(AC30*0.01)</f>
        <v>9943.0420666666669</v>
      </c>
      <c r="AC30" s="1935">
        <v>217.76666666666665</v>
      </c>
      <c r="AD30" s="1936">
        <f>AB30+AC30</f>
        <v>10160.808733333333</v>
      </c>
      <c r="AE30" s="1858"/>
      <c r="AF30" s="1937">
        <f t="shared" ref="AF30:AF41" si="10">+AD30+Y30</f>
        <v>13628.508733333332</v>
      </c>
      <c r="AG30" s="1858"/>
    </row>
    <row r="31" spans="1:33">
      <c r="B31" s="1860" t="s">
        <v>148</v>
      </c>
      <c r="C31" s="1931">
        <v>2534</v>
      </c>
      <c r="D31" s="1932">
        <v>50</v>
      </c>
      <c r="E31" s="1932">
        <v>18</v>
      </c>
      <c r="F31" s="1932">
        <v>56</v>
      </c>
      <c r="G31" s="1932">
        <v>0</v>
      </c>
      <c r="H31" s="1932">
        <v>30</v>
      </c>
      <c r="I31" s="1932">
        <v>11</v>
      </c>
      <c r="J31" s="1932">
        <v>80</v>
      </c>
      <c r="K31" s="1932">
        <v>74</v>
      </c>
      <c r="L31" s="1932">
        <v>25</v>
      </c>
      <c r="M31" s="1932">
        <v>4</v>
      </c>
      <c r="N31" s="1932">
        <v>30</v>
      </c>
      <c r="O31" s="1932">
        <v>25</v>
      </c>
      <c r="P31" s="1932">
        <v>0</v>
      </c>
      <c r="Q31" s="1932">
        <v>0</v>
      </c>
      <c r="R31" s="1932">
        <v>0</v>
      </c>
      <c r="S31" s="1932">
        <v>130.69999999999999</v>
      </c>
      <c r="T31" s="1932">
        <v>67</v>
      </c>
      <c r="U31" s="1932">
        <v>67</v>
      </c>
      <c r="V31" s="1932">
        <v>66</v>
      </c>
      <c r="W31" s="1932">
        <v>50</v>
      </c>
      <c r="X31" s="2626">
        <v>150</v>
      </c>
      <c r="Y31" s="1933">
        <f t="shared" si="8"/>
        <v>3467.7</v>
      </c>
      <c r="AA31" s="1938">
        <f t="shared" si="9"/>
        <v>9589.9399999999987</v>
      </c>
      <c r="AB31" s="1938">
        <f t="shared" ref="AB31:AB41" si="11">(AA31*1.01)+(AC31*0.01)</f>
        <v>9688.0133733333314</v>
      </c>
      <c r="AC31" s="1939">
        <v>217.39733333333334</v>
      </c>
      <c r="AD31" s="1937">
        <f t="shared" ref="AD31:AD41" si="12">AB31+AC31</f>
        <v>9905.4107066666656</v>
      </c>
      <c r="AE31" s="1858"/>
      <c r="AF31" s="1937">
        <f t="shared" si="10"/>
        <v>13373.110706666666</v>
      </c>
      <c r="AG31" s="1858"/>
    </row>
    <row r="32" spans="1:33">
      <c r="B32" s="1860" t="s">
        <v>352</v>
      </c>
      <c r="C32" s="1931">
        <v>2534</v>
      </c>
      <c r="D32" s="1932">
        <v>50</v>
      </c>
      <c r="E32" s="1932">
        <v>18</v>
      </c>
      <c r="F32" s="1932">
        <v>56</v>
      </c>
      <c r="G32" s="1932">
        <v>0</v>
      </c>
      <c r="H32" s="1932">
        <v>30</v>
      </c>
      <c r="I32" s="1932">
        <v>11</v>
      </c>
      <c r="J32" s="1932">
        <v>80</v>
      </c>
      <c r="K32" s="1932">
        <v>74</v>
      </c>
      <c r="L32" s="1932">
        <v>25</v>
      </c>
      <c r="M32" s="1932">
        <v>4</v>
      </c>
      <c r="N32" s="1932">
        <v>30</v>
      </c>
      <c r="O32" s="1932">
        <v>25</v>
      </c>
      <c r="P32" s="1932">
        <v>0</v>
      </c>
      <c r="Q32" s="1932">
        <v>0</v>
      </c>
      <c r="R32" s="1932">
        <v>0</v>
      </c>
      <c r="S32" s="1932">
        <v>130.69999999999999</v>
      </c>
      <c r="T32" s="1932">
        <v>67</v>
      </c>
      <c r="U32" s="1932">
        <v>67</v>
      </c>
      <c r="V32" s="1932">
        <v>66</v>
      </c>
      <c r="W32" s="1932">
        <v>50</v>
      </c>
      <c r="X32" s="2626">
        <v>150</v>
      </c>
      <c r="Y32" s="1933">
        <f t="shared" si="8"/>
        <v>3467.7</v>
      </c>
      <c r="AA32" s="1938">
        <f t="shared" si="9"/>
        <v>8775.67</v>
      </c>
      <c r="AB32" s="1938">
        <f t="shared" si="11"/>
        <v>8866.3363499999996</v>
      </c>
      <c r="AC32" s="1939">
        <v>290.96499999999997</v>
      </c>
      <c r="AD32" s="1937">
        <f t="shared" si="12"/>
        <v>9157.3013499999997</v>
      </c>
      <c r="AE32" s="1858"/>
      <c r="AF32" s="1937">
        <f t="shared" si="10"/>
        <v>12625.001349999999</v>
      </c>
      <c r="AG32" s="1858"/>
    </row>
    <row r="33" spans="2:33">
      <c r="B33" s="1860" t="s">
        <v>143</v>
      </c>
      <c r="C33" s="1931">
        <v>2534</v>
      </c>
      <c r="D33" s="1932">
        <v>50</v>
      </c>
      <c r="E33" s="1932">
        <v>18</v>
      </c>
      <c r="F33" s="1932">
        <v>56</v>
      </c>
      <c r="G33" s="1932">
        <v>0</v>
      </c>
      <c r="H33" s="1932">
        <v>30</v>
      </c>
      <c r="I33" s="1932">
        <v>11</v>
      </c>
      <c r="J33" s="1932">
        <v>80</v>
      </c>
      <c r="K33" s="1932">
        <v>74</v>
      </c>
      <c r="L33" s="1932">
        <v>25</v>
      </c>
      <c r="M33" s="1932">
        <v>4</v>
      </c>
      <c r="N33" s="1932">
        <v>30</v>
      </c>
      <c r="O33" s="1932">
        <v>25</v>
      </c>
      <c r="P33" s="1932">
        <v>55</v>
      </c>
      <c r="Q33" s="1932">
        <v>0</v>
      </c>
      <c r="R33" s="1932">
        <v>0</v>
      </c>
      <c r="S33" s="1932">
        <v>133.13999999999999</v>
      </c>
      <c r="T33" s="1932">
        <v>67</v>
      </c>
      <c r="U33" s="1932">
        <v>67</v>
      </c>
      <c r="V33" s="1932">
        <v>66</v>
      </c>
      <c r="W33" s="1932">
        <v>50</v>
      </c>
      <c r="X33" s="2626">
        <v>150</v>
      </c>
      <c r="Y33" s="1933">
        <f t="shared" si="8"/>
        <v>3525.14</v>
      </c>
      <c r="AA33" s="1938">
        <f t="shared" si="9"/>
        <v>8364.32</v>
      </c>
      <c r="AB33" s="1938">
        <f t="shared" si="11"/>
        <v>8450.5097499999993</v>
      </c>
      <c r="AC33" s="1939">
        <v>254.65499999999997</v>
      </c>
      <c r="AD33" s="1937">
        <f t="shared" si="12"/>
        <v>8705.1647499999999</v>
      </c>
      <c r="AE33" s="1858"/>
      <c r="AF33" s="1937">
        <f t="shared" si="10"/>
        <v>12230.304749999999</v>
      </c>
      <c r="AG33" s="1858"/>
    </row>
    <row r="34" spans="2:33">
      <c r="B34" s="1860" t="s">
        <v>144</v>
      </c>
      <c r="C34" s="1931">
        <v>2534</v>
      </c>
      <c r="D34" s="1932">
        <v>50</v>
      </c>
      <c r="E34" s="1932">
        <v>18</v>
      </c>
      <c r="F34" s="1932">
        <v>56</v>
      </c>
      <c r="G34" s="1932">
        <v>0</v>
      </c>
      <c r="H34" s="1932">
        <v>30</v>
      </c>
      <c r="I34" s="1932">
        <v>11</v>
      </c>
      <c r="J34" s="1932">
        <v>80</v>
      </c>
      <c r="K34" s="1932">
        <v>74</v>
      </c>
      <c r="L34" s="1932">
        <v>25</v>
      </c>
      <c r="M34" s="1932">
        <v>4</v>
      </c>
      <c r="N34" s="1932">
        <v>30</v>
      </c>
      <c r="O34" s="1932">
        <v>25</v>
      </c>
      <c r="P34" s="1932">
        <v>55</v>
      </c>
      <c r="Q34" s="1932">
        <v>0</v>
      </c>
      <c r="R34" s="1932">
        <v>0</v>
      </c>
      <c r="S34" s="1932">
        <v>133.13999999999999</v>
      </c>
      <c r="T34" s="1932">
        <v>67</v>
      </c>
      <c r="U34" s="1932">
        <v>67</v>
      </c>
      <c r="V34" s="1932">
        <v>66</v>
      </c>
      <c r="W34" s="1932">
        <v>50</v>
      </c>
      <c r="X34" s="2626">
        <v>150</v>
      </c>
      <c r="Y34" s="1933">
        <f t="shared" si="8"/>
        <v>3525.14</v>
      </c>
      <c r="AA34" s="1938">
        <f t="shared" si="9"/>
        <v>9073.51</v>
      </c>
      <c r="AB34" s="1938">
        <f t="shared" si="11"/>
        <v>9167.0819433333327</v>
      </c>
      <c r="AC34" s="1939">
        <v>283.68433333333337</v>
      </c>
      <c r="AD34" s="1937">
        <f t="shared" si="12"/>
        <v>9450.7662766666654</v>
      </c>
      <c r="AE34" s="1858"/>
      <c r="AF34" s="1937">
        <f t="shared" si="10"/>
        <v>12975.906276666665</v>
      </c>
      <c r="AG34" s="1858"/>
    </row>
    <row r="35" spans="2:33">
      <c r="B35" s="1860" t="s">
        <v>151</v>
      </c>
      <c r="C35" s="1931">
        <v>2629</v>
      </c>
      <c r="D35" s="1932">
        <v>50</v>
      </c>
      <c r="E35" s="1932">
        <v>18</v>
      </c>
      <c r="F35" s="1932">
        <v>56</v>
      </c>
      <c r="G35" s="1932">
        <v>75</v>
      </c>
      <c r="H35" s="1932">
        <v>30</v>
      </c>
      <c r="I35" s="1932">
        <v>11</v>
      </c>
      <c r="J35" s="1932">
        <v>80</v>
      </c>
      <c r="K35" s="1932">
        <v>55</v>
      </c>
      <c r="L35" s="1932">
        <v>25</v>
      </c>
      <c r="M35" s="1932">
        <v>4</v>
      </c>
      <c r="N35" s="1932">
        <v>30</v>
      </c>
      <c r="O35" s="1932">
        <v>25</v>
      </c>
      <c r="P35" s="1932">
        <v>55</v>
      </c>
      <c r="Q35" s="1932">
        <v>0</v>
      </c>
      <c r="R35" s="1932">
        <v>0</v>
      </c>
      <c r="S35" s="1932">
        <v>139.86000000000001</v>
      </c>
      <c r="T35" s="1932">
        <v>67</v>
      </c>
      <c r="U35" s="1932">
        <v>67</v>
      </c>
      <c r="V35" s="1932">
        <v>66</v>
      </c>
      <c r="W35" s="1932">
        <v>50</v>
      </c>
      <c r="X35" s="2626">
        <v>150</v>
      </c>
      <c r="Y35" s="1933">
        <f t="shared" si="8"/>
        <v>3682.86</v>
      </c>
      <c r="AA35" s="1938">
        <f t="shared" si="9"/>
        <v>11569.37</v>
      </c>
      <c r="AB35" s="1938">
        <f t="shared" si="11"/>
        <v>11688.21379</v>
      </c>
      <c r="AC35" s="1939">
        <v>315.00900000000001</v>
      </c>
      <c r="AD35" s="1937">
        <f t="shared" si="12"/>
        <v>12003.22279</v>
      </c>
      <c r="AE35" s="1858"/>
      <c r="AF35" s="1937">
        <f t="shared" si="10"/>
        <v>15686.08279</v>
      </c>
      <c r="AG35" s="1858"/>
    </row>
    <row r="36" spans="2:33">
      <c r="B36" s="1860" t="s">
        <v>742</v>
      </c>
      <c r="C36" s="1931">
        <v>2629</v>
      </c>
      <c r="D36" s="1932">
        <v>50</v>
      </c>
      <c r="E36" s="1932">
        <v>18</v>
      </c>
      <c r="F36" s="1932">
        <v>56</v>
      </c>
      <c r="G36" s="1932">
        <v>75</v>
      </c>
      <c r="H36" s="1932">
        <v>30</v>
      </c>
      <c r="I36" s="1932">
        <v>11</v>
      </c>
      <c r="J36" s="1932">
        <v>80</v>
      </c>
      <c r="K36" s="1932">
        <v>55</v>
      </c>
      <c r="L36" s="1932">
        <v>25</v>
      </c>
      <c r="M36" s="1932">
        <v>4</v>
      </c>
      <c r="N36" s="1932">
        <v>19</v>
      </c>
      <c r="O36" s="1932">
        <v>25</v>
      </c>
      <c r="P36" s="1932">
        <v>55</v>
      </c>
      <c r="Q36" s="1932">
        <v>0</v>
      </c>
      <c r="R36" s="1932">
        <v>0</v>
      </c>
      <c r="S36" s="1932">
        <v>139.37</v>
      </c>
      <c r="T36" s="1932">
        <v>67</v>
      </c>
      <c r="U36" s="1932">
        <v>67</v>
      </c>
      <c r="V36" s="1932">
        <v>66</v>
      </c>
      <c r="W36" s="1932">
        <v>50</v>
      </c>
      <c r="X36" s="2626">
        <v>150</v>
      </c>
      <c r="Y36" s="1933">
        <f t="shared" si="8"/>
        <v>3671.37</v>
      </c>
      <c r="AA36" s="1938">
        <f t="shared" si="9"/>
        <v>12161.809000000001</v>
      </c>
      <c r="AB36" s="1938">
        <f t="shared" si="11"/>
        <v>12286.503556666668</v>
      </c>
      <c r="AC36" s="1939">
        <v>307.6466666666667</v>
      </c>
      <c r="AD36" s="1937">
        <f t="shared" si="12"/>
        <v>12594.150223333336</v>
      </c>
      <c r="AE36" s="1858"/>
      <c r="AF36" s="1937">
        <f t="shared" si="10"/>
        <v>16265.520223333337</v>
      </c>
      <c r="AG36" s="1858"/>
    </row>
    <row r="37" spans="2:33">
      <c r="B37" s="1860" t="s">
        <v>153</v>
      </c>
      <c r="C37" s="1931">
        <v>2629</v>
      </c>
      <c r="D37" s="1932">
        <v>50</v>
      </c>
      <c r="E37" s="1932">
        <v>18</v>
      </c>
      <c r="F37" s="1932">
        <v>56</v>
      </c>
      <c r="G37" s="1932">
        <v>75</v>
      </c>
      <c r="H37" s="1932">
        <v>30</v>
      </c>
      <c r="I37" s="1932">
        <v>11</v>
      </c>
      <c r="J37" s="1932">
        <v>80</v>
      </c>
      <c r="K37" s="1932">
        <v>55</v>
      </c>
      <c r="L37" s="1932">
        <v>25</v>
      </c>
      <c r="M37" s="1932">
        <v>4</v>
      </c>
      <c r="N37" s="1932">
        <v>19</v>
      </c>
      <c r="O37" s="1932">
        <v>25</v>
      </c>
      <c r="P37" s="1932">
        <v>55</v>
      </c>
      <c r="Q37" s="1932">
        <v>0</v>
      </c>
      <c r="R37" s="1932">
        <v>0</v>
      </c>
      <c r="S37" s="1932">
        <v>139.37</v>
      </c>
      <c r="T37" s="1932">
        <v>67</v>
      </c>
      <c r="U37" s="1932">
        <v>67</v>
      </c>
      <c r="V37" s="1932">
        <v>66</v>
      </c>
      <c r="W37" s="1932">
        <v>50</v>
      </c>
      <c r="X37" s="2626">
        <v>150</v>
      </c>
      <c r="Y37" s="1933">
        <f t="shared" si="8"/>
        <v>3671.37</v>
      </c>
      <c r="AA37" s="1938">
        <f t="shared" si="9"/>
        <v>11373.501</v>
      </c>
      <c r="AB37" s="1938">
        <f t="shared" si="11"/>
        <v>11490.446463333334</v>
      </c>
      <c r="AC37" s="1939">
        <v>321.0453333333333</v>
      </c>
      <c r="AD37" s="1937">
        <f t="shared" si="12"/>
        <v>11811.491796666667</v>
      </c>
      <c r="AE37" s="1858"/>
      <c r="AF37" s="1937">
        <f t="shared" si="10"/>
        <v>15482.861796666668</v>
      </c>
      <c r="AG37" s="1858"/>
    </row>
    <row r="38" spans="2:33">
      <c r="B38" s="1860" t="s">
        <v>741</v>
      </c>
      <c r="C38" s="1931">
        <v>2629</v>
      </c>
      <c r="D38" s="1932">
        <v>50</v>
      </c>
      <c r="E38" s="1932">
        <v>18</v>
      </c>
      <c r="F38" s="1932">
        <v>56</v>
      </c>
      <c r="G38" s="1932">
        <v>75</v>
      </c>
      <c r="H38" s="1932">
        <v>30</v>
      </c>
      <c r="I38" s="1932">
        <v>11</v>
      </c>
      <c r="J38" s="1932">
        <v>80</v>
      </c>
      <c r="K38" s="1932">
        <v>55</v>
      </c>
      <c r="L38" s="1932">
        <v>25</v>
      </c>
      <c r="M38" s="1932">
        <v>4</v>
      </c>
      <c r="N38" s="1932">
        <v>19</v>
      </c>
      <c r="O38" s="1932">
        <v>25</v>
      </c>
      <c r="P38" s="1932">
        <v>55</v>
      </c>
      <c r="Q38" s="1932">
        <v>0</v>
      </c>
      <c r="R38" s="1932">
        <v>0</v>
      </c>
      <c r="S38" s="1932">
        <v>139.37</v>
      </c>
      <c r="T38" s="1932">
        <v>67</v>
      </c>
      <c r="U38" s="1932">
        <v>67</v>
      </c>
      <c r="V38" s="1932">
        <v>66</v>
      </c>
      <c r="W38" s="1932">
        <v>50</v>
      </c>
      <c r="X38" s="2626">
        <v>150</v>
      </c>
      <c r="Y38" s="1933">
        <f t="shared" si="8"/>
        <v>3671.37</v>
      </c>
      <c r="AA38" s="1938">
        <f t="shared" si="9"/>
        <v>10208.74</v>
      </c>
      <c r="AB38" s="1938">
        <f t="shared" si="11"/>
        <v>10314.160183333333</v>
      </c>
      <c r="AC38" s="1939">
        <v>333.27833333333336</v>
      </c>
      <c r="AD38" s="1937">
        <f t="shared" si="12"/>
        <v>10647.438516666667</v>
      </c>
      <c r="AE38" s="1858"/>
      <c r="AF38" s="1937">
        <f t="shared" si="10"/>
        <v>14318.808516666668</v>
      </c>
      <c r="AG38" s="1858"/>
    </row>
    <row r="39" spans="2:33">
      <c r="B39" s="1860" t="s">
        <v>155</v>
      </c>
      <c r="C39" s="1931">
        <v>2629</v>
      </c>
      <c r="D39" s="1932">
        <v>50</v>
      </c>
      <c r="E39" s="1932">
        <v>18</v>
      </c>
      <c r="F39" s="1932">
        <v>56</v>
      </c>
      <c r="G39" s="1932">
        <v>75</v>
      </c>
      <c r="H39" s="1932">
        <v>30</v>
      </c>
      <c r="I39" s="1932">
        <v>11</v>
      </c>
      <c r="J39" s="1932">
        <v>80</v>
      </c>
      <c r="K39" s="1932">
        <v>55</v>
      </c>
      <c r="L39" s="1932">
        <v>25</v>
      </c>
      <c r="M39" s="1932">
        <v>4</v>
      </c>
      <c r="N39" s="1932">
        <v>19</v>
      </c>
      <c r="O39" s="1932">
        <v>25</v>
      </c>
      <c r="P39" s="1932">
        <v>55</v>
      </c>
      <c r="Q39" s="1932">
        <v>0</v>
      </c>
      <c r="R39" s="1932">
        <v>0</v>
      </c>
      <c r="S39" s="1932">
        <v>139.37</v>
      </c>
      <c r="T39" s="1932">
        <v>67</v>
      </c>
      <c r="U39" s="1932">
        <v>67</v>
      </c>
      <c r="V39" s="1932">
        <v>66</v>
      </c>
      <c r="W39" s="1932">
        <v>50</v>
      </c>
      <c r="X39" s="2626">
        <v>150</v>
      </c>
      <c r="Y39" s="1933">
        <f t="shared" si="8"/>
        <v>3671.37</v>
      </c>
      <c r="AA39" s="1938">
        <f t="shared" si="9"/>
        <v>8563.4189999999999</v>
      </c>
      <c r="AB39" s="1938">
        <f t="shared" si="11"/>
        <v>8651.7606766666668</v>
      </c>
      <c r="AC39" s="1939">
        <v>270.74866666666668</v>
      </c>
      <c r="AD39" s="1937">
        <f t="shared" si="12"/>
        <v>8922.5093433333332</v>
      </c>
      <c r="AE39" s="1858"/>
      <c r="AF39" s="1937">
        <f t="shared" si="10"/>
        <v>12593.879343333334</v>
      </c>
      <c r="AG39" s="1858"/>
    </row>
    <row r="40" spans="2:33">
      <c r="B40" s="1860" t="s">
        <v>156</v>
      </c>
      <c r="C40" s="1931">
        <v>2534</v>
      </c>
      <c r="D40" s="1932">
        <v>50</v>
      </c>
      <c r="E40" s="1932">
        <v>18</v>
      </c>
      <c r="F40" s="1932">
        <v>56</v>
      </c>
      <c r="G40" s="1932">
        <v>0</v>
      </c>
      <c r="H40" s="1932">
        <v>30</v>
      </c>
      <c r="I40" s="1932">
        <v>11</v>
      </c>
      <c r="J40" s="1932">
        <v>80</v>
      </c>
      <c r="K40" s="1932">
        <v>74</v>
      </c>
      <c r="L40" s="1932">
        <v>25</v>
      </c>
      <c r="M40" s="1932">
        <v>4</v>
      </c>
      <c r="N40" s="1932">
        <v>19</v>
      </c>
      <c r="O40" s="1932">
        <v>25</v>
      </c>
      <c r="P40" s="1932">
        <v>55</v>
      </c>
      <c r="Q40" s="1932">
        <v>0</v>
      </c>
      <c r="R40" s="1932">
        <v>0</v>
      </c>
      <c r="S40" s="1932">
        <v>132.65</v>
      </c>
      <c r="T40" s="1932">
        <v>67</v>
      </c>
      <c r="U40" s="1932">
        <v>67</v>
      </c>
      <c r="V40" s="1932">
        <v>66</v>
      </c>
      <c r="W40" s="1932">
        <v>50</v>
      </c>
      <c r="X40" s="2626">
        <v>150</v>
      </c>
      <c r="Y40" s="1933">
        <f t="shared" si="8"/>
        <v>3513.65</v>
      </c>
      <c r="AA40" s="1938">
        <f t="shared" si="9"/>
        <v>9544.510000000002</v>
      </c>
      <c r="AB40" s="1938">
        <f t="shared" si="11"/>
        <v>9642.2360266666692</v>
      </c>
      <c r="AC40" s="1939">
        <v>228.09266666666667</v>
      </c>
      <c r="AD40" s="1937">
        <f t="shared" si="12"/>
        <v>9870.3286933333366</v>
      </c>
      <c r="AE40" s="1858"/>
      <c r="AF40" s="1937">
        <f t="shared" si="10"/>
        <v>13383.978693333336</v>
      </c>
      <c r="AG40" s="1858"/>
    </row>
    <row r="41" spans="2:33" ht="16.5" thickBot="1">
      <c r="B41" s="1860" t="s">
        <v>157</v>
      </c>
      <c r="C41" s="2627">
        <v>2534</v>
      </c>
      <c r="D41" s="2628">
        <v>50</v>
      </c>
      <c r="E41" s="2628">
        <v>18</v>
      </c>
      <c r="F41" s="2628">
        <v>56</v>
      </c>
      <c r="G41" s="2628">
        <v>0</v>
      </c>
      <c r="H41" s="2628">
        <v>30</v>
      </c>
      <c r="I41" s="2628">
        <v>11</v>
      </c>
      <c r="J41" s="2628">
        <v>80</v>
      </c>
      <c r="K41" s="2628">
        <v>74</v>
      </c>
      <c r="L41" s="2628">
        <v>25</v>
      </c>
      <c r="M41" s="2628">
        <v>4</v>
      </c>
      <c r="N41" s="2628">
        <v>19</v>
      </c>
      <c r="O41" s="2628">
        <v>25</v>
      </c>
      <c r="P41" s="2628">
        <v>55</v>
      </c>
      <c r="Q41" s="2628">
        <v>0</v>
      </c>
      <c r="R41" s="2628">
        <v>0</v>
      </c>
      <c r="S41" s="2628">
        <v>132.65</v>
      </c>
      <c r="T41" s="2628">
        <v>67</v>
      </c>
      <c r="U41" s="2628">
        <v>67</v>
      </c>
      <c r="V41" s="2628">
        <v>66</v>
      </c>
      <c r="W41" s="2628">
        <v>50</v>
      </c>
      <c r="X41" s="2629">
        <v>150</v>
      </c>
      <c r="Y41" s="1933">
        <f t="shared" si="8"/>
        <v>3513.65</v>
      </c>
      <c r="AA41" s="1940">
        <f t="shared" si="9"/>
        <v>10095.707</v>
      </c>
      <c r="AB41" s="1940">
        <f t="shared" si="11"/>
        <v>10198.931490000001</v>
      </c>
      <c r="AC41" s="1941">
        <v>226.74199999999999</v>
      </c>
      <c r="AD41" s="1942">
        <f t="shared" si="12"/>
        <v>10425.673490000001</v>
      </c>
      <c r="AE41" s="1858"/>
      <c r="AF41" s="1937">
        <f t="shared" si="10"/>
        <v>13939.323490000001</v>
      </c>
      <c r="AG41" s="1858"/>
    </row>
    <row r="42" spans="2:33" ht="16.5" thickBot="1">
      <c r="B42" s="1879" t="s">
        <v>282</v>
      </c>
      <c r="C42" s="1910">
        <f t="shared" ref="C42:M42" si="13">SUM(C30:C41)</f>
        <v>30883</v>
      </c>
      <c r="D42" s="1909">
        <f t="shared" si="13"/>
        <v>600</v>
      </c>
      <c r="E42" s="1909">
        <f t="shared" si="13"/>
        <v>216</v>
      </c>
      <c r="F42" s="1909">
        <f t="shared" si="13"/>
        <v>672</v>
      </c>
      <c r="G42" s="1909">
        <f t="shared" si="13"/>
        <v>375</v>
      </c>
      <c r="H42" s="1909">
        <f t="shared" si="13"/>
        <v>360</v>
      </c>
      <c r="I42" s="1909">
        <f t="shared" si="13"/>
        <v>132</v>
      </c>
      <c r="J42" s="1909">
        <f t="shared" si="13"/>
        <v>960</v>
      </c>
      <c r="K42" s="1909">
        <f t="shared" si="13"/>
        <v>793</v>
      </c>
      <c r="L42" s="1909">
        <f t="shared" si="13"/>
        <v>300</v>
      </c>
      <c r="M42" s="1909">
        <f t="shared" si="13"/>
        <v>48</v>
      </c>
      <c r="N42" s="1909">
        <f t="shared" ref="N42:Y42" si="14">SUM(N30:N41)</f>
        <v>294</v>
      </c>
      <c r="O42" s="1909">
        <f t="shared" si="14"/>
        <v>300</v>
      </c>
      <c r="P42" s="1909">
        <f t="shared" si="14"/>
        <v>495</v>
      </c>
      <c r="Q42" s="1909">
        <f>SUM(Q30:Q41)</f>
        <v>0</v>
      </c>
      <c r="R42" s="1909">
        <f>SUM(R30:R41)</f>
        <v>0</v>
      </c>
      <c r="S42" s="1909">
        <f>SUM(S30:S41)</f>
        <v>1621.02</v>
      </c>
      <c r="T42" s="1909">
        <f t="shared" si="14"/>
        <v>804</v>
      </c>
      <c r="U42" s="1909">
        <f t="shared" si="14"/>
        <v>804</v>
      </c>
      <c r="V42" s="1909">
        <f t="shared" si="14"/>
        <v>792</v>
      </c>
      <c r="W42" s="1909">
        <f t="shared" si="14"/>
        <v>600</v>
      </c>
      <c r="X42" s="1909">
        <f t="shared" si="14"/>
        <v>1800</v>
      </c>
      <c r="Y42" s="1943">
        <f t="shared" si="14"/>
        <v>42849.02</v>
      </c>
      <c r="AA42" s="1944">
        <f>SUM(AA30:AA41)</f>
        <v>119162.93600000002</v>
      </c>
      <c r="AB42" s="1944">
        <f>SUM(AB30:AB41)</f>
        <v>120387.23566999998</v>
      </c>
      <c r="AC42" s="1944">
        <f>SUM(AC30:AC41)</f>
        <v>3267.0309999999999</v>
      </c>
      <c r="AD42" s="1944">
        <f>SUM(AD30:AD41)</f>
        <v>123654.26667</v>
      </c>
      <c r="AE42" s="1858"/>
      <c r="AF42" s="1944">
        <f>SUM(AF30:AF41)</f>
        <v>166503.28667000003</v>
      </c>
      <c r="AG42" s="1858"/>
    </row>
    <row r="43" spans="2:33" ht="16.5" thickBot="1">
      <c r="B43" s="1899" t="s">
        <v>1721</v>
      </c>
      <c r="C43" s="2402">
        <f t="shared" ref="C43:Y43" si="15">+C42/12</f>
        <v>2573.5833333333335</v>
      </c>
      <c r="D43" s="2403">
        <f t="shared" si="15"/>
        <v>50</v>
      </c>
      <c r="E43" s="2403">
        <f t="shared" si="15"/>
        <v>18</v>
      </c>
      <c r="F43" s="2403">
        <f t="shared" si="15"/>
        <v>56</v>
      </c>
      <c r="G43" s="2403">
        <f t="shared" si="15"/>
        <v>31.25</v>
      </c>
      <c r="H43" s="2403">
        <f t="shared" si="15"/>
        <v>30</v>
      </c>
      <c r="I43" s="2403">
        <f t="shared" si="15"/>
        <v>11</v>
      </c>
      <c r="J43" s="2403">
        <f t="shared" si="15"/>
        <v>80</v>
      </c>
      <c r="K43" s="2403">
        <f t="shared" si="15"/>
        <v>66.083333333333329</v>
      </c>
      <c r="L43" s="2403">
        <f t="shared" si="15"/>
        <v>25</v>
      </c>
      <c r="M43" s="2403">
        <f t="shared" si="15"/>
        <v>4</v>
      </c>
      <c r="N43" s="2403">
        <f t="shared" si="15"/>
        <v>24.5</v>
      </c>
      <c r="O43" s="2403">
        <f t="shared" si="15"/>
        <v>25</v>
      </c>
      <c r="P43" s="2403">
        <f t="shared" si="15"/>
        <v>41.25</v>
      </c>
      <c r="Q43" s="2403">
        <f>+Q42/12</f>
        <v>0</v>
      </c>
      <c r="R43" s="2403">
        <f>+R42/12</f>
        <v>0</v>
      </c>
      <c r="S43" s="2403">
        <f>+S42/12</f>
        <v>135.08500000000001</v>
      </c>
      <c r="T43" s="2403">
        <f t="shared" si="15"/>
        <v>67</v>
      </c>
      <c r="U43" s="2403">
        <f t="shared" si="15"/>
        <v>67</v>
      </c>
      <c r="V43" s="2403">
        <f t="shared" si="15"/>
        <v>66</v>
      </c>
      <c r="W43" s="2403">
        <f t="shared" si="15"/>
        <v>50</v>
      </c>
      <c r="X43" s="2403">
        <f t="shared" si="15"/>
        <v>150</v>
      </c>
      <c r="Y43" s="2404">
        <f t="shared" si="15"/>
        <v>3570.7516666666666</v>
      </c>
      <c r="AA43" s="1945">
        <f>+AA42/12</f>
        <v>9930.2446666666674</v>
      </c>
      <c r="AB43" s="1945">
        <f>+AB42/12</f>
        <v>10032.269639166665</v>
      </c>
      <c r="AC43" s="1945">
        <f>+AC42/12</f>
        <v>272.25258333333335</v>
      </c>
      <c r="AD43" s="1945">
        <f>+AD42/12</f>
        <v>10304.5222225</v>
      </c>
      <c r="AE43" s="1858"/>
      <c r="AF43" s="1945">
        <f>+AF42/12</f>
        <v>13875.273889166669</v>
      </c>
      <c r="AG43" s="1858"/>
    </row>
    <row r="45" spans="2:33">
      <c r="P45" s="1946"/>
      <c r="R45" s="1947"/>
    </row>
    <row r="46" spans="2:33">
      <c r="P46" s="1946"/>
    </row>
    <row r="48" spans="2:33">
      <c r="P48" s="1904"/>
    </row>
    <row r="49" spans="16:16">
      <c r="P49" s="1947"/>
    </row>
  </sheetData>
  <mergeCells count="5">
    <mergeCell ref="U5:Z5"/>
    <mergeCell ref="AF28:AF29"/>
    <mergeCell ref="B2:AB2"/>
    <mergeCell ref="C25:Y25"/>
    <mergeCell ref="C5:S5"/>
  </mergeCells>
  <pageMargins left="0.2" right="0.2" top="0.75" bottom="0.75" header="0.3" footer="0.3"/>
  <pageSetup scale="37"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43"/>
  <sheetViews>
    <sheetView workbookViewId="0"/>
  </sheetViews>
  <sheetFormatPr defaultRowHeight="15.75"/>
  <cols>
    <col min="1" max="1" width="4.7109375" style="1849" customWidth="1"/>
    <col min="2" max="2" width="14.28515625" style="1849" customWidth="1"/>
    <col min="3" max="4" width="6" style="1849" customWidth="1"/>
    <col min="5" max="19" width="11.5703125" style="1849" customWidth="1"/>
    <col min="20" max="20" width="9.140625" style="1849" customWidth="1"/>
    <col min="21" max="24" width="11.7109375" style="1849" customWidth="1"/>
    <col min="25" max="25" width="12.28515625" style="1849" customWidth="1"/>
    <col min="26" max="26" width="9.28515625" style="1858" customWidth="1"/>
    <col min="27" max="29" width="12.28515625" style="1849" customWidth="1"/>
    <col min="30" max="30" width="7" style="1849" customWidth="1"/>
    <col min="31" max="31" width="12.28515625" style="1849" customWidth="1"/>
    <col min="32" max="16384" width="9.140625" style="1849"/>
  </cols>
  <sheetData>
    <row r="1" spans="1:31" ht="16.5" customHeight="1">
      <c r="A1" s="1845"/>
      <c r="B1" s="2716" t="s">
        <v>365</v>
      </c>
      <c r="C1" s="2716"/>
      <c r="D1" s="2716"/>
      <c r="E1" s="2716"/>
      <c r="F1" s="2716"/>
      <c r="G1" s="2716"/>
      <c r="H1" s="2716"/>
      <c r="I1" s="2716"/>
      <c r="J1" s="2716"/>
      <c r="K1" s="2716"/>
      <c r="L1" s="2716"/>
      <c r="M1" s="2716"/>
      <c r="N1" s="2716"/>
      <c r="O1" s="2716"/>
      <c r="P1" s="2716"/>
      <c r="Q1" s="2716"/>
      <c r="R1" s="2716"/>
      <c r="S1" s="2716"/>
      <c r="T1" s="1852"/>
      <c r="U1" s="1852"/>
      <c r="V1" s="1852"/>
      <c r="W1" s="1852"/>
      <c r="X1" s="1852"/>
      <c r="Y1" s="1852"/>
      <c r="Z1" s="1852"/>
      <c r="AA1" s="1852"/>
      <c r="AB1" s="1848"/>
    </row>
    <row r="2" spans="1:31" ht="16.5" customHeight="1">
      <c r="A2" s="1850"/>
      <c r="B2" s="2717" t="s">
        <v>968</v>
      </c>
      <c r="C2" s="2717"/>
      <c r="D2" s="2717"/>
      <c r="E2" s="2717"/>
      <c r="F2" s="2717"/>
      <c r="G2" s="2717"/>
      <c r="H2" s="2717"/>
      <c r="I2" s="2717"/>
      <c r="J2" s="2717"/>
      <c r="K2" s="2717"/>
      <c r="L2" s="2717"/>
      <c r="M2" s="2717"/>
      <c r="N2" s="2717"/>
      <c r="O2" s="2717"/>
      <c r="P2" s="2717"/>
      <c r="Q2" s="2717"/>
      <c r="R2" s="2717"/>
      <c r="S2" s="2717"/>
      <c r="T2" s="2375"/>
      <c r="U2" s="2375"/>
      <c r="V2" s="2375"/>
      <c r="W2" s="2375"/>
      <c r="X2" s="2375"/>
      <c r="Y2" s="2375"/>
      <c r="Z2" s="2375"/>
      <c r="AA2" s="2375"/>
      <c r="AB2" s="2375"/>
      <c r="AC2" s="2375"/>
      <c r="AD2" s="2375"/>
    </row>
    <row r="3" spans="1:31" ht="16.5" customHeight="1">
      <c r="A3" s="1845"/>
      <c r="B3" s="2372"/>
      <c r="C3" s="1846"/>
      <c r="D3" s="1846"/>
      <c r="E3" s="1564"/>
      <c r="F3" s="1564"/>
      <c r="G3" s="1564"/>
      <c r="H3" s="1564"/>
      <c r="I3" s="1564"/>
      <c r="J3" s="1851"/>
      <c r="K3" s="1981">
        <v>2016</v>
      </c>
      <c r="L3" s="1848"/>
      <c r="M3" s="1848"/>
      <c r="O3" s="1848"/>
      <c r="P3" s="1848"/>
      <c r="Q3" s="1848"/>
      <c r="R3" s="1848"/>
      <c r="S3" s="1848"/>
      <c r="T3" s="1858"/>
      <c r="U3" s="1848"/>
      <c r="V3" s="1848"/>
      <c r="W3" s="1848"/>
      <c r="X3" s="1848"/>
      <c r="Y3" s="1848"/>
      <c r="Z3" s="1847"/>
      <c r="AA3" s="1848"/>
      <c r="AB3" s="1848"/>
    </row>
    <row r="4" spans="1:31" ht="16.5" customHeight="1" thickBot="1">
      <c r="C4" s="1853"/>
      <c r="D4" s="1853"/>
      <c r="T4" s="1858"/>
      <c r="U4" s="1848"/>
      <c r="V4" s="1848"/>
      <c r="W4" s="1848"/>
      <c r="X4" s="1848"/>
      <c r="Y4" s="1848"/>
      <c r="Z4" s="1845"/>
    </row>
    <row r="5" spans="1:31" ht="16.5" customHeight="1" thickBot="1">
      <c r="B5" s="1856"/>
      <c r="C5" s="1857"/>
      <c r="D5" s="1857"/>
      <c r="E5" s="2718" t="s">
        <v>813</v>
      </c>
      <c r="F5" s="2719"/>
      <c r="G5" s="2719"/>
      <c r="H5" s="2719"/>
      <c r="I5" s="2719"/>
      <c r="J5" s="2719"/>
      <c r="K5" s="2719"/>
      <c r="L5" s="2719"/>
      <c r="M5" s="2719"/>
      <c r="N5" s="2719"/>
      <c r="O5" s="2719"/>
      <c r="P5" s="2719"/>
      <c r="Q5" s="2719"/>
      <c r="R5" s="2719"/>
      <c r="S5" s="2719"/>
      <c r="T5" s="2720"/>
      <c r="U5" s="2720"/>
      <c r="V5" s="1848"/>
      <c r="W5" s="1848"/>
      <c r="X5" s="1848"/>
      <c r="Y5" s="1848"/>
      <c r="AA5" s="1859"/>
      <c r="AB5" s="1858"/>
      <c r="AC5" s="1858"/>
    </row>
    <row r="6" spans="1:31" ht="16.5" customHeight="1" thickBot="1">
      <c r="B6" s="1860" t="s">
        <v>328</v>
      </c>
      <c r="C6" s="1857"/>
      <c r="D6" s="1857"/>
      <c r="E6" s="2370" t="s">
        <v>359</v>
      </c>
      <c r="F6" s="1862" t="s">
        <v>811</v>
      </c>
      <c r="G6" s="1863" t="s">
        <v>810</v>
      </c>
      <c r="H6" s="1863" t="s">
        <v>809</v>
      </c>
      <c r="I6" s="1863" t="s">
        <v>808</v>
      </c>
      <c r="J6" s="1863" t="s">
        <v>807</v>
      </c>
      <c r="K6" s="1863" t="s">
        <v>806</v>
      </c>
      <c r="L6" s="1863" t="s">
        <v>805</v>
      </c>
      <c r="M6" s="1863" t="s">
        <v>804</v>
      </c>
      <c r="N6" s="1863" t="s">
        <v>803</v>
      </c>
      <c r="O6" s="1863" t="s">
        <v>802</v>
      </c>
      <c r="P6" s="1863" t="s">
        <v>801</v>
      </c>
      <c r="Q6" s="1863" t="s">
        <v>800</v>
      </c>
      <c r="R6" s="1863" t="s">
        <v>1734</v>
      </c>
      <c r="S6" s="1863" t="s">
        <v>2004</v>
      </c>
      <c r="T6" s="1867" t="s">
        <v>2005</v>
      </c>
      <c r="U6" s="1864" t="s">
        <v>397</v>
      </c>
      <c r="V6" s="1858"/>
      <c r="W6" s="1848"/>
      <c r="X6" s="1848"/>
      <c r="Y6" s="1848"/>
      <c r="Z6" s="1848"/>
      <c r="AA6" s="1848"/>
      <c r="AB6" s="1858"/>
      <c r="AC6" s="1859"/>
      <c r="AD6" s="1858"/>
      <c r="AE6" s="1858"/>
    </row>
    <row r="7" spans="1:31" ht="47.25" customHeight="1">
      <c r="B7" s="1868" t="s">
        <v>751</v>
      </c>
      <c r="C7" s="1868"/>
      <c r="D7" s="1959"/>
      <c r="E7" s="1869" t="str">
        <f>'Att 9b - 2016 True-up'!E7</f>
        <v>PacifiCorp</v>
      </c>
      <c r="F7" s="1870" t="str">
        <f>'Att 9b - 2016 True-up'!F7</f>
        <v>BPA Yakama</v>
      </c>
      <c r="G7" s="1871" t="str">
        <f>'Att 9b - 2016 True-up'!G7</f>
        <v>BPA Gazley</v>
      </c>
      <c r="H7" s="1871" t="str">
        <f>'Att 9b - 2016 True-up'!H7</f>
        <v>BPA Clarke PUD</v>
      </c>
      <c r="I7" s="1871" t="str">
        <f>'Att 9b - 2016 True-up'!I7</f>
        <v>BPA: Benton REA</v>
      </c>
      <c r="J7" s="1871" t="str">
        <f>'Att 9b - 2016 True-up'!J7</f>
        <v>BPA Oregon Wind</v>
      </c>
      <c r="K7" s="1871" t="str">
        <f>'Att 9b - 2016 True-up'!K7</f>
        <v>BPA S. Idaho</v>
      </c>
      <c r="L7" s="1871" t="str">
        <f>'Att 9b - 2016 True-up'!L7</f>
        <v>BPA Idaho Falls</v>
      </c>
      <c r="M7" s="1871" t="str">
        <f>'Att 9b - 2016 True-up'!M7</f>
        <v xml:space="preserve"> Tri-State</v>
      </c>
      <c r="N7" s="1871" t="str">
        <f>'Att 9b - 2016 True-up'!N7</f>
        <v>Calpine Energy Solutions LLC/ (Noble Americas)</v>
      </c>
      <c r="O7" s="1871" t="str">
        <f>'Att 9b - 2016 True-up'!O7</f>
        <v xml:space="preserve">Avangrid Renewables, LLC (Iberdrola) </v>
      </c>
      <c r="P7" s="1871" t="str">
        <f>'Att 9b - 2016 True-up'!P7</f>
        <v>Exelon</v>
      </c>
      <c r="Q7" s="1871" t="str">
        <f>'Att 9b - 2016 True-up'!Q7</f>
        <v>Basin Electric</v>
      </c>
      <c r="R7" s="1871" t="str">
        <f>'Att 9b - 2016 True-up'!R7</f>
        <v>Black Hills</v>
      </c>
      <c r="S7" s="1871" t="str">
        <f>'Att 9b - 2016 True-up'!S7</f>
        <v>USBR</v>
      </c>
      <c r="T7" s="2382" t="str">
        <f>'Att 9b - 2016 True-up'!T7</f>
        <v>WAPA</v>
      </c>
      <c r="U7" s="1872"/>
      <c r="V7" s="1858"/>
      <c r="W7" s="1848"/>
      <c r="X7" s="1848"/>
      <c r="Y7" s="1848"/>
      <c r="Z7" s="1848"/>
      <c r="AA7" s="1848"/>
      <c r="AB7" s="1858"/>
      <c r="AC7" s="1859"/>
      <c r="AD7" s="1858"/>
      <c r="AE7" s="1858"/>
    </row>
    <row r="8" spans="1:31" ht="15.75" customHeight="1">
      <c r="B8" s="1875" t="s">
        <v>468</v>
      </c>
      <c r="C8" s="1875"/>
      <c r="D8" s="1961"/>
      <c r="E8" s="1876" t="str">
        <f>'Att 9b - 2016 True-up'!E8</f>
        <v>NFS</v>
      </c>
      <c r="F8" s="1877" t="str">
        <f>'Att 9b - 2016 True-up'!F8</f>
        <v>NFO</v>
      </c>
      <c r="G8" s="1873" t="str">
        <f>'Att 9b - 2016 True-up'!G8</f>
        <v>NFO</v>
      </c>
      <c r="H8" s="1873" t="str">
        <f>'Att 9b - 2016 True-up'!H8</f>
        <v>NFO</v>
      </c>
      <c r="I8" s="1873" t="str">
        <f>'Att 9b - 2016 True-up'!I8</f>
        <v>NFO</v>
      </c>
      <c r="J8" s="1873" t="str">
        <f>'Att 9b - 2016 True-up'!J8</f>
        <v>NFO</v>
      </c>
      <c r="K8" s="1873">
        <f>'Att 9b - 2016 True-up'!K8</f>
        <v>0</v>
      </c>
      <c r="L8" s="1873">
        <f>'Att 9b - 2016 True-up'!L8</f>
        <v>0</v>
      </c>
      <c r="M8" s="1873" t="str">
        <f>'Att 9b - 2016 True-up'!M8</f>
        <v>NFO</v>
      </c>
      <c r="N8" s="1873" t="str">
        <f>'Att 9b - 2016 True-up'!N8</f>
        <v>NFO</v>
      </c>
      <c r="O8" s="1873" t="str">
        <f>'Att 9b - 2016 True-up'!O8</f>
        <v>NFO</v>
      </c>
      <c r="P8" s="1873" t="str">
        <f>'Att 9b - 2016 True-up'!P8</f>
        <v>NFO</v>
      </c>
      <c r="Q8" s="1873" t="str">
        <f>'Att 9b - 2016 True-up'!Q8</f>
        <v>NFO</v>
      </c>
      <c r="R8" s="1873" t="str">
        <f>'Att 9b - 2016 True-up'!R8</f>
        <v>NFO</v>
      </c>
      <c r="S8" s="1873" t="str">
        <f>'Att 9b - 2016 True-up'!S8</f>
        <v>NFO</v>
      </c>
      <c r="T8" s="2383" t="str">
        <f>'Att 9b - 2016 True-up'!T8</f>
        <v>NFO</v>
      </c>
      <c r="U8" s="1878" t="s">
        <v>780</v>
      </c>
      <c r="V8" s="1858"/>
      <c r="Z8" s="1849"/>
      <c r="AB8" s="1858"/>
      <c r="AC8" s="1858"/>
    </row>
    <row r="9" spans="1:31" ht="16.5" customHeight="1" thickBot="1">
      <c r="B9" s="1879" t="s">
        <v>743</v>
      </c>
      <c r="C9" s="1964" t="s">
        <v>815</v>
      </c>
      <c r="D9" s="1964" t="s">
        <v>814</v>
      </c>
      <c r="E9" s="1881" t="str">
        <f>'Att 9b - 2016 True-up'!E9</f>
        <v>-</v>
      </c>
      <c r="F9" s="1882" t="str">
        <f>'Att 9b - 2016 True-up'!F9</f>
        <v>SA 328</v>
      </c>
      <c r="G9" s="1883" t="str">
        <f>'Att 9b - 2016 True-up'!G9</f>
        <v>SA 229</v>
      </c>
      <c r="H9" s="1883" t="str">
        <f>'Att 9b - 2016 True-up'!H9</f>
        <v>SA 370</v>
      </c>
      <c r="I9" s="1883" t="str">
        <f>'Att 9b - 2016 True-up'!I9</f>
        <v>SA 539</v>
      </c>
      <c r="J9" s="1883" t="str">
        <f>'Att 9b - 2016 True-up'!J9</f>
        <v>SA 538</v>
      </c>
      <c r="K9" s="1883" t="str">
        <f>'Att 9b - 2016 True-up'!K9</f>
        <v>SA 746</v>
      </c>
      <c r="L9" s="1883" t="str">
        <f>'Att 9b - 2016 True-up'!L9</f>
        <v>SA 747</v>
      </c>
      <c r="M9" s="1883" t="str">
        <f>'Att 9b - 2016 True-up'!M9</f>
        <v>SA 628</v>
      </c>
      <c r="N9" s="1883" t="str">
        <f>'Att 9b - 2016 True-up'!N9</f>
        <v>SA 299</v>
      </c>
      <c r="O9" s="1883" t="str">
        <f>'Att 9b - 2016 True-up'!O9</f>
        <v>SA 742</v>
      </c>
      <c r="P9" s="1883" t="str">
        <f>'Att 9b - 2016 True-up'!P9</f>
        <v>SA 789</v>
      </c>
      <c r="Q9" s="1883" t="str">
        <f>'Att 9b - 2016 True-up'!Q9</f>
        <v>SA 505</v>
      </c>
      <c r="R9" s="1883" t="str">
        <f>'Att 9b - 2016 True-up'!R9</f>
        <v>SA 347</v>
      </c>
      <c r="S9" s="1883" t="str">
        <f>'Att 9b - 2016 True-up'!S9</f>
        <v>SA 506</v>
      </c>
      <c r="T9" s="2384" t="str">
        <f>'Att 9b - 2016 True-up'!T9</f>
        <v>SA 175</v>
      </c>
      <c r="U9" s="1884"/>
      <c r="V9" s="1858"/>
      <c r="Z9" s="1849"/>
      <c r="AB9" s="1858"/>
      <c r="AC9" s="1858"/>
    </row>
    <row r="10" spans="1:31">
      <c r="B10" s="1860" t="s">
        <v>147</v>
      </c>
      <c r="C10" s="1966">
        <f>'Att 9b - 2016 True-up'!C10</f>
        <v>4</v>
      </c>
      <c r="D10" s="1967">
        <f>'Att 9b - 2016 True-up'!D10</f>
        <v>18</v>
      </c>
      <c r="E10" s="1887">
        <f>'Att 9b - 2016 True-up'!E10</f>
        <v>8342.3140000000003</v>
      </c>
      <c r="F10" s="2608">
        <f>'Att 9b - 2016 True-up'!F10</f>
        <v>5.5380000000000003</v>
      </c>
      <c r="G10" s="2609">
        <f>'Att 9b - 2016 True-up'!G10</f>
        <v>3.1659999999999999</v>
      </c>
      <c r="H10" s="2609">
        <f>'Att 9b - 2016 True-up'!H10</f>
        <v>26.829000000000001</v>
      </c>
      <c r="I10" s="2609">
        <f>'Att 9b - 2016 True-up'!I10</f>
        <v>1.1679999999999999</v>
      </c>
      <c r="J10" s="2609">
        <f>'Att 9b - 2016 True-up'!J10</f>
        <v>0.32100000000000001</v>
      </c>
      <c r="K10" s="2609">
        <f>'Att 9b - 2016 True-up'!K10</f>
        <v>0</v>
      </c>
      <c r="L10" s="2609">
        <f>'Att 9b - 2016 True-up'!L10</f>
        <v>0</v>
      </c>
      <c r="M10" s="2609">
        <f>'Att 9b - 2016 True-up'!M10</f>
        <v>14.698</v>
      </c>
      <c r="N10" s="2609">
        <f>'Att 9b - 2016 True-up'!N10</f>
        <v>19.190000000000001</v>
      </c>
      <c r="O10" s="2609">
        <f>'Att 9b - 2016 True-up'!O10</f>
        <v>11.911</v>
      </c>
      <c r="P10" s="2609">
        <f>'Att 9b - 2016 True-up'!P10</f>
        <v>2.4990000000000001</v>
      </c>
      <c r="Q10" s="2609">
        <f>'Att 9b - 2016 True-up'!Q10</f>
        <v>10.041</v>
      </c>
      <c r="R10" s="2609">
        <f>'Att 9b - 2016 True-up'!R10</f>
        <v>45.56</v>
      </c>
      <c r="S10" s="2609">
        <f>'Att 9b - 2016 True-up'!S10</f>
        <v>4.0000000000000001E-3</v>
      </c>
      <c r="T10" s="2610">
        <f>'Att 9b - 2016 True-up'!T10</f>
        <v>4.3204000000000003E-3</v>
      </c>
      <c r="U10" s="1890">
        <f t="shared" ref="U10:U22" si="0">SUM(F10:T10)</f>
        <v>140.92932039999999</v>
      </c>
      <c r="V10" s="1858"/>
      <c r="Z10" s="1849"/>
      <c r="AB10" s="1858"/>
      <c r="AC10" s="1892"/>
    </row>
    <row r="11" spans="1:31">
      <c r="B11" s="1860" t="s">
        <v>148</v>
      </c>
      <c r="C11" s="1966">
        <f>'Att 9b - 2016 True-up'!C11</f>
        <v>2</v>
      </c>
      <c r="D11" s="1967">
        <f>'Att 9b - 2016 True-up'!D11</f>
        <v>8</v>
      </c>
      <c r="E11" s="1887">
        <f>'Att 9b - 2016 True-up'!E11</f>
        <v>8068.2169999999996</v>
      </c>
      <c r="F11" s="1888">
        <f>'Att 9b - 2016 True-up'!F11</f>
        <v>5.6509999999999998</v>
      </c>
      <c r="G11" s="1889">
        <f>'Att 9b - 2016 True-up'!G11</f>
        <v>3.3260000000000001</v>
      </c>
      <c r="H11" s="1889">
        <f>'Att 9b - 2016 True-up'!H11</f>
        <v>27.082000000000001</v>
      </c>
      <c r="I11" s="1889">
        <f>'Att 9b - 2016 True-up'!I11</f>
        <v>1.139</v>
      </c>
      <c r="J11" s="1889">
        <f>'Att 9b - 2016 True-up'!J11</f>
        <v>0.373</v>
      </c>
      <c r="K11" s="1889">
        <f>'Att 9b - 2016 True-up'!K11</f>
        <v>0</v>
      </c>
      <c r="L11" s="1889">
        <f>'Att 9b - 2016 True-up'!L11</f>
        <v>0</v>
      </c>
      <c r="M11" s="1889">
        <f>'Att 9b - 2016 True-up'!M11</f>
        <v>15.929</v>
      </c>
      <c r="N11" s="1889">
        <f>'Att 9b - 2016 True-up'!N11</f>
        <v>19.739000000000001</v>
      </c>
      <c r="O11" s="1889">
        <f>'Att 9b - 2016 True-up'!O11</f>
        <v>12.327</v>
      </c>
      <c r="P11" s="1889">
        <f>'Att 9b - 2016 True-up'!P11</f>
        <v>1.645</v>
      </c>
      <c r="Q11" s="1889">
        <f>'Att 9b - 2016 True-up'!Q11</f>
        <v>10.353</v>
      </c>
      <c r="R11" s="1889">
        <f>'Att 9b - 2016 True-up'!R11</f>
        <v>42.75</v>
      </c>
      <c r="S11" s="1889">
        <f>'Att 9b - 2016 True-up'!S11</f>
        <v>4.0000000000000001E-3</v>
      </c>
      <c r="T11" s="2611">
        <f>'Att 9b - 2016 True-up'!T11</f>
        <v>4.3204000000000003E-3</v>
      </c>
      <c r="U11" s="1890">
        <f t="shared" si="0"/>
        <v>140.3223204</v>
      </c>
      <c r="V11" s="1858"/>
      <c r="Z11" s="1849"/>
      <c r="AB11" s="1858"/>
      <c r="AC11" s="1892"/>
    </row>
    <row r="12" spans="1:31">
      <c r="B12" s="1860" t="s">
        <v>352</v>
      </c>
      <c r="C12" s="1966">
        <f>'Att 9b - 2016 True-up'!C12</f>
        <v>29</v>
      </c>
      <c r="D12" s="1967">
        <f>'Att 9b - 2016 True-up'!D12</f>
        <v>8</v>
      </c>
      <c r="E12" s="1887">
        <f>'Att 9b - 2016 True-up'!E12</f>
        <v>7200.2870000000003</v>
      </c>
      <c r="F12" s="1888">
        <f>'Att 9b - 2016 True-up'!F12</f>
        <v>5.5049999999999999</v>
      </c>
      <c r="G12" s="1889">
        <f>'Att 9b - 2016 True-up'!G12</f>
        <v>2.9670000000000001</v>
      </c>
      <c r="H12" s="1889">
        <f>'Att 9b - 2016 True-up'!H12</f>
        <v>26.44</v>
      </c>
      <c r="I12" s="1889">
        <f>'Att 9b - 2016 True-up'!I12</f>
        <v>0.95</v>
      </c>
      <c r="J12" s="1889">
        <f>'Att 9b - 2016 True-up'!J12</f>
        <v>0.36499999999999999</v>
      </c>
      <c r="K12" s="1889">
        <f>'Att 9b - 2016 True-up'!K12</f>
        <v>0</v>
      </c>
      <c r="L12" s="1889">
        <f>'Att 9b - 2016 True-up'!L12</f>
        <v>0</v>
      </c>
      <c r="M12" s="1889">
        <f>'Att 9b - 2016 True-up'!M12</f>
        <v>11.134</v>
      </c>
      <c r="N12" s="1889">
        <f>'Att 9b - 2016 True-up'!N12</f>
        <v>18.12</v>
      </c>
      <c r="O12" s="1889">
        <f>'Att 9b - 2016 True-up'!O12</f>
        <v>13.256</v>
      </c>
      <c r="P12" s="1889">
        <f>'Att 9b - 2016 True-up'!P12</f>
        <v>1.609</v>
      </c>
      <c r="Q12" s="1889">
        <f>'Att 9b - 2016 True-up'!Q12</f>
        <v>8.7929999999999993</v>
      </c>
      <c r="R12" s="1889">
        <f>'Att 9b - 2016 True-up'!R12</f>
        <v>38.020000000000003</v>
      </c>
      <c r="S12" s="1889">
        <f>'Att 9b - 2016 True-up'!S12</f>
        <v>0.28100000000000003</v>
      </c>
      <c r="T12" s="2611">
        <f>'Att 9b - 2016 True-up'!T12</f>
        <v>1.0809999999999998E-2</v>
      </c>
      <c r="U12" s="1890">
        <f t="shared" si="0"/>
        <v>127.45081000000003</v>
      </c>
      <c r="V12" s="1858"/>
      <c r="Z12" s="1849"/>
      <c r="AB12" s="1858"/>
      <c r="AC12" s="1892"/>
    </row>
    <row r="13" spans="1:31">
      <c r="B13" s="1860" t="s">
        <v>143</v>
      </c>
      <c r="C13" s="1966">
        <f>'Att 9b - 2016 True-up'!C13</f>
        <v>14</v>
      </c>
      <c r="D13" s="1967">
        <f>'Att 9b - 2016 True-up'!D13</f>
        <v>10</v>
      </c>
      <c r="E13" s="1977">
        <f>'Att 9b - 2016 True-up'!E13</f>
        <v>6811.817</v>
      </c>
      <c r="F13" s="1888">
        <f>'Att 9b - 2016 True-up'!F13</f>
        <v>5.5449999999999999</v>
      </c>
      <c r="G13" s="1889">
        <f>'Att 9b - 2016 True-up'!G13</f>
        <v>3.0939999999999999</v>
      </c>
      <c r="H13" s="1889">
        <f>'Att 9b - 2016 True-up'!H13</f>
        <v>16.899999999999999</v>
      </c>
      <c r="I13" s="1889">
        <f>'Att 9b - 2016 True-up'!I13</f>
        <v>0.6</v>
      </c>
      <c r="J13" s="1889">
        <f>'Att 9b - 2016 True-up'!J13</f>
        <v>0.41599999999999998</v>
      </c>
      <c r="K13" s="1889">
        <f>'Att 9b - 2016 True-up'!K13</f>
        <v>0</v>
      </c>
      <c r="L13" s="1889">
        <f>'Att 9b - 2016 True-up'!L13</f>
        <v>0</v>
      </c>
      <c r="M13" s="1889">
        <f>'Att 9b - 2016 True-up'!M13</f>
        <v>8.1259999999999994</v>
      </c>
      <c r="N13" s="1889">
        <f>'Att 9b - 2016 True-up'!N13</f>
        <v>17.675999999999998</v>
      </c>
      <c r="O13" s="1889">
        <f>'Att 9b - 2016 True-up'!O13</f>
        <v>13.669</v>
      </c>
      <c r="P13" s="1889">
        <f>'Att 9b - 2016 True-up'!P13</f>
        <v>1.5149999999999999</v>
      </c>
      <c r="Q13" s="1889">
        <f>'Att 9b - 2016 True-up'!Q13</f>
        <v>7.782</v>
      </c>
      <c r="R13" s="1889">
        <f>'Att 9b - 2016 True-up'!R13</f>
        <v>31.4</v>
      </c>
      <c r="S13" s="1889">
        <f>'Att 9b - 2016 True-up'!S13</f>
        <v>0.30399999999999999</v>
      </c>
      <c r="T13" s="2611">
        <f>'Att 9b - 2016 True-up'!T13</f>
        <v>1.4181713</v>
      </c>
      <c r="U13" s="1890">
        <f t="shared" si="0"/>
        <v>108.44517129999998</v>
      </c>
      <c r="V13" s="1858"/>
      <c r="Z13" s="1849"/>
      <c r="AB13" s="1858"/>
      <c r="AC13" s="1892"/>
    </row>
    <row r="14" spans="1:31">
      <c r="A14" s="1886"/>
      <c r="B14" s="1860" t="s">
        <v>144</v>
      </c>
      <c r="C14" s="1966">
        <f>'Att 9b - 2016 True-up'!C14</f>
        <v>31</v>
      </c>
      <c r="D14" s="1967">
        <f>'Att 9b - 2016 True-up'!D14</f>
        <v>17</v>
      </c>
      <c r="E14" s="1977">
        <f>'Att 9b - 2016 True-up'!E14</f>
        <v>7462.7209999999995</v>
      </c>
      <c r="F14" s="1888">
        <f>'Att 9b - 2016 True-up'!F14</f>
        <v>4.8860000000000001</v>
      </c>
      <c r="G14" s="1889">
        <f>'Att 9b - 2016 True-up'!G14</f>
        <v>3.2040000000000002</v>
      </c>
      <c r="H14" s="1889">
        <f>'Att 9b - 2016 True-up'!H14</f>
        <v>12.877000000000001</v>
      </c>
      <c r="I14" s="1889">
        <f>'Att 9b - 2016 True-up'!I14</f>
        <v>0.28799999999999998</v>
      </c>
      <c r="J14" s="1889">
        <f>'Att 9b - 2016 True-up'!J14</f>
        <v>0</v>
      </c>
      <c r="K14" s="1889">
        <f>'Att 9b - 2016 True-up'!K14</f>
        <v>0</v>
      </c>
      <c r="L14" s="1889">
        <f>'Att 9b - 2016 True-up'!L14</f>
        <v>0</v>
      </c>
      <c r="M14" s="1889">
        <f>'Att 9b - 2016 True-up'!M14</f>
        <v>8.66</v>
      </c>
      <c r="N14" s="1889">
        <f>'Att 9b - 2016 True-up'!N14</f>
        <v>21.117999999999999</v>
      </c>
      <c r="O14" s="1889">
        <f>'Att 9b - 2016 True-up'!O14</f>
        <v>15.923</v>
      </c>
      <c r="P14" s="1889">
        <f>'Att 9b - 2016 True-up'!P14</f>
        <v>1.468</v>
      </c>
      <c r="Q14" s="1889">
        <f>'Att 9b - 2016 True-up'!Q14</f>
        <v>8.8610000000000007</v>
      </c>
      <c r="R14" s="1889">
        <f>'Att 9b - 2016 True-up'!R14</f>
        <v>30.88</v>
      </c>
      <c r="S14" s="1889">
        <f>'Att 9b - 2016 True-up'!S14</f>
        <v>0.52600000000000002</v>
      </c>
      <c r="T14" s="2611">
        <f>'Att 9b - 2016 True-up'!T14</f>
        <v>2.2433677000000003</v>
      </c>
      <c r="U14" s="1890">
        <f t="shared" si="0"/>
        <v>110.9343677</v>
      </c>
      <c r="V14" s="1858"/>
      <c r="Z14" s="1849"/>
      <c r="AB14" s="1858"/>
      <c r="AC14" s="1892"/>
    </row>
    <row r="15" spans="1:31">
      <c r="B15" s="1860" t="s">
        <v>151</v>
      </c>
      <c r="C15" s="1966">
        <f>'Att 9b - 2016 True-up'!C15</f>
        <v>28</v>
      </c>
      <c r="D15" s="1967">
        <f>'Att 9b - 2016 True-up'!D15</f>
        <v>16</v>
      </c>
      <c r="E15" s="1977">
        <f>'Att 9b - 2016 True-up'!E15</f>
        <v>9880.5779999999995</v>
      </c>
      <c r="F15" s="1888">
        <f>'Att 9b - 2016 True-up'!F15</f>
        <v>5.95</v>
      </c>
      <c r="G15" s="1889">
        <f>'Att 9b - 2016 True-up'!G15</f>
        <v>3.5960000000000001</v>
      </c>
      <c r="H15" s="1889">
        <f>'Att 9b - 2016 True-up'!H15</f>
        <v>7.2050000000000001</v>
      </c>
      <c r="I15" s="1889">
        <f>'Att 9b - 2016 True-up'!I15</f>
        <v>0.379</v>
      </c>
      <c r="J15" s="1889">
        <f>'Att 9b - 2016 True-up'!J15</f>
        <v>0.28599999999999998</v>
      </c>
      <c r="K15" s="1889">
        <f>'Att 9b - 2016 True-up'!K15</f>
        <v>0</v>
      </c>
      <c r="L15" s="1889">
        <f>'Att 9b - 2016 True-up'!L15</f>
        <v>0</v>
      </c>
      <c r="M15" s="1889">
        <f>'Att 9b - 2016 True-up'!M15</f>
        <v>14.956</v>
      </c>
      <c r="N15" s="1889">
        <f>'Att 9b - 2016 True-up'!N15</f>
        <v>23.449000000000002</v>
      </c>
      <c r="O15" s="1889">
        <f>'Att 9b - 2016 True-up'!O15</f>
        <v>17.071000000000002</v>
      </c>
      <c r="P15" s="1889">
        <f>'Att 9b - 2016 True-up'!P15</f>
        <v>1.5029999999999999</v>
      </c>
      <c r="Q15" s="1889">
        <f>'Att 9b - 2016 True-up'!Q15</f>
        <v>10.634</v>
      </c>
      <c r="R15" s="1889">
        <f>'Att 9b - 2016 True-up'!R15</f>
        <v>48.83</v>
      </c>
      <c r="S15" s="1889">
        <f>'Att 9b - 2016 True-up'!S15</f>
        <v>0.62</v>
      </c>
      <c r="T15" s="2611">
        <f>'Att 9b - 2016 True-up'!T15</f>
        <v>3.0177994000000004</v>
      </c>
      <c r="U15" s="1890">
        <f t="shared" si="0"/>
        <v>137.49679939999999</v>
      </c>
      <c r="V15" s="1858"/>
      <c r="Z15" s="1849"/>
      <c r="AB15" s="1858"/>
      <c r="AC15" s="1892"/>
    </row>
    <row r="16" spans="1:31">
      <c r="B16" s="1860" t="s">
        <v>742</v>
      </c>
      <c r="C16" s="1966">
        <f>'Att 9b - 2016 True-up'!C16</f>
        <v>28</v>
      </c>
      <c r="D16" s="1967">
        <f>'Att 9b - 2016 True-up'!D16</f>
        <v>17</v>
      </c>
      <c r="E16" s="1887">
        <f>'Att 9b - 2016 True-up'!E16</f>
        <v>10139.189</v>
      </c>
      <c r="F16" s="1888">
        <f>'Att 9b - 2016 True-up'!F16</f>
        <v>6.7569999999999997</v>
      </c>
      <c r="G16" s="1889">
        <f>'Att 9b - 2016 True-up'!G16</f>
        <v>3.7250000000000001</v>
      </c>
      <c r="H16" s="1889">
        <f>'Att 9b - 2016 True-up'!H16</f>
        <v>11.683999999999999</v>
      </c>
      <c r="I16" s="1889">
        <f>'Att 9b - 2016 True-up'!I16</f>
        <v>0.51800000000000002</v>
      </c>
      <c r="J16" s="1889">
        <f>'Att 9b - 2016 True-up'!J16</f>
        <v>7.8E-2</v>
      </c>
      <c r="K16" s="1889">
        <f>'Att 9b - 2016 True-up'!K16</f>
        <v>180.29900000000001</v>
      </c>
      <c r="L16" s="1889">
        <f>'Att 9b - 2016 True-up'!L16</f>
        <v>68</v>
      </c>
      <c r="M16" s="1889">
        <f>'Att 9b - 2016 True-up'!M16</f>
        <v>13.877000000000001</v>
      </c>
      <c r="N16" s="1889">
        <f>'Att 9b - 2016 True-up'!N16</f>
        <v>30.661999999999999</v>
      </c>
      <c r="O16" s="1889">
        <f>'Att 9b - 2016 True-up'!O16</f>
        <v>17.363</v>
      </c>
      <c r="P16" s="1889">
        <f>'Att 9b - 2016 True-up'!P16</f>
        <v>1.6519999999999999</v>
      </c>
      <c r="Q16" s="1889">
        <f>'Att 9b - 2016 True-up'!Q16</f>
        <v>10.273999999999999</v>
      </c>
      <c r="R16" s="1889">
        <f>'Att 9b - 2016 True-up'!R16</f>
        <v>49.44</v>
      </c>
      <c r="S16" s="1889">
        <f>'Att 9b - 2016 True-up'!S16</f>
        <v>0.61299999999999999</v>
      </c>
      <c r="T16" s="2611">
        <f>'Att 9b - 2016 True-up'!T16</f>
        <v>3.1290500000000003</v>
      </c>
      <c r="U16" s="1890">
        <f t="shared" si="0"/>
        <v>398.07105000000001</v>
      </c>
      <c r="V16" s="1858"/>
      <c r="Z16" s="1849"/>
      <c r="AB16" s="1858"/>
      <c r="AC16" s="1892"/>
    </row>
    <row r="17" spans="1:32">
      <c r="B17" s="1860" t="s">
        <v>153</v>
      </c>
      <c r="C17" s="1966">
        <f>'Att 9b - 2016 True-up'!C17</f>
        <v>16</v>
      </c>
      <c r="D17" s="1967">
        <f>'Att 9b - 2016 True-up'!D17</f>
        <v>17</v>
      </c>
      <c r="E17" s="1887">
        <f>'Att 9b - 2016 True-up'!E17</f>
        <v>9680.7360000000008</v>
      </c>
      <c r="F17" s="1888">
        <f>'Att 9b - 2016 True-up'!F17</f>
        <v>7.0709999999999997</v>
      </c>
      <c r="G17" s="1889">
        <f>'Att 9b - 2016 True-up'!G17</f>
        <v>3.573</v>
      </c>
      <c r="H17" s="1889">
        <f>'Att 9b - 2016 True-up'!H17</f>
        <v>9.3879999999999999</v>
      </c>
      <c r="I17" s="1889">
        <f>'Att 9b - 2016 True-up'!I17</f>
        <v>0.36</v>
      </c>
      <c r="J17" s="1889">
        <f>'Att 9b - 2016 True-up'!J17</f>
        <v>7.8E-2</v>
      </c>
      <c r="K17" s="1889">
        <f>'Att 9b - 2016 True-up'!K17</f>
        <v>158.40100000000001</v>
      </c>
      <c r="L17" s="1889">
        <f>'Att 9b - 2016 True-up'!L17</f>
        <v>64</v>
      </c>
      <c r="M17" s="1889">
        <f>'Att 9b - 2016 True-up'!M17</f>
        <v>13.384</v>
      </c>
      <c r="N17" s="1889">
        <f>'Att 9b - 2016 True-up'!N17</f>
        <v>29.236999999999998</v>
      </c>
      <c r="O17" s="1889">
        <f>'Att 9b - 2016 True-up'!O17</f>
        <v>18.231999999999999</v>
      </c>
      <c r="P17" s="1889">
        <f>'Att 9b - 2016 True-up'!P17</f>
        <v>1.625</v>
      </c>
      <c r="Q17" s="1889">
        <f>'Att 9b - 2016 True-up'!Q17</f>
        <v>10.491</v>
      </c>
      <c r="R17" s="1889">
        <f>'Att 9b - 2016 True-up'!R17</f>
        <v>54.61</v>
      </c>
      <c r="S17" s="1889">
        <f>'Att 9b - 2016 True-up'!S17</f>
        <v>0.55400000000000005</v>
      </c>
      <c r="T17" s="2611">
        <f>'Att 9b - 2016 True-up'!T17</f>
        <v>3.0761250000000002</v>
      </c>
      <c r="U17" s="1890">
        <f t="shared" si="0"/>
        <v>374.08012500000001</v>
      </c>
      <c r="V17" s="1858"/>
      <c r="Z17" s="1849"/>
      <c r="AB17" s="1858"/>
      <c r="AC17" s="1892"/>
    </row>
    <row r="18" spans="1:32">
      <c r="B18" s="1860" t="s">
        <v>741</v>
      </c>
      <c r="C18" s="1966">
        <f>'Att 9b - 2016 True-up'!C18</f>
        <v>1</v>
      </c>
      <c r="D18" s="1967">
        <f>'Att 9b - 2016 True-up'!D18</f>
        <v>15</v>
      </c>
      <c r="E18" s="1887">
        <f>'Att 9b - 2016 True-up'!E18</f>
        <v>8511.6129999999994</v>
      </c>
      <c r="F18" s="1888">
        <f>'Att 9b - 2016 True-up'!F18</f>
        <v>5.7809999999999997</v>
      </c>
      <c r="G18" s="1889">
        <f>'Att 9b - 2016 True-up'!G18</f>
        <v>2.8250000000000002</v>
      </c>
      <c r="H18" s="1889">
        <f>'Att 9b - 2016 True-up'!H18</f>
        <v>7.4059999999999997</v>
      </c>
      <c r="I18" s="1889">
        <f>'Att 9b - 2016 True-up'!I18</f>
        <v>0.32</v>
      </c>
      <c r="J18" s="1889">
        <f>'Att 9b - 2016 True-up'!J18</f>
        <v>0</v>
      </c>
      <c r="K18" s="1889">
        <f>'Att 9b - 2016 True-up'!K18</f>
        <v>138.32</v>
      </c>
      <c r="L18" s="1889">
        <f>'Att 9b - 2016 True-up'!L18</f>
        <v>54</v>
      </c>
      <c r="M18" s="1889">
        <f>'Att 9b - 2016 True-up'!M18</f>
        <v>16.536000000000001</v>
      </c>
      <c r="N18" s="1889">
        <f>'Att 9b - 2016 True-up'!N18</f>
        <v>24.527000000000001</v>
      </c>
      <c r="O18" s="1889">
        <f>'Att 9b - 2016 True-up'!O18</f>
        <v>17.373000000000001</v>
      </c>
      <c r="P18" s="1889">
        <f>'Att 9b - 2016 True-up'!P18</f>
        <v>1.375</v>
      </c>
      <c r="Q18" s="1889">
        <f>'Att 9b - 2016 True-up'!Q18</f>
        <v>10.558999999999999</v>
      </c>
      <c r="R18" s="1889">
        <f>'Att 9b - 2016 True-up'!R18</f>
        <v>49.74</v>
      </c>
      <c r="S18" s="1889">
        <f>'Att 9b - 2016 True-up'!S18</f>
        <v>0.54500000000000004</v>
      </c>
      <c r="T18" s="2611">
        <f>'Att 9b - 2016 True-up'!T18</f>
        <v>2.9562339999999998</v>
      </c>
      <c r="U18" s="1890">
        <f t="shared" si="0"/>
        <v>332.26323400000001</v>
      </c>
      <c r="V18" s="1858"/>
      <c r="Z18" s="1849"/>
      <c r="AB18" s="1858"/>
      <c r="AC18" s="1892"/>
    </row>
    <row r="19" spans="1:32">
      <c r="B19" s="1860" t="s">
        <v>155</v>
      </c>
      <c r="C19" s="1966">
        <f>'Att 9b - 2016 True-up'!C19</f>
        <v>19</v>
      </c>
      <c r="D19" s="1967">
        <f>'Att 9b - 2016 True-up'!D19</f>
        <v>8</v>
      </c>
      <c r="E19" s="1887">
        <f>'Att 9b - 2016 True-up'!E19</f>
        <v>6971.1459999999997</v>
      </c>
      <c r="F19" s="1888">
        <f>'Att 9b - 2016 True-up'!F19</f>
        <v>5.468</v>
      </c>
      <c r="G19" s="1889">
        <f>'Att 9b - 2016 True-up'!G19</f>
        <v>2.9460000000000002</v>
      </c>
      <c r="H19" s="1889">
        <f>'Att 9b - 2016 True-up'!H19</f>
        <v>17.056999999999999</v>
      </c>
      <c r="I19" s="1889">
        <f>'Att 9b - 2016 True-up'!I19</f>
        <v>0</v>
      </c>
      <c r="J19" s="1889">
        <f>'Att 9b - 2016 True-up'!J19</f>
        <v>5.1999999999999998E-2</v>
      </c>
      <c r="K19" s="1889">
        <f>'Att 9b - 2016 True-up'!K19</f>
        <v>170.34899999999999</v>
      </c>
      <c r="L19" s="1889">
        <f>'Att 9b - 2016 True-up'!L19</f>
        <v>67</v>
      </c>
      <c r="M19" s="1889">
        <f>'Att 9b - 2016 True-up'!M19</f>
        <v>13.132999999999999</v>
      </c>
      <c r="N19" s="1889">
        <f>'Att 9b - 2016 True-up'!N19</f>
        <v>20.419</v>
      </c>
      <c r="O19" s="1889">
        <f>'Att 9b - 2016 True-up'!O19</f>
        <v>18.524000000000001</v>
      </c>
      <c r="P19" s="1889">
        <f>'Att 9b - 2016 True-up'!P19</f>
        <v>0.39900000000000002</v>
      </c>
      <c r="Q19" s="1889">
        <f>'Att 9b - 2016 True-up'!Q19</f>
        <v>8.5370000000000008</v>
      </c>
      <c r="R19" s="1889">
        <f>'Att 9b - 2016 True-up'!R19</f>
        <v>36.270000000000003</v>
      </c>
      <c r="S19" s="1889">
        <f>'Att 9b - 2016 True-up'!S19</f>
        <v>0.25700000000000001</v>
      </c>
      <c r="T19" s="2611">
        <f>'Att 9b - 2016 True-up'!T19</f>
        <v>6.0000000000000001E-3</v>
      </c>
      <c r="U19" s="1890">
        <f t="shared" si="0"/>
        <v>360.41699999999986</v>
      </c>
      <c r="V19" s="1858"/>
      <c r="Z19" s="1849"/>
      <c r="AB19" s="1858"/>
      <c r="AC19" s="1892"/>
    </row>
    <row r="20" spans="1:32">
      <c r="B20" s="1860" t="s">
        <v>156</v>
      </c>
      <c r="C20" s="1966">
        <f>'Att 9b - 2016 True-up'!C20</f>
        <v>30</v>
      </c>
      <c r="D20" s="1967">
        <f>'Att 9b - 2016 True-up'!D20</f>
        <v>18</v>
      </c>
      <c r="E20" s="1887">
        <f>'Att 9b - 2016 True-up'!E20</f>
        <v>7858.2510000000002</v>
      </c>
      <c r="F20" s="1888">
        <f>'Att 9b - 2016 True-up'!F20</f>
        <v>5.4480000000000004</v>
      </c>
      <c r="G20" s="1889">
        <f>'Att 9b - 2016 True-up'!G20</f>
        <v>3.1030000000000002</v>
      </c>
      <c r="H20" s="1889">
        <f>'Att 9b - 2016 True-up'!H20</f>
        <v>22.96</v>
      </c>
      <c r="I20" s="1889">
        <f>'Att 9b - 2016 True-up'!I20</f>
        <v>1.1319999999999999</v>
      </c>
      <c r="J20" s="1889">
        <f>'Att 9b - 2016 True-up'!J20</f>
        <v>0</v>
      </c>
      <c r="K20" s="1889">
        <f>'Att 9b - 2016 True-up'!K20</f>
        <v>217.12</v>
      </c>
      <c r="L20" s="1889">
        <f>'Att 9b - 2016 True-up'!L20</f>
        <v>82</v>
      </c>
      <c r="M20" s="1889">
        <f>'Att 9b - 2016 True-up'!M20</f>
        <v>15.87</v>
      </c>
      <c r="N20" s="1889">
        <f>'Att 9b - 2016 True-up'!N20</f>
        <v>20.748999999999999</v>
      </c>
      <c r="O20" s="1889">
        <f>'Att 9b - 2016 True-up'!O20</f>
        <v>19.376999999999999</v>
      </c>
      <c r="P20" s="1889">
        <f>'Att 9b - 2016 True-up'!P20</f>
        <v>2.2989999999999999</v>
      </c>
      <c r="Q20" s="1889">
        <f>'Att 9b - 2016 True-up'!Q20</f>
        <v>9.6790000000000003</v>
      </c>
      <c r="R20" s="1889">
        <f>'Att 9b - 2016 True-up'!R20</f>
        <v>43.34</v>
      </c>
      <c r="S20" s="1889">
        <f>'Att 9b - 2016 True-up'!S20</f>
        <v>0</v>
      </c>
      <c r="T20" s="2611">
        <f>'Att 9b - 2016 True-up'!T20</f>
        <v>5.0000000000000001E-3</v>
      </c>
      <c r="U20" s="1890">
        <f t="shared" si="0"/>
        <v>443.08199999999999</v>
      </c>
      <c r="V20" s="1858"/>
      <c r="Z20" s="1849"/>
      <c r="AB20" s="1858"/>
      <c r="AC20" s="1892"/>
    </row>
    <row r="21" spans="1:32" ht="16.5" thickBot="1">
      <c r="B21" s="1879" t="s">
        <v>157</v>
      </c>
      <c r="C21" s="1978">
        <f>'Att 9b - 2016 True-up'!C21</f>
        <v>19</v>
      </c>
      <c r="D21" s="1979">
        <f>'Att 9b - 2016 True-up'!D21</f>
        <v>18</v>
      </c>
      <c r="E21" s="1894">
        <f>'Att 9b - 2016 True-up'!E21</f>
        <v>8664.7759999999998</v>
      </c>
      <c r="F21" s="1895">
        <f>'Att 9b - 2016 True-up'!F21</f>
        <v>6.2220000000000004</v>
      </c>
      <c r="G21" s="1896">
        <f>'Att 9b - 2016 True-up'!G21</f>
        <v>3.1059999999999999</v>
      </c>
      <c r="H21" s="1896">
        <f>'Att 9b - 2016 True-up'!H21</f>
        <v>29.777000000000001</v>
      </c>
      <c r="I21" s="1896">
        <f>'Att 9b - 2016 True-up'!I21</f>
        <v>1.04</v>
      </c>
      <c r="J21" s="1896">
        <f>'Att 9b - 2016 True-up'!J21</f>
        <v>0</v>
      </c>
      <c r="K21" s="1896">
        <f>'Att 9b - 2016 True-up'!K21</f>
        <v>289.49700000000001</v>
      </c>
      <c r="L21" s="1896">
        <f>'Att 9b - 2016 True-up'!L21</f>
        <v>95</v>
      </c>
      <c r="M21" s="1896">
        <f>'Att 9b - 2016 True-up'!M21</f>
        <v>19.966000000000001</v>
      </c>
      <c r="N21" s="1896">
        <f>'Att 9b - 2016 True-up'!N21</f>
        <v>19.152999999999999</v>
      </c>
      <c r="O21" s="1896">
        <f>'Att 9b - 2016 True-up'!O21</f>
        <v>19.882000000000001</v>
      </c>
      <c r="P21" s="1896">
        <f>'Att 9b - 2016 True-up'!P21</f>
        <v>2.2210000000000001</v>
      </c>
      <c r="Q21" s="1896">
        <f>'Att 9b - 2016 True-up'!Q21</f>
        <v>10.891999999999999</v>
      </c>
      <c r="R21" s="1896">
        <f>'Att 9b - 2016 True-up'!R21</f>
        <v>53.03</v>
      </c>
      <c r="S21" s="1896">
        <f>'Att 9b - 2016 True-up'!S21</f>
        <v>0</v>
      </c>
      <c r="T21" s="2612">
        <f>'Att 9b - 2016 True-up'!T21</f>
        <v>5.0000000000000001E-3</v>
      </c>
      <c r="U21" s="1885">
        <f t="shared" si="0"/>
        <v>549.79100000000005</v>
      </c>
      <c r="V21" s="1858"/>
      <c r="Z21" s="1849"/>
      <c r="AB21" s="1858"/>
      <c r="AC21" s="1892"/>
    </row>
    <row r="22" spans="1:32" ht="16.5" thickBot="1">
      <c r="A22" s="1858"/>
      <c r="B22" s="1899" t="s">
        <v>282</v>
      </c>
      <c r="C22" s="1900"/>
      <c r="D22" s="1901"/>
      <c r="E22" s="1944">
        <f t="shared" ref="E22:T22" si="1">SUM(E10:E21)</f>
        <v>99591.64499999999</v>
      </c>
      <c r="F22" s="1910">
        <f t="shared" si="1"/>
        <v>69.821999999999989</v>
      </c>
      <c r="G22" s="1909">
        <f t="shared" si="1"/>
        <v>38.631000000000007</v>
      </c>
      <c r="H22" s="1909">
        <f t="shared" si="1"/>
        <v>215.60500000000002</v>
      </c>
      <c r="I22" s="1909">
        <f t="shared" si="1"/>
        <v>7.8939999999999992</v>
      </c>
      <c r="J22" s="1909">
        <f t="shared" si="1"/>
        <v>1.9690000000000001</v>
      </c>
      <c r="K22" s="1909">
        <f t="shared" si="1"/>
        <v>1153.9860000000001</v>
      </c>
      <c r="L22" s="1909">
        <f t="shared" si="1"/>
        <v>430</v>
      </c>
      <c r="M22" s="1909">
        <f t="shared" si="1"/>
        <v>166.26900000000001</v>
      </c>
      <c r="N22" s="1909">
        <f t="shared" si="1"/>
        <v>264.03900000000004</v>
      </c>
      <c r="O22" s="1909">
        <f t="shared" si="1"/>
        <v>194.90800000000002</v>
      </c>
      <c r="P22" s="1909">
        <f t="shared" si="1"/>
        <v>19.809999999999999</v>
      </c>
      <c r="Q22" s="1909">
        <f t="shared" si="1"/>
        <v>116.896</v>
      </c>
      <c r="R22" s="1909">
        <f t="shared" si="1"/>
        <v>523.87</v>
      </c>
      <c r="S22" s="1909">
        <f t="shared" si="1"/>
        <v>3.7079999999999997</v>
      </c>
      <c r="T22" s="1908">
        <f t="shared" si="1"/>
        <v>15.876198200000003</v>
      </c>
      <c r="U22" s="1885">
        <f t="shared" si="0"/>
        <v>3223.2831982000007</v>
      </c>
      <c r="V22" s="1858"/>
      <c r="Z22" s="1849"/>
      <c r="AB22" s="1858"/>
      <c r="AC22" s="1892"/>
      <c r="AF22" s="1904"/>
    </row>
    <row r="23" spans="1:32">
      <c r="C23" s="1857"/>
      <c r="E23" s="1858"/>
      <c r="F23" s="1858"/>
      <c r="G23" s="1858"/>
      <c r="H23" s="1858"/>
      <c r="I23" s="1858"/>
      <c r="J23" s="1858"/>
      <c r="K23" s="1858"/>
      <c r="L23" s="1858"/>
      <c r="M23" s="1858"/>
      <c r="N23" s="1858"/>
      <c r="O23" s="1858"/>
      <c r="P23" s="1858"/>
      <c r="Q23" s="1858"/>
      <c r="R23" s="1858"/>
      <c r="S23" s="1858"/>
      <c r="T23" s="1858"/>
      <c r="U23" s="1858"/>
      <c r="V23" s="1858"/>
      <c r="W23" s="1858"/>
      <c r="X23" s="1858"/>
      <c r="Y23" s="1858"/>
      <c r="AA23" s="1858"/>
      <c r="AB23" s="1858"/>
      <c r="AC23" s="1904"/>
    </row>
    <row r="24" spans="1:32">
      <c r="C24" s="1857"/>
      <c r="E24" s="1858"/>
      <c r="F24" s="1858"/>
      <c r="G24" s="1858"/>
      <c r="H24" s="1858"/>
      <c r="I24" s="1858"/>
      <c r="J24" s="1858"/>
      <c r="K24" s="1858"/>
      <c r="L24" s="1858"/>
      <c r="M24" s="1858"/>
      <c r="N24" s="1858"/>
      <c r="O24" s="1858"/>
      <c r="P24" s="1858"/>
      <c r="Q24" s="1858"/>
      <c r="R24" s="1858"/>
      <c r="S24" s="1858"/>
      <c r="T24" s="1858"/>
      <c r="U24" s="1858"/>
      <c r="V24" s="1858"/>
      <c r="W24" s="1858"/>
      <c r="X24" s="1858"/>
      <c r="Y24" s="1858"/>
      <c r="AA24" s="1858"/>
      <c r="AB24" s="1858"/>
      <c r="AC24" s="1904"/>
    </row>
    <row r="25" spans="1:32" ht="16.5" thickBot="1">
      <c r="C25" s="1857"/>
      <c r="E25" s="1858"/>
      <c r="F25" s="1858"/>
      <c r="G25" s="1858"/>
      <c r="H25" s="1858"/>
      <c r="I25" s="1858"/>
      <c r="J25" s="1858"/>
      <c r="K25" s="1858"/>
      <c r="L25" s="1858"/>
      <c r="M25" s="1858"/>
      <c r="N25" s="1858"/>
      <c r="O25" s="1858"/>
      <c r="P25" s="1858"/>
      <c r="Q25" s="1858"/>
      <c r="R25" s="1858"/>
      <c r="S25" s="1858"/>
      <c r="T25" s="1858"/>
      <c r="U25" s="1858"/>
      <c r="V25" s="1858"/>
      <c r="W25" s="1858"/>
      <c r="X25" s="1858"/>
      <c r="Y25" s="1858"/>
      <c r="AA25" s="1858"/>
      <c r="AB25" s="1858"/>
      <c r="AC25" s="1904"/>
    </row>
    <row r="26" spans="1:32" ht="16.5" thickBot="1">
      <c r="B26" s="1856"/>
      <c r="C26" s="1912"/>
      <c r="D26" s="1956"/>
      <c r="E26" s="2711" t="s">
        <v>812</v>
      </c>
      <c r="F26" s="2712"/>
      <c r="G26" s="2712"/>
      <c r="H26" s="2712"/>
      <c r="I26" s="2712"/>
      <c r="J26" s="2713"/>
    </row>
    <row r="27" spans="1:32" ht="16.5" thickBot="1">
      <c r="B27" s="1879" t="s">
        <v>328</v>
      </c>
      <c r="C27" s="1853"/>
      <c r="D27" s="1880"/>
      <c r="E27" s="1865" t="s">
        <v>799</v>
      </c>
      <c r="F27" s="1866" t="s">
        <v>798</v>
      </c>
      <c r="G27" s="1866" t="s">
        <v>797</v>
      </c>
      <c r="H27" s="1866" t="s">
        <v>796</v>
      </c>
      <c r="I27" s="1867" t="s">
        <v>955</v>
      </c>
      <c r="J27" s="1864" t="s">
        <v>795</v>
      </c>
    </row>
    <row r="28" spans="1:32" ht="16.5" customHeight="1">
      <c r="B28" s="1868" t="s">
        <v>751</v>
      </c>
      <c r="C28" s="1868"/>
      <c r="D28" s="1959"/>
      <c r="E28" s="1870" t="str">
        <f>'Att 9b - 2016 True-up'!W7</f>
        <v>UAMPS</v>
      </c>
      <c r="F28" s="1871" t="str">
        <f>'Att 9b - 2016 True-up'!X7</f>
        <v>UMPA</v>
      </c>
      <c r="G28" s="1871" t="str">
        <f>'Att 9b - 2016 True-up'!Y7</f>
        <v>Deseret</v>
      </c>
      <c r="H28" s="1871" t="s">
        <v>786</v>
      </c>
      <c r="I28" s="1871" t="str">
        <f>'Att 9b - 2016 True-up'!AA7</f>
        <v>APS</v>
      </c>
      <c r="J28" s="1874"/>
    </row>
    <row r="29" spans="1:32">
      <c r="B29" s="1875" t="s">
        <v>468</v>
      </c>
      <c r="C29" s="1875"/>
      <c r="D29" s="1961"/>
      <c r="E29" s="1877" t="str">
        <f>'Att 9b - 2016 True-up'!W8</f>
        <v>OS</v>
      </c>
      <c r="F29" s="1873" t="str">
        <f>'Att 9b - 2016 True-up'!X8</f>
        <v>OS</v>
      </c>
      <c r="G29" s="1873" t="str">
        <f>'Att 9b - 2016 True-up'!Y8</f>
        <v>OS</v>
      </c>
      <c r="H29" s="1873" t="str">
        <f>'Att 9b - 2016 True-up'!Z8</f>
        <v>OS</v>
      </c>
      <c r="I29" s="1873" t="str">
        <f>'Att 9b - 2016 True-up'!AA8</f>
        <v>OS</v>
      </c>
      <c r="J29" s="1874" t="s">
        <v>778</v>
      </c>
    </row>
    <row r="30" spans="1:32" ht="32.25" thickBot="1">
      <c r="B30" s="1879" t="s">
        <v>743</v>
      </c>
      <c r="C30" s="1964" t="s">
        <v>815</v>
      </c>
      <c r="D30" s="1964" t="s">
        <v>814</v>
      </c>
      <c r="E30" s="1882" t="str">
        <f>'Att 9b - 2016 True-up'!W9</f>
        <v>RS 297</v>
      </c>
      <c r="F30" s="1883" t="str">
        <f>'Att 9b - 2016 True-up'!X9</f>
        <v>RS 637</v>
      </c>
      <c r="G30" s="1883" t="str">
        <f>'Att 9b - 2016 True-up'!Y9</f>
        <v>RS 280</v>
      </c>
      <c r="H30" s="1883" t="str">
        <f>'Att 9b - 2016 True-up'!Z9</f>
        <v>RS 262/RS 263</v>
      </c>
      <c r="I30" s="1883" t="str">
        <f>'Att 9b - 2016 True-up'!AA9</f>
        <v>RS 436</v>
      </c>
      <c r="J30" s="1885"/>
    </row>
    <row r="31" spans="1:32" ht="16.5" customHeight="1">
      <c r="B31" s="1860" t="s">
        <v>147</v>
      </c>
      <c r="C31" s="1975">
        <f t="shared" ref="C31:C42" si="2">C10</f>
        <v>4</v>
      </c>
      <c r="D31" s="1976">
        <f t="shared" ref="D31:D42" si="3">D10</f>
        <v>18</v>
      </c>
      <c r="E31" s="1891">
        <f>'Att 9b - 2016 True-up'!W10</f>
        <v>413.01100000000002</v>
      </c>
      <c r="F31" s="1887">
        <f>'Att 9b - 2016 True-up'!X10</f>
        <v>84.668000000000006</v>
      </c>
      <c r="G31" s="1887">
        <f>'Att 9b - 2016 True-up'!Y10</f>
        <v>64.978999999999999</v>
      </c>
      <c r="H31" s="1887">
        <f>'Att 9b - 2016 True-up'!Z10</f>
        <v>349</v>
      </c>
      <c r="I31" s="1887">
        <f>'Att 9b - 2016 True-up'!AA10</f>
        <v>0</v>
      </c>
      <c r="J31" s="1890">
        <f t="shared" ref="J31:J42" si="4">SUM(E31:I31)</f>
        <v>911.65800000000002</v>
      </c>
      <c r="R31" s="1946"/>
      <c r="T31" s="1947"/>
    </row>
    <row r="32" spans="1:32">
      <c r="B32" s="1860" t="s">
        <v>148</v>
      </c>
      <c r="C32" s="1975">
        <f t="shared" si="2"/>
        <v>2</v>
      </c>
      <c r="D32" s="1976">
        <f t="shared" si="3"/>
        <v>8</v>
      </c>
      <c r="E32" s="1891">
        <f>'Att 9b - 2016 True-up'!W11</f>
        <v>386.81799999999998</v>
      </c>
      <c r="F32" s="1887">
        <f>'Att 9b - 2016 True-up'!X11</f>
        <v>66.914000000000001</v>
      </c>
      <c r="G32" s="1887">
        <f>'Att 9b - 2016 True-up'!Y11</f>
        <v>87.924999999999997</v>
      </c>
      <c r="H32" s="1887">
        <f>'Att 9b - 2016 True-up'!Z11</f>
        <v>350</v>
      </c>
      <c r="I32" s="1887">
        <f>'Att 9b - 2016 True-up'!AA11</f>
        <v>0</v>
      </c>
      <c r="J32" s="1890">
        <f t="shared" si="4"/>
        <v>891.65699999999993</v>
      </c>
      <c r="R32" s="1946"/>
    </row>
    <row r="33" spans="2:18">
      <c r="B33" s="1860" t="s">
        <v>352</v>
      </c>
      <c r="C33" s="1975">
        <f t="shared" si="2"/>
        <v>29</v>
      </c>
      <c r="D33" s="1976">
        <f t="shared" si="3"/>
        <v>8</v>
      </c>
      <c r="E33" s="1891">
        <f>'Att 9b - 2016 True-up'!W12</f>
        <v>331.16399999999999</v>
      </c>
      <c r="F33" s="1887">
        <f>'Att 9b - 2016 True-up'!X12</f>
        <v>76.995000000000005</v>
      </c>
      <c r="G33" s="1887">
        <f>'Att 9b - 2016 True-up'!Y12</f>
        <v>95.296000000000006</v>
      </c>
      <c r="H33" s="1887">
        <f>'Att 9b - 2016 True-up'!Z12</f>
        <v>257</v>
      </c>
      <c r="I33" s="1887">
        <f>'Att 9b - 2016 True-up'!AA12</f>
        <v>0</v>
      </c>
      <c r="J33" s="1890">
        <f t="shared" si="4"/>
        <v>760.45499999999993</v>
      </c>
    </row>
    <row r="34" spans="2:18">
      <c r="B34" s="1860" t="s">
        <v>143</v>
      </c>
      <c r="C34" s="1975">
        <f t="shared" si="2"/>
        <v>14</v>
      </c>
      <c r="D34" s="1976">
        <f t="shared" si="3"/>
        <v>10</v>
      </c>
      <c r="E34" s="1891">
        <f>'Att 9b - 2016 True-up'!W13</f>
        <v>360.83600000000001</v>
      </c>
      <c r="F34" s="1887">
        <f>'Att 9b - 2016 True-up'!X13</f>
        <v>77.381</v>
      </c>
      <c r="G34" s="1887">
        <f>'Att 9b - 2016 True-up'!Y13</f>
        <v>113.496</v>
      </c>
      <c r="H34" s="1887">
        <f>'Att 9b - 2016 True-up'!Z13</f>
        <v>246</v>
      </c>
      <c r="I34" s="1887">
        <f>'Att 9b - 2016 True-up'!AA13</f>
        <v>0</v>
      </c>
      <c r="J34" s="1890">
        <f t="shared" si="4"/>
        <v>797.71299999999997</v>
      </c>
      <c r="R34" s="1904"/>
    </row>
    <row r="35" spans="2:18">
      <c r="B35" s="1860" t="s">
        <v>144</v>
      </c>
      <c r="C35" s="1975">
        <f t="shared" si="2"/>
        <v>31</v>
      </c>
      <c r="D35" s="1976">
        <f t="shared" si="3"/>
        <v>17</v>
      </c>
      <c r="E35" s="1891">
        <f>'Att 9b - 2016 True-up'!W14</f>
        <v>456.851</v>
      </c>
      <c r="F35" s="1887">
        <f>'Att 9b - 2016 True-up'!X14</f>
        <v>56.256999999999998</v>
      </c>
      <c r="G35" s="1887">
        <f>'Att 9b - 2016 True-up'!Y14</f>
        <v>127.43300000000001</v>
      </c>
      <c r="H35" s="1887">
        <f>'Att 9b - 2016 True-up'!Z14</f>
        <v>286</v>
      </c>
      <c r="I35" s="1887">
        <f>'Att 9b - 2016 True-up'!AA14</f>
        <v>0</v>
      </c>
      <c r="J35" s="1890">
        <f t="shared" si="4"/>
        <v>926.54099999999994</v>
      </c>
      <c r="R35" s="1947"/>
    </row>
    <row r="36" spans="2:18">
      <c r="B36" s="1860" t="s">
        <v>151</v>
      </c>
      <c r="C36" s="1975">
        <f t="shared" si="2"/>
        <v>28</v>
      </c>
      <c r="D36" s="1976">
        <f t="shared" si="3"/>
        <v>16</v>
      </c>
      <c r="E36" s="1891">
        <f>'Att 9b - 2016 True-up'!W15</f>
        <v>697.27499999999998</v>
      </c>
      <c r="F36" s="1887">
        <f>'Att 9b - 2016 True-up'!X15</f>
        <v>125.938</v>
      </c>
      <c r="G36" s="1887">
        <f>'Att 9b - 2016 True-up'!Y15</f>
        <v>98.903999999999996</v>
      </c>
      <c r="H36" s="1887">
        <f>'Att 9b - 2016 True-up'!Z15</f>
        <v>307</v>
      </c>
      <c r="I36" s="1887">
        <f>'Att 9b - 2016 True-up'!AA15</f>
        <v>0</v>
      </c>
      <c r="J36" s="1890">
        <f t="shared" si="4"/>
        <v>1229.117</v>
      </c>
    </row>
    <row r="37" spans="2:18">
      <c r="B37" s="1860" t="s">
        <v>742</v>
      </c>
      <c r="C37" s="1975">
        <f t="shared" si="2"/>
        <v>28</v>
      </c>
      <c r="D37" s="1976">
        <f t="shared" si="3"/>
        <v>17</v>
      </c>
      <c r="E37" s="1891">
        <f>'Att 9b - 2016 True-up'!W16</f>
        <v>783.94</v>
      </c>
      <c r="F37" s="1887">
        <f>'Att 9b - 2016 True-up'!X16</f>
        <v>173.46899999999999</v>
      </c>
      <c r="G37" s="1887">
        <f>'Att 9b - 2016 True-up'!Y16</f>
        <v>114.768</v>
      </c>
      <c r="H37" s="1887">
        <f>'Att 9b - 2016 True-up'!Z16</f>
        <v>320</v>
      </c>
      <c r="I37" s="1887">
        <f>'Att 9b - 2016 True-up'!AA16</f>
        <v>0</v>
      </c>
      <c r="J37" s="1890">
        <f t="shared" si="4"/>
        <v>1392.1770000000001</v>
      </c>
    </row>
    <row r="38" spans="2:18">
      <c r="B38" s="1860" t="s">
        <v>153</v>
      </c>
      <c r="C38" s="1975">
        <f t="shared" si="2"/>
        <v>16</v>
      </c>
      <c r="D38" s="1976">
        <f t="shared" si="3"/>
        <v>17</v>
      </c>
      <c r="E38" s="1891">
        <f>'Att 9b - 2016 True-up'!W17</f>
        <v>741.70699999999999</v>
      </c>
      <c r="F38" s="1887">
        <f>'Att 9b - 2016 True-up'!X17</f>
        <v>150.643</v>
      </c>
      <c r="G38" s="1887">
        <f>'Att 9b - 2016 True-up'!Y17</f>
        <v>111.21</v>
      </c>
      <c r="H38" s="1887">
        <f>'Att 9b - 2016 True-up'!Z17</f>
        <v>335</v>
      </c>
      <c r="I38" s="1887">
        <f>'Att 9b - 2016 True-up'!AA17</f>
        <v>0</v>
      </c>
      <c r="J38" s="1890">
        <f t="shared" si="4"/>
        <v>1338.56</v>
      </c>
    </row>
    <row r="39" spans="2:18">
      <c r="B39" s="1860" t="s">
        <v>741</v>
      </c>
      <c r="C39" s="1975">
        <f t="shared" si="2"/>
        <v>1</v>
      </c>
      <c r="D39" s="1976">
        <f t="shared" si="3"/>
        <v>15</v>
      </c>
      <c r="E39" s="1891">
        <f>'Att 9b - 2016 True-up'!W18</f>
        <v>643.58600000000001</v>
      </c>
      <c r="F39" s="1887">
        <f>'Att 9b - 2016 True-up'!X18</f>
        <v>110.747</v>
      </c>
      <c r="G39" s="1887">
        <f>'Att 9b - 2016 True-up'!Y18</f>
        <v>93.991</v>
      </c>
      <c r="H39" s="1887">
        <f>'Att 9b - 2016 True-up'!Z18</f>
        <v>271</v>
      </c>
      <c r="I39" s="1887">
        <f>'Att 9b - 2016 True-up'!AA18</f>
        <v>0</v>
      </c>
      <c r="J39" s="1890">
        <f t="shared" si="4"/>
        <v>1119.3240000000001</v>
      </c>
    </row>
    <row r="40" spans="2:18">
      <c r="B40" s="1860" t="s">
        <v>155</v>
      </c>
      <c r="C40" s="1975">
        <f t="shared" si="2"/>
        <v>19</v>
      </c>
      <c r="D40" s="1976">
        <f t="shared" si="3"/>
        <v>8</v>
      </c>
      <c r="E40" s="1891">
        <f>'Att 9b - 2016 True-up'!W19</f>
        <v>339.221</v>
      </c>
      <c r="F40" s="1887">
        <f>'Att 9b - 2016 True-up'!X19</f>
        <v>60.686</v>
      </c>
      <c r="G40" s="1887">
        <f>'Att 9b - 2016 True-up'!Y19</f>
        <v>66.94</v>
      </c>
      <c r="H40" s="1887">
        <f>'Att 9b - 2016 True-up'!Z19</f>
        <v>231</v>
      </c>
      <c r="I40" s="1887">
        <f>'Att 9b - 2016 True-up'!AA19</f>
        <v>0</v>
      </c>
      <c r="J40" s="1890">
        <f t="shared" si="4"/>
        <v>697.84699999999998</v>
      </c>
    </row>
    <row r="41" spans="2:18">
      <c r="B41" s="1860" t="s">
        <v>156</v>
      </c>
      <c r="C41" s="1975">
        <f t="shared" si="2"/>
        <v>30</v>
      </c>
      <c r="D41" s="1976">
        <f t="shared" si="3"/>
        <v>18</v>
      </c>
      <c r="E41" s="1891">
        <f>'Att 9b - 2016 True-up'!W20</f>
        <v>382.42599999999999</v>
      </c>
      <c r="F41" s="1887">
        <f>'Att 9b - 2016 True-up'!X20</f>
        <v>85.816000000000003</v>
      </c>
      <c r="G41" s="1887">
        <f>'Att 9b - 2016 True-up'!Y20</f>
        <v>72.200999999999993</v>
      </c>
      <c r="H41" s="1887">
        <f>'Att 9b - 2016 True-up'!Z20</f>
        <v>336</v>
      </c>
      <c r="I41" s="1887">
        <f>'Att 9b - 2016 True-up'!AA20</f>
        <v>0</v>
      </c>
      <c r="J41" s="1890">
        <f t="shared" si="4"/>
        <v>876.44299999999998</v>
      </c>
    </row>
    <row r="42" spans="2:18" ht="16.5" thickBot="1">
      <c r="B42" s="1879" t="s">
        <v>157</v>
      </c>
      <c r="C42" s="2373">
        <f t="shared" si="2"/>
        <v>19</v>
      </c>
      <c r="D42" s="2374">
        <f t="shared" si="3"/>
        <v>18</v>
      </c>
      <c r="E42" s="1897">
        <f>'Att 9b - 2016 True-up'!W21</f>
        <v>444.71800000000002</v>
      </c>
      <c r="F42" s="1894">
        <f>'Att 9b - 2016 True-up'!X21</f>
        <v>85.772000000000006</v>
      </c>
      <c r="G42" s="1894">
        <f>'Att 9b - 2016 True-up'!Y21</f>
        <v>49.453000000000003</v>
      </c>
      <c r="H42" s="1894">
        <f>'Att 9b - 2016 True-up'!Z21</f>
        <v>317</v>
      </c>
      <c r="I42" s="1898">
        <f>'Att 9b - 2016 True-up'!AA21</f>
        <v>0</v>
      </c>
      <c r="J42" s="1885">
        <f t="shared" si="4"/>
        <v>896.94299999999998</v>
      </c>
    </row>
    <row r="43" spans="2:18" ht="16.5" thickBot="1">
      <c r="B43" s="1899" t="s">
        <v>282</v>
      </c>
      <c r="C43" s="1900"/>
      <c r="D43" s="1901"/>
      <c r="E43" s="1903">
        <f t="shared" ref="E43:J43" si="5">SUM(E31:E42)</f>
        <v>5981.5529999999999</v>
      </c>
      <c r="F43" s="1902">
        <f t="shared" si="5"/>
        <v>1155.2859999999998</v>
      </c>
      <c r="G43" s="1902">
        <f t="shared" si="5"/>
        <v>1096.596</v>
      </c>
      <c r="H43" s="1902">
        <f t="shared" si="5"/>
        <v>3605</v>
      </c>
      <c r="I43" s="1902">
        <f t="shared" si="5"/>
        <v>0</v>
      </c>
      <c r="J43" s="1885">
        <f t="shared" si="5"/>
        <v>11838.434999999999</v>
      </c>
    </row>
  </sheetData>
  <mergeCells count="4">
    <mergeCell ref="E26:J26"/>
    <mergeCell ref="B1:S1"/>
    <mergeCell ref="B2:S2"/>
    <mergeCell ref="E5:U5"/>
  </mergeCells>
  <pageMargins left="0.7" right="0.7" top="0.75" bottom="0.75" header="0.3" footer="0.3"/>
  <pageSetup scale="58"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B1:Z43"/>
  <sheetViews>
    <sheetView workbookViewId="0"/>
  </sheetViews>
  <sheetFormatPr defaultRowHeight="15"/>
  <cols>
    <col min="1" max="1" width="4.7109375" style="1968" customWidth="1"/>
    <col min="2" max="2" width="14.28515625" style="1968" customWidth="1"/>
    <col min="3" max="4" width="6" style="1968" customWidth="1"/>
    <col min="5" max="7" width="11.5703125" style="1952" customWidth="1"/>
    <col min="8" max="8" width="13.28515625" style="1952" customWidth="1"/>
    <col min="9" max="18" width="11.5703125" style="1952" customWidth="1"/>
    <col min="19" max="19" width="11.5703125" style="1973" customWidth="1"/>
    <col min="20" max="20" width="11.5703125" style="1952" customWidth="1"/>
    <col min="21" max="21" width="10.5703125" style="1952" bestFit="1" customWidth="1"/>
    <col min="22" max="22" width="9.5703125" style="1952" bestFit="1" customWidth="1"/>
    <col min="23" max="23" width="10.5703125" style="1952" bestFit="1" customWidth="1"/>
    <col min="24" max="24" width="11.5703125" style="1952" bestFit="1" customWidth="1"/>
    <col min="25" max="25" width="15.28515625" style="1952" bestFit="1" customWidth="1"/>
    <col min="26" max="26" width="12.5703125" style="1968" bestFit="1" customWidth="1"/>
    <col min="27" max="16384" width="9.140625" style="1968"/>
  </cols>
  <sheetData>
    <row r="1" spans="2:20" ht="16.5" customHeight="1">
      <c r="B1" s="1948" t="s">
        <v>365</v>
      </c>
      <c r="C1" s="1949"/>
      <c r="D1" s="1948"/>
      <c r="E1" s="1950"/>
      <c r="F1" s="1950"/>
      <c r="G1" s="1950"/>
      <c r="H1" s="1950"/>
      <c r="I1" s="1950"/>
      <c r="J1" s="1950"/>
      <c r="K1" s="1950"/>
      <c r="L1" s="1950"/>
      <c r="M1" s="1950"/>
      <c r="N1" s="1950"/>
      <c r="O1" s="1950"/>
      <c r="P1" s="1950"/>
      <c r="Q1" s="1950"/>
      <c r="R1" s="1950"/>
      <c r="S1" s="1951"/>
      <c r="T1" s="1950"/>
    </row>
    <row r="2" spans="2:20" ht="16.5" customHeight="1">
      <c r="B2" s="1948" t="s">
        <v>2083</v>
      </c>
      <c r="C2" s="1948"/>
      <c r="D2" s="1948"/>
      <c r="E2" s="1950"/>
      <c r="F2" s="1950"/>
      <c r="G2" s="1950"/>
      <c r="H2" s="1950"/>
      <c r="I2" s="1950"/>
      <c r="J2" s="1950"/>
      <c r="K2" s="1950"/>
      <c r="L2" s="1950"/>
      <c r="M2" s="1950"/>
      <c r="N2" s="1950"/>
      <c r="O2" s="1953"/>
      <c r="P2" s="1950"/>
      <c r="Q2" s="1950"/>
      <c r="R2" s="1950"/>
      <c r="S2" s="1951"/>
      <c r="T2" s="1950"/>
    </row>
    <row r="3" spans="2:20" ht="16.5" customHeight="1">
      <c r="B3" s="437"/>
      <c r="C3" s="437"/>
      <c r="D3" s="437"/>
      <c r="E3" s="437"/>
      <c r="F3" s="437"/>
      <c r="G3" s="437"/>
      <c r="H3" s="437"/>
      <c r="I3" s="437"/>
      <c r="J3" s="437"/>
      <c r="K3" s="1954">
        <v>2015</v>
      </c>
      <c r="L3" s="436"/>
      <c r="N3" s="437"/>
      <c r="O3" s="832"/>
      <c r="P3" s="437"/>
      <c r="Q3" s="437"/>
      <c r="R3" s="437"/>
      <c r="S3" s="437"/>
      <c r="T3" s="437"/>
    </row>
    <row r="4" spans="2:20" ht="16.5" customHeight="1" thickBot="1">
      <c r="B4" s="1849"/>
      <c r="C4" s="1849"/>
      <c r="D4" s="1849"/>
      <c r="E4" s="1955"/>
      <c r="F4" s="1955"/>
      <c r="G4" s="1955"/>
      <c r="H4" s="1955"/>
      <c r="I4" s="1955"/>
      <c r="J4" s="1955"/>
      <c r="K4" s="1955"/>
      <c r="L4" s="1955"/>
      <c r="M4" s="1955"/>
      <c r="N4" s="1955"/>
      <c r="O4" s="1955"/>
      <c r="P4" s="1955"/>
      <c r="Q4" s="1955"/>
      <c r="R4" s="1955"/>
      <c r="S4" s="1946"/>
      <c r="T4" s="1955"/>
    </row>
    <row r="5" spans="2:20" ht="16.5" customHeight="1" thickBot="1">
      <c r="B5" s="1856"/>
      <c r="C5" s="1912"/>
      <c r="D5" s="1956"/>
      <c r="E5" s="2721" t="s">
        <v>813</v>
      </c>
      <c r="F5" s="2722"/>
      <c r="G5" s="2722"/>
      <c r="H5" s="2722"/>
      <c r="I5" s="2722"/>
      <c r="J5" s="2722"/>
      <c r="K5" s="2722"/>
      <c r="L5" s="2722"/>
      <c r="M5" s="2722"/>
      <c r="N5" s="2722"/>
      <c r="O5" s="2722"/>
      <c r="P5" s="2722"/>
      <c r="Q5" s="2722"/>
      <c r="R5" s="2722"/>
      <c r="S5" s="2723"/>
      <c r="T5" s="1955"/>
    </row>
    <row r="6" spans="2:20" ht="16.5" customHeight="1" thickBot="1">
      <c r="B6" s="1879" t="s">
        <v>328</v>
      </c>
      <c r="C6" s="1853"/>
      <c r="D6" s="1880"/>
      <c r="E6" s="1957" t="s">
        <v>359</v>
      </c>
      <c r="F6" s="1865" t="s">
        <v>811</v>
      </c>
      <c r="G6" s="1866" t="s">
        <v>810</v>
      </c>
      <c r="H6" s="1866" t="s">
        <v>809</v>
      </c>
      <c r="I6" s="1866" t="s">
        <v>808</v>
      </c>
      <c r="J6" s="1866" t="s">
        <v>807</v>
      </c>
      <c r="K6" s="1866" t="s">
        <v>806</v>
      </c>
      <c r="L6" s="1866" t="s">
        <v>805</v>
      </c>
      <c r="M6" s="1866" t="s">
        <v>804</v>
      </c>
      <c r="N6" s="1866" t="s">
        <v>803</v>
      </c>
      <c r="O6" s="1866" t="s">
        <v>802</v>
      </c>
      <c r="P6" s="1866" t="s">
        <v>801</v>
      </c>
      <c r="Q6" s="1866" t="s">
        <v>800</v>
      </c>
      <c r="R6" s="1866" t="s">
        <v>1734</v>
      </c>
      <c r="S6" s="1958" t="s">
        <v>397</v>
      </c>
      <c r="T6" s="1955"/>
    </row>
    <row r="7" spans="2:20" ht="47.25" customHeight="1">
      <c r="B7" s="1959" t="s">
        <v>751</v>
      </c>
      <c r="C7" s="1868"/>
      <c r="D7" s="1868"/>
      <c r="E7" s="1960" t="s">
        <v>365</v>
      </c>
      <c r="F7" s="1870" t="s">
        <v>794</v>
      </c>
      <c r="G7" s="1871" t="s">
        <v>793</v>
      </c>
      <c r="H7" s="1871" t="s">
        <v>1989</v>
      </c>
      <c r="I7" s="1871" t="s">
        <v>792</v>
      </c>
      <c r="J7" s="1871" t="s">
        <v>791</v>
      </c>
      <c r="K7" s="1871" t="s">
        <v>790</v>
      </c>
      <c r="L7" s="1871" t="s">
        <v>1990</v>
      </c>
      <c r="M7" s="1871" t="s">
        <v>789</v>
      </c>
      <c r="N7" s="1871" t="s">
        <v>788</v>
      </c>
      <c r="O7" s="1871" t="s">
        <v>787</v>
      </c>
      <c r="P7" s="1871" t="s">
        <v>786</v>
      </c>
      <c r="Q7" s="1871" t="s">
        <v>748</v>
      </c>
      <c r="R7" s="1871" t="s">
        <v>2006</v>
      </c>
      <c r="S7" s="1872"/>
      <c r="T7" s="1955"/>
    </row>
    <row r="8" spans="2:20" ht="16.5" customHeight="1">
      <c r="B8" s="1961" t="s">
        <v>468</v>
      </c>
      <c r="C8" s="1875"/>
      <c r="D8" s="1875"/>
      <c r="E8" s="1962" t="s">
        <v>782</v>
      </c>
      <c r="F8" s="1877" t="s">
        <v>781</v>
      </c>
      <c r="G8" s="1873" t="s">
        <v>781</v>
      </c>
      <c r="H8" s="1873" t="s">
        <v>781</v>
      </c>
      <c r="I8" s="1873" t="s">
        <v>781</v>
      </c>
      <c r="J8" s="1873" t="s">
        <v>781</v>
      </c>
      <c r="K8" s="1873" t="s">
        <v>781</v>
      </c>
      <c r="L8" s="1873" t="s">
        <v>781</v>
      </c>
      <c r="M8" s="1873" t="s">
        <v>781</v>
      </c>
      <c r="N8" s="1873" t="s">
        <v>781</v>
      </c>
      <c r="O8" s="1873" t="s">
        <v>781</v>
      </c>
      <c r="P8" s="1873" t="s">
        <v>781</v>
      </c>
      <c r="Q8" s="1873" t="s">
        <v>781</v>
      </c>
      <c r="R8" s="1873" t="s">
        <v>781</v>
      </c>
      <c r="S8" s="1878" t="s">
        <v>780</v>
      </c>
      <c r="T8" s="1955"/>
    </row>
    <row r="9" spans="2:20" ht="15.75" customHeight="1" thickBot="1">
      <c r="B9" s="1963" t="s">
        <v>743</v>
      </c>
      <c r="C9" s="1964" t="s">
        <v>815</v>
      </c>
      <c r="D9" s="1964" t="s">
        <v>814</v>
      </c>
      <c r="E9" s="1881">
        <v>0</v>
      </c>
      <c r="F9" s="1882" t="s">
        <v>776</v>
      </c>
      <c r="G9" s="1883" t="s">
        <v>775</v>
      </c>
      <c r="H9" s="1883" t="s">
        <v>2450</v>
      </c>
      <c r="I9" s="1883" t="s">
        <v>774</v>
      </c>
      <c r="J9" s="1883" t="s">
        <v>773</v>
      </c>
      <c r="K9" s="1883" t="s">
        <v>772</v>
      </c>
      <c r="L9" s="1883" t="s">
        <v>771</v>
      </c>
      <c r="M9" s="1883" t="s">
        <v>770</v>
      </c>
      <c r="N9" s="1883" t="s">
        <v>769</v>
      </c>
      <c r="O9" s="1883" t="s">
        <v>768</v>
      </c>
      <c r="P9" s="1883" t="s">
        <v>767</v>
      </c>
      <c r="Q9" s="1883" t="s">
        <v>1641</v>
      </c>
      <c r="R9" s="1883" t="s">
        <v>1992</v>
      </c>
      <c r="S9" s="1884"/>
      <c r="T9" s="1955"/>
    </row>
    <row r="10" spans="2:20" ht="15.75">
      <c r="B10" s="1965" t="s">
        <v>147</v>
      </c>
      <c r="C10" s="1966">
        <v>2</v>
      </c>
      <c r="D10" s="1967">
        <v>18</v>
      </c>
      <c r="E10" s="1891">
        <v>8308.6720000000005</v>
      </c>
      <c r="F10" s="1888">
        <v>4.5449999999999999</v>
      </c>
      <c r="G10" s="1889">
        <v>3.3580000000000001</v>
      </c>
      <c r="H10" s="1889">
        <v>25.207999999999998</v>
      </c>
      <c r="I10" s="1889">
        <v>1.4039999999999999</v>
      </c>
      <c r="J10" s="1889">
        <v>0.34599999999999997</v>
      </c>
      <c r="K10" s="1889">
        <v>25.824000000000002</v>
      </c>
      <c r="L10" s="1889">
        <v>16.471</v>
      </c>
      <c r="M10" s="1889">
        <v>0.29299999999999998</v>
      </c>
      <c r="N10" s="1889">
        <v>43.89</v>
      </c>
      <c r="O10" s="1889">
        <v>5.0000000000000001E-3</v>
      </c>
      <c r="P10" s="1889">
        <v>2E-3</v>
      </c>
      <c r="Q10" s="1889">
        <v>5.141</v>
      </c>
      <c r="R10" s="1889">
        <v>3.0710000000000002</v>
      </c>
      <c r="S10" s="1890">
        <f t="shared" ref="S10:S22" si="0">SUM(F10:R10)</f>
        <v>129.55800000000002</v>
      </c>
      <c r="T10" s="1955"/>
    </row>
    <row r="11" spans="2:20" ht="15.75">
      <c r="B11" s="1965" t="s">
        <v>148</v>
      </c>
      <c r="C11" s="1966">
        <v>23</v>
      </c>
      <c r="D11" s="1967">
        <v>8</v>
      </c>
      <c r="E11" s="1891">
        <v>8038.3180000000002</v>
      </c>
      <c r="F11" s="1888">
        <v>5.8070000000000004</v>
      </c>
      <c r="G11" s="1889">
        <v>3.173</v>
      </c>
      <c r="H11" s="1889">
        <v>26.384</v>
      </c>
      <c r="I11" s="1889">
        <v>1.167</v>
      </c>
      <c r="J11" s="1889">
        <v>0.34599999999999997</v>
      </c>
      <c r="K11" s="1889">
        <v>45.856000000000002</v>
      </c>
      <c r="L11" s="1889">
        <v>15.177</v>
      </c>
      <c r="M11" s="1889">
        <v>0.38200000000000001</v>
      </c>
      <c r="N11" s="1889">
        <v>47.78</v>
      </c>
      <c r="O11" s="1889">
        <v>5.0000000000000001E-3</v>
      </c>
      <c r="P11" s="1889">
        <v>1E-3</v>
      </c>
      <c r="Q11" s="1889">
        <v>11.627000000000001</v>
      </c>
      <c r="R11" s="1889">
        <v>2.8639999999999999</v>
      </c>
      <c r="S11" s="1890">
        <f t="shared" si="0"/>
        <v>160.56900000000002</v>
      </c>
      <c r="T11" s="1955"/>
    </row>
    <row r="12" spans="2:20" ht="15.75">
      <c r="B12" s="1965" t="s">
        <v>352</v>
      </c>
      <c r="C12" s="1966">
        <v>4</v>
      </c>
      <c r="D12" s="1967">
        <v>8</v>
      </c>
      <c r="E12" s="1891">
        <v>7837</v>
      </c>
      <c r="F12" s="1888">
        <v>6.1159999999999997</v>
      </c>
      <c r="G12" s="1889">
        <v>3.0129999999999999</v>
      </c>
      <c r="H12" s="1889">
        <v>27.314</v>
      </c>
      <c r="I12" s="1889">
        <v>1.19</v>
      </c>
      <c r="J12" s="1889">
        <v>0.34599999999999997</v>
      </c>
      <c r="K12" s="1889">
        <v>27.593</v>
      </c>
      <c r="L12" s="1889">
        <v>14.991</v>
      </c>
      <c r="M12" s="1889">
        <v>1.0309999999999999</v>
      </c>
      <c r="N12" s="1889">
        <v>47.76</v>
      </c>
      <c r="O12" s="1889">
        <v>5.0000000000000001E-3</v>
      </c>
      <c r="P12" s="1889">
        <v>0</v>
      </c>
      <c r="Q12" s="1889">
        <v>6.383</v>
      </c>
      <c r="R12" s="1889">
        <v>2.76</v>
      </c>
      <c r="S12" s="1890">
        <f t="shared" si="0"/>
        <v>138.50199999999998</v>
      </c>
      <c r="T12" s="1955"/>
    </row>
    <row r="13" spans="2:20" ht="15.75">
      <c r="B13" s="1965" t="s">
        <v>143</v>
      </c>
      <c r="C13" s="1966">
        <v>15</v>
      </c>
      <c r="D13" s="1967">
        <v>8</v>
      </c>
      <c r="E13" s="1891">
        <v>7417.098</v>
      </c>
      <c r="F13" s="1888">
        <v>5.069</v>
      </c>
      <c r="G13" s="1889">
        <v>3.1909999999999998</v>
      </c>
      <c r="H13" s="1889">
        <v>24.542999999999999</v>
      </c>
      <c r="I13" s="1889">
        <v>0.73399999999999999</v>
      </c>
      <c r="J13" s="1889">
        <v>0</v>
      </c>
      <c r="K13" s="1889">
        <v>24.305</v>
      </c>
      <c r="L13" s="1889">
        <v>16.850999999999999</v>
      </c>
      <c r="M13" s="1889">
        <v>0.25700000000000001</v>
      </c>
      <c r="N13" s="1889">
        <v>36.270000000000003</v>
      </c>
      <c r="O13" s="1889">
        <v>0.17100000000000001</v>
      </c>
      <c r="P13" s="1889">
        <v>1.6679999999999999</v>
      </c>
      <c r="Q13" s="1889">
        <v>7.7629999999999999</v>
      </c>
      <c r="R13" s="1889">
        <v>0.54</v>
      </c>
      <c r="S13" s="1890">
        <f t="shared" si="0"/>
        <v>121.36200000000002</v>
      </c>
      <c r="T13" s="1955"/>
    </row>
    <row r="14" spans="2:20" ht="15.75">
      <c r="B14" s="1965" t="s">
        <v>144</v>
      </c>
      <c r="C14" s="1966">
        <v>31</v>
      </c>
      <c r="D14" s="1967">
        <v>18</v>
      </c>
      <c r="E14" s="1891">
        <v>7490.848</v>
      </c>
      <c r="F14" s="1888">
        <v>4.0579999999999998</v>
      </c>
      <c r="G14" s="1889">
        <v>3.2</v>
      </c>
      <c r="H14" s="1889">
        <v>12.801</v>
      </c>
      <c r="I14" s="1889">
        <v>0.27700000000000002</v>
      </c>
      <c r="J14" s="1889">
        <v>0.42399999999999999</v>
      </c>
      <c r="K14" s="1889">
        <v>16.385999999999999</v>
      </c>
      <c r="L14" s="1889">
        <v>18.623000000000001</v>
      </c>
      <c r="M14" s="1889">
        <v>0.247</v>
      </c>
      <c r="N14" s="1889">
        <v>33.729999999999997</v>
      </c>
      <c r="O14" s="1889">
        <v>0.34200000000000003</v>
      </c>
      <c r="P14" s="1889">
        <v>0.71499999999999997</v>
      </c>
      <c r="Q14" s="1889">
        <v>7.694</v>
      </c>
      <c r="R14" s="1889">
        <v>2.1640000000000001</v>
      </c>
      <c r="S14" s="1890">
        <f t="shared" si="0"/>
        <v>100.66100000000002</v>
      </c>
      <c r="T14" s="1955"/>
    </row>
    <row r="15" spans="2:20" ht="15.75">
      <c r="B15" s="1965" t="s">
        <v>151</v>
      </c>
      <c r="C15" s="1966">
        <v>29</v>
      </c>
      <c r="D15" s="1967">
        <v>16</v>
      </c>
      <c r="E15" s="1891">
        <v>10618.344999999999</v>
      </c>
      <c r="F15" s="1888">
        <v>5.3979999999999997</v>
      </c>
      <c r="G15" s="1889">
        <v>3.4239999999999999</v>
      </c>
      <c r="H15" s="1889">
        <v>13.75</v>
      </c>
      <c r="I15" s="1889">
        <v>0.36699999999999999</v>
      </c>
      <c r="J15" s="1889">
        <v>0.28599999999999998</v>
      </c>
      <c r="K15" s="1889">
        <v>39.664999999999999</v>
      </c>
      <c r="L15" s="1889">
        <v>21.957999999999998</v>
      </c>
      <c r="M15" s="1889">
        <v>0.23200000000000001</v>
      </c>
      <c r="N15" s="1889">
        <v>57.49</v>
      </c>
      <c r="O15" s="1889">
        <v>0.17799999999999999</v>
      </c>
      <c r="P15" s="1889">
        <v>3.4740000000000002</v>
      </c>
      <c r="Q15" s="1889">
        <v>8.5909999999999993</v>
      </c>
      <c r="R15" s="1889">
        <v>4.0019999999999998</v>
      </c>
      <c r="S15" s="1890">
        <f t="shared" si="0"/>
        <v>158.815</v>
      </c>
      <c r="T15" s="1955"/>
    </row>
    <row r="16" spans="2:20" ht="15.75">
      <c r="B16" s="1965" t="s">
        <v>742</v>
      </c>
      <c r="C16" s="1966">
        <v>2</v>
      </c>
      <c r="D16" s="1967">
        <v>16</v>
      </c>
      <c r="E16" s="1891">
        <v>10480.882</v>
      </c>
      <c r="F16" s="1888">
        <v>5.0709999999999997</v>
      </c>
      <c r="G16" s="1889">
        <v>3.7280000000000002</v>
      </c>
      <c r="H16" s="1889">
        <v>15.643000000000001</v>
      </c>
      <c r="I16" s="1889">
        <v>0.38</v>
      </c>
      <c r="J16" s="1889">
        <v>2.5999999999999999E-2</v>
      </c>
      <c r="K16" s="1889">
        <v>32.115000000000002</v>
      </c>
      <c r="L16" s="1889">
        <v>22.428000000000001</v>
      </c>
      <c r="M16" s="1889">
        <v>0.20799999999999999</v>
      </c>
      <c r="N16" s="1889">
        <v>48.63</v>
      </c>
      <c r="O16" s="1889">
        <v>0.61299999999999999</v>
      </c>
      <c r="P16" s="1889">
        <v>3.2810000000000001</v>
      </c>
      <c r="Q16" s="1889">
        <v>8.5570000000000004</v>
      </c>
      <c r="R16" s="1889">
        <v>3.03</v>
      </c>
      <c r="S16" s="1890">
        <f t="shared" si="0"/>
        <v>143.71</v>
      </c>
      <c r="T16" s="1955"/>
    </row>
    <row r="17" spans="2:26" ht="15.75">
      <c r="B17" s="1965" t="s">
        <v>153</v>
      </c>
      <c r="C17" s="1966">
        <v>13</v>
      </c>
      <c r="D17" s="1967">
        <v>16</v>
      </c>
      <c r="E17" s="1891">
        <v>9603.4359999999997</v>
      </c>
      <c r="F17" s="1888">
        <v>6.6630000000000003</v>
      </c>
      <c r="G17" s="1889">
        <v>3.1110000000000002</v>
      </c>
      <c r="H17" s="1889">
        <v>12.595000000000001</v>
      </c>
      <c r="I17" s="1889">
        <v>0.34300000000000003</v>
      </c>
      <c r="J17" s="1889">
        <v>0.251</v>
      </c>
      <c r="K17" s="1889">
        <v>29.085000000000001</v>
      </c>
      <c r="L17" s="1889">
        <v>20.791</v>
      </c>
      <c r="M17" s="1889">
        <v>0.23899999999999999</v>
      </c>
      <c r="N17" s="1889">
        <v>57.19</v>
      </c>
      <c r="O17" s="1889">
        <v>0.621</v>
      </c>
      <c r="P17" s="1889">
        <v>3.024</v>
      </c>
      <c r="Q17" s="1889">
        <v>9.2119999999999997</v>
      </c>
      <c r="R17" s="1889">
        <v>2.907</v>
      </c>
      <c r="S17" s="1890">
        <f t="shared" si="0"/>
        <v>146.03200000000001</v>
      </c>
      <c r="T17" s="1955"/>
    </row>
    <row r="18" spans="2:26" ht="15.75">
      <c r="B18" s="1965" t="s">
        <v>741</v>
      </c>
      <c r="C18" s="1966">
        <v>1</v>
      </c>
      <c r="D18" s="1967">
        <v>16</v>
      </c>
      <c r="E18" s="1891">
        <v>8712.0159999999996</v>
      </c>
      <c r="F18" s="1888">
        <v>6.4249999999999998</v>
      </c>
      <c r="G18" s="1889">
        <v>2.847</v>
      </c>
      <c r="H18" s="1889">
        <v>10.065</v>
      </c>
      <c r="I18" s="1889">
        <v>0.31900000000000001</v>
      </c>
      <c r="J18" s="1889">
        <v>0</v>
      </c>
      <c r="K18" s="1889">
        <v>24.678000000000001</v>
      </c>
      <c r="L18" s="1889">
        <v>20.329999999999998</v>
      </c>
      <c r="M18" s="1889">
        <v>0.20399999999999999</v>
      </c>
      <c r="N18" s="1889">
        <v>50.72</v>
      </c>
      <c r="O18" s="1889">
        <v>0.50800000000000001</v>
      </c>
      <c r="P18" s="1889">
        <v>2.7189999999999999</v>
      </c>
      <c r="Q18" s="1889">
        <v>9.3849999999999998</v>
      </c>
      <c r="R18" s="1889">
        <v>2.65</v>
      </c>
      <c r="S18" s="1890">
        <f t="shared" si="0"/>
        <v>130.85</v>
      </c>
      <c r="T18" s="1955"/>
    </row>
    <row r="19" spans="2:26" ht="15.75">
      <c r="B19" s="1965" t="s">
        <v>155</v>
      </c>
      <c r="C19" s="1966">
        <v>1</v>
      </c>
      <c r="D19" s="1967">
        <v>17</v>
      </c>
      <c r="E19" s="1891">
        <v>7823.7619999999997</v>
      </c>
      <c r="F19" s="1888">
        <v>4.8949999999999996</v>
      </c>
      <c r="G19" s="1889">
        <v>2.7869999999999999</v>
      </c>
      <c r="H19" s="1889">
        <v>10.167</v>
      </c>
      <c r="I19" s="1889">
        <v>0.27700000000000002</v>
      </c>
      <c r="J19" s="1889">
        <v>0.42399999999999999</v>
      </c>
      <c r="K19" s="1889">
        <v>16.858000000000001</v>
      </c>
      <c r="L19" s="1889">
        <v>19.352</v>
      </c>
      <c r="M19" s="1889">
        <v>0.66800000000000004</v>
      </c>
      <c r="N19" s="1889">
        <v>32.1</v>
      </c>
      <c r="O19" s="1889">
        <v>0.26500000000000001</v>
      </c>
      <c r="P19" s="1889">
        <v>1.9830000000000001</v>
      </c>
      <c r="Q19" s="1889">
        <v>10.426</v>
      </c>
      <c r="R19" s="1889">
        <v>2.496</v>
      </c>
      <c r="S19" s="1890">
        <f t="shared" si="0"/>
        <v>102.69800000000001</v>
      </c>
      <c r="T19" s="1955"/>
    </row>
    <row r="20" spans="2:26" ht="15.75">
      <c r="B20" s="1965" t="s">
        <v>156</v>
      </c>
      <c r="C20" s="1966">
        <v>30</v>
      </c>
      <c r="D20" s="1967">
        <v>18</v>
      </c>
      <c r="E20" s="1891">
        <v>8549.6419999999998</v>
      </c>
      <c r="F20" s="1888">
        <v>5.49</v>
      </c>
      <c r="G20" s="1889">
        <v>2.9830000000000001</v>
      </c>
      <c r="H20" s="1889">
        <v>26.513000000000002</v>
      </c>
      <c r="I20" s="1889">
        <v>1.0489999999999999</v>
      </c>
      <c r="J20" s="1889">
        <v>0.35499999999999998</v>
      </c>
      <c r="K20" s="1889">
        <v>26.914000000000001</v>
      </c>
      <c r="L20" s="1889">
        <v>17.739000000000001</v>
      </c>
      <c r="M20" s="1889">
        <v>0.28199999999999997</v>
      </c>
      <c r="N20" s="1889">
        <v>46.65</v>
      </c>
      <c r="O20" s="1889">
        <v>5.0000000000000001E-3</v>
      </c>
      <c r="P20" s="1889">
        <v>4.0000000000000001E-3</v>
      </c>
      <c r="Q20" s="1889">
        <v>11.603999999999999</v>
      </c>
      <c r="R20" s="1889">
        <v>2.2989999999999999</v>
      </c>
      <c r="S20" s="1890">
        <f t="shared" si="0"/>
        <v>141.887</v>
      </c>
      <c r="T20" s="1955"/>
    </row>
    <row r="21" spans="2:26" ht="16.5" thickBot="1">
      <c r="B21" s="1965" t="s">
        <v>157</v>
      </c>
      <c r="C21" s="1966">
        <v>28</v>
      </c>
      <c r="D21" s="1967">
        <v>18</v>
      </c>
      <c r="E21" s="1897">
        <v>8289.6980000000003</v>
      </c>
      <c r="F21" s="1895">
        <v>5.4260000000000002</v>
      </c>
      <c r="G21" s="1896">
        <v>3.274</v>
      </c>
      <c r="H21" s="1896">
        <v>25.344000000000001</v>
      </c>
      <c r="I21" s="1896">
        <v>1.486</v>
      </c>
      <c r="J21" s="1896">
        <v>0.33800000000000002</v>
      </c>
      <c r="K21" s="1896">
        <v>29.545000000000002</v>
      </c>
      <c r="L21" s="1896">
        <v>15.5</v>
      </c>
      <c r="M21" s="1896">
        <v>0.25700000000000001</v>
      </c>
      <c r="N21" s="1896">
        <v>44.74</v>
      </c>
      <c r="O21" s="1896">
        <v>4.0000000000000001E-3</v>
      </c>
      <c r="P21" s="1896">
        <v>5.0000000000000001E-3</v>
      </c>
      <c r="Q21" s="1896">
        <v>11.779</v>
      </c>
      <c r="R21" s="1896">
        <v>2.4009999999999998</v>
      </c>
      <c r="S21" s="1885">
        <f t="shared" si="0"/>
        <v>140.09900000000002</v>
      </c>
      <c r="T21" s="1955"/>
    </row>
    <row r="22" spans="2:26" ht="16.5" thickBot="1">
      <c r="B22" s="1969" t="s">
        <v>282</v>
      </c>
      <c r="C22" s="1970"/>
      <c r="D22" s="1971"/>
      <c r="E22" s="1944">
        <f t="shared" ref="E22:R22" si="1">SUM(E10:E21)</f>
        <v>103169.717</v>
      </c>
      <c r="F22" s="1903">
        <f t="shared" si="1"/>
        <v>64.962999999999994</v>
      </c>
      <c r="G22" s="1902">
        <f t="shared" si="1"/>
        <v>38.088999999999999</v>
      </c>
      <c r="H22" s="1902">
        <f t="shared" si="1"/>
        <v>230.327</v>
      </c>
      <c r="I22" s="1902">
        <f t="shared" si="1"/>
        <v>8.9930000000000003</v>
      </c>
      <c r="J22" s="1902">
        <f t="shared" si="1"/>
        <v>3.1419999999999999</v>
      </c>
      <c r="K22" s="1902">
        <f t="shared" si="1"/>
        <v>338.82400000000001</v>
      </c>
      <c r="L22" s="1902">
        <f t="shared" si="1"/>
        <v>220.21100000000001</v>
      </c>
      <c r="M22" s="1902">
        <f t="shared" si="1"/>
        <v>4.3</v>
      </c>
      <c r="N22" s="1902">
        <f t="shared" si="1"/>
        <v>546.95000000000005</v>
      </c>
      <c r="O22" s="1902">
        <f t="shared" si="1"/>
        <v>2.722</v>
      </c>
      <c r="P22" s="1902">
        <f t="shared" si="1"/>
        <v>16.875999999999998</v>
      </c>
      <c r="Q22" s="1902">
        <f t="shared" si="1"/>
        <v>108.16200000000001</v>
      </c>
      <c r="R22" s="1902">
        <f t="shared" si="1"/>
        <v>31.183999999999997</v>
      </c>
      <c r="S22" s="1885">
        <f t="shared" si="0"/>
        <v>1614.7429999999999</v>
      </c>
      <c r="T22" s="1972"/>
    </row>
    <row r="25" spans="2:26" ht="15.75" thickBot="1">
      <c r="T25" s="1974"/>
    </row>
    <row r="26" spans="2:26" ht="16.5" thickBot="1">
      <c r="B26" s="1856"/>
      <c r="C26" s="1912"/>
      <c r="D26" s="1956"/>
      <c r="E26" s="2711" t="s">
        <v>812</v>
      </c>
      <c r="F26" s="2712"/>
      <c r="G26" s="2712"/>
      <c r="H26" s="2712"/>
      <c r="I26" s="2712"/>
      <c r="J26" s="2713"/>
      <c r="T26" s="1974"/>
    </row>
    <row r="27" spans="2:26" ht="16.5" thickBot="1">
      <c r="B27" s="1879" t="s">
        <v>328</v>
      </c>
      <c r="C27" s="1853"/>
      <c r="D27" s="1880"/>
      <c r="E27" s="1865" t="s">
        <v>799</v>
      </c>
      <c r="F27" s="1866" t="s">
        <v>798</v>
      </c>
      <c r="G27" s="1866" t="s">
        <v>797</v>
      </c>
      <c r="H27" s="1866" t="s">
        <v>796</v>
      </c>
      <c r="I27" s="1867" t="s">
        <v>955</v>
      </c>
      <c r="J27" s="1864" t="s">
        <v>795</v>
      </c>
    </row>
    <row r="28" spans="2:26" ht="47.25" customHeight="1">
      <c r="B28" s="1959" t="s">
        <v>751</v>
      </c>
      <c r="C28" s="1868"/>
      <c r="D28" s="1868"/>
      <c r="E28" s="1870" t="s">
        <v>785</v>
      </c>
      <c r="F28" s="1871" t="s">
        <v>784</v>
      </c>
      <c r="G28" s="1871" t="s">
        <v>783</v>
      </c>
      <c r="H28" s="1871" t="s">
        <v>1826</v>
      </c>
      <c r="I28" s="1871" t="s">
        <v>956</v>
      </c>
      <c r="J28" s="1958"/>
    </row>
    <row r="29" spans="2:26" ht="15.75">
      <c r="B29" s="1961" t="s">
        <v>468</v>
      </c>
      <c r="C29" s="1875"/>
      <c r="D29" s="1875"/>
      <c r="E29" s="1877" t="s">
        <v>779</v>
      </c>
      <c r="F29" s="1873" t="s">
        <v>779</v>
      </c>
      <c r="G29" s="1873" t="s">
        <v>779</v>
      </c>
      <c r="H29" s="1873" t="s">
        <v>779</v>
      </c>
      <c r="I29" s="1873" t="s">
        <v>779</v>
      </c>
      <c r="J29" s="1874" t="s">
        <v>778</v>
      </c>
    </row>
    <row r="30" spans="2:26" ht="16.5" customHeight="1" thickBot="1">
      <c r="B30" s="1963" t="s">
        <v>743</v>
      </c>
      <c r="C30" s="1964" t="s">
        <v>815</v>
      </c>
      <c r="D30" s="1964" t="s">
        <v>814</v>
      </c>
      <c r="E30" s="1882" t="s">
        <v>766</v>
      </c>
      <c r="F30" s="1883" t="s">
        <v>765</v>
      </c>
      <c r="G30" s="1883" t="s">
        <v>764</v>
      </c>
      <c r="H30" s="1883" t="s">
        <v>2003</v>
      </c>
      <c r="I30" s="1883" t="s">
        <v>957</v>
      </c>
      <c r="J30" s="1885"/>
    </row>
    <row r="31" spans="2:26" ht="15.75">
      <c r="B31" s="1965" t="s">
        <v>147</v>
      </c>
      <c r="C31" s="1975">
        <f t="shared" ref="C31:D42" si="2">C10</f>
        <v>2</v>
      </c>
      <c r="D31" s="1976">
        <f t="shared" si="2"/>
        <v>18</v>
      </c>
      <c r="E31" s="1891">
        <v>377.42599999999999</v>
      </c>
      <c r="F31" s="1887">
        <v>92.850999999999999</v>
      </c>
      <c r="G31" s="1887">
        <v>79.233999999999995</v>
      </c>
      <c r="H31" s="1887">
        <v>338</v>
      </c>
      <c r="I31" s="1887">
        <v>0</v>
      </c>
      <c r="J31" s="1890">
        <f t="shared" ref="J31:J42" si="3">SUM(E31:I31)</f>
        <v>887.51099999999997</v>
      </c>
    </row>
    <row r="32" spans="2:26" ht="15.75">
      <c r="B32" s="1965" t="s">
        <v>148</v>
      </c>
      <c r="C32" s="1975">
        <f t="shared" si="2"/>
        <v>23</v>
      </c>
      <c r="D32" s="1976">
        <f t="shared" si="2"/>
        <v>8</v>
      </c>
      <c r="E32" s="1891">
        <v>325.55700000000002</v>
      </c>
      <c r="F32" s="1887">
        <v>73.662999999999997</v>
      </c>
      <c r="G32" s="1887">
        <v>76.718000000000004</v>
      </c>
      <c r="H32" s="1887">
        <v>252</v>
      </c>
      <c r="I32" s="1887">
        <v>0</v>
      </c>
      <c r="J32" s="1890">
        <f t="shared" si="3"/>
        <v>727.9380000000001</v>
      </c>
      <c r="L32" s="436"/>
      <c r="M32" s="436"/>
      <c r="N32" s="436"/>
      <c r="O32" s="321"/>
      <c r="P32" s="321"/>
      <c r="Q32" s="321"/>
      <c r="R32" s="321"/>
      <c r="S32" s="321"/>
      <c r="T32" s="321"/>
      <c r="U32" s="321"/>
      <c r="V32" s="321"/>
      <c r="W32" s="321"/>
      <c r="X32" s="321"/>
      <c r="Y32" s="321"/>
      <c r="Z32" s="321"/>
    </row>
    <row r="33" spans="2:26" ht="15.75">
      <c r="B33" s="1965" t="s">
        <v>352</v>
      </c>
      <c r="C33" s="1975">
        <f t="shared" si="2"/>
        <v>4</v>
      </c>
      <c r="D33" s="1976">
        <f t="shared" si="2"/>
        <v>8</v>
      </c>
      <c r="E33" s="1891">
        <v>358.38499999999999</v>
      </c>
      <c r="F33" s="1887">
        <v>64.653000000000006</v>
      </c>
      <c r="G33" s="1887">
        <v>67.653000000000006</v>
      </c>
      <c r="H33" s="1887">
        <v>267</v>
      </c>
      <c r="I33" s="1887">
        <v>0</v>
      </c>
      <c r="J33" s="1890">
        <f t="shared" si="3"/>
        <v>757.69100000000003</v>
      </c>
      <c r="M33" s="436"/>
      <c r="N33" s="436"/>
      <c r="O33" s="321"/>
      <c r="P33" s="321"/>
      <c r="Q33" s="321"/>
      <c r="R33" s="321"/>
      <c r="S33" s="321"/>
      <c r="T33" s="321"/>
      <c r="U33" s="321"/>
      <c r="V33" s="321"/>
      <c r="W33" s="321"/>
      <c r="X33" s="321"/>
      <c r="Y33" s="321"/>
      <c r="Z33" s="321"/>
    </row>
    <row r="34" spans="2:26" ht="15.75">
      <c r="B34" s="1965" t="s">
        <v>143</v>
      </c>
      <c r="C34" s="1975">
        <f t="shared" si="2"/>
        <v>15</v>
      </c>
      <c r="D34" s="1976">
        <f t="shared" si="2"/>
        <v>8</v>
      </c>
      <c r="E34" s="1891">
        <v>365.40800000000002</v>
      </c>
      <c r="F34" s="1887">
        <v>39.247999999999998</v>
      </c>
      <c r="G34" s="1887">
        <v>89.186999999999998</v>
      </c>
      <c r="H34" s="1887">
        <v>209</v>
      </c>
      <c r="I34" s="1887">
        <v>0</v>
      </c>
      <c r="J34" s="1890">
        <f t="shared" si="3"/>
        <v>702.84300000000007</v>
      </c>
    </row>
    <row r="35" spans="2:26" ht="15.75">
      <c r="B35" s="1965" t="s">
        <v>144</v>
      </c>
      <c r="C35" s="1975">
        <f t="shared" si="2"/>
        <v>31</v>
      </c>
      <c r="D35" s="1976">
        <f t="shared" si="2"/>
        <v>18</v>
      </c>
      <c r="E35" s="1891">
        <v>394.19199999999995</v>
      </c>
      <c r="F35" s="1887">
        <v>77.587999999999994</v>
      </c>
      <c r="G35" s="1887">
        <v>98.71</v>
      </c>
      <c r="H35" s="1887">
        <v>282</v>
      </c>
      <c r="I35" s="1887">
        <v>0</v>
      </c>
      <c r="J35" s="1890">
        <f t="shared" si="3"/>
        <v>852.49</v>
      </c>
    </row>
    <row r="36" spans="2:26" ht="15.75">
      <c r="B36" s="1965" t="s">
        <v>151</v>
      </c>
      <c r="C36" s="1975">
        <f t="shared" si="2"/>
        <v>29</v>
      </c>
      <c r="D36" s="1976">
        <f t="shared" si="2"/>
        <v>16</v>
      </c>
      <c r="E36" s="1891">
        <v>786.76800000000003</v>
      </c>
      <c r="F36" s="1887">
        <v>171.80799999999999</v>
      </c>
      <c r="G36" s="1887">
        <v>170.30199999999999</v>
      </c>
      <c r="H36" s="1887">
        <v>321</v>
      </c>
      <c r="I36" s="1887">
        <v>0</v>
      </c>
      <c r="J36" s="1890">
        <f t="shared" si="3"/>
        <v>1449.8779999999999</v>
      </c>
    </row>
    <row r="37" spans="2:26" ht="15.75">
      <c r="B37" s="1965" t="s">
        <v>742</v>
      </c>
      <c r="C37" s="1975">
        <f t="shared" si="2"/>
        <v>2</v>
      </c>
      <c r="D37" s="1976">
        <f t="shared" si="2"/>
        <v>16</v>
      </c>
      <c r="E37" s="1891">
        <v>768.21800000000007</v>
      </c>
      <c r="F37" s="1887">
        <v>176.172</v>
      </c>
      <c r="G37" s="1887">
        <v>145.518</v>
      </c>
      <c r="H37" s="1887">
        <v>283</v>
      </c>
      <c r="I37" s="1887">
        <v>0</v>
      </c>
      <c r="J37" s="1890">
        <f t="shared" si="3"/>
        <v>1372.9080000000001</v>
      </c>
    </row>
    <row r="38" spans="2:26" ht="15.75">
      <c r="B38" s="1965" t="s">
        <v>153</v>
      </c>
      <c r="C38" s="1975">
        <f t="shared" si="2"/>
        <v>13</v>
      </c>
      <c r="D38" s="1976">
        <f t="shared" si="2"/>
        <v>16</v>
      </c>
      <c r="E38" s="1891">
        <v>696.63300000000004</v>
      </c>
      <c r="F38" s="1887">
        <v>143.78200000000001</v>
      </c>
      <c r="G38" s="1887">
        <v>138.87200000000001</v>
      </c>
      <c r="H38" s="1887">
        <v>344</v>
      </c>
      <c r="I38" s="1887">
        <v>0</v>
      </c>
      <c r="J38" s="1890">
        <f t="shared" si="3"/>
        <v>1323.287</v>
      </c>
    </row>
    <row r="39" spans="2:26" ht="15.75">
      <c r="B39" s="1965" t="s">
        <v>741</v>
      </c>
      <c r="C39" s="1975">
        <f t="shared" si="2"/>
        <v>1</v>
      </c>
      <c r="D39" s="1976">
        <f t="shared" si="2"/>
        <v>16</v>
      </c>
      <c r="E39" s="1891">
        <v>677.42699999999991</v>
      </c>
      <c r="F39" s="1887">
        <v>127.816</v>
      </c>
      <c r="G39" s="1887">
        <v>133.792</v>
      </c>
      <c r="H39" s="1887">
        <v>311</v>
      </c>
      <c r="I39" s="1887">
        <v>0</v>
      </c>
      <c r="J39" s="1890">
        <f t="shared" si="3"/>
        <v>1250.0349999999999</v>
      </c>
    </row>
    <row r="40" spans="2:26" ht="15.75">
      <c r="B40" s="1965" t="s">
        <v>155</v>
      </c>
      <c r="C40" s="1975">
        <f t="shared" si="2"/>
        <v>1</v>
      </c>
      <c r="D40" s="1976">
        <f t="shared" si="2"/>
        <v>17</v>
      </c>
      <c r="E40" s="1891">
        <v>536.90499999999997</v>
      </c>
      <c r="F40" s="1887">
        <v>118.527</v>
      </c>
      <c r="G40" s="1887">
        <v>101.43</v>
      </c>
      <c r="H40" s="1887">
        <v>308</v>
      </c>
      <c r="I40" s="1887">
        <v>0</v>
      </c>
      <c r="J40" s="1890">
        <f t="shared" si="3"/>
        <v>1064.8620000000001</v>
      </c>
    </row>
    <row r="41" spans="2:26" ht="15.75">
      <c r="B41" s="1965" t="s">
        <v>156</v>
      </c>
      <c r="C41" s="1975">
        <f t="shared" si="2"/>
        <v>30</v>
      </c>
      <c r="D41" s="1976">
        <f t="shared" si="2"/>
        <v>18</v>
      </c>
      <c r="E41" s="1891">
        <v>417.387</v>
      </c>
      <c r="F41" s="1887">
        <v>78.304000000000002</v>
      </c>
      <c r="G41" s="1887">
        <v>71.97</v>
      </c>
      <c r="H41" s="1887">
        <v>254</v>
      </c>
      <c r="I41" s="1887">
        <v>0</v>
      </c>
      <c r="J41" s="1890">
        <f t="shared" si="3"/>
        <v>821.66100000000006</v>
      </c>
    </row>
    <row r="42" spans="2:26" ht="16.5" thickBot="1">
      <c r="B42" s="1965" t="s">
        <v>157</v>
      </c>
      <c r="C42" s="1975">
        <f t="shared" si="2"/>
        <v>28</v>
      </c>
      <c r="D42" s="1976">
        <f t="shared" si="2"/>
        <v>18</v>
      </c>
      <c r="E42" s="1897">
        <v>442.03399999999999</v>
      </c>
      <c r="F42" s="1894">
        <v>81.307000000000002</v>
      </c>
      <c r="G42" s="1894">
        <v>101.485</v>
      </c>
      <c r="H42" s="1894">
        <v>294</v>
      </c>
      <c r="I42" s="1898">
        <v>0</v>
      </c>
      <c r="J42" s="1885">
        <f t="shared" si="3"/>
        <v>918.82600000000002</v>
      </c>
    </row>
    <row r="43" spans="2:26" ht="16.5" thickBot="1">
      <c r="B43" s="1969" t="s">
        <v>282</v>
      </c>
      <c r="C43" s="1970"/>
      <c r="D43" s="1971"/>
      <c r="E43" s="1903">
        <f t="shared" ref="E43:J43" si="4">SUM(E31:E42)</f>
        <v>6146.3399999999983</v>
      </c>
      <c r="F43" s="1902">
        <f t="shared" si="4"/>
        <v>1245.7190000000003</v>
      </c>
      <c r="G43" s="1902">
        <f t="shared" si="4"/>
        <v>1274.8709999999999</v>
      </c>
      <c r="H43" s="1902">
        <f t="shared" si="4"/>
        <v>3463</v>
      </c>
      <c r="I43" s="1902">
        <f t="shared" si="4"/>
        <v>0</v>
      </c>
      <c r="J43" s="1885">
        <f t="shared" si="4"/>
        <v>12129.93</v>
      </c>
    </row>
  </sheetData>
  <mergeCells count="2">
    <mergeCell ref="E5:S5"/>
    <mergeCell ref="E26:J26"/>
  </mergeCells>
  <pageMargins left="0.7" right="0.7" top="0.75" bottom="0.75" header="0.3" footer="0.3"/>
  <pageSetup scale="58"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AN53"/>
  <sheetViews>
    <sheetView workbookViewId="0"/>
  </sheetViews>
  <sheetFormatPr defaultRowHeight="15.75"/>
  <cols>
    <col min="1" max="1" width="4.7109375" style="1849" customWidth="1"/>
    <col min="2" max="2" width="14.28515625" style="1849" customWidth="1"/>
    <col min="3" max="4" width="6" style="1849" customWidth="1"/>
    <col min="5" max="7" width="11.5703125" style="1849" customWidth="1"/>
    <col min="8" max="8" width="12.85546875" style="1849" customWidth="1"/>
    <col min="9" max="19" width="11.5703125" style="1849" customWidth="1"/>
    <col min="20" max="21" width="9.85546875" style="1849" bestFit="1" customWidth="1"/>
    <col min="22" max="22" width="8.7109375" style="1849" bestFit="1" customWidth="1"/>
    <col min="23" max="23" width="9.42578125" style="1849" customWidth="1"/>
    <col min="24" max="24" width="16.7109375" style="1849" customWidth="1"/>
    <col min="25" max="25" width="9.42578125" style="1849" bestFit="1" customWidth="1"/>
    <col min="26" max="26" width="11.85546875" style="1849" bestFit="1" customWidth="1"/>
    <col min="27" max="27" width="7.140625" style="1858" bestFit="1" customWidth="1"/>
    <col min="28" max="28" width="14" style="1849" customWidth="1"/>
    <col min="29" max="29" width="4.28515625" style="1849" customWidth="1"/>
    <col min="30" max="16384" width="9.140625" style="1849"/>
  </cols>
  <sheetData>
    <row r="1" spans="1:40" ht="16.5" customHeight="1">
      <c r="A1" s="1845"/>
      <c r="B1" s="1948" t="s">
        <v>365</v>
      </c>
      <c r="C1" s="1949"/>
      <c r="D1" s="1948"/>
      <c r="E1" s="1950"/>
      <c r="F1" s="1950"/>
      <c r="G1" s="1950"/>
      <c r="H1" s="1950"/>
      <c r="I1" s="1950"/>
      <c r="J1" s="1950"/>
      <c r="K1" s="1950"/>
      <c r="L1" s="1950"/>
      <c r="M1" s="1950"/>
      <c r="N1" s="1950"/>
      <c r="O1" s="1950"/>
      <c r="P1" s="1950"/>
      <c r="Q1" s="1950"/>
      <c r="R1" s="1950"/>
      <c r="S1" s="1951"/>
      <c r="T1" s="1950"/>
      <c r="U1" s="436"/>
      <c r="V1" s="436"/>
      <c r="W1" s="436"/>
      <c r="X1" s="436"/>
      <c r="Y1" s="436"/>
      <c r="Z1" s="436"/>
      <c r="AA1" s="436"/>
      <c r="AB1" s="436"/>
      <c r="AC1" s="436"/>
      <c r="AD1" s="436"/>
      <c r="AE1" s="436"/>
      <c r="AF1" s="436"/>
      <c r="AG1" s="436"/>
      <c r="AH1" s="436"/>
      <c r="AI1" s="436"/>
      <c r="AJ1" s="436"/>
      <c r="AK1" s="436"/>
      <c r="AL1" s="436"/>
      <c r="AM1" s="436"/>
      <c r="AN1" s="436"/>
    </row>
    <row r="2" spans="1:40" ht="16.5" customHeight="1">
      <c r="A2" s="1850"/>
      <c r="B2" s="1948" t="s">
        <v>2084</v>
      </c>
      <c r="C2" s="1948"/>
      <c r="D2" s="1948"/>
      <c r="E2" s="1950"/>
      <c r="F2" s="1950"/>
      <c r="G2" s="1950"/>
      <c r="H2" s="1950"/>
      <c r="I2" s="1950"/>
      <c r="J2" s="1950"/>
      <c r="K2" s="1950"/>
      <c r="L2" s="1950"/>
      <c r="M2" s="1950"/>
      <c r="N2" s="1950"/>
      <c r="O2" s="1953"/>
      <c r="P2" s="1953"/>
      <c r="Q2" s="1950"/>
      <c r="R2" s="1950"/>
      <c r="S2" s="1951"/>
      <c r="T2" s="1950"/>
      <c r="U2" s="436"/>
      <c r="V2" s="436"/>
      <c r="W2" s="436"/>
      <c r="X2" s="436"/>
      <c r="Y2" s="436"/>
      <c r="Z2" s="436"/>
      <c r="AA2" s="436"/>
      <c r="AB2" s="436"/>
      <c r="AC2" s="436"/>
      <c r="AD2" s="436"/>
      <c r="AE2" s="436"/>
      <c r="AF2" s="436"/>
      <c r="AG2" s="436"/>
      <c r="AH2" s="436"/>
      <c r="AI2" s="436"/>
      <c r="AJ2" s="436"/>
      <c r="AK2" s="436"/>
      <c r="AL2" s="436"/>
      <c r="AM2" s="436"/>
      <c r="AN2" s="436"/>
    </row>
    <row r="3" spans="1:40" ht="16.5" customHeight="1">
      <c r="A3" s="1845"/>
      <c r="B3" s="437"/>
      <c r="C3" s="437"/>
      <c r="D3" s="437"/>
      <c r="E3" s="437"/>
      <c r="F3" s="437"/>
      <c r="G3" s="437"/>
      <c r="H3" s="437"/>
      <c r="I3" s="437"/>
      <c r="J3" s="437"/>
      <c r="K3" s="1954">
        <v>2014</v>
      </c>
      <c r="L3" s="436"/>
      <c r="M3" s="1952"/>
      <c r="N3" s="437"/>
      <c r="O3" s="832"/>
      <c r="P3" s="832"/>
      <c r="Q3" s="437"/>
      <c r="R3" s="437"/>
      <c r="S3" s="437"/>
      <c r="T3" s="437"/>
      <c r="U3" s="436"/>
      <c r="V3" s="436"/>
      <c r="W3" s="436"/>
      <c r="X3" s="436"/>
      <c r="Y3" s="436"/>
      <c r="Z3" s="436"/>
      <c r="AA3" s="436"/>
      <c r="AB3" s="436"/>
      <c r="AC3" s="436"/>
      <c r="AD3" s="436"/>
      <c r="AE3" s="436"/>
      <c r="AF3" s="436"/>
      <c r="AG3" s="436"/>
      <c r="AH3" s="436"/>
      <c r="AI3" s="436"/>
      <c r="AJ3" s="436"/>
      <c r="AK3" s="436"/>
      <c r="AL3" s="436"/>
      <c r="AM3" s="436"/>
      <c r="AN3" s="436"/>
    </row>
    <row r="4" spans="1:40" ht="16.5" customHeight="1" thickBot="1">
      <c r="C4" s="1853"/>
      <c r="D4" s="1853"/>
      <c r="U4" s="436"/>
      <c r="V4" s="436"/>
      <c r="W4" s="436"/>
      <c r="X4" s="436"/>
      <c r="Y4" s="436"/>
      <c r="Z4" s="436"/>
      <c r="AA4" s="436"/>
      <c r="AB4" s="436"/>
      <c r="AC4" s="436"/>
      <c r="AD4" s="436"/>
      <c r="AE4" s="436"/>
      <c r="AF4" s="436"/>
      <c r="AG4" s="436"/>
      <c r="AH4" s="436"/>
      <c r="AI4" s="436"/>
      <c r="AJ4" s="436"/>
      <c r="AK4" s="436"/>
      <c r="AL4" s="436"/>
      <c r="AM4" s="436"/>
      <c r="AN4" s="436"/>
    </row>
    <row r="5" spans="1:40" ht="16.5" customHeight="1" thickBot="1">
      <c r="B5" s="1856"/>
      <c r="C5" s="1857"/>
      <c r="D5" s="1857"/>
      <c r="E5" s="2711" t="s">
        <v>813</v>
      </c>
      <c r="F5" s="2712"/>
      <c r="G5" s="2712"/>
      <c r="H5" s="2712"/>
      <c r="I5" s="2712"/>
      <c r="J5" s="2712"/>
      <c r="K5" s="2712"/>
      <c r="L5" s="2712"/>
      <c r="M5" s="2712"/>
      <c r="N5" s="2712"/>
      <c r="O5" s="2712"/>
      <c r="P5" s="2712"/>
      <c r="Q5" s="2712"/>
      <c r="R5" s="2713"/>
      <c r="T5" s="1858"/>
      <c r="U5" s="436"/>
      <c r="V5" s="436"/>
      <c r="W5" s="436"/>
      <c r="X5" s="436"/>
      <c r="Y5" s="436"/>
      <c r="Z5" s="436"/>
      <c r="AA5" s="436"/>
      <c r="AB5" s="436"/>
      <c r="AC5" s="436"/>
      <c r="AD5" s="436"/>
      <c r="AE5" s="436"/>
      <c r="AF5" s="436"/>
      <c r="AG5" s="436"/>
      <c r="AH5" s="436"/>
      <c r="AI5" s="436"/>
      <c r="AJ5" s="436"/>
      <c r="AK5" s="436"/>
      <c r="AL5" s="436"/>
      <c r="AM5" s="436"/>
      <c r="AN5" s="436"/>
    </row>
    <row r="6" spans="1:40" ht="16.5" customHeight="1" thickBot="1">
      <c r="B6" s="1860" t="s">
        <v>328</v>
      </c>
      <c r="C6" s="1857"/>
      <c r="D6" s="1857"/>
      <c r="E6" s="1861" t="s">
        <v>359</v>
      </c>
      <c r="F6" s="1862" t="s">
        <v>811</v>
      </c>
      <c r="G6" s="1863" t="s">
        <v>810</v>
      </c>
      <c r="H6" s="1863" t="s">
        <v>809</v>
      </c>
      <c r="I6" s="1863" t="s">
        <v>808</v>
      </c>
      <c r="J6" s="1863" t="s">
        <v>807</v>
      </c>
      <c r="K6" s="1863" t="s">
        <v>806</v>
      </c>
      <c r="L6" s="1863" t="s">
        <v>805</v>
      </c>
      <c r="M6" s="1863" t="s">
        <v>804</v>
      </c>
      <c r="N6" s="1863" t="s">
        <v>803</v>
      </c>
      <c r="O6" s="1863" t="s">
        <v>802</v>
      </c>
      <c r="P6" s="1863" t="s">
        <v>801</v>
      </c>
      <c r="Q6" s="1863" t="s">
        <v>800</v>
      </c>
      <c r="R6" s="1864" t="s">
        <v>397</v>
      </c>
      <c r="Z6" s="1859"/>
      <c r="AB6" s="1858"/>
    </row>
    <row r="7" spans="1:40" ht="47.25" customHeight="1">
      <c r="B7" s="1868" t="s">
        <v>751</v>
      </c>
      <c r="C7" s="1868"/>
      <c r="D7" s="1959"/>
      <c r="E7" s="1869" t="s">
        <v>365</v>
      </c>
      <c r="F7" s="1870" t="s">
        <v>794</v>
      </c>
      <c r="G7" s="1871" t="s">
        <v>793</v>
      </c>
      <c r="H7" s="1871" t="s">
        <v>1989</v>
      </c>
      <c r="I7" s="1871" t="s">
        <v>792</v>
      </c>
      <c r="J7" s="1871" t="s">
        <v>791</v>
      </c>
      <c r="K7" s="1871" t="s">
        <v>790</v>
      </c>
      <c r="L7" s="1871" t="s">
        <v>1990</v>
      </c>
      <c r="M7" s="1871" t="s">
        <v>789</v>
      </c>
      <c r="N7" s="1871" t="s">
        <v>788</v>
      </c>
      <c r="O7" s="1871" t="s">
        <v>787</v>
      </c>
      <c r="P7" s="1871" t="s">
        <v>786</v>
      </c>
      <c r="Q7" s="1871" t="s">
        <v>748</v>
      </c>
      <c r="R7" s="1872"/>
      <c r="Z7" s="1859"/>
      <c r="AB7" s="1858"/>
    </row>
    <row r="8" spans="1:40" ht="15.75" customHeight="1">
      <c r="B8" s="1875" t="s">
        <v>468</v>
      </c>
      <c r="C8" s="1875"/>
      <c r="D8" s="1961"/>
      <c r="E8" s="1876" t="s">
        <v>782</v>
      </c>
      <c r="F8" s="1877" t="s">
        <v>781</v>
      </c>
      <c r="G8" s="1873" t="s">
        <v>781</v>
      </c>
      <c r="H8" s="1873" t="s">
        <v>781</v>
      </c>
      <c r="I8" s="1873" t="s">
        <v>781</v>
      </c>
      <c r="J8" s="1873" t="s">
        <v>781</v>
      </c>
      <c r="K8" s="1873" t="s">
        <v>781</v>
      </c>
      <c r="L8" s="1873" t="s">
        <v>781</v>
      </c>
      <c r="M8" s="1873" t="s">
        <v>781</v>
      </c>
      <c r="N8" s="1873" t="s">
        <v>781</v>
      </c>
      <c r="O8" s="1873" t="s">
        <v>781</v>
      </c>
      <c r="P8" s="1873" t="s">
        <v>781</v>
      </c>
      <c r="Q8" s="1873" t="s">
        <v>781</v>
      </c>
      <c r="R8" s="1878" t="s">
        <v>780</v>
      </c>
      <c r="S8" s="1858"/>
      <c r="Z8" s="1858"/>
      <c r="AA8" s="1849"/>
    </row>
    <row r="9" spans="1:40" ht="16.5" customHeight="1" thickBot="1">
      <c r="B9" s="1879" t="s">
        <v>743</v>
      </c>
      <c r="C9" s="1964" t="s">
        <v>815</v>
      </c>
      <c r="D9" s="1964" t="s">
        <v>814</v>
      </c>
      <c r="E9" s="1881">
        <v>0</v>
      </c>
      <c r="F9" s="1882" t="s">
        <v>776</v>
      </c>
      <c r="G9" s="1883" t="s">
        <v>775</v>
      </c>
      <c r="H9" s="1883" t="s">
        <v>1991</v>
      </c>
      <c r="I9" s="1883" t="s">
        <v>774</v>
      </c>
      <c r="J9" s="1883" t="s">
        <v>773</v>
      </c>
      <c r="K9" s="1883" t="s">
        <v>772</v>
      </c>
      <c r="L9" s="1883" t="s">
        <v>771</v>
      </c>
      <c r="M9" s="1883" t="s">
        <v>770</v>
      </c>
      <c r="N9" s="1883" t="s">
        <v>769</v>
      </c>
      <c r="O9" s="1883" t="s">
        <v>768</v>
      </c>
      <c r="P9" s="1883" t="s">
        <v>767</v>
      </c>
      <c r="Q9" s="1883" t="s">
        <v>1641</v>
      </c>
      <c r="R9" s="1884"/>
      <c r="S9" s="1858"/>
      <c r="Z9" s="1858"/>
      <c r="AA9" s="1849"/>
    </row>
    <row r="10" spans="1:40">
      <c r="B10" s="1860" t="s">
        <v>147</v>
      </c>
      <c r="C10" s="1966">
        <v>6</v>
      </c>
      <c r="D10" s="1967">
        <v>8</v>
      </c>
      <c r="E10" s="1887">
        <v>8454.5560000000005</v>
      </c>
      <c r="F10" s="1888">
        <v>6.0949999999999998</v>
      </c>
      <c r="G10" s="1889">
        <v>3.3330000000000002</v>
      </c>
      <c r="H10" s="1889">
        <v>24.933</v>
      </c>
      <c r="I10" s="1889">
        <v>1.238</v>
      </c>
      <c r="J10" s="1889">
        <v>0.28699999999999998</v>
      </c>
      <c r="K10" s="1889">
        <v>7.2999999999999995E-2</v>
      </c>
      <c r="L10" s="1889">
        <v>18.010999999999999</v>
      </c>
      <c r="M10" s="1889">
        <v>0.22600000000000001</v>
      </c>
      <c r="N10" s="1889">
        <v>53.59</v>
      </c>
      <c r="O10" s="1889">
        <v>4.0000000000000001E-3</v>
      </c>
      <c r="P10" s="1889">
        <v>2.1559999999999999E-3</v>
      </c>
      <c r="Q10" s="1889">
        <v>3.1739999999999999</v>
      </c>
      <c r="R10" s="1890">
        <f t="shared" ref="R10:R22" si="0">SUM(F10:Q10)</f>
        <v>110.96615600000001</v>
      </c>
      <c r="S10" s="1858"/>
      <c r="Z10" s="1892"/>
      <c r="AA10" s="1849"/>
    </row>
    <row r="11" spans="1:40">
      <c r="B11" s="1860" t="s">
        <v>148</v>
      </c>
      <c r="C11" s="1966">
        <v>6</v>
      </c>
      <c r="D11" s="1967">
        <v>8</v>
      </c>
      <c r="E11" s="1887">
        <v>8712.1239999999998</v>
      </c>
      <c r="F11" s="1888">
        <v>7.0679999999999996</v>
      </c>
      <c r="G11" s="1889">
        <v>3.2589999999999999</v>
      </c>
      <c r="H11" s="1889">
        <v>37.74</v>
      </c>
      <c r="I11" s="1889">
        <v>1.708</v>
      </c>
      <c r="J11" s="1889">
        <v>0.41699999999999998</v>
      </c>
      <c r="K11" s="1889">
        <v>16.559999999999999</v>
      </c>
      <c r="L11" s="1889">
        <v>19.443000000000001</v>
      </c>
      <c r="M11" s="1889">
        <v>0.24199999999999999</v>
      </c>
      <c r="N11" s="1889">
        <v>58.21</v>
      </c>
      <c r="O11" s="1889">
        <v>5.0000000000000001E-3</v>
      </c>
      <c r="P11" s="1889">
        <v>0</v>
      </c>
      <c r="Q11" s="1889">
        <v>3.6920000000000002</v>
      </c>
      <c r="R11" s="1890">
        <f t="shared" si="0"/>
        <v>148.34399999999999</v>
      </c>
      <c r="S11" s="1858"/>
      <c r="Z11" s="1892"/>
      <c r="AA11" s="1849"/>
    </row>
    <row r="12" spans="1:40">
      <c r="B12" s="1860" t="s">
        <v>352</v>
      </c>
      <c r="C12" s="1966">
        <v>18</v>
      </c>
      <c r="D12" s="1967">
        <v>8</v>
      </c>
      <c r="E12" s="1887">
        <v>7640.2749999999996</v>
      </c>
      <c r="F12" s="1888">
        <v>6.55</v>
      </c>
      <c r="G12" s="1889">
        <v>3.129</v>
      </c>
      <c r="H12" s="1889">
        <v>21.957000000000001</v>
      </c>
      <c r="I12" s="1889">
        <v>1.1060000000000001</v>
      </c>
      <c r="J12" s="1889">
        <v>0</v>
      </c>
      <c r="K12" s="1889">
        <v>13.971</v>
      </c>
      <c r="L12" s="1889">
        <v>19.355</v>
      </c>
      <c r="M12" s="1889">
        <v>0.80900000000000005</v>
      </c>
      <c r="N12" s="1889">
        <v>40.15</v>
      </c>
      <c r="O12" s="1889">
        <v>5.0000000000000001E-3</v>
      </c>
      <c r="P12" s="1889">
        <v>0</v>
      </c>
      <c r="Q12" s="1889">
        <v>2.8290000000000002</v>
      </c>
      <c r="R12" s="1890">
        <f t="shared" si="0"/>
        <v>109.861</v>
      </c>
      <c r="S12" s="1858"/>
      <c r="Z12" s="1892"/>
      <c r="AA12" s="1849"/>
    </row>
    <row r="13" spans="1:40">
      <c r="B13" s="1860" t="s">
        <v>143</v>
      </c>
      <c r="C13" s="1966">
        <v>1</v>
      </c>
      <c r="D13" s="1967">
        <v>8</v>
      </c>
      <c r="E13" s="1977">
        <v>7380.8109999999997</v>
      </c>
      <c r="F13" s="1888">
        <v>5.8310000000000004</v>
      </c>
      <c r="G13" s="1889">
        <v>3.1709999999999998</v>
      </c>
      <c r="H13" s="1889">
        <v>18.876999999999999</v>
      </c>
      <c r="I13" s="1889">
        <v>1.0129999999999999</v>
      </c>
      <c r="J13" s="1889">
        <v>2.5999999999999999E-2</v>
      </c>
      <c r="K13" s="1889">
        <v>0.57299999999999995</v>
      </c>
      <c r="L13" s="1889">
        <v>18.838999999999999</v>
      </c>
      <c r="M13" s="1889">
        <v>0.78100000000000003</v>
      </c>
      <c r="N13" s="1889">
        <v>41.16</v>
      </c>
      <c r="O13" s="1889">
        <v>0.28699999999999998</v>
      </c>
      <c r="P13" s="1889">
        <v>4.313E-3</v>
      </c>
      <c r="Q13" s="1889">
        <v>2.726</v>
      </c>
      <c r="R13" s="1890">
        <f t="shared" si="0"/>
        <v>93.288312999999988</v>
      </c>
      <c r="S13" s="1858"/>
      <c r="Z13" s="1892"/>
      <c r="AA13" s="1849"/>
    </row>
    <row r="14" spans="1:40">
      <c r="A14" s="1886"/>
      <c r="B14" s="1860" t="s">
        <v>144</v>
      </c>
      <c r="C14" s="1966">
        <v>28</v>
      </c>
      <c r="D14" s="1967">
        <v>15</v>
      </c>
      <c r="E14" s="1977">
        <v>8197.6990000000005</v>
      </c>
      <c r="F14" s="1888">
        <v>5.4080000000000004</v>
      </c>
      <c r="G14" s="1889">
        <v>2.61</v>
      </c>
      <c r="H14" s="1889">
        <v>10.489000000000001</v>
      </c>
      <c r="I14" s="1889">
        <v>0.4</v>
      </c>
      <c r="J14" s="1889">
        <v>0</v>
      </c>
      <c r="K14" s="1889">
        <v>7.5999999999999998E-2</v>
      </c>
      <c r="L14" s="1889">
        <v>19.573</v>
      </c>
      <c r="M14" s="1889">
        <v>0.20899999999999999</v>
      </c>
      <c r="N14" s="1889">
        <v>45.27</v>
      </c>
      <c r="O14" s="1889">
        <v>0.54900000000000004</v>
      </c>
      <c r="P14" s="1889">
        <v>2.981223</v>
      </c>
      <c r="Q14" s="1889">
        <v>3.4159999999999999</v>
      </c>
      <c r="R14" s="1890">
        <f t="shared" si="0"/>
        <v>90.981223</v>
      </c>
      <c r="S14" s="1858"/>
      <c r="Z14" s="1892"/>
      <c r="AA14" s="1849"/>
    </row>
    <row r="15" spans="1:40">
      <c r="B15" s="1860" t="s">
        <v>151</v>
      </c>
      <c r="C15" s="1966">
        <v>24</v>
      </c>
      <c r="D15" s="1967">
        <v>17</v>
      </c>
      <c r="E15" s="1977">
        <v>8909.3719999999994</v>
      </c>
      <c r="F15" s="1888">
        <v>5.0339999999999998</v>
      </c>
      <c r="G15" s="1889">
        <v>3.0920000000000001</v>
      </c>
      <c r="H15" s="1889">
        <v>10.534000000000001</v>
      </c>
      <c r="I15" s="1889">
        <v>0.32200000000000001</v>
      </c>
      <c r="J15" s="1889">
        <v>2.5999999999999999E-2</v>
      </c>
      <c r="K15" s="1889">
        <v>0.83899999999999997</v>
      </c>
      <c r="L15" s="1889">
        <v>21.821000000000002</v>
      </c>
      <c r="M15" s="1889">
        <v>0.14599999999999999</v>
      </c>
      <c r="N15" s="1889">
        <v>37.65</v>
      </c>
      <c r="O15" s="1889">
        <v>0.61799999999999999</v>
      </c>
      <c r="P15" s="1889">
        <v>2.8496830000000002</v>
      </c>
      <c r="Q15" s="1889">
        <v>3.5539999999999998</v>
      </c>
      <c r="R15" s="1890">
        <f t="shared" si="0"/>
        <v>86.485682999999995</v>
      </c>
      <c r="S15" s="1858"/>
      <c r="Z15" s="1892"/>
      <c r="AA15" s="1849"/>
    </row>
    <row r="16" spans="1:40">
      <c r="B16" s="1860" t="s">
        <v>742</v>
      </c>
      <c r="C16" s="1966">
        <v>14</v>
      </c>
      <c r="D16" s="1967">
        <v>16</v>
      </c>
      <c r="E16" s="1887">
        <v>10313.517</v>
      </c>
      <c r="F16" s="1888">
        <v>6.1319999999999997</v>
      </c>
      <c r="G16" s="1889">
        <v>3.161</v>
      </c>
      <c r="H16" s="1889">
        <v>12.273</v>
      </c>
      <c r="I16" s="1889">
        <v>0.40500000000000003</v>
      </c>
      <c r="J16" s="1889">
        <v>2.5999999999999999E-2</v>
      </c>
      <c r="K16" s="1889">
        <v>0.56000000000000005</v>
      </c>
      <c r="L16" s="1889">
        <v>23.481999999999999</v>
      </c>
      <c r="M16" s="1889">
        <v>0.30399999999999999</v>
      </c>
      <c r="N16" s="1889">
        <v>45.29</v>
      </c>
      <c r="O16" s="1889">
        <v>0.621</v>
      </c>
      <c r="P16" s="1889">
        <v>3.3381069999999999</v>
      </c>
      <c r="Q16" s="1889">
        <v>3.968</v>
      </c>
      <c r="R16" s="1890">
        <f t="shared" si="0"/>
        <v>99.560107000000002</v>
      </c>
      <c r="S16" s="1858"/>
      <c r="Z16" s="1892"/>
      <c r="AA16" s="1849"/>
    </row>
    <row r="17" spans="1:29">
      <c r="B17" s="1860" t="s">
        <v>153</v>
      </c>
      <c r="C17" s="1966">
        <v>11</v>
      </c>
      <c r="D17" s="1967">
        <v>16</v>
      </c>
      <c r="E17" s="1887">
        <v>9635.143</v>
      </c>
      <c r="F17" s="1888">
        <v>5.5780000000000003</v>
      </c>
      <c r="G17" s="1889">
        <v>3.7010000000000001</v>
      </c>
      <c r="H17" s="1889">
        <v>15.545</v>
      </c>
      <c r="I17" s="1889">
        <v>0.33800000000000002</v>
      </c>
      <c r="J17" s="1889">
        <v>8.6999999999999994E-2</v>
      </c>
      <c r="K17" s="1889">
        <v>5.1999999999999998E-2</v>
      </c>
      <c r="L17" s="1889">
        <v>24.016999999999999</v>
      </c>
      <c r="M17" s="1889">
        <v>0.23100000000000001</v>
      </c>
      <c r="N17" s="1889">
        <v>53.74</v>
      </c>
      <c r="O17" s="1889">
        <v>0.625</v>
      </c>
      <c r="P17" s="1889">
        <v>2.9089839999999998</v>
      </c>
      <c r="Q17" s="1889">
        <v>4.2779999999999996</v>
      </c>
      <c r="R17" s="1890">
        <f t="shared" si="0"/>
        <v>111.10098400000001</v>
      </c>
      <c r="S17" s="1858"/>
      <c r="Z17" s="1892"/>
      <c r="AA17" s="1849"/>
    </row>
    <row r="18" spans="1:29">
      <c r="B18" s="1860" t="s">
        <v>741</v>
      </c>
      <c r="C18" s="1966">
        <v>17</v>
      </c>
      <c r="D18" s="1967">
        <v>16</v>
      </c>
      <c r="E18" s="1887">
        <v>8717.8349999999991</v>
      </c>
      <c r="F18" s="1888">
        <v>5.5090000000000003</v>
      </c>
      <c r="G18" s="1889">
        <v>2.8780000000000001</v>
      </c>
      <c r="H18" s="1889">
        <v>9.9280000000000008</v>
      </c>
      <c r="I18" s="1889">
        <v>0.154</v>
      </c>
      <c r="J18" s="1889">
        <v>0.29399999999999998</v>
      </c>
      <c r="K18" s="1889">
        <v>0.18</v>
      </c>
      <c r="L18" s="1889">
        <v>21.045000000000002</v>
      </c>
      <c r="M18" s="1889">
        <v>0.80100000000000005</v>
      </c>
      <c r="N18" s="1889">
        <v>40.700000000000003</v>
      </c>
      <c r="O18" s="1889">
        <v>0.36</v>
      </c>
      <c r="P18" s="1889">
        <v>1.651802</v>
      </c>
      <c r="Q18" s="1889">
        <v>4.5199999999999996</v>
      </c>
      <c r="R18" s="1890">
        <f t="shared" si="0"/>
        <v>88.020802000000003</v>
      </c>
      <c r="S18" s="1858"/>
      <c r="Z18" s="1892"/>
      <c r="AA18" s="1849"/>
    </row>
    <row r="19" spans="1:29">
      <c r="B19" s="1860" t="s">
        <v>155</v>
      </c>
      <c r="C19" s="1966">
        <v>6</v>
      </c>
      <c r="D19" s="1967">
        <v>16</v>
      </c>
      <c r="E19" s="1887">
        <v>7245.4269999999997</v>
      </c>
      <c r="F19" s="1888">
        <v>5.2670000000000003</v>
      </c>
      <c r="G19" s="1889">
        <v>3.0449999999999999</v>
      </c>
      <c r="H19" s="1889">
        <v>10.824</v>
      </c>
      <c r="I19" s="1889">
        <v>0.28799999999999998</v>
      </c>
      <c r="J19" s="1889">
        <v>0.38100000000000001</v>
      </c>
      <c r="K19" s="1889">
        <v>11.821</v>
      </c>
      <c r="L19" s="1889">
        <v>21.666</v>
      </c>
      <c r="M19" s="1889">
        <v>0.28399999999999997</v>
      </c>
      <c r="N19" s="1889">
        <v>31.77</v>
      </c>
      <c r="O19" s="1889">
        <v>0.29399999999999998</v>
      </c>
      <c r="P19" s="1889">
        <v>1.118093</v>
      </c>
      <c r="Q19" s="1889">
        <v>4.6580000000000004</v>
      </c>
      <c r="R19" s="1890">
        <f t="shared" si="0"/>
        <v>91.416093000000004</v>
      </c>
      <c r="S19" s="1858"/>
      <c r="Z19" s="1892"/>
      <c r="AA19" s="1849"/>
    </row>
    <row r="20" spans="1:29">
      <c r="B20" s="1860" t="s">
        <v>156</v>
      </c>
      <c r="C20" s="1966">
        <v>17</v>
      </c>
      <c r="D20" s="1967">
        <v>8</v>
      </c>
      <c r="E20" s="1887">
        <v>8300.9740000000002</v>
      </c>
      <c r="F20" s="1888">
        <v>6.3559999999999999</v>
      </c>
      <c r="G20" s="1889">
        <v>2.9390000000000001</v>
      </c>
      <c r="H20" s="1889">
        <v>26.192</v>
      </c>
      <c r="I20" s="1889">
        <v>1.2210000000000001</v>
      </c>
      <c r="J20" s="1889">
        <v>0.47599999999999998</v>
      </c>
      <c r="K20" s="1889">
        <v>21.09</v>
      </c>
      <c r="L20" s="1889">
        <v>18.091999999999999</v>
      </c>
      <c r="M20" s="1889">
        <v>0.28100000000000003</v>
      </c>
      <c r="N20" s="1889">
        <v>47.83</v>
      </c>
      <c r="O20" s="1889">
        <v>4.0000000000000001E-3</v>
      </c>
      <c r="P20" s="1889">
        <v>3.235E-3</v>
      </c>
      <c r="Q20" s="1889">
        <v>5.1059999999999999</v>
      </c>
      <c r="R20" s="1890">
        <f t="shared" si="0"/>
        <v>129.59023500000001</v>
      </c>
      <c r="S20" s="1858"/>
      <c r="Z20" s="1892"/>
      <c r="AA20" s="1849"/>
    </row>
    <row r="21" spans="1:29" ht="16.5" thickBot="1">
      <c r="B21" s="1879" t="s">
        <v>157</v>
      </c>
      <c r="C21" s="1978">
        <v>30</v>
      </c>
      <c r="D21" s="1979">
        <v>19</v>
      </c>
      <c r="E21" s="1894">
        <v>8870.0130000000008</v>
      </c>
      <c r="F21" s="1895">
        <v>4.827</v>
      </c>
      <c r="G21" s="1896">
        <v>3.3839999999999999</v>
      </c>
      <c r="H21" s="1896">
        <v>29.681000000000001</v>
      </c>
      <c r="I21" s="1896">
        <v>1.5509999999999999</v>
      </c>
      <c r="J21" s="1896">
        <v>0</v>
      </c>
      <c r="K21" s="1896">
        <v>32.119999999999997</v>
      </c>
      <c r="L21" s="1896">
        <v>19.286999999999999</v>
      </c>
      <c r="M21" s="1896">
        <v>0.315</v>
      </c>
      <c r="N21" s="1896">
        <v>54.72</v>
      </c>
      <c r="O21" s="1896">
        <v>5.0000000000000001E-3</v>
      </c>
      <c r="P21" s="1896">
        <v>2.1559999999999999E-3</v>
      </c>
      <c r="Q21" s="1896">
        <v>5.3819999999999997</v>
      </c>
      <c r="R21" s="1885">
        <f t="shared" si="0"/>
        <v>151.274156</v>
      </c>
      <c r="S21" s="1858"/>
      <c r="Z21" s="1892"/>
      <c r="AA21" s="1849"/>
    </row>
    <row r="22" spans="1:29" ht="16.5" thickBot="1">
      <c r="A22" s="1858"/>
      <c r="B22" s="1899" t="s">
        <v>282</v>
      </c>
      <c r="C22" s="1900"/>
      <c r="D22" s="1901"/>
      <c r="E22" s="1885">
        <f t="shared" ref="E22:Q22" si="1">SUM(E10:E21)</f>
        <v>102377.746</v>
      </c>
      <c r="F22" s="1903">
        <f t="shared" si="1"/>
        <v>69.655000000000001</v>
      </c>
      <c r="G22" s="1902">
        <f t="shared" si="1"/>
        <v>37.701999999999998</v>
      </c>
      <c r="H22" s="1902">
        <f t="shared" si="1"/>
        <v>228.97300000000001</v>
      </c>
      <c r="I22" s="1902">
        <f t="shared" si="1"/>
        <v>9.7440000000000015</v>
      </c>
      <c r="J22" s="1902">
        <f t="shared" si="1"/>
        <v>2.02</v>
      </c>
      <c r="K22" s="1902">
        <f t="shared" si="1"/>
        <v>97.914999999999992</v>
      </c>
      <c r="L22" s="1902">
        <f t="shared" si="1"/>
        <v>244.631</v>
      </c>
      <c r="M22" s="1902">
        <f t="shared" si="1"/>
        <v>4.6290000000000004</v>
      </c>
      <c r="N22" s="1902">
        <f t="shared" si="1"/>
        <v>550.08000000000004</v>
      </c>
      <c r="O22" s="1902">
        <f t="shared" si="1"/>
        <v>3.3769999999999998</v>
      </c>
      <c r="P22" s="1902">
        <f t="shared" si="1"/>
        <v>14.859751999999999</v>
      </c>
      <c r="Q22" s="1902">
        <f t="shared" si="1"/>
        <v>47.302999999999997</v>
      </c>
      <c r="R22" s="1885">
        <f t="shared" si="0"/>
        <v>1310.8887520000003</v>
      </c>
      <c r="S22" s="1858"/>
      <c r="Z22" s="1892"/>
      <c r="AA22" s="1849"/>
      <c r="AC22" s="1904"/>
    </row>
    <row r="23" spans="1:29">
      <c r="A23" s="1858"/>
      <c r="B23" s="1980"/>
      <c r="C23" s="1980"/>
      <c r="D23" s="1980"/>
      <c r="E23" s="1892"/>
      <c r="F23" s="1911"/>
      <c r="G23" s="1892"/>
      <c r="H23" s="1892"/>
      <c r="I23" s="1892"/>
      <c r="J23" s="1892"/>
      <c r="K23" s="1892"/>
      <c r="L23" s="1892"/>
      <c r="M23" s="1892"/>
      <c r="N23" s="1892"/>
      <c r="O23" s="1892"/>
      <c r="P23" s="1892"/>
      <c r="Q23" s="1892"/>
      <c r="R23" s="1892"/>
      <c r="S23" s="1911"/>
      <c r="T23" s="1858"/>
      <c r="U23" s="1892"/>
      <c r="V23" s="1892"/>
      <c r="W23" s="1892"/>
      <c r="X23" s="1892"/>
      <c r="Y23" s="1892"/>
      <c r="Z23" s="1911"/>
      <c r="AA23" s="1911"/>
    </row>
    <row r="24" spans="1:29">
      <c r="A24" s="1858"/>
      <c r="B24" s="1980"/>
      <c r="C24" s="1980"/>
      <c r="D24" s="1980"/>
      <c r="E24" s="1892"/>
      <c r="F24" s="1911"/>
      <c r="G24" s="1892"/>
      <c r="H24" s="1892"/>
      <c r="I24" s="1892"/>
      <c r="J24" s="1892"/>
      <c r="K24" s="1892"/>
      <c r="L24" s="1892"/>
      <c r="M24" s="1892"/>
      <c r="N24" s="1892"/>
      <c r="O24" s="1892"/>
      <c r="P24" s="1892"/>
      <c r="Q24" s="1892"/>
      <c r="R24" s="1892"/>
      <c r="S24" s="1911"/>
      <c r="T24" s="1858"/>
      <c r="U24" s="1892"/>
      <c r="V24" s="1892"/>
      <c r="W24" s="1892"/>
      <c r="X24" s="1892"/>
      <c r="Y24" s="1892"/>
      <c r="Z24" s="1911"/>
      <c r="AA24" s="1911"/>
    </row>
    <row r="25" spans="1:29" ht="16.5" thickBot="1">
      <c r="A25" s="1858"/>
      <c r="B25" s="1980"/>
      <c r="C25" s="1980"/>
      <c r="D25" s="1980"/>
      <c r="E25" s="1892"/>
      <c r="F25" s="1911"/>
      <c r="G25" s="1892"/>
      <c r="H25" s="1892"/>
      <c r="I25" s="1892"/>
      <c r="J25" s="1892"/>
      <c r="K25" s="1892"/>
      <c r="L25" s="1892"/>
      <c r="M25" s="1892"/>
      <c r="N25" s="1892"/>
      <c r="O25" s="1892"/>
      <c r="P25" s="1892"/>
      <c r="Q25" s="1892"/>
      <c r="R25" s="1892"/>
      <c r="S25" s="1911"/>
      <c r="T25" s="1858"/>
      <c r="U25" s="1892"/>
      <c r="V25" s="1892"/>
      <c r="W25" s="1892"/>
      <c r="X25" s="1892"/>
      <c r="Y25" s="1892"/>
      <c r="Z25" s="1911"/>
      <c r="AA25" s="1911"/>
    </row>
    <row r="26" spans="1:29" ht="16.5" thickBot="1">
      <c r="A26" s="1858"/>
      <c r="B26" s="1856"/>
      <c r="C26" s="1912"/>
      <c r="D26" s="1956"/>
      <c r="E26" s="2711" t="s">
        <v>812</v>
      </c>
      <c r="F26" s="2712"/>
      <c r="G26" s="2712"/>
      <c r="H26" s="2712"/>
      <c r="I26" s="2712"/>
      <c r="J26" s="2713"/>
      <c r="K26" s="1892"/>
      <c r="L26" s="1892"/>
      <c r="M26" s="1892"/>
      <c r="N26" s="1892"/>
      <c r="O26" s="1892"/>
      <c r="P26" s="1892"/>
      <c r="Q26" s="1892"/>
      <c r="R26" s="1892"/>
      <c r="S26" s="1911"/>
      <c r="T26" s="1858"/>
      <c r="U26" s="1892"/>
      <c r="V26" s="1892"/>
      <c r="W26" s="1892"/>
      <c r="X26" s="1892"/>
      <c r="Y26" s="1892"/>
      <c r="Z26" s="1911"/>
      <c r="AA26" s="1911"/>
    </row>
    <row r="27" spans="1:29" ht="16.5" thickBot="1">
      <c r="A27" s="1858"/>
      <c r="B27" s="1879" t="s">
        <v>328</v>
      </c>
      <c r="C27" s="1853"/>
      <c r="D27" s="1880"/>
      <c r="E27" s="1865" t="s">
        <v>799</v>
      </c>
      <c r="F27" s="1866" t="s">
        <v>798</v>
      </c>
      <c r="G27" s="1866" t="s">
        <v>797</v>
      </c>
      <c r="H27" s="1866" t="s">
        <v>796</v>
      </c>
      <c r="I27" s="1867" t="s">
        <v>955</v>
      </c>
      <c r="J27" s="1864" t="s">
        <v>795</v>
      </c>
      <c r="K27" s="1892"/>
      <c r="L27" s="1892"/>
      <c r="M27" s="1892"/>
      <c r="N27" s="1892"/>
      <c r="O27" s="1892"/>
      <c r="P27" s="1892"/>
      <c r="Q27" s="1892"/>
      <c r="R27" s="1892"/>
      <c r="S27" s="1911"/>
      <c r="T27" s="1858"/>
      <c r="U27" s="1892"/>
      <c r="V27" s="1892"/>
      <c r="W27" s="1892"/>
      <c r="X27" s="1892"/>
      <c r="Y27" s="1892"/>
      <c r="Z27" s="1911"/>
      <c r="AA27" s="1911"/>
    </row>
    <row r="28" spans="1:29" ht="47.25">
      <c r="A28" s="1858"/>
      <c r="B28" s="1959" t="s">
        <v>751</v>
      </c>
      <c r="C28" s="1868"/>
      <c r="D28" s="1868"/>
      <c r="E28" s="1870" t="s">
        <v>785</v>
      </c>
      <c r="F28" s="1871" t="s">
        <v>784</v>
      </c>
      <c r="G28" s="1871" t="s">
        <v>783</v>
      </c>
      <c r="H28" s="1871" t="s">
        <v>1826</v>
      </c>
      <c r="I28" s="1871" t="s">
        <v>956</v>
      </c>
      <c r="J28" s="1874"/>
      <c r="K28" s="1892"/>
      <c r="L28" s="1892"/>
      <c r="M28" s="1892"/>
      <c r="N28" s="1892"/>
      <c r="O28" s="1892"/>
      <c r="P28" s="1892"/>
      <c r="Q28" s="1892"/>
      <c r="R28" s="1892"/>
      <c r="S28" s="1911"/>
      <c r="T28" s="1858"/>
      <c r="U28" s="1892"/>
      <c r="V28" s="1892"/>
      <c r="W28" s="1892"/>
      <c r="X28" s="1892"/>
      <c r="Y28" s="1892"/>
      <c r="Z28" s="1911"/>
      <c r="AA28" s="1911"/>
    </row>
    <row r="29" spans="1:29">
      <c r="A29" s="1858"/>
      <c r="B29" s="1961" t="s">
        <v>468</v>
      </c>
      <c r="C29" s="1875"/>
      <c r="D29" s="1875"/>
      <c r="E29" s="1877" t="s">
        <v>779</v>
      </c>
      <c r="F29" s="1873" t="s">
        <v>779</v>
      </c>
      <c r="G29" s="1873" t="s">
        <v>779</v>
      </c>
      <c r="H29" s="1873" t="s">
        <v>779</v>
      </c>
      <c r="I29" s="1873" t="s">
        <v>779</v>
      </c>
      <c r="J29" s="1874" t="s">
        <v>778</v>
      </c>
      <c r="K29" s="1892"/>
      <c r="L29" s="1892"/>
      <c r="M29" s="1892"/>
      <c r="N29" s="1892"/>
      <c r="O29" s="1892"/>
      <c r="P29" s="1892"/>
      <c r="Q29" s="1892"/>
      <c r="R29" s="1892"/>
      <c r="S29" s="1911"/>
      <c r="T29" s="1858"/>
      <c r="U29" s="1892"/>
      <c r="V29" s="1892"/>
      <c r="W29" s="1892"/>
      <c r="X29" s="1892"/>
      <c r="Y29" s="1892"/>
      <c r="Z29" s="1911"/>
      <c r="AA29" s="1911"/>
    </row>
    <row r="30" spans="1:29" ht="16.5" customHeight="1" thickBot="1">
      <c r="A30" s="1858"/>
      <c r="B30" s="1963" t="s">
        <v>743</v>
      </c>
      <c r="C30" s="1964" t="s">
        <v>815</v>
      </c>
      <c r="D30" s="1964" t="s">
        <v>814</v>
      </c>
      <c r="E30" s="1882" t="s">
        <v>766</v>
      </c>
      <c r="F30" s="1883" t="s">
        <v>765</v>
      </c>
      <c r="G30" s="1883" t="s">
        <v>764</v>
      </c>
      <c r="H30" s="1883" t="s">
        <v>2449</v>
      </c>
      <c r="I30" s="1883" t="s">
        <v>957</v>
      </c>
      <c r="J30" s="1885"/>
      <c r="K30" s="1892"/>
      <c r="L30" s="1892"/>
      <c r="M30" s="1892"/>
      <c r="N30" s="1892"/>
      <c r="O30" s="1892"/>
      <c r="P30" s="1892"/>
      <c r="Q30" s="1892"/>
      <c r="R30" s="1892"/>
      <c r="S30" s="1911"/>
      <c r="T30" s="1858"/>
      <c r="U30" s="1892"/>
      <c r="V30" s="1892"/>
      <c r="W30" s="1892"/>
      <c r="X30" s="1892"/>
      <c r="Y30" s="1892"/>
      <c r="Z30" s="1911"/>
      <c r="AA30" s="1911"/>
    </row>
    <row r="31" spans="1:29">
      <c r="A31" s="1858"/>
      <c r="B31" s="1965" t="s">
        <v>147</v>
      </c>
      <c r="C31" s="1975">
        <f t="shared" ref="C31:D42" si="2">C10</f>
        <v>6</v>
      </c>
      <c r="D31" s="1976">
        <f t="shared" si="2"/>
        <v>8</v>
      </c>
      <c r="E31" s="1891">
        <v>354.16</v>
      </c>
      <c r="F31" s="1887">
        <v>92.177999999999997</v>
      </c>
      <c r="G31" s="1887">
        <v>70.864999999999995</v>
      </c>
      <c r="H31" s="1887">
        <v>328</v>
      </c>
      <c r="I31" s="1887">
        <v>0</v>
      </c>
      <c r="J31" s="1890">
        <f t="shared" ref="J31:J42" si="3">SUM(E31:I31)</f>
        <v>845.20299999999997</v>
      </c>
      <c r="K31" s="1892"/>
      <c r="L31" s="1892"/>
      <c r="M31" s="1892"/>
      <c r="N31" s="1892"/>
      <c r="O31" s="1892"/>
      <c r="P31" s="1892"/>
      <c r="Q31" s="1892"/>
      <c r="R31" s="1892"/>
      <c r="S31" s="1911"/>
      <c r="T31" s="1858"/>
      <c r="U31" s="1892"/>
      <c r="V31" s="1892"/>
      <c r="W31" s="1892"/>
      <c r="X31" s="1892"/>
      <c r="Y31" s="1892"/>
      <c r="Z31" s="1911"/>
      <c r="AA31" s="1911"/>
    </row>
    <row r="32" spans="1:29">
      <c r="A32" s="1858"/>
      <c r="B32" s="1965" t="s">
        <v>148</v>
      </c>
      <c r="C32" s="1975">
        <f t="shared" si="2"/>
        <v>6</v>
      </c>
      <c r="D32" s="1976">
        <f t="shared" si="2"/>
        <v>8</v>
      </c>
      <c r="E32" s="1891">
        <v>351.92899999999997</v>
      </c>
      <c r="F32" s="1887">
        <v>84.091999999999999</v>
      </c>
      <c r="G32" s="1887">
        <v>78.731999999999999</v>
      </c>
      <c r="H32" s="1887">
        <v>330</v>
      </c>
      <c r="I32" s="1887">
        <v>0</v>
      </c>
      <c r="J32" s="1890">
        <f t="shared" si="3"/>
        <v>844.75299999999993</v>
      </c>
      <c r="K32" s="1892"/>
      <c r="L32" s="1892"/>
      <c r="M32" s="1892"/>
      <c r="N32" s="1892"/>
      <c r="O32" s="1892"/>
      <c r="P32" s="1892"/>
      <c r="Q32" s="1892"/>
      <c r="R32" s="1892"/>
      <c r="S32" s="1911"/>
      <c r="T32" s="1858"/>
      <c r="U32" s="1892"/>
      <c r="V32" s="1892"/>
      <c r="W32" s="1892"/>
      <c r="X32" s="1892"/>
      <c r="Y32" s="1892"/>
      <c r="Z32" s="1911"/>
      <c r="AA32" s="1911"/>
    </row>
    <row r="33" spans="1:27">
      <c r="A33" s="1858"/>
      <c r="B33" s="1965" t="s">
        <v>352</v>
      </c>
      <c r="C33" s="1975">
        <f t="shared" si="2"/>
        <v>18</v>
      </c>
      <c r="D33" s="1976">
        <f t="shared" si="2"/>
        <v>8</v>
      </c>
      <c r="E33" s="1891">
        <v>291.66900000000004</v>
      </c>
      <c r="F33" s="1887">
        <v>73.978999999999999</v>
      </c>
      <c r="G33" s="1887">
        <v>90.897000000000006</v>
      </c>
      <c r="H33" s="1887">
        <v>285</v>
      </c>
      <c r="I33" s="1887">
        <v>0</v>
      </c>
      <c r="J33" s="1890">
        <f t="shared" si="3"/>
        <v>741.54500000000007</v>
      </c>
      <c r="K33" s="1892"/>
      <c r="L33" s="1892"/>
      <c r="M33" s="1892"/>
      <c r="N33" s="1892"/>
      <c r="O33" s="1892"/>
      <c r="P33" s="1892"/>
      <c r="Q33" s="1892"/>
      <c r="R33" s="1892"/>
      <c r="S33" s="1911"/>
      <c r="T33" s="1858"/>
      <c r="U33" s="1892"/>
      <c r="V33" s="1892"/>
      <c r="W33" s="1892"/>
      <c r="X33" s="1892"/>
      <c r="Y33" s="1892"/>
      <c r="Z33" s="1911"/>
      <c r="AA33" s="1911"/>
    </row>
    <row r="34" spans="1:27">
      <c r="A34" s="1858"/>
      <c r="B34" s="1965" t="s">
        <v>143</v>
      </c>
      <c r="C34" s="1975">
        <f t="shared" si="2"/>
        <v>1</v>
      </c>
      <c r="D34" s="1976">
        <f t="shared" si="2"/>
        <v>8</v>
      </c>
      <c r="E34" s="1891">
        <v>251.77</v>
      </c>
      <c r="F34" s="1887">
        <v>52.302</v>
      </c>
      <c r="G34" s="1887">
        <v>70.981999999999999</v>
      </c>
      <c r="H34" s="1887">
        <v>299</v>
      </c>
      <c r="I34" s="1887">
        <v>0</v>
      </c>
      <c r="J34" s="1890">
        <f t="shared" si="3"/>
        <v>674.05399999999997</v>
      </c>
      <c r="K34" s="1892"/>
      <c r="L34" s="1892"/>
      <c r="M34" s="1892"/>
      <c r="N34" s="1892"/>
      <c r="O34" s="1892"/>
      <c r="P34" s="1892"/>
      <c r="Q34" s="1892"/>
      <c r="R34" s="1892"/>
      <c r="S34" s="1911"/>
      <c r="T34" s="1858"/>
      <c r="U34" s="1892"/>
      <c r="V34" s="1892"/>
      <c r="W34" s="1892"/>
      <c r="X34" s="1892"/>
      <c r="Y34" s="1892"/>
      <c r="Z34" s="1911"/>
      <c r="AA34" s="1911"/>
    </row>
    <row r="35" spans="1:27">
      <c r="A35" s="1858"/>
      <c r="B35" s="1965" t="s">
        <v>144</v>
      </c>
      <c r="C35" s="1975">
        <f t="shared" si="2"/>
        <v>28</v>
      </c>
      <c r="D35" s="1976">
        <f t="shared" si="2"/>
        <v>15</v>
      </c>
      <c r="E35" s="1891">
        <v>442.37799999999999</v>
      </c>
      <c r="F35" s="1887">
        <v>118.22499999999999</v>
      </c>
      <c r="G35" s="1887">
        <v>72.436999999999998</v>
      </c>
      <c r="H35" s="1887">
        <v>298</v>
      </c>
      <c r="I35" s="1887">
        <v>0</v>
      </c>
      <c r="J35" s="1890">
        <f t="shared" si="3"/>
        <v>931.04</v>
      </c>
      <c r="K35" s="1892"/>
      <c r="L35" s="1892"/>
      <c r="M35" s="1892"/>
      <c r="N35" s="1892"/>
      <c r="O35" s="1892"/>
      <c r="P35" s="1892"/>
      <c r="Q35" s="1892"/>
      <c r="R35" s="1892"/>
      <c r="S35" s="1911"/>
      <c r="T35" s="1858"/>
      <c r="U35" s="1892"/>
      <c r="V35" s="1892"/>
      <c r="W35" s="1892"/>
      <c r="X35" s="1892"/>
      <c r="Y35" s="1892"/>
      <c r="Z35" s="1911"/>
      <c r="AA35" s="1911"/>
    </row>
    <row r="36" spans="1:27">
      <c r="A36" s="1858"/>
      <c r="B36" s="1965" t="s">
        <v>151</v>
      </c>
      <c r="C36" s="1975">
        <f t="shared" si="2"/>
        <v>24</v>
      </c>
      <c r="D36" s="1976">
        <f t="shared" si="2"/>
        <v>17</v>
      </c>
      <c r="E36" s="1891">
        <v>527.43999999999994</v>
      </c>
      <c r="F36" s="1887">
        <v>143.523</v>
      </c>
      <c r="G36" s="1887">
        <v>110.702</v>
      </c>
      <c r="H36" s="1887">
        <v>275</v>
      </c>
      <c r="I36" s="1887">
        <v>0</v>
      </c>
      <c r="J36" s="1890">
        <f t="shared" si="3"/>
        <v>1056.665</v>
      </c>
      <c r="K36" s="1892"/>
      <c r="L36" s="1892"/>
      <c r="M36" s="1892"/>
      <c r="N36" s="1892"/>
      <c r="O36" s="1892"/>
      <c r="P36" s="1892"/>
      <c r="Q36" s="1892"/>
      <c r="R36" s="1892"/>
      <c r="S36" s="1911"/>
      <c r="T36" s="1858"/>
      <c r="U36" s="1892"/>
      <c r="V36" s="1892"/>
      <c r="W36" s="1892"/>
      <c r="X36" s="1892"/>
      <c r="Y36" s="1892"/>
      <c r="Z36" s="1911"/>
      <c r="AA36" s="1911"/>
    </row>
    <row r="37" spans="1:27">
      <c r="A37" s="1858"/>
      <c r="B37" s="1965" t="s">
        <v>742</v>
      </c>
      <c r="C37" s="1975">
        <f t="shared" si="2"/>
        <v>14</v>
      </c>
      <c r="D37" s="1976">
        <f t="shared" si="2"/>
        <v>16</v>
      </c>
      <c r="E37" s="1891">
        <v>629.81200000000001</v>
      </c>
      <c r="F37" s="1887">
        <v>192.49299999999999</v>
      </c>
      <c r="G37" s="1887">
        <v>92.254000000000005</v>
      </c>
      <c r="H37" s="1887">
        <v>308</v>
      </c>
      <c r="I37" s="1887">
        <v>0</v>
      </c>
      <c r="J37" s="1890">
        <f t="shared" si="3"/>
        <v>1222.5590000000002</v>
      </c>
      <c r="K37" s="1892"/>
      <c r="L37" s="1892"/>
      <c r="M37" s="1892"/>
      <c r="N37" s="1892"/>
      <c r="O37" s="1892"/>
      <c r="P37" s="1892"/>
      <c r="Q37" s="1892"/>
      <c r="R37" s="1892"/>
      <c r="S37" s="1911"/>
      <c r="T37" s="1858"/>
      <c r="U37" s="1892"/>
      <c r="V37" s="1892"/>
      <c r="W37" s="1892"/>
      <c r="X37" s="1892"/>
      <c r="Y37" s="1892"/>
      <c r="Z37" s="1911"/>
      <c r="AA37" s="1911"/>
    </row>
    <row r="38" spans="1:27">
      <c r="A38" s="1858"/>
      <c r="B38" s="1965" t="s">
        <v>153</v>
      </c>
      <c r="C38" s="1975">
        <f t="shared" si="2"/>
        <v>11</v>
      </c>
      <c r="D38" s="1976">
        <f t="shared" si="2"/>
        <v>16</v>
      </c>
      <c r="E38" s="1891">
        <v>586.70600000000002</v>
      </c>
      <c r="F38" s="1887">
        <v>163.87200000000001</v>
      </c>
      <c r="G38" s="1887">
        <v>89.275999999999996</v>
      </c>
      <c r="H38" s="1887">
        <v>301</v>
      </c>
      <c r="I38" s="1887">
        <v>0</v>
      </c>
      <c r="J38" s="1890">
        <f t="shared" si="3"/>
        <v>1140.8539999999998</v>
      </c>
      <c r="K38" s="1892"/>
      <c r="L38" s="1892"/>
      <c r="M38" s="1892"/>
      <c r="N38" s="1892"/>
      <c r="O38" s="1892"/>
      <c r="P38" s="1892"/>
      <c r="Q38" s="1892"/>
      <c r="R38" s="1892"/>
      <c r="S38" s="1911"/>
      <c r="T38" s="1858"/>
      <c r="U38" s="1892"/>
      <c r="V38" s="1892"/>
      <c r="W38" s="1892"/>
      <c r="X38" s="1892"/>
      <c r="Y38" s="1892"/>
      <c r="Z38" s="1911"/>
      <c r="AA38" s="1911"/>
    </row>
    <row r="39" spans="1:27">
      <c r="A39" s="1858"/>
      <c r="B39" s="1965" t="s">
        <v>741</v>
      </c>
      <c r="C39" s="1975">
        <f t="shared" si="2"/>
        <v>17</v>
      </c>
      <c r="D39" s="1976">
        <f t="shared" si="2"/>
        <v>16</v>
      </c>
      <c r="E39" s="1891">
        <v>526.67899999999997</v>
      </c>
      <c r="F39" s="1887">
        <v>144.78800000000001</v>
      </c>
      <c r="G39" s="1887">
        <v>96.042000000000002</v>
      </c>
      <c r="H39" s="1887">
        <v>336</v>
      </c>
      <c r="I39" s="1887">
        <v>0</v>
      </c>
      <c r="J39" s="1890">
        <f t="shared" si="3"/>
        <v>1103.509</v>
      </c>
      <c r="K39" s="1892"/>
      <c r="L39" s="1892"/>
      <c r="M39" s="1892"/>
      <c r="N39" s="1892"/>
      <c r="O39" s="1892"/>
      <c r="P39" s="1892"/>
      <c r="Q39" s="1892"/>
      <c r="R39" s="1892"/>
      <c r="S39" s="1911"/>
      <c r="T39" s="1858"/>
      <c r="U39" s="1892"/>
      <c r="V39" s="1892"/>
      <c r="W39" s="1892"/>
      <c r="X39" s="1892"/>
      <c r="Y39" s="1892"/>
      <c r="Z39" s="1911"/>
      <c r="AA39" s="1911"/>
    </row>
    <row r="40" spans="1:27">
      <c r="A40" s="1858"/>
      <c r="B40" s="1965" t="s">
        <v>155</v>
      </c>
      <c r="C40" s="1975">
        <f t="shared" si="2"/>
        <v>6</v>
      </c>
      <c r="D40" s="1976">
        <f t="shared" si="2"/>
        <v>16</v>
      </c>
      <c r="E40" s="1891">
        <v>383.459</v>
      </c>
      <c r="F40" s="1887">
        <v>97.852000000000004</v>
      </c>
      <c r="G40" s="1887">
        <v>78.873999999999995</v>
      </c>
      <c r="H40" s="1887">
        <v>243</v>
      </c>
      <c r="I40" s="1887">
        <v>0</v>
      </c>
      <c r="J40" s="1890">
        <f t="shared" si="3"/>
        <v>803.18500000000006</v>
      </c>
      <c r="K40" s="1892"/>
      <c r="L40" s="1892"/>
      <c r="M40" s="1892"/>
      <c r="N40" s="1892"/>
      <c r="O40" s="1892"/>
      <c r="P40" s="1892"/>
      <c r="Q40" s="1892"/>
      <c r="R40" s="1892"/>
      <c r="S40" s="1911"/>
      <c r="T40" s="1858"/>
      <c r="U40" s="1892"/>
      <c r="V40" s="1892"/>
      <c r="W40" s="1892"/>
      <c r="X40" s="1892"/>
      <c r="Y40" s="1892"/>
      <c r="Z40" s="1911"/>
      <c r="AA40" s="1911"/>
    </row>
    <row r="41" spans="1:27">
      <c r="A41" s="1858"/>
      <c r="B41" s="1965" t="s">
        <v>156</v>
      </c>
      <c r="C41" s="1975">
        <f t="shared" si="2"/>
        <v>17</v>
      </c>
      <c r="D41" s="1976">
        <f t="shared" si="2"/>
        <v>8</v>
      </c>
      <c r="E41" s="1891">
        <v>328.53999999999996</v>
      </c>
      <c r="F41" s="1887">
        <v>96</v>
      </c>
      <c r="G41" s="1887">
        <v>71.504999999999995</v>
      </c>
      <c r="H41" s="1887">
        <v>314</v>
      </c>
      <c r="I41" s="1887">
        <v>0</v>
      </c>
      <c r="J41" s="1890">
        <f t="shared" si="3"/>
        <v>810.04499999999996</v>
      </c>
      <c r="K41" s="1892"/>
      <c r="L41" s="1892"/>
      <c r="M41" s="1892"/>
      <c r="N41" s="1892"/>
      <c r="O41" s="1892"/>
      <c r="P41" s="1892"/>
      <c r="Q41" s="1892"/>
      <c r="R41" s="1892"/>
      <c r="S41" s="1911"/>
      <c r="T41" s="1858"/>
      <c r="U41" s="1892"/>
      <c r="V41" s="1892"/>
      <c r="W41" s="1892"/>
      <c r="X41" s="1892"/>
      <c r="Y41" s="1892"/>
      <c r="Z41" s="1911"/>
      <c r="AA41" s="1911"/>
    </row>
    <row r="42" spans="1:27" ht="16.5" thickBot="1">
      <c r="A42" s="1858"/>
      <c r="B42" s="1965" t="s">
        <v>157</v>
      </c>
      <c r="C42" s="1975">
        <f t="shared" si="2"/>
        <v>30</v>
      </c>
      <c r="D42" s="1976">
        <f t="shared" si="2"/>
        <v>19</v>
      </c>
      <c r="E42" s="1897">
        <v>400.04100000000005</v>
      </c>
      <c r="F42" s="1894">
        <v>85.841999999999999</v>
      </c>
      <c r="G42" s="1894">
        <v>78.162000000000006</v>
      </c>
      <c r="H42" s="1894">
        <v>342</v>
      </c>
      <c r="I42" s="1898">
        <v>0</v>
      </c>
      <c r="J42" s="1885">
        <f t="shared" si="3"/>
        <v>906.04500000000007</v>
      </c>
      <c r="K42" s="1892"/>
      <c r="L42" s="1892"/>
      <c r="M42" s="1892"/>
      <c r="N42" s="1892"/>
      <c r="O42" s="1892"/>
      <c r="P42" s="1892"/>
      <c r="Q42" s="1892"/>
      <c r="R42" s="1892"/>
      <c r="S42" s="1911"/>
      <c r="T42" s="1858"/>
      <c r="U42" s="1892"/>
      <c r="V42" s="1892"/>
      <c r="W42" s="1892"/>
      <c r="X42" s="1892"/>
      <c r="Y42" s="1892"/>
      <c r="Z42" s="1911"/>
      <c r="AA42" s="1911"/>
    </row>
    <row r="43" spans="1:27" ht="16.5" thickBot="1">
      <c r="A43" s="1858"/>
      <c r="B43" s="1969" t="s">
        <v>282</v>
      </c>
      <c r="C43" s="1970"/>
      <c r="D43" s="1971"/>
      <c r="E43" s="1903">
        <f t="shared" ref="E43:J43" si="4">SUM(E31:E42)</f>
        <v>5074.5830000000005</v>
      </c>
      <c r="F43" s="1902">
        <f t="shared" si="4"/>
        <v>1345.1460000000002</v>
      </c>
      <c r="G43" s="1902">
        <f t="shared" si="4"/>
        <v>1000.7280000000001</v>
      </c>
      <c r="H43" s="1902">
        <f t="shared" si="4"/>
        <v>3659</v>
      </c>
      <c r="I43" s="1902">
        <f t="shared" si="4"/>
        <v>0</v>
      </c>
      <c r="J43" s="1885">
        <f t="shared" si="4"/>
        <v>11079.457</v>
      </c>
      <c r="K43" s="1892"/>
      <c r="L43" s="1892"/>
      <c r="M43" s="1892"/>
      <c r="N43" s="1892"/>
      <c r="O43" s="1892"/>
      <c r="P43" s="1892"/>
      <c r="Q43" s="1892"/>
      <c r="R43" s="1892"/>
      <c r="S43" s="1911"/>
      <c r="T43" s="1858"/>
      <c r="U43" s="1892"/>
      <c r="V43" s="1892"/>
      <c r="W43" s="1892"/>
      <c r="X43" s="1892"/>
      <c r="Y43" s="1892"/>
      <c r="Z43" s="1911"/>
      <c r="AA43" s="1911"/>
    </row>
    <row r="49" spans="19:21">
      <c r="S49" s="1946"/>
      <c r="U49" s="1947"/>
    </row>
    <row r="50" spans="19:21">
      <c r="S50" s="1946"/>
    </row>
    <row r="52" spans="19:21">
      <c r="S52" s="1904"/>
    </row>
    <row r="53" spans="19:21">
      <c r="S53" s="1947"/>
    </row>
  </sheetData>
  <mergeCells count="2">
    <mergeCell ref="E26:J26"/>
    <mergeCell ref="E5:R5"/>
  </mergeCells>
  <pageMargins left="0.7" right="0.7" top="0.75" bottom="0.75" header="0.3" footer="0.3"/>
  <pageSetup scale="58" orientation="landscape" r:id="rId1"/>
  <ignoredErrors>
    <ignoredError sqref="R10:R21" formulaRange="1"/>
  </ignoredError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pageSetUpPr fitToPage="1"/>
  </sheetPr>
  <dimension ref="A1:AG56"/>
  <sheetViews>
    <sheetView zoomScale="85" zoomScaleNormal="85" workbookViewId="0"/>
  </sheetViews>
  <sheetFormatPr defaultRowHeight="15.75"/>
  <cols>
    <col min="1" max="1" width="4.7109375" style="1849" customWidth="1"/>
    <col min="2" max="2" width="14.28515625" style="1849" customWidth="1"/>
    <col min="3" max="4" width="6" style="1849" customWidth="1"/>
    <col min="5" max="24" width="11.28515625" style="1849" customWidth="1"/>
    <col min="25" max="25" width="9.140625" style="1849" bestFit="1" customWidth="1"/>
    <col min="26" max="26" width="14.28515625" style="1858" bestFit="1" customWidth="1"/>
    <col min="27" max="27" width="9.7109375" style="1849" customWidth="1"/>
    <col min="28" max="30" width="11.85546875" style="1849" customWidth="1"/>
    <col min="31" max="31" width="1.5703125" style="1849" customWidth="1"/>
    <col min="32" max="16384" width="9.140625" style="1849"/>
  </cols>
  <sheetData>
    <row r="1" spans="1:31" ht="16.5" customHeight="1">
      <c r="A1" s="1845"/>
      <c r="B1" s="1846" t="s">
        <v>365</v>
      </c>
      <c r="C1" s="1847"/>
      <c r="D1" s="1847"/>
      <c r="E1" s="1847"/>
      <c r="F1" s="1847"/>
      <c r="G1" s="1847"/>
      <c r="H1" s="1847"/>
      <c r="I1" s="1848"/>
      <c r="J1" s="1848"/>
      <c r="K1" s="1848"/>
      <c r="L1" s="1848"/>
      <c r="M1" s="1848"/>
      <c r="N1" s="1848"/>
      <c r="O1" s="1848"/>
      <c r="P1" s="1848"/>
      <c r="Q1" s="1848"/>
      <c r="R1" s="1848"/>
      <c r="S1" s="1848"/>
      <c r="T1" s="1848"/>
      <c r="U1" s="1848"/>
      <c r="V1" s="1848"/>
      <c r="W1" s="1848"/>
      <c r="X1" s="1848"/>
      <c r="Y1" s="1848"/>
      <c r="Z1" s="1847"/>
      <c r="AA1" s="1848"/>
      <c r="AB1" s="1848"/>
    </row>
    <row r="2" spans="1:31" ht="16.5" customHeight="1">
      <c r="A2" s="1850"/>
      <c r="B2" s="1846" t="s">
        <v>1012</v>
      </c>
      <c r="C2" s="1846"/>
      <c r="D2" s="1846"/>
      <c r="E2" s="1564"/>
      <c r="F2" s="1564"/>
      <c r="G2" s="1564"/>
      <c r="H2" s="1564"/>
      <c r="I2" s="1564"/>
      <c r="J2" s="1851"/>
      <c r="K2" s="1848"/>
      <c r="L2" s="1848"/>
      <c r="M2" s="1848"/>
      <c r="N2" s="1848"/>
      <c r="O2" s="1848"/>
      <c r="P2" s="1848"/>
      <c r="Q2" s="1848"/>
      <c r="R2" s="1848"/>
      <c r="S2" s="1848"/>
      <c r="T2" s="1848"/>
      <c r="U2" s="1848"/>
      <c r="V2" s="1848"/>
      <c r="W2" s="1848"/>
      <c r="X2" s="1848"/>
      <c r="Y2" s="1848"/>
      <c r="Z2" s="1847"/>
      <c r="AA2" s="1848"/>
      <c r="AB2" s="1848"/>
    </row>
    <row r="3" spans="1:31" ht="16.5" customHeight="1">
      <c r="A3" s="1845"/>
      <c r="B3" s="2372"/>
      <c r="C3" s="1846"/>
      <c r="D3" s="1846"/>
      <c r="E3" s="1564"/>
      <c r="F3" s="1564"/>
      <c r="G3" s="1564"/>
      <c r="H3" s="1564"/>
      <c r="I3" s="1564"/>
      <c r="J3" s="1851"/>
      <c r="K3" s="1848"/>
      <c r="L3" s="1848"/>
      <c r="M3" s="1848"/>
      <c r="N3" s="1981">
        <v>2016</v>
      </c>
      <c r="O3" s="1848"/>
      <c r="P3" s="1848"/>
      <c r="Q3" s="1848"/>
      <c r="R3" s="1848"/>
      <c r="S3" s="1848"/>
      <c r="T3" s="1858"/>
      <c r="U3" s="1848"/>
      <c r="V3" s="1848"/>
      <c r="W3" s="1848"/>
      <c r="X3" s="1848"/>
      <c r="Y3" s="1848"/>
      <c r="Z3" s="1847"/>
      <c r="AA3" s="1848"/>
      <c r="AB3" s="1848"/>
    </row>
    <row r="4" spans="1:31" ht="16.5" customHeight="1" thickBot="1">
      <c r="C4" s="1853"/>
      <c r="D4" s="1853"/>
      <c r="T4" s="1858"/>
      <c r="U4" s="2605"/>
      <c r="V4" s="2605"/>
      <c r="W4" s="2605"/>
      <c r="X4" s="2605"/>
      <c r="Y4" s="2605"/>
      <c r="Z4" s="1845"/>
    </row>
    <row r="5" spans="1:31" ht="16.5" customHeight="1" thickBot="1">
      <c r="B5" s="1856"/>
      <c r="C5" s="1857"/>
      <c r="D5" s="1857"/>
      <c r="E5" s="2727" t="s">
        <v>813</v>
      </c>
      <c r="F5" s="2728"/>
      <c r="G5" s="2728"/>
      <c r="H5" s="2728"/>
      <c r="I5" s="2728"/>
      <c r="J5" s="2728"/>
      <c r="K5" s="2728"/>
      <c r="L5" s="2728"/>
      <c r="M5" s="2728"/>
      <c r="N5" s="2728"/>
      <c r="O5" s="2728"/>
      <c r="P5" s="2728"/>
      <c r="Q5" s="2728"/>
      <c r="R5" s="2728"/>
      <c r="S5" s="2728"/>
      <c r="T5" s="2729"/>
      <c r="U5" s="2730"/>
      <c r="V5" s="2606"/>
      <c r="W5" s="2724" t="s">
        <v>812</v>
      </c>
      <c r="X5" s="2725"/>
      <c r="Y5" s="2725"/>
      <c r="Z5" s="2725"/>
      <c r="AA5" s="2725"/>
      <c r="AB5" s="2726"/>
      <c r="AC5" s="1858"/>
    </row>
    <row r="6" spans="1:31" ht="16.5" customHeight="1" thickBot="1">
      <c r="B6" s="1860" t="s">
        <v>328</v>
      </c>
      <c r="C6" s="1857"/>
      <c r="D6" s="1857"/>
      <c r="E6" s="1861" t="s">
        <v>359</v>
      </c>
      <c r="F6" s="1862" t="s">
        <v>811</v>
      </c>
      <c r="G6" s="1863" t="s">
        <v>810</v>
      </c>
      <c r="H6" s="1863" t="s">
        <v>809</v>
      </c>
      <c r="I6" s="1863" t="s">
        <v>808</v>
      </c>
      <c r="J6" s="1863" t="s">
        <v>807</v>
      </c>
      <c r="K6" s="1863" t="s">
        <v>806</v>
      </c>
      <c r="L6" s="1863" t="s">
        <v>805</v>
      </c>
      <c r="M6" s="1863" t="s">
        <v>804</v>
      </c>
      <c r="N6" s="1863" t="s">
        <v>803</v>
      </c>
      <c r="O6" s="1863" t="s">
        <v>802</v>
      </c>
      <c r="P6" s="1863" t="s">
        <v>801</v>
      </c>
      <c r="Q6" s="1863" t="s">
        <v>800</v>
      </c>
      <c r="R6" s="1863" t="s">
        <v>1734</v>
      </c>
      <c r="S6" s="1863" t="s">
        <v>2004</v>
      </c>
      <c r="T6" s="1863" t="s">
        <v>2005</v>
      </c>
      <c r="U6" s="1864" t="s">
        <v>397</v>
      </c>
      <c r="V6" s="2607"/>
      <c r="W6" s="1865" t="s">
        <v>799</v>
      </c>
      <c r="X6" s="1866" t="s">
        <v>798</v>
      </c>
      <c r="Y6" s="1866" t="s">
        <v>797</v>
      </c>
      <c r="Z6" s="1866" t="s">
        <v>796</v>
      </c>
      <c r="AA6" s="1867" t="s">
        <v>955</v>
      </c>
      <c r="AB6" s="1864" t="s">
        <v>795</v>
      </c>
      <c r="AC6" s="1859"/>
      <c r="AD6" s="1858"/>
      <c r="AE6" s="1858"/>
    </row>
    <row r="7" spans="1:31" ht="47.25" customHeight="1">
      <c r="B7" s="1868" t="s">
        <v>751</v>
      </c>
      <c r="C7" s="1868"/>
      <c r="D7" s="1959"/>
      <c r="E7" s="1869" t="s">
        <v>365</v>
      </c>
      <c r="F7" s="2616" t="s">
        <v>794</v>
      </c>
      <c r="G7" s="2617" t="s">
        <v>793</v>
      </c>
      <c r="H7" s="2617" t="s">
        <v>1989</v>
      </c>
      <c r="I7" s="2617" t="s">
        <v>792</v>
      </c>
      <c r="J7" s="2617" t="s">
        <v>791</v>
      </c>
      <c r="K7" s="2617" t="s">
        <v>2158</v>
      </c>
      <c r="L7" s="2617" t="s">
        <v>2008</v>
      </c>
      <c r="M7" s="2617" t="s">
        <v>790</v>
      </c>
      <c r="N7" s="2617" t="s">
        <v>2159</v>
      </c>
      <c r="O7" s="2617" t="s">
        <v>2160</v>
      </c>
      <c r="P7" s="2617" t="s">
        <v>2006</v>
      </c>
      <c r="Q7" s="2617" t="s">
        <v>789</v>
      </c>
      <c r="R7" s="2617" t="s">
        <v>788</v>
      </c>
      <c r="S7" s="2617" t="s">
        <v>2161</v>
      </c>
      <c r="T7" s="2617" t="s">
        <v>786</v>
      </c>
      <c r="U7" s="1872"/>
      <c r="V7" s="1858"/>
      <c r="W7" s="1870" t="s">
        <v>785</v>
      </c>
      <c r="X7" s="1871" t="s">
        <v>784</v>
      </c>
      <c r="Y7" s="1871" t="s">
        <v>783</v>
      </c>
      <c r="Z7" s="1871" t="s">
        <v>1826</v>
      </c>
      <c r="AA7" s="1873" t="s">
        <v>956</v>
      </c>
      <c r="AB7" s="1874"/>
      <c r="AC7" s="1859"/>
      <c r="AD7" s="1858"/>
      <c r="AE7" s="1858"/>
    </row>
    <row r="8" spans="1:31" ht="15.75" customHeight="1">
      <c r="B8" s="1875" t="s">
        <v>468</v>
      </c>
      <c r="C8" s="1875"/>
      <c r="D8" s="1961"/>
      <c r="E8" s="1876" t="s">
        <v>782</v>
      </c>
      <c r="F8" s="2618" t="s">
        <v>781</v>
      </c>
      <c r="G8" s="2619" t="s">
        <v>781</v>
      </c>
      <c r="H8" s="2619" t="s">
        <v>781</v>
      </c>
      <c r="I8" s="2619" t="s">
        <v>781</v>
      </c>
      <c r="J8" s="2619" t="s">
        <v>781</v>
      </c>
      <c r="K8" s="2619"/>
      <c r="L8" s="2619"/>
      <c r="M8" s="2619" t="s">
        <v>781</v>
      </c>
      <c r="N8" s="2619" t="s">
        <v>781</v>
      </c>
      <c r="O8" s="2619" t="s">
        <v>781</v>
      </c>
      <c r="P8" s="2619" t="s">
        <v>781</v>
      </c>
      <c r="Q8" s="2619" t="s">
        <v>781</v>
      </c>
      <c r="R8" s="2619" t="s">
        <v>781</v>
      </c>
      <c r="S8" s="2619" t="s">
        <v>781</v>
      </c>
      <c r="T8" s="2619" t="s">
        <v>781</v>
      </c>
      <c r="U8" s="1878" t="s">
        <v>780</v>
      </c>
      <c r="V8" s="1858"/>
      <c r="W8" s="1877" t="s">
        <v>779</v>
      </c>
      <c r="X8" s="1873" t="s">
        <v>779</v>
      </c>
      <c r="Y8" s="1873" t="s">
        <v>779</v>
      </c>
      <c r="Z8" s="1873" t="s">
        <v>779</v>
      </c>
      <c r="AA8" s="1873" t="s">
        <v>779</v>
      </c>
      <c r="AB8" s="1874" t="s">
        <v>778</v>
      </c>
      <c r="AC8" s="1858"/>
    </row>
    <row r="9" spans="1:31" ht="16.5" customHeight="1" thickBot="1">
      <c r="B9" s="1879" t="s">
        <v>743</v>
      </c>
      <c r="C9" s="1964" t="s">
        <v>815</v>
      </c>
      <c r="D9" s="1964" t="s">
        <v>814</v>
      </c>
      <c r="E9" s="1881" t="s">
        <v>1002</v>
      </c>
      <c r="F9" s="1882" t="s">
        <v>776</v>
      </c>
      <c r="G9" s="1883" t="s">
        <v>775</v>
      </c>
      <c r="H9" s="1883" t="s">
        <v>1991</v>
      </c>
      <c r="I9" s="1883" t="s">
        <v>774</v>
      </c>
      <c r="J9" s="1883" t="s">
        <v>773</v>
      </c>
      <c r="K9" s="1883" t="s">
        <v>2009</v>
      </c>
      <c r="L9" s="1883" t="s">
        <v>2010</v>
      </c>
      <c r="M9" s="1883" t="s">
        <v>772</v>
      </c>
      <c r="N9" s="1883" t="s">
        <v>771</v>
      </c>
      <c r="O9" s="1883" t="s">
        <v>1641</v>
      </c>
      <c r="P9" s="1883" t="s">
        <v>1992</v>
      </c>
      <c r="Q9" s="1883" t="s">
        <v>770</v>
      </c>
      <c r="R9" s="1883" t="s">
        <v>769</v>
      </c>
      <c r="S9" s="1883" t="s">
        <v>768</v>
      </c>
      <c r="T9" s="2384" t="s">
        <v>767</v>
      </c>
      <c r="U9" s="1884"/>
      <c r="V9" s="1858"/>
      <c r="W9" s="1882" t="s">
        <v>766</v>
      </c>
      <c r="X9" s="1883" t="s">
        <v>765</v>
      </c>
      <c r="Y9" s="1883" t="s">
        <v>764</v>
      </c>
      <c r="Z9" s="1883" t="s">
        <v>2449</v>
      </c>
      <c r="AA9" s="2384" t="s">
        <v>957</v>
      </c>
      <c r="AB9" s="1885"/>
      <c r="AC9" s="1858"/>
    </row>
    <row r="10" spans="1:31">
      <c r="B10" s="1860" t="s">
        <v>147</v>
      </c>
      <c r="C10" s="1966">
        <v>4</v>
      </c>
      <c r="D10" s="1967">
        <v>18</v>
      </c>
      <c r="E10" s="1887">
        <v>8342.3140000000003</v>
      </c>
      <c r="F10" s="2608">
        <v>5.5380000000000003</v>
      </c>
      <c r="G10" s="2609">
        <v>3.1659999999999999</v>
      </c>
      <c r="H10" s="2609">
        <v>26.829000000000001</v>
      </c>
      <c r="I10" s="2609">
        <v>1.1679999999999999</v>
      </c>
      <c r="J10" s="2609">
        <v>0.32100000000000001</v>
      </c>
      <c r="K10" s="2609">
        <v>0</v>
      </c>
      <c r="L10" s="2609">
        <v>0</v>
      </c>
      <c r="M10" s="2609">
        <v>14.698</v>
      </c>
      <c r="N10" s="2609">
        <v>19.190000000000001</v>
      </c>
      <c r="O10" s="2609">
        <v>11.911</v>
      </c>
      <c r="P10" s="2609">
        <v>2.4990000000000001</v>
      </c>
      <c r="Q10" s="2609">
        <v>10.041</v>
      </c>
      <c r="R10" s="2609">
        <v>45.56</v>
      </c>
      <c r="S10" s="2609">
        <v>4.0000000000000001E-3</v>
      </c>
      <c r="T10" s="2610">
        <v>4.3204000000000003E-3</v>
      </c>
      <c r="U10" s="2613">
        <f t="shared" ref="U10:U22" si="0">SUM(F10:T10)</f>
        <v>140.92932039999999</v>
      </c>
      <c r="V10" s="1858"/>
      <c r="W10" s="2620">
        <v>413.01100000000002</v>
      </c>
      <c r="X10" s="2621">
        <v>84.668000000000006</v>
      </c>
      <c r="Y10" s="2621">
        <v>64.978999999999999</v>
      </c>
      <c r="Z10" s="2621">
        <v>349</v>
      </c>
      <c r="AA10" s="2622">
        <v>0</v>
      </c>
      <c r="AB10" s="1890">
        <f>SUM(W10:AA10)</f>
        <v>911.65800000000002</v>
      </c>
      <c r="AC10" s="1892"/>
    </row>
    <row r="11" spans="1:31">
      <c r="B11" s="1860" t="s">
        <v>148</v>
      </c>
      <c r="C11" s="1966">
        <v>2</v>
      </c>
      <c r="D11" s="1967">
        <v>8</v>
      </c>
      <c r="E11" s="1887">
        <v>8068.2169999999996</v>
      </c>
      <c r="F11" s="1888">
        <v>5.6509999999999998</v>
      </c>
      <c r="G11" s="1889">
        <v>3.3260000000000001</v>
      </c>
      <c r="H11" s="1889">
        <v>27.082000000000001</v>
      </c>
      <c r="I11" s="1889">
        <v>1.139</v>
      </c>
      <c r="J11" s="1889">
        <v>0.373</v>
      </c>
      <c r="K11" s="1889">
        <v>0</v>
      </c>
      <c r="L11" s="1889">
        <v>0</v>
      </c>
      <c r="M11" s="1889">
        <v>15.929</v>
      </c>
      <c r="N11" s="1889">
        <v>19.739000000000001</v>
      </c>
      <c r="O11" s="1889">
        <v>12.327</v>
      </c>
      <c r="P11" s="1889">
        <v>1.645</v>
      </c>
      <c r="Q11" s="1889">
        <v>10.353</v>
      </c>
      <c r="R11" s="1889">
        <v>42.75</v>
      </c>
      <c r="S11" s="1889">
        <v>4.0000000000000001E-3</v>
      </c>
      <c r="T11" s="2611">
        <v>4.3204000000000003E-3</v>
      </c>
      <c r="U11" s="2613">
        <f t="shared" si="0"/>
        <v>140.3223204</v>
      </c>
      <c r="V11" s="1858"/>
      <c r="W11" s="1891">
        <v>386.81799999999998</v>
      </c>
      <c r="X11" s="1887">
        <v>66.914000000000001</v>
      </c>
      <c r="Y11" s="1887">
        <v>87.924999999999997</v>
      </c>
      <c r="Z11" s="1887">
        <v>350</v>
      </c>
      <c r="AA11" s="1977">
        <v>0</v>
      </c>
      <c r="AB11" s="1890">
        <f t="shared" ref="AB11:AB21" si="1">SUM(W11:AA11)</f>
        <v>891.65699999999993</v>
      </c>
      <c r="AC11" s="1892"/>
    </row>
    <row r="12" spans="1:31">
      <c r="B12" s="1860" t="s">
        <v>352</v>
      </c>
      <c r="C12" s="1966">
        <v>29</v>
      </c>
      <c r="D12" s="1967">
        <v>8</v>
      </c>
      <c r="E12" s="1887">
        <v>7200.2870000000003</v>
      </c>
      <c r="F12" s="1888">
        <v>5.5049999999999999</v>
      </c>
      <c r="G12" s="1889">
        <v>2.9670000000000001</v>
      </c>
      <c r="H12" s="1889">
        <v>26.44</v>
      </c>
      <c r="I12" s="1889">
        <v>0.95</v>
      </c>
      <c r="J12" s="1889">
        <v>0.36499999999999999</v>
      </c>
      <c r="K12" s="1889">
        <v>0</v>
      </c>
      <c r="L12" s="1889">
        <v>0</v>
      </c>
      <c r="M12" s="1889">
        <v>11.134</v>
      </c>
      <c r="N12" s="1889">
        <v>18.12</v>
      </c>
      <c r="O12" s="1889">
        <v>13.256</v>
      </c>
      <c r="P12" s="1889">
        <v>1.609</v>
      </c>
      <c r="Q12" s="1889">
        <v>8.7929999999999993</v>
      </c>
      <c r="R12" s="1889">
        <v>38.020000000000003</v>
      </c>
      <c r="S12" s="1889">
        <v>0.28100000000000003</v>
      </c>
      <c r="T12" s="2611">
        <v>1.0809999999999998E-2</v>
      </c>
      <c r="U12" s="2613">
        <f t="shared" si="0"/>
        <v>127.45081000000003</v>
      </c>
      <c r="V12" s="1858"/>
      <c r="W12" s="1891">
        <v>331.16399999999999</v>
      </c>
      <c r="X12" s="1887">
        <v>76.995000000000005</v>
      </c>
      <c r="Y12" s="1887">
        <v>95.296000000000006</v>
      </c>
      <c r="Z12" s="1887">
        <v>257</v>
      </c>
      <c r="AA12" s="1977">
        <v>0</v>
      </c>
      <c r="AB12" s="1890">
        <f t="shared" si="1"/>
        <v>760.45499999999993</v>
      </c>
      <c r="AC12" s="1892"/>
    </row>
    <row r="13" spans="1:31">
      <c r="B13" s="1860" t="s">
        <v>143</v>
      </c>
      <c r="C13" s="1966">
        <v>14</v>
      </c>
      <c r="D13" s="1967">
        <v>10</v>
      </c>
      <c r="E13" s="1887">
        <v>6811.817</v>
      </c>
      <c r="F13" s="1888">
        <v>5.5449999999999999</v>
      </c>
      <c r="G13" s="1889">
        <v>3.0939999999999999</v>
      </c>
      <c r="H13" s="1889">
        <v>16.899999999999999</v>
      </c>
      <c r="I13" s="1889">
        <v>0.6</v>
      </c>
      <c r="J13" s="1889">
        <v>0.41599999999999998</v>
      </c>
      <c r="K13" s="1889">
        <v>0</v>
      </c>
      <c r="L13" s="1889">
        <v>0</v>
      </c>
      <c r="M13" s="1889">
        <v>8.1259999999999994</v>
      </c>
      <c r="N13" s="1889">
        <v>17.675999999999998</v>
      </c>
      <c r="O13" s="1889">
        <v>13.669</v>
      </c>
      <c r="P13" s="1889">
        <v>1.5149999999999999</v>
      </c>
      <c r="Q13" s="1889">
        <v>7.782</v>
      </c>
      <c r="R13" s="1889">
        <v>31.4</v>
      </c>
      <c r="S13" s="1889">
        <v>0.30399999999999999</v>
      </c>
      <c r="T13" s="2611">
        <v>1.4181713</v>
      </c>
      <c r="U13" s="2613">
        <f t="shared" si="0"/>
        <v>108.44517129999998</v>
      </c>
      <c r="V13" s="1858"/>
      <c r="W13" s="1891">
        <v>360.83600000000001</v>
      </c>
      <c r="X13" s="1887">
        <v>77.381</v>
      </c>
      <c r="Y13" s="1887">
        <v>113.496</v>
      </c>
      <c r="Z13" s="1887">
        <v>246</v>
      </c>
      <c r="AA13" s="1977">
        <v>0</v>
      </c>
      <c r="AB13" s="1890">
        <f t="shared" si="1"/>
        <v>797.71299999999997</v>
      </c>
      <c r="AC13" s="1892"/>
    </row>
    <row r="14" spans="1:31">
      <c r="A14" s="1886"/>
      <c r="B14" s="1860" t="s">
        <v>144</v>
      </c>
      <c r="C14" s="1966">
        <v>31</v>
      </c>
      <c r="D14" s="1967">
        <v>17</v>
      </c>
      <c r="E14" s="1887">
        <v>7462.7209999999995</v>
      </c>
      <c r="F14" s="1888">
        <v>4.8860000000000001</v>
      </c>
      <c r="G14" s="1889">
        <v>3.2040000000000002</v>
      </c>
      <c r="H14" s="1889">
        <v>12.877000000000001</v>
      </c>
      <c r="I14" s="1889">
        <v>0.28799999999999998</v>
      </c>
      <c r="J14" s="1889">
        <v>0</v>
      </c>
      <c r="K14" s="1889">
        <v>0</v>
      </c>
      <c r="L14" s="1889">
        <v>0</v>
      </c>
      <c r="M14" s="1889">
        <v>8.66</v>
      </c>
      <c r="N14" s="1889">
        <v>21.117999999999999</v>
      </c>
      <c r="O14" s="1889">
        <v>15.923</v>
      </c>
      <c r="P14" s="1889">
        <v>1.468</v>
      </c>
      <c r="Q14" s="1889">
        <v>8.8610000000000007</v>
      </c>
      <c r="R14" s="1889">
        <v>30.88</v>
      </c>
      <c r="S14" s="1889">
        <v>0.52600000000000002</v>
      </c>
      <c r="T14" s="2611">
        <v>2.2433677000000003</v>
      </c>
      <c r="U14" s="2613">
        <f t="shared" si="0"/>
        <v>110.9343677</v>
      </c>
      <c r="V14" s="1858"/>
      <c r="W14" s="1891">
        <v>456.851</v>
      </c>
      <c r="X14" s="1887">
        <v>56.256999999999998</v>
      </c>
      <c r="Y14" s="1887">
        <v>127.43300000000001</v>
      </c>
      <c r="Z14" s="1887">
        <v>286</v>
      </c>
      <c r="AA14" s="1977">
        <v>0</v>
      </c>
      <c r="AB14" s="1890">
        <f t="shared" si="1"/>
        <v>926.54099999999994</v>
      </c>
      <c r="AC14" s="1892"/>
    </row>
    <row r="15" spans="1:31">
      <c r="B15" s="1860" t="s">
        <v>151</v>
      </c>
      <c r="C15" s="1966">
        <v>28</v>
      </c>
      <c r="D15" s="1967">
        <v>16</v>
      </c>
      <c r="E15" s="1887">
        <v>9880.5779999999995</v>
      </c>
      <c r="F15" s="1888">
        <v>5.95</v>
      </c>
      <c r="G15" s="1889">
        <v>3.5960000000000001</v>
      </c>
      <c r="H15" s="1889">
        <v>7.2050000000000001</v>
      </c>
      <c r="I15" s="1889">
        <v>0.379</v>
      </c>
      <c r="J15" s="1889">
        <v>0.28599999999999998</v>
      </c>
      <c r="K15" s="1889">
        <v>0</v>
      </c>
      <c r="L15" s="1889">
        <v>0</v>
      </c>
      <c r="M15" s="1889">
        <v>14.956</v>
      </c>
      <c r="N15" s="1889">
        <v>23.449000000000002</v>
      </c>
      <c r="O15" s="1889">
        <v>17.071000000000002</v>
      </c>
      <c r="P15" s="1889">
        <v>1.5029999999999999</v>
      </c>
      <c r="Q15" s="1889">
        <v>10.634</v>
      </c>
      <c r="R15" s="1889">
        <v>48.83</v>
      </c>
      <c r="S15" s="1889">
        <v>0.62</v>
      </c>
      <c r="T15" s="2611">
        <v>3.0177994000000004</v>
      </c>
      <c r="U15" s="2613">
        <f t="shared" si="0"/>
        <v>137.49679939999999</v>
      </c>
      <c r="V15" s="1858"/>
      <c r="W15" s="1891">
        <v>697.27499999999998</v>
      </c>
      <c r="X15" s="1887">
        <v>125.938</v>
      </c>
      <c r="Y15" s="1887">
        <v>98.903999999999996</v>
      </c>
      <c r="Z15" s="1887">
        <v>307</v>
      </c>
      <c r="AA15" s="1977">
        <v>0</v>
      </c>
      <c r="AB15" s="1890">
        <f t="shared" si="1"/>
        <v>1229.117</v>
      </c>
      <c r="AC15" s="1892"/>
    </row>
    <row r="16" spans="1:31">
      <c r="B16" s="1860" t="s">
        <v>742</v>
      </c>
      <c r="C16" s="1966">
        <v>28</v>
      </c>
      <c r="D16" s="1967">
        <v>17</v>
      </c>
      <c r="E16" s="1887">
        <v>10139.189</v>
      </c>
      <c r="F16" s="1888">
        <v>6.7569999999999997</v>
      </c>
      <c r="G16" s="1889">
        <v>3.7250000000000001</v>
      </c>
      <c r="H16" s="1889">
        <v>11.683999999999999</v>
      </c>
      <c r="I16" s="1889">
        <v>0.51800000000000002</v>
      </c>
      <c r="J16" s="1889">
        <v>7.8E-2</v>
      </c>
      <c r="K16" s="1889">
        <v>180.29900000000001</v>
      </c>
      <c r="L16" s="1889">
        <v>68</v>
      </c>
      <c r="M16" s="1889">
        <v>13.877000000000001</v>
      </c>
      <c r="N16" s="1889">
        <v>30.661999999999999</v>
      </c>
      <c r="O16" s="1889">
        <v>17.363</v>
      </c>
      <c r="P16" s="1889">
        <v>1.6519999999999999</v>
      </c>
      <c r="Q16" s="1889">
        <v>10.273999999999999</v>
      </c>
      <c r="R16" s="1889">
        <v>49.44</v>
      </c>
      <c r="S16" s="1889">
        <v>0.61299999999999999</v>
      </c>
      <c r="T16" s="2611">
        <v>3.1290500000000003</v>
      </c>
      <c r="U16" s="2613">
        <f t="shared" si="0"/>
        <v>398.07105000000001</v>
      </c>
      <c r="V16" s="1858"/>
      <c r="W16" s="1891">
        <v>783.94</v>
      </c>
      <c r="X16" s="1887">
        <v>173.46899999999999</v>
      </c>
      <c r="Y16" s="1887">
        <v>114.768</v>
      </c>
      <c r="Z16" s="1887">
        <v>320</v>
      </c>
      <c r="AA16" s="1977">
        <v>0</v>
      </c>
      <c r="AB16" s="1890">
        <f t="shared" si="1"/>
        <v>1392.1770000000001</v>
      </c>
      <c r="AC16" s="1892"/>
    </row>
    <row r="17" spans="1:33">
      <c r="B17" s="1860" t="s">
        <v>153</v>
      </c>
      <c r="C17" s="1966">
        <v>16</v>
      </c>
      <c r="D17" s="1967">
        <v>17</v>
      </c>
      <c r="E17" s="1887">
        <v>9680.7360000000008</v>
      </c>
      <c r="F17" s="1888">
        <v>7.0709999999999997</v>
      </c>
      <c r="G17" s="1889">
        <v>3.573</v>
      </c>
      <c r="H17" s="1889">
        <v>9.3879999999999999</v>
      </c>
      <c r="I17" s="1889">
        <v>0.36</v>
      </c>
      <c r="J17" s="1889">
        <v>7.8E-2</v>
      </c>
      <c r="K17" s="1889">
        <v>158.40100000000001</v>
      </c>
      <c r="L17" s="1889">
        <v>64</v>
      </c>
      <c r="M17" s="1889">
        <v>13.384</v>
      </c>
      <c r="N17" s="1889">
        <v>29.236999999999998</v>
      </c>
      <c r="O17" s="1889">
        <v>18.231999999999999</v>
      </c>
      <c r="P17" s="1889">
        <v>1.625</v>
      </c>
      <c r="Q17" s="1889">
        <v>10.491</v>
      </c>
      <c r="R17" s="1889">
        <v>54.61</v>
      </c>
      <c r="S17" s="1889">
        <v>0.55400000000000005</v>
      </c>
      <c r="T17" s="2611">
        <v>3.0761250000000002</v>
      </c>
      <c r="U17" s="2613">
        <f t="shared" si="0"/>
        <v>374.08012500000001</v>
      </c>
      <c r="V17" s="1858"/>
      <c r="W17" s="1891">
        <v>741.70699999999999</v>
      </c>
      <c r="X17" s="1887">
        <v>150.643</v>
      </c>
      <c r="Y17" s="1887">
        <v>111.21</v>
      </c>
      <c r="Z17" s="1887">
        <v>335</v>
      </c>
      <c r="AA17" s="1977">
        <v>0</v>
      </c>
      <c r="AB17" s="1890">
        <f t="shared" si="1"/>
        <v>1338.56</v>
      </c>
      <c r="AC17" s="1892"/>
    </row>
    <row r="18" spans="1:33">
      <c r="B18" s="1860" t="s">
        <v>741</v>
      </c>
      <c r="C18" s="1966">
        <v>1</v>
      </c>
      <c r="D18" s="1967">
        <v>15</v>
      </c>
      <c r="E18" s="1887">
        <v>8511.6129999999994</v>
      </c>
      <c r="F18" s="1888">
        <v>5.7809999999999997</v>
      </c>
      <c r="G18" s="1889">
        <v>2.8250000000000002</v>
      </c>
      <c r="H18" s="1889">
        <v>7.4059999999999997</v>
      </c>
      <c r="I18" s="1889">
        <v>0.32</v>
      </c>
      <c r="J18" s="1889">
        <v>0</v>
      </c>
      <c r="K18" s="1889">
        <v>138.32</v>
      </c>
      <c r="L18" s="1889">
        <v>54</v>
      </c>
      <c r="M18" s="1889">
        <v>16.536000000000001</v>
      </c>
      <c r="N18" s="1889">
        <v>24.527000000000001</v>
      </c>
      <c r="O18" s="1889">
        <v>17.373000000000001</v>
      </c>
      <c r="P18" s="1889">
        <v>1.375</v>
      </c>
      <c r="Q18" s="1889">
        <v>10.558999999999999</v>
      </c>
      <c r="R18" s="1889">
        <v>49.74</v>
      </c>
      <c r="S18" s="1889">
        <v>0.54500000000000004</v>
      </c>
      <c r="T18" s="2611">
        <v>2.9562339999999998</v>
      </c>
      <c r="U18" s="2613">
        <f t="shared" si="0"/>
        <v>332.26323400000001</v>
      </c>
      <c r="V18" s="1858"/>
      <c r="W18" s="1891">
        <v>643.58600000000001</v>
      </c>
      <c r="X18" s="1887">
        <v>110.747</v>
      </c>
      <c r="Y18" s="1887">
        <v>93.991</v>
      </c>
      <c r="Z18" s="1887">
        <v>271</v>
      </c>
      <c r="AA18" s="1977">
        <v>0</v>
      </c>
      <c r="AB18" s="1890">
        <f t="shared" si="1"/>
        <v>1119.3240000000001</v>
      </c>
      <c r="AC18" s="1892"/>
    </row>
    <row r="19" spans="1:33">
      <c r="B19" s="1860" t="s">
        <v>155</v>
      </c>
      <c r="C19" s="1966">
        <v>19</v>
      </c>
      <c r="D19" s="1967">
        <v>8</v>
      </c>
      <c r="E19" s="1887">
        <v>6971.1459999999997</v>
      </c>
      <c r="F19" s="1888">
        <v>5.468</v>
      </c>
      <c r="G19" s="1889">
        <v>2.9460000000000002</v>
      </c>
      <c r="H19" s="1889">
        <v>17.056999999999999</v>
      </c>
      <c r="I19" s="1889">
        <v>0</v>
      </c>
      <c r="J19" s="1889">
        <v>5.1999999999999998E-2</v>
      </c>
      <c r="K19" s="1889">
        <v>170.34899999999999</v>
      </c>
      <c r="L19" s="1889">
        <v>67</v>
      </c>
      <c r="M19" s="1889">
        <v>13.132999999999999</v>
      </c>
      <c r="N19" s="1889">
        <v>20.419</v>
      </c>
      <c r="O19" s="1889">
        <v>18.524000000000001</v>
      </c>
      <c r="P19" s="1889">
        <v>0.39900000000000002</v>
      </c>
      <c r="Q19" s="1889">
        <v>8.5370000000000008</v>
      </c>
      <c r="R19" s="1889">
        <v>36.270000000000003</v>
      </c>
      <c r="S19" s="1889">
        <v>0.25700000000000001</v>
      </c>
      <c r="T19" s="2611">
        <v>6.0000000000000001E-3</v>
      </c>
      <c r="U19" s="2613">
        <f t="shared" si="0"/>
        <v>360.41699999999986</v>
      </c>
      <c r="V19" s="1858"/>
      <c r="W19" s="1891">
        <v>339.221</v>
      </c>
      <c r="X19" s="1887">
        <v>60.686</v>
      </c>
      <c r="Y19" s="1887">
        <v>66.94</v>
      </c>
      <c r="Z19" s="1887">
        <v>231</v>
      </c>
      <c r="AA19" s="1977">
        <v>0</v>
      </c>
      <c r="AB19" s="1890">
        <f t="shared" si="1"/>
        <v>697.84699999999998</v>
      </c>
      <c r="AC19" s="1892"/>
    </row>
    <row r="20" spans="1:33">
      <c r="B20" s="1860" t="s">
        <v>156</v>
      </c>
      <c r="C20" s="1966">
        <v>30</v>
      </c>
      <c r="D20" s="1967">
        <v>18</v>
      </c>
      <c r="E20" s="1887">
        <v>7858.2510000000002</v>
      </c>
      <c r="F20" s="1888">
        <v>5.4480000000000004</v>
      </c>
      <c r="G20" s="1889">
        <v>3.1030000000000002</v>
      </c>
      <c r="H20" s="1889">
        <v>22.96</v>
      </c>
      <c r="I20" s="1889">
        <v>1.1319999999999999</v>
      </c>
      <c r="J20" s="1889">
        <v>0</v>
      </c>
      <c r="K20" s="1889">
        <v>217.12</v>
      </c>
      <c r="L20" s="1889">
        <v>82</v>
      </c>
      <c r="M20" s="1889">
        <v>15.87</v>
      </c>
      <c r="N20" s="1889">
        <v>20.748999999999999</v>
      </c>
      <c r="O20" s="1889">
        <v>19.376999999999999</v>
      </c>
      <c r="P20" s="1889">
        <v>2.2989999999999999</v>
      </c>
      <c r="Q20" s="1889">
        <v>9.6790000000000003</v>
      </c>
      <c r="R20" s="1889">
        <v>43.34</v>
      </c>
      <c r="S20" s="1889">
        <v>0</v>
      </c>
      <c r="T20" s="2611">
        <v>5.0000000000000001E-3</v>
      </c>
      <c r="U20" s="2613">
        <f t="shared" si="0"/>
        <v>443.08199999999999</v>
      </c>
      <c r="V20" s="1858"/>
      <c r="W20" s="1891">
        <v>382.42599999999999</v>
      </c>
      <c r="X20" s="1887">
        <v>85.816000000000003</v>
      </c>
      <c r="Y20" s="1887">
        <v>72.200999999999993</v>
      </c>
      <c r="Z20" s="1887">
        <v>336</v>
      </c>
      <c r="AA20" s="1977">
        <v>0</v>
      </c>
      <c r="AB20" s="1890">
        <f t="shared" si="1"/>
        <v>876.44299999999998</v>
      </c>
      <c r="AC20" s="1892"/>
    </row>
    <row r="21" spans="1:33" ht="16.5" thickBot="1">
      <c r="B21" s="1879" t="s">
        <v>157</v>
      </c>
      <c r="C21" s="1966">
        <v>19</v>
      </c>
      <c r="D21" s="1967">
        <v>18</v>
      </c>
      <c r="E21" s="1887">
        <v>8664.7759999999998</v>
      </c>
      <c r="F21" s="1895">
        <v>6.2220000000000004</v>
      </c>
      <c r="G21" s="1896">
        <v>3.1059999999999999</v>
      </c>
      <c r="H21" s="1896">
        <v>29.777000000000001</v>
      </c>
      <c r="I21" s="1896">
        <v>1.04</v>
      </c>
      <c r="J21" s="1896">
        <v>0</v>
      </c>
      <c r="K21" s="1896">
        <v>289.49700000000001</v>
      </c>
      <c r="L21" s="1896">
        <v>95</v>
      </c>
      <c r="M21" s="1896">
        <v>19.966000000000001</v>
      </c>
      <c r="N21" s="1896">
        <v>19.152999999999999</v>
      </c>
      <c r="O21" s="1896">
        <v>19.882000000000001</v>
      </c>
      <c r="P21" s="1896">
        <v>2.2210000000000001</v>
      </c>
      <c r="Q21" s="1896">
        <v>10.891999999999999</v>
      </c>
      <c r="R21" s="1896">
        <v>53.03</v>
      </c>
      <c r="S21" s="1896">
        <v>0</v>
      </c>
      <c r="T21" s="2612">
        <v>5.0000000000000001E-3</v>
      </c>
      <c r="U21" s="2614">
        <f t="shared" si="0"/>
        <v>549.79100000000005</v>
      </c>
      <c r="V21" s="1858"/>
      <c r="W21" s="1897">
        <v>444.71800000000002</v>
      </c>
      <c r="X21" s="1894">
        <v>85.772000000000006</v>
      </c>
      <c r="Y21" s="1894">
        <v>49.453000000000003</v>
      </c>
      <c r="Z21" s="1894">
        <v>317</v>
      </c>
      <c r="AA21" s="1898">
        <v>0</v>
      </c>
      <c r="AB21" s="1885">
        <f t="shared" si="1"/>
        <v>896.94299999999998</v>
      </c>
      <c r="AC21" s="1892"/>
    </row>
    <row r="22" spans="1:33" ht="16.5" thickBot="1">
      <c r="A22" s="1858"/>
      <c r="B22" s="1899" t="s">
        <v>282</v>
      </c>
      <c r="C22" s="1900"/>
      <c r="D22" s="1901"/>
      <c r="E22" s="1944">
        <f t="shared" ref="E22:T22" si="2">SUM(E10:E21)</f>
        <v>99591.64499999999</v>
      </c>
      <c r="F22" s="2428">
        <f t="shared" si="2"/>
        <v>69.821999999999989</v>
      </c>
      <c r="G22" s="2429">
        <f t="shared" si="2"/>
        <v>38.631000000000007</v>
      </c>
      <c r="H22" s="2388">
        <f t="shared" si="2"/>
        <v>215.60500000000002</v>
      </c>
      <c r="I22" s="2388">
        <f t="shared" si="2"/>
        <v>7.8939999999999992</v>
      </c>
      <c r="J22" s="2388">
        <f t="shared" si="2"/>
        <v>1.9690000000000001</v>
      </c>
      <c r="K22" s="2388">
        <f t="shared" si="2"/>
        <v>1153.9860000000001</v>
      </c>
      <c r="L22" s="2388">
        <f t="shared" si="2"/>
        <v>430</v>
      </c>
      <c r="M22" s="2388">
        <f t="shared" si="2"/>
        <v>166.26900000000001</v>
      </c>
      <c r="N22" s="2388">
        <f t="shared" si="2"/>
        <v>264.03900000000004</v>
      </c>
      <c r="O22" s="2388">
        <f t="shared" si="2"/>
        <v>194.90800000000002</v>
      </c>
      <c r="P22" s="2388">
        <f t="shared" si="2"/>
        <v>19.809999999999999</v>
      </c>
      <c r="Q22" s="2388">
        <f t="shared" si="2"/>
        <v>116.896</v>
      </c>
      <c r="R22" s="2388">
        <f t="shared" si="2"/>
        <v>523.87</v>
      </c>
      <c r="S22" s="2388">
        <f t="shared" si="2"/>
        <v>3.7079999999999997</v>
      </c>
      <c r="T22" s="2388">
        <f t="shared" si="2"/>
        <v>15.876198200000003</v>
      </c>
      <c r="U22" s="1885">
        <f t="shared" si="0"/>
        <v>3223.2831982000007</v>
      </c>
      <c r="V22" s="1858"/>
      <c r="W22" s="1903">
        <f t="shared" ref="W22:AB22" si="3">SUM(W10:W21)</f>
        <v>5981.5529999999999</v>
      </c>
      <c r="X22" s="1902">
        <f t="shared" si="3"/>
        <v>1155.2859999999998</v>
      </c>
      <c r="Y22" s="1902">
        <f t="shared" si="3"/>
        <v>1096.596</v>
      </c>
      <c r="Z22" s="1902">
        <f t="shared" si="3"/>
        <v>3605</v>
      </c>
      <c r="AA22" s="1902">
        <f t="shared" si="3"/>
        <v>0</v>
      </c>
      <c r="AB22" s="1885">
        <f t="shared" si="3"/>
        <v>11838.434999999999</v>
      </c>
      <c r="AC22" s="1892"/>
      <c r="AF22" s="1904"/>
    </row>
    <row r="23" spans="1:33" ht="16.5" thickBot="1">
      <c r="A23" s="1858"/>
      <c r="B23" s="1905" t="s">
        <v>1721</v>
      </c>
      <c r="C23" s="1906"/>
      <c r="D23" s="1907"/>
      <c r="E23" s="1908">
        <f t="shared" ref="E23:T23" si="4">+E22/12</f>
        <v>8299.3037499999991</v>
      </c>
      <c r="F23" s="2429">
        <f t="shared" si="4"/>
        <v>5.8184999999999993</v>
      </c>
      <c r="G23" s="2429">
        <f t="shared" si="4"/>
        <v>3.2192500000000006</v>
      </c>
      <c r="H23" s="2429">
        <f t="shared" si="4"/>
        <v>17.967083333333335</v>
      </c>
      <c r="I23" s="2429">
        <f t="shared" si="4"/>
        <v>0.65783333333333327</v>
      </c>
      <c r="J23" s="2429">
        <f t="shared" si="4"/>
        <v>0.16408333333333333</v>
      </c>
      <c r="K23" s="2429">
        <f t="shared" si="4"/>
        <v>96.165500000000009</v>
      </c>
      <c r="L23" s="2429">
        <f t="shared" si="4"/>
        <v>35.833333333333336</v>
      </c>
      <c r="M23" s="2429">
        <f t="shared" si="4"/>
        <v>13.85575</v>
      </c>
      <c r="N23" s="2429">
        <f t="shared" si="4"/>
        <v>22.003250000000005</v>
      </c>
      <c r="O23" s="2429">
        <f t="shared" si="4"/>
        <v>16.242333333333335</v>
      </c>
      <c r="P23" s="2429">
        <f t="shared" si="4"/>
        <v>1.6508333333333332</v>
      </c>
      <c r="Q23" s="2429">
        <f t="shared" si="4"/>
        <v>9.7413333333333334</v>
      </c>
      <c r="R23" s="2429">
        <f t="shared" si="4"/>
        <v>43.655833333333334</v>
      </c>
      <c r="S23" s="2429">
        <f t="shared" si="4"/>
        <v>0.309</v>
      </c>
      <c r="T23" s="2429">
        <f t="shared" si="4"/>
        <v>1.323016516666667</v>
      </c>
      <c r="U23" s="2615">
        <f>+U22/12</f>
        <v>268.60693318333341</v>
      </c>
      <c r="V23" s="1858"/>
      <c r="W23" s="1910">
        <f t="shared" ref="W23:AB23" si="5">+W22/12</f>
        <v>498.46274999999997</v>
      </c>
      <c r="X23" s="1909">
        <f t="shared" si="5"/>
        <v>96.273833333333314</v>
      </c>
      <c r="Y23" s="1909">
        <f t="shared" si="5"/>
        <v>91.382999999999996</v>
      </c>
      <c r="Z23" s="1909">
        <f t="shared" si="5"/>
        <v>300.41666666666669</v>
      </c>
      <c r="AA23" s="1909">
        <f t="shared" si="5"/>
        <v>0</v>
      </c>
      <c r="AB23" s="2615">
        <f t="shared" si="5"/>
        <v>986.53625</v>
      </c>
      <c r="AC23" s="1911"/>
    </row>
    <row r="24" spans="1:33" ht="16.5" thickBot="1">
      <c r="C24" s="1853"/>
      <c r="E24" s="1858"/>
      <c r="F24" s="1858"/>
      <c r="G24" s="1858"/>
      <c r="H24" s="1858"/>
      <c r="I24" s="1858"/>
      <c r="J24" s="1858"/>
      <c r="K24" s="1858"/>
      <c r="L24" s="1858"/>
      <c r="M24" s="1858"/>
      <c r="N24" s="1858"/>
      <c r="O24" s="1858"/>
      <c r="P24" s="1858"/>
      <c r="Q24" s="1858"/>
      <c r="R24" s="1858"/>
      <c r="S24" s="1858"/>
      <c r="T24" s="1858"/>
      <c r="U24" s="1858"/>
      <c r="V24" s="1858"/>
      <c r="W24" s="1858"/>
      <c r="X24" s="1858"/>
      <c r="Y24" s="1858"/>
      <c r="AA24" s="1858"/>
      <c r="AB24" s="1858"/>
      <c r="AC24" s="1904"/>
    </row>
    <row r="25" spans="1:33" ht="16.5" thickBot="1">
      <c r="B25" s="1856"/>
      <c r="C25" s="1857"/>
      <c r="D25" s="1912"/>
      <c r="E25" s="2711" t="s">
        <v>992</v>
      </c>
      <c r="F25" s="2712"/>
      <c r="G25" s="2712"/>
      <c r="H25" s="2712"/>
      <c r="I25" s="2712"/>
      <c r="J25" s="2712"/>
      <c r="K25" s="2712"/>
      <c r="L25" s="2712"/>
      <c r="M25" s="2712"/>
      <c r="N25" s="2712"/>
      <c r="O25" s="2712"/>
      <c r="P25" s="2712"/>
      <c r="Q25" s="2712"/>
      <c r="R25" s="2712"/>
      <c r="S25" s="2712"/>
      <c r="T25" s="2712"/>
      <c r="U25" s="2712"/>
      <c r="V25" s="2712"/>
      <c r="W25" s="2712"/>
      <c r="X25" s="2712"/>
      <c r="Y25" s="2713"/>
      <c r="Z25" s="2381"/>
      <c r="AA25" s="1858"/>
      <c r="AB25" s="1858"/>
      <c r="AC25" s="1858"/>
      <c r="AD25" s="1858"/>
      <c r="AE25" s="1858"/>
    </row>
    <row r="26" spans="1:33" ht="16.5" thickBot="1">
      <c r="B26" s="1860" t="s">
        <v>328</v>
      </c>
      <c r="C26" s="1853"/>
      <c r="D26" s="1857"/>
      <c r="E26" s="1913" t="s">
        <v>762</v>
      </c>
      <c r="F26" s="1914" t="s">
        <v>761</v>
      </c>
      <c r="G26" s="1914" t="s">
        <v>760</v>
      </c>
      <c r="H26" s="1914" t="s">
        <v>759</v>
      </c>
      <c r="I26" s="1914" t="s">
        <v>758</v>
      </c>
      <c r="J26" s="1914" t="s">
        <v>757</v>
      </c>
      <c r="K26" s="1914" t="s">
        <v>756</v>
      </c>
      <c r="L26" s="1914" t="s">
        <v>755</v>
      </c>
      <c r="M26" s="1914" t="s">
        <v>1993</v>
      </c>
      <c r="N26" s="1914" t="s">
        <v>754</v>
      </c>
      <c r="O26" s="1914" t="s">
        <v>825</v>
      </c>
      <c r="P26" s="1914" t="s">
        <v>753</v>
      </c>
      <c r="Q26" s="1914" t="s">
        <v>752</v>
      </c>
      <c r="R26" s="1914" t="s">
        <v>826</v>
      </c>
      <c r="S26" s="1914" t="s">
        <v>827</v>
      </c>
      <c r="T26" s="1914" t="s">
        <v>1344</v>
      </c>
      <c r="U26" s="1914" t="s">
        <v>1642</v>
      </c>
      <c r="V26" s="1914" t="s">
        <v>1643</v>
      </c>
      <c r="W26" s="1914" t="s">
        <v>824</v>
      </c>
      <c r="X26" s="1914" t="s">
        <v>1994</v>
      </c>
      <c r="Y26" s="1914" t="s">
        <v>2000</v>
      </c>
      <c r="Z26" s="1915" t="s">
        <v>360</v>
      </c>
      <c r="AA26" s="1858"/>
      <c r="AB26" s="1858"/>
      <c r="AC26" s="1858"/>
      <c r="AD26" s="1858"/>
      <c r="AE26" s="1858"/>
      <c r="AF26" s="1858"/>
      <c r="AG26" s="1858"/>
    </row>
    <row r="27" spans="1:33" s="2156" customFormat="1" ht="79.5" thickBot="1">
      <c r="B27" s="2157" t="s">
        <v>751</v>
      </c>
      <c r="C27" s="2158"/>
      <c r="D27" s="2159"/>
      <c r="E27" s="2160" t="s">
        <v>365</v>
      </c>
      <c r="F27" s="2161" t="s">
        <v>2162</v>
      </c>
      <c r="G27" s="2161" t="s">
        <v>750</v>
      </c>
      <c r="H27" s="2161" t="s">
        <v>1995</v>
      </c>
      <c r="I27" s="2161" t="s">
        <v>1995</v>
      </c>
      <c r="J27" s="2161" t="s">
        <v>1997</v>
      </c>
      <c r="K27" s="2161" t="s">
        <v>749</v>
      </c>
      <c r="L27" s="2161" t="s">
        <v>748</v>
      </c>
      <c r="M27" s="2161" t="s">
        <v>2163</v>
      </c>
      <c r="N27" s="2161" t="s">
        <v>828</v>
      </c>
      <c r="O27" s="2161" t="s">
        <v>1733</v>
      </c>
      <c r="P27" s="2161" t="s">
        <v>1996</v>
      </c>
      <c r="Q27" s="2161" t="s">
        <v>1732</v>
      </c>
      <c r="R27" s="2161" t="s">
        <v>2001</v>
      </c>
      <c r="S27" s="2161" t="s">
        <v>2164</v>
      </c>
      <c r="T27" s="2161" t="s">
        <v>648</v>
      </c>
      <c r="U27" s="2161" t="s">
        <v>828</v>
      </c>
      <c r="V27" s="2161" t="s">
        <v>828</v>
      </c>
      <c r="W27" s="2161" t="s">
        <v>828</v>
      </c>
      <c r="X27" s="2165" t="s">
        <v>828</v>
      </c>
      <c r="Y27" s="2161" t="s">
        <v>828</v>
      </c>
      <c r="Z27" s="2162"/>
      <c r="AE27" s="2163"/>
      <c r="AF27" s="2164" t="s">
        <v>747</v>
      </c>
      <c r="AG27" s="2163"/>
    </row>
    <row r="28" spans="1:33" s="2075" customFormat="1" ht="18" customHeight="1">
      <c r="B28" s="2149" t="s">
        <v>468</v>
      </c>
      <c r="C28" s="2150"/>
      <c r="D28"/>
      <c r="E28" s="2151" t="s">
        <v>746</v>
      </c>
      <c r="F28" s="2152" t="s">
        <v>746</v>
      </c>
      <c r="G28" s="2152" t="s">
        <v>746</v>
      </c>
      <c r="H28" s="2152" t="s">
        <v>746</v>
      </c>
      <c r="I28" s="2152" t="s">
        <v>746</v>
      </c>
      <c r="J28" s="2152"/>
      <c r="K28" s="2152" t="s">
        <v>746</v>
      </c>
      <c r="L28" s="2152" t="s">
        <v>746</v>
      </c>
      <c r="M28" s="2152" t="s">
        <v>746</v>
      </c>
      <c r="N28" s="2152" t="s">
        <v>746</v>
      </c>
      <c r="O28" s="2152" t="s">
        <v>746</v>
      </c>
      <c r="P28" s="2153" t="s">
        <v>746</v>
      </c>
      <c r="Q28" s="2153" t="s">
        <v>746</v>
      </c>
      <c r="R28" s="2153" t="s">
        <v>746</v>
      </c>
      <c r="S28" s="2153"/>
      <c r="T28" s="2153" t="s">
        <v>746</v>
      </c>
      <c r="U28" s="2153" t="s">
        <v>746</v>
      </c>
      <c r="V28" s="2153" t="s">
        <v>746</v>
      </c>
      <c r="W28" s="2153" t="s">
        <v>746</v>
      </c>
      <c r="X28" s="2153" t="s">
        <v>746</v>
      </c>
      <c r="Y28" s="2153" t="s">
        <v>746</v>
      </c>
      <c r="Z28" s="2154" t="s">
        <v>745</v>
      </c>
      <c r="AB28" s="2155" t="s">
        <v>777</v>
      </c>
      <c r="AC28" s="2155" t="s">
        <v>816</v>
      </c>
      <c r="AD28" s="2155" t="s">
        <v>818</v>
      </c>
      <c r="AE28" s="2148"/>
      <c r="AF28" s="2714" t="s">
        <v>744</v>
      </c>
      <c r="AG28" s="2148"/>
    </row>
    <row r="29" spans="1:33" ht="16.5" thickBot="1">
      <c r="A29" s="2156"/>
      <c r="B29" s="2168" t="s">
        <v>743</v>
      </c>
      <c r="C29" s="2169" t="s">
        <v>815</v>
      </c>
      <c r="D29" s="2170" t="s">
        <v>814</v>
      </c>
      <c r="E29" s="2166" t="s">
        <v>2188</v>
      </c>
      <c r="F29" s="2167" t="s">
        <v>2451</v>
      </c>
      <c r="G29" s="2167" t="s">
        <v>2189</v>
      </c>
      <c r="H29" s="2167" t="s">
        <v>2190</v>
      </c>
      <c r="I29" s="2167" t="s">
        <v>2191</v>
      </c>
      <c r="J29" s="2167" t="s">
        <v>2197</v>
      </c>
      <c r="K29" s="2167" t="s">
        <v>2192</v>
      </c>
      <c r="L29" s="2167" t="s">
        <v>2193</v>
      </c>
      <c r="M29" s="2167" t="s">
        <v>2194</v>
      </c>
      <c r="N29" s="2167" t="s">
        <v>2195</v>
      </c>
      <c r="O29" s="2167" t="s">
        <v>2452</v>
      </c>
      <c r="P29" s="2167" t="s">
        <v>2453</v>
      </c>
      <c r="Q29" s="2167" t="s">
        <v>2199</v>
      </c>
      <c r="R29" s="2167" t="s">
        <v>2454</v>
      </c>
      <c r="S29" s="2167" t="s">
        <v>2455</v>
      </c>
      <c r="T29" s="2167">
        <v>0</v>
      </c>
      <c r="U29" s="2167" t="s">
        <v>2202</v>
      </c>
      <c r="V29" s="2167" t="s">
        <v>2203</v>
      </c>
      <c r="W29" s="2167" t="s">
        <v>2204</v>
      </c>
      <c r="X29" s="2167">
        <v>748</v>
      </c>
      <c r="Y29" s="2630">
        <v>749</v>
      </c>
      <c r="Z29" s="1928"/>
      <c r="AB29" s="1929" t="s">
        <v>763</v>
      </c>
      <c r="AC29" s="1930" t="s">
        <v>817</v>
      </c>
      <c r="AD29" s="1930" t="s">
        <v>819</v>
      </c>
      <c r="AE29" s="1858"/>
      <c r="AF29" s="2715"/>
      <c r="AG29" s="1858"/>
    </row>
    <row r="30" spans="1:33">
      <c r="B30" s="1860" t="s">
        <v>147</v>
      </c>
      <c r="C30" s="1965"/>
      <c r="D30" s="2171"/>
      <c r="E30" s="2623">
        <v>2534</v>
      </c>
      <c r="F30" s="2624">
        <v>24</v>
      </c>
      <c r="G30" s="2624">
        <v>50</v>
      </c>
      <c r="H30" s="2624">
        <v>18</v>
      </c>
      <c r="I30" s="2624">
        <v>56</v>
      </c>
      <c r="J30" s="2624">
        <v>25</v>
      </c>
      <c r="K30" s="2624">
        <v>0</v>
      </c>
      <c r="L30" s="2624">
        <v>30</v>
      </c>
      <c r="M30" s="2624">
        <v>11</v>
      </c>
      <c r="N30" s="2624">
        <v>80</v>
      </c>
      <c r="O30" s="2624">
        <v>74</v>
      </c>
      <c r="P30" s="2624">
        <v>4</v>
      </c>
      <c r="Q30" s="2624">
        <v>30</v>
      </c>
      <c r="R30" s="2624">
        <v>25</v>
      </c>
      <c r="S30" s="2624">
        <v>50</v>
      </c>
      <c r="T30" s="2624">
        <v>134</v>
      </c>
      <c r="U30" s="2624">
        <v>67</v>
      </c>
      <c r="V30" s="2624">
        <v>67</v>
      </c>
      <c r="W30" s="2624">
        <v>66</v>
      </c>
      <c r="X30" s="2624">
        <v>50</v>
      </c>
      <c r="Y30" s="2625">
        <v>150</v>
      </c>
      <c r="Z30" s="1933">
        <f t="shared" ref="Z30:Z41" si="6">SUM(E30:Y30)</f>
        <v>3545</v>
      </c>
      <c r="AB30" s="1934">
        <f t="shared" ref="AB30:AB41" si="7">+E10+U10+AB10</f>
        <v>9394.9013204000003</v>
      </c>
      <c r="AC30" s="1935">
        <v>216.60400000000001</v>
      </c>
      <c r="AD30" s="1936">
        <f>AB30+AC30</f>
        <v>9611.5053203999996</v>
      </c>
      <c r="AE30" s="1858"/>
      <c r="AF30" s="1937">
        <f t="shared" ref="AF30:AF41" si="8">+AD30+Z30</f>
        <v>13156.5053204</v>
      </c>
      <c r="AG30" s="1858"/>
    </row>
    <row r="31" spans="1:33">
      <c r="B31" s="1860" t="s">
        <v>148</v>
      </c>
      <c r="C31" s="1965"/>
      <c r="D31" s="1965"/>
      <c r="E31" s="1931">
        <v>2534</v>
      </c>
      <c r="F31" s="1932">
        <v>24</v>
      </c>
      <c r="G31" s="1932">
        <v>50</v>
      </c>
      <c r="H31" s="1932">
        <v>18</v>
      </c>
      <c r="I31" s="1932">
        <v>56</v>
      </c>
      <c r="J31" s="1932">
        <v>25</v>
      </c>
      <c r="K31" s="1932">
        <v>0</v>
      </c>
      <c r="L31" s="1932">
        <v>30</v>
      </c>
      <c r="M31" s="1932">
        <v>11</v>
      </c>
      <c r="N31" s="1932">
        <v>80</v>
      </c>
      <c r="O31" s="1932">
        <v>74</v>
      </c>
      <c r="P31" s="1932">
        <v>4</v>
      </c>
      <c r="Q31" s="1932">
        <v>30</v>
      </c>
      <c r="R31" s="1932">
        <v>25</v>
      </c>
      <c r="S31" s="1932">
        <v>50</v>
      </c>
      <c r="T31" s="1932">
        <v>134</v>
      </c>
      <c r="U31" s="1932">
        <v>67</v>
      </c>
      <c r="V31" s="1932">
        <v>67</v>
      </c>
      <c r="W31" s="1932">
        <v>66</v>
      </c>
      <c r="X31" s="1932">
        <v>50</v>
      </c>
      <c r="Y31" s="2626">
        <v>150</v>
      </c>
      <c r="Z31" s="1933">
        <f t="shared" si="6"/>
        <v>3545</v>
      </c>
      <c r="AB31" s="1938">
        <f t="shared" si="7"/>
        <v>9100.1963203999985</v>
      </c>
      <c r="AC31" s="1939">
        <v>221.39</v>
      </c>
      <c r="AD31" s="1937">
        <f t="shared" ref="AD31:AD41" si="9">AB31+AC31</f>
        <v>9321.5863203999979</v>
      </c>
      <c r="AE31" s="1858"/>
      <c r="AF31" s="1937">
        <f t="shared" si="8"/>
        <v>12866.586320399998</v>
      </c>
      <c r="AG31" s="1858"/>
    </row>
    <row r="32" spans="1:33">
      <c r="B32" s="1860" t="s">
        <v>352</v>
      </c>
      <c r="C32" s="1965"/>
      <c r="D32" s="1965"/>
      <c r="E32" s="1931">
        <v>2534</v>
      </c>
      <c r="F32" s="1932">
        <v>24</v>
      </c>
      <c r="G32" s="1932">
        <v>50</v>
      </c>
      <c r="H32" s="1932">
        <v>18</v>
      </c>
      <c r="I32" s="1932">
        <v>56</v>
      </c>
      <c r="J32" s="1932">
        <v>25</v>
      </c>
      <c r="K32" s="1932">
        <v>0</v>
      </c>
      <c r="L32" s="1932">
        <v>30</v>
      </c>
      <c r="M32" s="1932">
        <v>11</v>
      </c>
      <c r="N32" s="1932">
        <v>80</v>
      </c>
      <c r="O32" s="1932">
        <v>74</v>
      </c>
      <c r="P32" s="1932">
        <v>4</v>
      </c>
      <c r="Q32" s="1932">
        <v>30</v>
      </c>
      <c r="R32" s="1932">
        <v>25</v>
      </c>
      <c r="S32" s="1932">
        <v>50</v>
      </c>
      <c r="T32" s="1932">
        <v>134</v>
      </c>
      <c r="U32" s="1932">
        <v>67</v>
      </c>
      <c r="V32" s="1932">
        <v>67</v>
      </c>
      <c r="W32" s="1932">
        <v>66</v>
      </c>
      <c r="X32" s="1932">
        <v>50</v>
      </c>
      <c r="Y32" s="2626">
        <v>150</v>
      </c>
      <c r="Z32" s="1933">
        <f t="shared" si="6"/>
        <v>3545</v>
      </c>
      <c r="AB32" s="1938">
        <f t="shared" si="7"/>
        <v>8088.1928100000005</v>
      </c>
      <c r="AC32" s="1939">
        <v>289.86200000000002</v>
      </c>
      <c r="AD32" s="1937">
        <f t="shared" si="9"/>
        <v>8378.0548099999996</v>
      </c>
      <c r="AE32" s="1858"/>
      <c r="AF32" s="1937">
        <f t="shared" si="8"/>
        <v>11923.05481</v>
      </c>
      <c r="AG32" s="1858"/>
    </row>
    <row r="33" spans="2:33">
      <c r="B33" s="1860" t="s">
        <v>143</v>
      </c>
      <c r="C33" s="1965"/>
      <c r="D33" s="1965"/>
      <c r="E33" s="1931">
        <v>2534</v>
      </c>
      <c r="F33" s="1932">
        <v>24</v>
      </c>
      <c r="G33" s="1932">
        <v>50</v>
      </c>
      <c r="H33" s="1932">
        <v>18</v>
      </c>
      <c r="I33" s="1932">
        <v>56</v>
      </c>
      <c r="J33" s="1932">
        <v>25</v>
      </c>
      <c r="K33" s="1932">
        <v>0</v>
      </c>
      <c r="L33" s="1932">
        <v>30</v>
      </c>
      <c r="M33" s="1932">
        <v>11</v>
      </c>
      <c r="N33" s="1932">
        <v>80</v>
      </c>
      <c r="O33" s="1932">
        <v>74</v>
      </c>
      <c r="P33" s="1932">
        <v>4</v>
      </c>
      <c r="Q33" s="1932">
        <v>30</v>
      </c>
      <c r="R33" s="1932">
        <v>25</v>
      </c>
      <c r="S33" s="1932">
        <v>50</v>
      </c>
      <c r="T33" s="1932">
        <v>134</v>
      </c>
      <c r="U33" s="1932">
        <v>67</v>
      </c>
      <c r="V33" s="1932">
        <v>67</v>
      </c>
      <c r="W33" s="1932">
        <v>66</v>
      </c>
      <c r="X33" s="1932">
        <v>50</v>
      </c>
      <c r="Y33" s="2626">
        <v>150</v>
      </c>
      <c r="Z33" s="1933">
        <f t="shared" si="6"/>
        <v>3545</v>
      </c>
      <c r="AB33" s="1938">
        <f t="shared" si="7"/>
        <v>7717.9751712999996</v>
      </c>
      <c r="AC33" s="1939">
        <v>284.36399999999998</v>
      </c>
      <c r="AD33" s="1937">
        <f t="shared" si="9"/>
        <v>8002.3391712999992</v>
      </c>
      <c r="AE33" s="1858"/>
      <c r="AF33" s="1937">
        <f t="shared" si="8"/>
        <v>11547.339171299998</v>
      </c>
      <c r="AG33" s="1858"/>
    </row>
    <row r="34" spans="2:33">
      <c r="B34" s="1860" t="s">
        <v>144</v>
      </c>
      <c r="C34" s="1965"/>
      <c r="D34" s="1965"/>
      <c r="E34" s="1931">
        <v>2534</v>
      </c>
      <c r="F34" s="1932">
        <v>24</v>
      </c>
      <c r="G34" s="1932">
        <v>50</v>
      </c>
      <c r="H34" s="1932">
        <v>18</v>
      </c>
      <c r="I34" s="1932">
        <v>56</v>
      </c>
      <c r="J34" s="1932">
        <v>25</v>
      </c>
      <c r="K34" s="1932">
        <v>0</v>
      </c>
      <c r="L34" s="1932">
        <v>30</v>
      </c>
      <c r="M34" s="1932">
        <v>11</v>
      </c>
      <c r="N34" s="1932">
        <v>80</v>
      </c>
      <c r="O34" s="1932">
        <v>74</v>
      </c>
      <c r="P34" s="1932">
        <v>4</v>
      </c>
      <c r="Q34" s="1932">
        <v>30</v>
      </c>
      <c r="R34" s="1932">
        <v>25</v>
      </c>
      <c r="S34" s="1932">
        <v>50</v>
      </c>
      <c r="T34" s="1932">
        <v>134</v>
      </c>
      <c r="U34" s="1932">
        <v>67</v>
      </c>
      <c r="V34" s="1932">
        <v>67</v>
      </c>
      <c r="W34" s="1932">
        <v>66</v>
      </c>
      <c r="X34" s="1932">
        <v>50</v>
      </c>
      <c r="Y34" s="2626">
        <v>150</v>
      </c>
      <c r="Z34" s="1933">
        <f t="shared" si="6"/>
        <v>3545</v>
      </c>
      <c r="AB34" s="1938">
        <f t="shared" si="7"/>
        <v>8500.1963676999985</v>
      </c>
      <c r="AC34" s="1939">
        <v>320.37799999999999</v>
      </c>
      <c r="AD34" s="1937">
        <f t="shared" si="9"/>
        <v>8820.5743676999991</v>
      </c>
      <c r="AE34" s="1858"/>
      <c r="AF34" s="1937">
        <f t="shared" si="8"/>
        <v>12365.574367699999</v>
      </c>
      <c r="AG34" s="1858"/>
    </row>
    <row r="35" spans="2:33">
      <c r="B35" s="1860" t="s">
        <v>151</v>
      </c>
      <c r="C35" s="1965"/>
      <c r="D35" s="1965"/>
      <c r="E35" s="1931">
        <v>2629</v>
      </c>
      <c r="F35" s="1932">
        <v>24</v>
      </c>
      <c r="G35" s="1932">
        <v>50</v>
      </c>
      <c r="H35" s="1932">
        <v>18</v>
      </c>
      <c r="I35" s="1932">
        <v>56</v>
      </c>
      <c r="J35" s="1932">
        <v>25</v>
      </c>
      <c r="K35" s="1932">
        <v>75</v>
      </c>
      <c r="L35" s="1932">
        <v>30</v>
      </c>
      <c r="M35" s="1932">
        <v>11</v>
      </c>
      <c r="N35" s="1932">
        <v>80</v>
      </c>
      <c r="O35" s="1932">
        <v>55</v>
      </c>
      <c r="P35" s="1932">
        <v>4</v>
      </c>
      <c r="Q35" s="1932">
        <v>30</v>
      </c>
      <c r="R35" s="1932">
        <v>25</v>
      </c>
      <c r="S35" s="1932">
        <v>50</v>
      </c>
      <c r="T35" s="1932">
        <v>141</v>
      </c>
      <c r="U35" s="1932">
        <v>67</v>
      </c>
      <c r="V35" s="1932">
        <v>67</v>
      </c>
      <c r="W35" s="1932">
        <v>66</v>
      </c>
      <c r="X35" s="1932">
        <v>50</v>
      </c>
      <c r="Y35" s="2626">
        <v>150</v>
      </c>
      <c r="Z35" s="1933">
        <f t="shared" si="6"/>
        <v>3703</v>
      </c>
      <c r="AB35" s="1938">
        <f t="shared" si="7"/>
        <v>11247.1917994</v>
      </c>
      <c r="AC35" s="1939">
        <v>300.745</v>
      </c>
      <c r="AD35" s="1937">
        <f t="shared" si="9"/>
        <v>11547.9367994</v>
      </c>
      <c r="AE35" s="1858"/>
      <c r="AF35" s="1937">
        <f t="shared" si="8"/>
        <v>15250.9367994</v>
      </c>
      <c r="AG35" s="1858"/>
    </row>
    <row r="36" spans="2:33">
      <c r="B36" s="1860" t="s">
        <v>742</v>
      </c>
      <c r="C36" s="1965"/>
      <c r="D36" s="1965"/>
      <c r="E36" s="1931">
        <v>2629</v>
      </c>
      <c r="F36" s="1932">
        <v>24</v>
      </c>
      <c r="G36" s="1932">
        <v>50</v>
      </c>
      <c r="H36" s="1932">
        <v>18</v>
      </c>
      <c r="I36" s="1932">
        <v>56</v>
      </c>
      <c r="J36" s="1932">
        <v>25</v>
      </c>
      <c r="K36" s="1932">
        <v>75</v>
      </c>
      <c r="L36" s="1932">
        <v>30</v>
      </c>
      <c r="M36" s="1932">
        <v>11</v>
      </c>
      <c r="N36" s="1932">
        <v>80</v>
      </c>
      <c r="O36" s="1932">
        <v>55</v>
      </c>
      <c r="P36" s="1932">
        <v>4</v>
      </c>
      <c r="Q36" s="1932">
        <v>30</v>
      </c>
      <c r="R36" s="1932">
        <v>25</v>
      </c>
      <c r="S36" s="1932">
        <v>0</v>
      </c>
      <c r="T36" s="1932">
        <v>138</v>
      </c>
      <c r="U36" s="1932">
        <v>67</v>
      </c>
      <c r="V36" s="1932">
        <v>67</v>
      </c>
      <c r="W36" s="1932">
        <v>66</v>
      </c>
      <c r="X36" s="1932">
        <v>50</v>
      </c>
      <c r="Y36" s="2626">
        <v>150</v>
      </c>
      <c r="Z36" s="1933">
        <f t="shared" si="6"/>
        <v>3650</v>
      </c>
      <c r="AB36" s="1938">
        <f t="shared" si="7"/>
        <v>11929.43705</v>
      </c>
      <c r="AC36" s="1939">
        <v>262.98200000000003</v>
      </c>
      <c r="AD36" s="1937">
        <f t="shared" si="9"/>
        <v>12192.41905</v>
      </c>
      <c r="AE36" s="1858"/>
      <c r="AF36" s="1937">
        <f t="shared" si="8"/>
        <v>15842.41905</v>
      </c>
      <c r="AG36" s="1858"/>
    </row>
    <row r="37" spans="2:33">
      <c r="B37" s="1860" t="s">
        <v>153</v>
      </c>
      <c r="C37" s="1965"/>
      <c r="D37" s="1965"/>
      <c r="E37" s="1931">
        <v>2629</v>
      </c>
      <c r="F37" s="1932">
        <v>24</v>
      </c>
      <c r="G37" s="1932">
        <v>50</v>
      </c>
      <c r="H37" s="1932">
        <v>18</v>
      </c>
      <c r="I37" s="1932">
        <v>56</v>
      </c>
      <c r="J37" s="1932">
        <v>25</v>
      </c>
      <c r="K37" s="1932">
        <v>75</v>
      </c>
      <c r="L37" s="1932">
        <v>30</v>
      </c>
      <c r="M37" s="1932">
        <v>11</v>
      </c>
      <c r="N37" s="1932">
        <v>80</v>
      </c>
      <c r="O37" s="1932">
        <v>55</v>
      </c>
      <c r="P37" s="1932">
        <v>4</v>
      </c>
      <c r="Q37" s="1932">
        <v>30</v>
      </c>
      <c r="R37" s="1932">
        <v>25</v>
      </c>
      <c r="S37" s="1932">
        <v>0</v>
      </c>
      <c r="T37" s="1932">
        <v>138</v>
      </c>
      <c r="U37" s="1932">
        <v>67</v>
      </c>
      <c r="V37" s="1932">
        <v>67</v>
      </c>
      <c r="W37" s="1932">
        <v>66</v>
      </c>
      <c r="X37" s="1932">
        <v>50</v>
      </c>
      <c r="Y37" s="2626">
        <v>150</v>
      </c>
      <c r="Z37" s="1933">
        <f t="shared" si="6"/>
        <v>3650</v>
      </c>
      <c r="AB37" s="1938">
        <f t="shared" si="7"/>
        <v>11393.376125000001</v>
      </c>
      <c r="AC37" s="1939">
        <v>316.24900000000002</v>
      </c>
      <c r="AD37" s="1937">
        <f t="shared" si="9"/>
        <v>11709.625125</v>
      </c>
      <c r="AE37" s="1858"/>
      <c r="AF37" s="1937">
        <f t="shared" si="8"/>
        <v>15359.625125</v>
      </c>
      <c r="AG37" s="1858"/>
    </row>
    <row r="38" spans="2:33">
      <c r="B38" s="1860" t="s">
        <v>741</v>
      </c>
      <c r="C38" s="1965"/>
      <c r="D38" s="1965"/>
      <c r="E38" s="1931">
        <v>2629</v>
      </c>
      <c r="F38" s="1932">
        <v>24</v>
      </c>
      <c r="G38" s="1932">
        <v>50</v>
      </c>
      <c r="H38" s="1932">
        <v>18</v>
      </c>
      <c r="I38" s="1932">
        <v>56</v>
      </c>
      <c r="J38" s="1932">
        <v>25</v>
      </c>
      <c r="K38" s="1932">
        <v>75</v>
      </c>
      <c r="L38" s="1932">
        <v>30</v>
      </c>
      <c r="M38" s="1932">
        <v>11</v>
      </c>
      <c r="N38" s="1932">
        <v>80</v>
      </c>
      <c r="O38" s="1932">
        <v>55</v>
      </c>
      <c r="P38" s="1932">
        <v>4</v>
      </c>
      <c r="Q38" s="1932">
        <v>30</v>
      </c>
      <c r="R38" s="1932">
        <v>25</v>
      </c>
      <c r="S38" s="1932">
        <v>0</v>
      </c>
      <c r="T38" s="1932">
        <v>138</v>
      </c>
      <c r="U38" s="1932">
        <v>67</v>
      </c>
      <c r="V38" s="1932">
        <v>67</v>
      </c>
      <c r="W38" s="1932">
        <v>66</v>
      </c>
      <c r="X38" s="1932">
        <v>50</v>
      </c>
      <c r="Y38" s="2626">
        <v>150</v>
      </c>
      <c r="Z38" s="1933">
        <f t="shared" si="6"/>
        <v>3650</v>
      </c>
      <c r="AB38" s="1938">
        <f t="shared" si="7"/>
        <v>9963.2002339999999</v>
      </c>
      <c r="AC38" s="1939">
        <v>312.97500000000002</v>
      </c>
      <c r="AD38" s="1937">
        <f t="shared" si="9"/>
        <v>10276.175234</v>
      </c>
      <c r="AE38" s="1858"/>
      <c r="AF38" s="1937">
        <f t="shared" si="8"/>
        <v>13926.175234</v>
      </c>
      <c r="AG38" s="1858"/>
    </row>
    <row r="39" spans="2:33">
      <c r="B39" s="1860" t="s">
        <v>155</v>
      </c>
      <c r="C39" s="1965"/>
      <c r="D39" s="1965"/>
      <c r="E39" s="1931">
        <v>2629</v>
      </c>
      <c r="F39" s="1932">
        <v>24</v>
      </c>
      <c r="G39" s="1932">
        <v>50</v>
      </c>
      <c r="H39" s="1932">
        <v>18</v>
      </c>
      <c r="I39" s="1932">
        <v>56</v>
      </c>
      <c r="J39" s="1932">
        <v>25</v>
      </c>
      <c r="K39" s="1932">
        <v>75</v>
      </c>
      <c r="L39" s="1932">
        <v>30</v>
      </c>
      <c r="M39" s="1932">
        <v>11</v>
      </c>
      <c r="N39" s="1932">
        <v>80</v>
      </c>
      <c r="O39" s="1932">
        <v>55</v>
      </c>
      <c r="P39" s="1932">
        <v>4</v>
      </c>
      <c r="Q39" s="1932">
        <v>30</v>
      </c>
      <c r="R39" s="1932">
        <v>25</v>
      </c>
      <c r="S39" s="1932">
        <v>0</v>
      </c>
      <c r="T39" s="1932">
        <v>138</v>
      </c>
      <c r="U39" s="1932">
        <v>67</v>
      </c>
      <c r="V39" s="1932">
        <v>67</v>
      </c>
      <c r="W39" s="1932">
        <v>66</v>
      </c>
      <c r="X39" s="1932">
        <v>50</v>
      </c>
      <c r="Y39" s="2626">
        <v>150</v>
      </c>
      <c r="Z39" s="1933">
        <f t="shared" si="6"/>
        <v>3650</v>
      </c>
      <c r="AB39" s="1938">
        <f t="shared" si="7"/>
        <v>8029.4099999999989</v>
      </c>
      <c r="AC39" s="1939">
        <v>289.298</v>
      </c>
      <c r="AD39" s="1937">
        <f t="shared" si="9"/>
        <v>8318.7079999999987</v>
      </c>
      <c r="AE39" s="1858"/>
      <c r="AF39" s="1937">
        <f t="shared" si="8"/>
        <v>11968.707999999999</v>
      </c>
      <c r="AG39" s="1858"/>
    </row>
    <row r="40" spans="2:33">
      <c r="B40" s="1860" t="s">
        <v>156</v>
      </c>
      <c r="C40" s="1965"/>
      <c r="D40" s="1965"/>
      <c r="E40" s="1931">
        <v>2534</v>
      </c>
      <c r="F40" s="1932">
        <v>24</v>
      </c>
      <c r="G40" s="1932">
        <v>50</v>
      </c>
      <c r="H40" s="1932">
        <v>18</v>
      </c>
      <c r="I40" s="1932">
        <v>56</v>
      </c>
      <c r="J40" s="1932">
        <v>25</v>
      </c>
      <c r="K40" s="1932">
        <v>0</v>
      </c>
      <c r="L40" s="1932">
        <v>30</v>
      </c>
      <c r="M40" s="1932">
        <v>11</v>
      </c>
      <c r="N40" s="1932">
        <v>80</v>
      </c>
      <c r="O40" s="1932">
        <v>74</v>
      </c>
      <c r="P40" s="1932">
        <v>4</v>
      </c>
      <c r="Q40" s="1932">
        <v>30</v>
      </c>
      <c r="R40" s="1932">
        <v>25</v>
      </c>
      <c r="S40" s="1932">
        <v>0</v>
      </c>
      <c r="T40" s="1932">
        <v>132</v>
      </c>
      <c r="U40" s="1932">
        <v>67</v>
      </c>
      <c r="V40" s="1932">
        <v>67</v>
      </c>
      <c r="W40" s="1932">
        <v>66</v>
      </c>
      <c r="X40" s="1932">
        <v>50</v>
      </c>
      <c r="Y40" s="2626">
        <v>150</v>
      </c>
      <c r="Z40" s="1933">
        <f t="shared" si="6"/>
        <v>3493</v>
      </c>
      <c r="AB40" s="1938">
        <f t="shared" si="7"/>
        <v>9177.7759999999998</v>
      </c>
      <c r="AC40" s="1939">
        <v>235.19800000000001</v>
      </c>
      <c r="AD40" s="1937">
        <f t="shared" si="9"/>
        <v>9412.9740000000002</v>
      </c>
      <c r="AE40" s="1858"/>
      <c r="AF40" s="1937">
        <f t="shared" si="8"/>
        <v>12905.974</v>
      </c>
      <c r="AG40" s="1858"/>
    </row>
    <row r="41" spans="2:33" ht="16.5" thickBot="1">
      <c r="B41" s="1860" t="s">
        <v>157</v>
      </c>
      <c r="C41" s="1965"/>
      <c r="D41" s="1963"/>
      <c r="E41" s="2627">
        <v>2534</v>
      </c>
      <c r="F41" s="2628">
        <v>24</v>
      </c>
      <c r="G41" s="2628">
        <v>50</v>
      </c>
      <c r="H41" s="2628">
        <v>18</v>
      </c>
      <c r="I41" s="2628">
        <v>56</v>
      </c>
      <c r="J41" s="2628">
        <v>25</v>
      </c>
      <c r="K41" s="2628">
        <v>0</v>
      </c>
      <c r="L41" s="2628">
        <v>30</v>
      </c>
      <c r="M41" s="2628">
        <v>11</v>
      </c>
      <c r="N41" s="2628">
        <v>80</v>
      </c>
      <c r="O41" s="2628">
        <v>74</v>
      </c>
      <c r="P41" s="2628">
        <v>4</v>
      </c>
      <c r="Q41" s="2628">
        <v>30</v>
      </c>
      <c r="R41" s="2628">
        <v>25</v>
      </c>
      <c r="S41" s="2628">
        <v>0</v>
      </c>
      <c r="T41" s="2628">
        <v>132</v>
      </c>
      <c r="U41" s="2628">
        <v>67</v>
      </c>
      <c r="V41" s="2628">
        <v>67</v>
      </c>
      <c r="W41" s="2628">
        <v>66</v>
      </c>
      <c r="X41" s="2628">
        <v>50</v>
      </c>
      <c r="Y41" s="2629">
        <v>150</v>
      </c>
      <c r="Z41" s="1933">
        <f t="shared" si="6"/>
        <v>3493</v>
      </c>
      <c r="AB41" s="1940">
        <f t="shared" si="7"/>
        <v>10111.509999999998</v>
      </c>
      <c r="AC41" s="1941">
        <v>249.46600000000001</v>
      </c>
      <c r="AD41" s="1942">
        <f t="shared" si="9"/>
        <v>10360.975999999999</v>
      </c>
      <c r="AE41" s="1858"/>
      <c r="AF41" s="1937">
        <f t="shared" si="8"/>
        <v>13853.975999999999</v>
      </c>
      <c r="AG41" s="1858"/>
    </row>
    <row r="42" spans="2:33" ht="16.5" thickBot="1">
      <c r="B42" s="1969" t="s">
        <v>282</v>
      </c>
      <c r="C42" s="1970"/>
      <c r="D42" s="1971"/>
      <c r="E42" s="1910">
        <f t="shared" ref="E42:Y42" si="10">SUM(E30:E41)</f>
        <v>30883</v>
      </c>
      <c r="F42" s="1909">
        <f t="shared" si="10"/>
        <v>288</v>
      </c>
      <c r="G42" s="1909">
        <f t="shared" si="10"/>
        <v>600</v>
      </c>
      <c r="H42" s="1909">
        <f t="shared" si="10"/>
        <v>216</v>
      </c>
      <c r="I42" s="1909">
        <f t="shared" si="10"/>
        <v>672</v>
      </c>
      <c r="J42" s="1909">
        <f t="shared" si="10"/>
        <v>300</v>
      </c>
      <c r="K42" s="1909">
        <f t="shared" si="10"/>
        <v>375</v>
      </c>
      <c r="L42" s="1909">
        <f t="shared" si="10"/>
        <v>360</v>
      </c>
      <c r="M42" s="1909">
        <f t="shared" si="10"/>
        <v>132</v>
      </c>
      <c r="N42" s="1909">
        <f t="shared" si="10"/>
        <v>960</v>
      </c>
      <c r="O42" s="1909">
        <f t="shared" si="10"/>
        <v>793</v>
      </c>
      <c r="P42" s="1909">
        <f t="shared" si="10"/>
        <v>48</v>
      </c>
      <c r="Q42" s="1909">
        <f>SUM(Q30:Q41)</f>
        <v>360</v>
      </c>
      <c r="R42" s="1909">
        <f t="shared" si="10"/>
        <v>300</v>
      </c>
      <c r="S42" s="1909">
        <f t="shared" si="10"/>
        <v>300</v>
      </c>
      <c r="T42" s="1909">
        <f t="shared" si="10"/>
        <v>1627</v>
      </c>
      <c r="U42" s="1909">
        <f t="shared" si="10"/>
        <v>804</v>
      </c>
      <c r="V42" s="1909">
        <f t="shared" si="10"/>
        <v>804</v>
      </c>
      <c r="W42" s="1909">
        <f t="shared" si="10"/>
        <v>792</v>
      </c>
      <c r="X42" s="1909">
        <f t="shared" si="10"/>
        <v>600</v>
      </c>
      <c r="Y42" s="1909">
        <f t="shared" si="10"/>
        <v>1800</v>
      </c>
      <c r="Z42" s="1943">
        <f>SUM(Z30:Z41)</f>
        <v>43014</v>
      </c>
      <c r="AB42" s="1944">
        <f>SUM(AB30:AB41)</f>
        <v>114653.36319819998</v>
      </c>
      <c r="AC42" s="1944">
        <f>SUM(AC30:AC41)</f>
        <v>3299.5109999999995</v>
      </c>
      <c r="AD42" s="1944">
        <f>SUM(AD30:AD41)</f>
        <v>117952.87419819999</v>
      </c>
      <c r="AE42" s="1858"/>
      <c r="AF42" s="1944">
        <f>SUM(AF30:AF41)</f>
        <v>160966.87419819998</v>
      </c>
      <c r="AG42" s="1858"/>
    </row>
    <row r="43" spans="2:33" ht="16.5" thickBot="1">
      <c r="B43" s="1899" t="s">
        <v>1721</v>
      </c>
      <c r="C43" s="1900"/>
      <c r="D43" s="1901"/>
      <c r="E43" s="1910">
        <f t="shared" ref="E43:Y43" si="11">+E42/12</f>
        <v>2573.5833333333335</v>
      </c>
      <c r="F43" s="1909">
        <f t="shared" si="11"/>
        <v>24</v>
      </c>
      <c r="G43" s="1909">
        <f t="shared" si="11"/>
        <v>50</v>
      </c>
      <c r="H43" s="1909">
        <f t="shared" si="11"/>
        <v>18</v>
      </c>
      <c r="I43" s="1909">
        <f t="shared" si="11"/>
        <v>56</v>
      </c>
      <c r="J43" s="1909">
        <f t="shared" si="11"/>
        <v>25</v>
      </c>
      <c r="K43" s="1909">
        <f t="shared" si="11"/>
        <v>31.25</v>
      </c>
      <c r="L43" s="1909">
        <f t="shared" si="11"/>
        <v>30</v>
      </c>
      <c r="M43" s="1909">
        <f t="shared" si="11"/>
        <v>11</v>
      </c>
      <c r="N43" s="1909">
        <f t="shared" si="11"/>
        <v>80</v>
      </c>
      <c r="O43" s="1909">
        <f t="shared" si="11"/>
        <v>66.083333333333329</v>
      </c>
      <c r="P43" s="1909">
        <f t="shared" si="11"/>
        <v>4</v>
      </c>
      <c r="Q43" s="1909">
        <f>+Q42/12</f>
        <v>30</v>
      </c>
      <c r="R43" s="1909">
        <f t="shared" si="11"/>
        <v>25</v>
      </c>
      <c r="S43" s="1909">
        <f t="shared" si="11"/>
        <v>25</v>
      </c>
      <c r="T43" s="1909">
        <f t="shared" si="11"/>
        <v>135.58333333333334</v>
      </c>
      <c r="U43" s="1909">
        <f t="shared" si="11"/>
        <v>67</v>
      </c>
      <c r="V43" s="1909">
        <f t="shared" si="11"/>
        <v>67</v>
      </c>
      <c r="W43" s="1909">
        <f t="shared" si="11"/>
        <v>66</v>
      </c>
      <c r="X43" s="1909">
        <f t="shared" si="11"/>
        <v>50</v>
      </c>
      <c r="Y43" s="1909">
        <f t="shared" si="11"/>
        <v>150</v>
      </c>
      <c r="Z43" s="1943">
        <f>+Z42/12</f>
        <v>3584.5</v>
      </c>
      <c r="AB43" s="1944">
        <f>+AB42/12</f>
        <v>9554.4469331833316</v>
      </c>
      <c r="AC43" s="1944">
        <f>+AC42/12</f>
        <v>274.95924999999994</v>
      </c>
      <c r="AD43" s="1944">
        <f>+AD42/12</f>
        <v>9829.4061831833333</v>
      </c>
      <c r="AE43" s="1858"/>
      <c r="AF43" s="1945">
        <f>+AF42/12</f>
        <v>13413.906183183331</v>
      </c>
      <c r="AG43" s="1858"/>
    </row>
    <row r="52" spans="18:20">
      <c r="R52" s="1946"/>
      <c r="T52" s="1947"/>
    </row>
    <row r="53" spans="18:20">
      <c r="R53" s="1946"/>
    </row>
    <row r="55" spans="18:20">
      <c r="R55" s="1904"/>
    </row>
    <row r="56" spans="18:20">
      <c r="R56" s="1947"/>
    </row>
  </sheetData>
  <mergeCells count="4">
    <mergeCell ref="AF28:AF29"/>
    <mergeCell ref="E25:Y25"/>
    <mergeCell ref="W5:AB5"/>
    <mergeCell ref="E5:U5"/>
  </mergeCells>
  <pageMargins left="0.45" right="0.45" top="0.75" bottom="0.75" header="0.3" footer="0.3"/>
  <pageSetup scale="10"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A1:O18"/>
  <sheetViews>
    <sheetView zoomScaleNormal="100" workbookViewId="0"/>
  </sheetViews>
  <sheetFormatPr defaultColWidth="9.140625" defaultRowHeight="15"/>
  <cols>
    <col min="1" max="1" width="1.85546875" style="1748" customWidth="1"/>
    <col min="2" max="3" width="20.7109375" style="1748" customWidth="1"/>
    <col min="4" max="4" width="33.140625" style="1748" bestFit="1" customWidth="1"/>
    <col min="5" max="5" width="20.7109375" style="1748" customWidth="1"/>
    <col min="6" max="6" width="1.42578125" style="1748" customWidth="1"/>
    <col min="7" max="8" width="9.140625" style="1748"/>
    <col min="9" max="9" width="9.7109375" style="1748" bestFit="1" customWidth="1"/>
    <col min="10" max="10" width="13.5703125" style="1748" bestFit="1" customWidth="1"/>
    <col min="11" max="11" width="9.140625" style="1748"/>
    <col min="12" max="12" width="14.5703125" style="1748" bestFit="1" customWidth="1"/>
    <col min="13" max="16384" width="9.140625" style="1748"/>
  </cols>
  <sheetData>
    <row r="1" spans="1:15" s="437" customFormat="1" ht="15.75">
      <c r="A1" s="1746"/>
      <c r="B1" s="2731" t="s">
        <v>365</v>
      </c>
      <c r="C1" s="2731"/>
      <c r="D1" s="2731"/>
      <c r="E1" s="2731"/>
      <c r="F1" s="1528"/>
      <c r="G1" s="1528"/>
      <c r="H1" s="1528"/>
      <c r="I1" s="1528"/>
      <c r="J1" s="1528"/>
      <c r="K1" s="1528"/>
      <c r="L1" s="1528"/>
      <c r="M1" s="1528"/>
      <c r="N1" s="1528"/>
      <c r="O1" s="1528"/>
    </row>
    <row r="2" spans="1:15" s="437" customFormat="1">
      <c r="A2" s="1746"/>
      <c r="B2" s="2732" t="s">
        <v>463</v>
      </c>
      <c r="C2" s="2732"/>
      <c r="D2" s="2732"/>
      <c r="E2" s="2732"/>
      <c r="F2" s="1528"/>
      <c r="G2" s="1528"/>
      <c r="H2" s="1528"/>
      <c r="I2" s="1528"/>
      <c r="J2" s="1528"/>
      <c r="K2" s="1528"/>
      <c r="L2" s="1528"/>
      <c r="M2" s="1528"/>
      <c r="N2" s="1528"/>
      <c r="O2" s="1528"/>
    </row>
    <row r="3" spans="1:15" s="437" customFormat="1" ht="12.75">
      <c r="A3" s="1746"/>
      <c r="B3" s="2733"/>
      <c r="C3" s="2733"/>
      <c r="D3" s="2733"/>
      <c r="E3" s="2733"/>
      <c r="F3" s="1526"/>
      <c r="G3" s="1526"/>
      <c r="H3" s="1526"/>
      <c r="I3" s="1526"/>
      <c r="J3" s="1526"/>
      <c r="K3" s="1526"/>
      <c r="L3" s="1526"/>
      <c r="M3" s="1526"/>
      <c r="N3" s="1526"/>
      <c r="O3" s="1526"/>
    </row>
    <row r="4" spans="1:15">
      <c r="A4" s="1747"/>
      <c r="B4" s="1747"/>
      <c r="C4" s="1747"/>
      <c r="D4" s="1747"/>
      <c r="E4" s="1747"/>
      <c r="F4" s="1747"/>
    </row>
    <row r="5" spans="1:15">
      <c r="A5" s="1747"/>
      <c r="B5" s="1749" t="s">
        <v>939</v>
      </c>
      <c r="C5" s="1747"/>
      <c r="D5" s="1747"/>
      <c r="E5" s="1747"/>
      <c r="F5" s="1747"/>
    </row>
    <row r="6" spans="1:15">
      <c r="A6" s="1747"/>
      <c r="B6" s="1747"/>
      <c r="C6" s="1747"/>
      <c r="D6" s="1747"/>
      <c r="E6" s="1747"/>
      <c r="F6" s="1747"/>
    </row>
    <row r="7" spans="1:15">
      <c r="A7" s="1747"/>
      <c r="B7" s="1733" t="s">
        <v>366</v>
      </c>
      <c r="C7" s="1733" t="s">
        <v>367</v>
      </c>
      <c r="D7" s="1734" t="s">
        <v>24</v>
      </c>
      <c r="E7" s="1735" t="s">
        <v>158</v>
      </c>
      <c r="F7" s="1747"/>
    </row>
    <row r="8" spans="1:15">
      <c r="A8" s="1747"/>
      <c r="B8" s="1739">
        <v>1110000</v>
      </c>
      <c r="C8" s="1739">
        <v>146140</v>
      </c>
      <c r="D8" s="1739" t="s">
        <v>368</v>
      </c>
      <c r="E8" s="1738">
        <v>-410345639</v>
      </c>
      <c r="F8" s="1747"/>
      <c r="H8" s="1744"/>
      <c r="I8" s="1744"/>
      <c r="J8" s="1736"/>
      <c r="K8" s="1744"/>
      <c r="L8" s="1743"/>
    </row>
    <row r="9" spans="1:15">
      <c r="A9" s="1747"/>
      <c r="B9" s="1737">
        <v>1110000</v>
      </c>
      <c r="C9" s="1739">
        <v>146200</v>
      </c>
      <c r="D9" s="1739" t="s">
        <v>369</v>
      </c>
      <c r="E9" s="1738">
        <v>-108460407.93000001</v>
      </c>
      <c r="F9" s="1747"/>
      <c r="J9" s="1743"/>
      <c r="L9" s="1743"/>
    </row>
    <row r="10" spans="1:15">
      <c r="A10" s="1747"/>
      <c r="B10" s="1737">
        <v>1110000</v>
      </c>
      <c r="C10" s="1739">
        <v>146201</v>
      </c>
      <c r="D10" s="1739" t="s">
        <v>1723</v>
      </c>
      <c r="E10" s="1738">
        <v>1122930.45</v>
      </c>
      <c r="F10" s="1747"/>
      <c r="J10" s="1743"/>
      <c r="L10" s="1743"/>
    </row>
    <row r="11" spans="1:15">
      <c r="A11" s="1747"/>
      <c r="B11" s="1737">
        <v>1110000</v>
      </c>
      <c r="C11" s="1739">
        <v>146210</v>
      </c>
      <c r="D11" s="1739" t="s">
        <v>370</v>
      </c>
      <c r="E11" s="1738">
        <v>-15285417.15</v>
      </c>
      <c r="F11" s="1747"/>
      <c r="J11" s="1743"/>
      <c r="L11" s="1743"/>
    </row>
    <row r="12" spans="1:15">
      <c r="A12" s="1747"/>
      <c r="B12" s="1737">
        <v>1110000</v>
      </c>
      <c r="C12" s="1739">
        <v>146230</v>
      </c>
      <c r="D12" s="1739" t="s">
        <v>483</v>
      </c>
      <c r="E12" s="1738">
        <v>-17584778.800000001</v>
      </c>
      <c r="F12" s="1747"/>
      <c r="J12" s="1743"/>
      <c r="L12" s="1743"/>
    </row>
    <row r="13" spans="1:15">
      <c r="A13" s="1747"/>
      <c r="B13" s="1740"/>
      <c r="C13" s="1740"/>
      <c r="D13" s="1741" t="s">
        <v>1408</v>
      </c>
      <c r="E13" s="1742">
        <f>SUM(E8:E12)</f>
        <v>-550553312.42999995</v>
      </c>
      <c r="G13" s="2249" t="s">
        <v>2090</v>
      </c>
    </row>
    <row r="14" spans="1:15">
      <c r="A14" s="1747"/>
      <c r="B14" s="1747"/>
      <c r="C14" s="1747"/>
      <c r="D14" s="1747"/>
      <c r="E14" s="1747"/>
      <c r="F14" s="1747"/>
      <c r="J14" s="1743"/>
      <c r="L14" s="1743"/>
    </row>
    <row r="15" spans="1:15">
      <c r="A15" s="1747"/>
      <c r="B15" s="1747"/>
      <c r="C15" s="1747"/>
      <c r="D15" s="1747"/>
      <c r="E15" s="1747"/>
      <c r="F15" s="1747"/>
    </row>
    <row r="16" spans="1:15">
      <c r="A16" s="1747"/>
      <c r="B16" s="1747"/>
      <c r="C16" s="1747"/>
      <c r="D16" s="1747"/>
      <c r="E16" s="1747"/>
      <c r="F16" s="1747"/>
    </row>
    <row r="17" spans="1:6">
      <c r="A17" s="1747"/>
      <c r="B17" s="1747"/>
      <c r="C17" s="1747"/>
      <c r="D17" s="1747"/>
      <c r="E17" s="1747"/>
      <c r="F17" s="1747"/>
    </row>
    <row r="18" spans="1:6">
      <c r="A18" s="1747"/>
      <c r="B18" s="1747"/>
      <c r="C18" s="1747"/>
      <c r="D18" s="1747"/>
      <c r="E18" s="1747"/>
      <c r="F18" s="1747"/>
    </row>
  </sheetData>
  <mergeCells count="3">
    <mergeCell ref="B1:E1"/>
    <mergeCell ref="B2:E2"/>
    <mergeCell ref="B3:E3"/>
  </mergeCells>
  <pageMargins left="0.7" right="0.7" top="0.75" bottom="0.75" header="0.3" footer="0.3"/>
  <pageSetup scale="93"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63"/>
  <sheetViews>
    <sheetView zoomScaleNormal="100" workbookViewId="0"/>
  </sheetViews>
  <sheetFormatPr defaultColWidth="9.140625" defaultRowHeight="15"/>
  <cols>
    <col min="1" max="1" width="4.85546875" style="2446" customWidth="1"/>
    <col min="2" max="3" width="17.85546875" style="2446" customWidth="1"/>
    <col min="4" max="4" width="42.42578125" style="2446" customWidth="1"/>
    <col min="5" max="5" width="17.7109375" style="2446" customWidth="1"/>
    <col min="6" max="6" width="18" style="2472" customWidth="1"/>
    <col min="7" max="8" width="18" style="2446" customWidth="1"/>
    <col min="9" max="12" width="17.7109375" style="2446" customWidth="1"/>
    <col min="13" max="13" width="9.140625" style="2446"/>
    <col min="14" max="14" width="15.28515625" style="2447" customWidth="1"/>
    <col min="15" max="15" width="15" style="2446" customWidth="1"/>
    <col min="16" max="16384" width="9.140625" style="2446"/>
  </cols>
  <sheetData>
    <row r="1" spans="1:17" s="437" customFormat="1" ht="15.75">
      <c r="A1" s="2440"/>
      <c r="B1" s="1558" t="s">
        <v>365</v>
      </c>
      <c r="C1" s="1557"/>
      <c r="D1" s="1557"/>
      <c r="E1" s="1557"/>
      <c r="F1" s="1557"/>
      <c r="G1" s="1557"/>
      <c r="H1" s="1557"/>
      <c r="I1" s="1557"/>
      <c r="J1" s="1557"/>
      <c r="K1" s="1557"/>
      <c r="L1" s="1557"/>
      <c r="M1" s="1528"/>
      <c r="N1" s="2441"/>
      <c r="O1" s="1528"/>
      <c r="P1" s="1528"/>
      <c r="Q1" s="1528"/>
    </row>
    <row r="2" spans="1:17" s="437" customFormat="1" ht="15.75">
      <c r="A2" s="2440"/>
      <c r="B2" s="1558" t="s">
        <v>464</v>
      </c>
      <c r="C2" s="1557"/>
      <c r="D2" s="1557"/>
      <c r="E2" s="1557"/>
      <c r="F2" s="1557"/>
      <c r="G2" s="1557"/>
      <c r="H2" s="1557"/>
      <c r="I2" s="1557"/>
      <c r="J2" s="1557"/>
      <c r="K2" s="1557"/>
      <c r="L2" s="1557"/>
      <c r="M2" s="1528"/>
      <c r="N2" s="2441"/>
      <c r="O2" s="1528"/>
      <c r="P2" s="1528"/>
      <c r="Q2" s="1528"/>
    </row>
    <row r="3" spans="1:17" s="437" customFormat="1" ht="12.75">
      <c r="A3" s="2440"/>
      <c r="B3" s="1526"/>
      <c r="C3" s="1526"/>
      <c r="D3" s="1526"/>
      <c r="E3" s="1526"/>
      <c r="F3" s="1526"/>
      <c r="G3" s="1526"/>
      <c r="H3" s="1526"/>
      <c r="I3" s="1526"/>
      <c r="J3" s="1526"/>
      <c r="K3" s="1526"/>
      <c r="L3" s="1526"/>
      <c r="M3" s="1526"/>
      <c r="N3" s="2442"/>
      <c r="O3" s="1526"/>
      <c r="P3" s="1526"/>
      <c r="Q3" s="1526"/>
    </row>
    <row r="4" spans="1:17">
      <c r="A4" s="2443"/>
      <c r="B4" s="2444" t="s">
        <v>2099</v>
      </c>
      <c r="C4" s="2445"/>
      <c r="D4" s="2445"/>
      <c r="E4" s="2445"/>
      <c r="F4" s="2445"/>
      <c r="G4" s="2445"/>
      <c r="H4" s="2445"/>
      <c r="I4" s="2445"/>
      <c r="J4" s="2445"/>
      <c r="K4" s="2445"/>
      <c r="L4" s="2445"/>
    </row>
    <row r="5" spans="1:17" s="436" customFormat="1" ht="13.5" thickBot="1">
      <c r="A5" s="437"/>
      <c r="B5" s="437"/>
      <c r="C5" s="437"/>
      <c r="D5" s="437"/>
      <c r="E5" s="437"/>
      <c r="F5" s="437"/>
      <c r="G5" s="437"/>
      <c r="H5" s="2448"/>
      <c r="I5" s="437"/>
      <c r="J5" s="437"/>
      <c r="K5" s="437"/>
      <c r="L5" s="437"/>
      <c r="N5" s="2365"/>
    </row>
    <row r="6" spans="1:17" ht="29.25" customHeight="1" thickBot="1">
      <c r="A6" s="2443"/>
      <c r="B6" s="2449" t="s">
        <v>366</v>
      </c>
      <c r="C6" s="2450" t="s">
        <v>367</v>
      </c>
      <c r="D6" s="2451" t="s">
        <v>858</v>
      </c>
      <c r="E6" s="2452" t="s">
        <v>857</v>
      </c>
      <c r="F6" s="2453" t="s">
        <v>2100</v>
      </c>
      <c r="G6" s="2453" t="s">
        <v>2101</v>
      </c>
      <c r="H6" s="2453" t="s">
        <v>854</v>
      </c>
      <c r="I6" s="2454" t="s">
        <v>104</v>
      </c>
      <c r="J6" s="2455" t="s">
        <v>820</v>
      </c>
      <c r="K6" s="2455" t="s">
        <v>855</v>
      </c>
      <c r="L6" s="2455" t="s">
        <v>856</v>
      </c>
    </row>
    <row r="7" spans="1:17">
      <c r="A7" s="2443"/>
      <c r="B7" s="1556">
        <v>1651000</v>
      </c>
      <c r="C7" s="2456">
        <v>132008</v>
      </c>
      <c r="D7" s="2456" t="s">
        <v>2102</v>
      </c>
      <c r="E7" s="2457" t="s">
        <v>855</v>
      </c>
      <c r="F7" s="2458">
        <v>2201686.75</v>
      </c>
      <c r="G7" s="2458">
        <v>2216269.61</v>
      </c>
      <c r="H7" s="2459">
        <f>AVERAGE(F7:G7)</f>
        <v>2208978.1799999997</v>
      </c>
      <c r="I7" s="2460" t="str">
        <f>IF($E7=I$6,$H7,"")</f>
        <v/>
      </c>
      <c r="J7" s="2461" t="str">
        <f t="shared" ref="J7:L27" si="0">IF($E7=J$6,$H7,"")</f>
        <v/>
      </c>
      <c r="K7" s="2461">
        <f t="shared" si="0"/>
        <v>2208978.1799999997</v>
      </c>
      <c r="L7" s="2462" t="str">
        <f t="shared" si="0"/>
        <v/>
      </c>
      <c r="M7" s="2463"/>
      <c r="O7" s="2464"/>
    </row>
    <row r="8" spans="1:17">
      <c r="A8" s="2443"/>
      <c r="B8" s="2140"/>
      <c r="C8" s="2141">
        <v>132012</v>
      </c>
      <c r="D8" s="2141" t="s">
        <v>484</v>
      </c>
      <c r="E8" s="2465" t="s">
        <v>855</v>
      </c>
      <c r="F8" s="2458">
        <v>4262187.6900000004</v>
      </c>
      <c r="G8" s="2458">
        <v>3852033.66</v>
      </c>
      <c r="H8" s="2459">
        <f t="shared" ref="H8:H51" si="1">AVERAGE(F8:G8)</f>
        <v>4057110.6750000003</v>
      </c>
      <c r="I8" s="2460" t="str">
        <f t="shared" ref="I8:L52" si="2">IF($E8=I$6,$H8,"")</f>
        <v/>
      </c>
      <c r="J8" s="2461" t="str">
        <f t="shared" si="0"/>
        <v/>
      </c>
      <c r="K8" s="2461">
        <f t="shared" si="0"/>
        <v>4057110.6750000003</v>
      </c>
      <c r="L8" s="2462" t="str">
        <f t="shared" si="0"/>
        <v/>
      </c>
      <c r="M8" s="2463"/>
      <c r="O8" s="2464"/>
    </row>
    <row r="9" spans="1:17">
      <c r="A9" s="2443"/>
      <c r="B9" s="2140"/>
      <c r="C9" s="2141">
        <v>132013</v>
      </c>
      <c r="D9" s="2141" t="s">
        <v>485</v>
      </c>
      <c r="E9" s="2143" t="s">
        <v>856</v>
      </c>
      <c r="F9" s="2458">
        <v>0</v>
      </c>
      <c r="G9" s="2458">
        <v>0</v>
      </c>
      <c r="H9" s="2459">
        <f t="shared" si="1"/>
        <v>0</v>
      </c>
      <c r="I9" s="2460" t="str">
        <f t="shared" si="2"/>
        <v/>
      </c>
      <c r="J9" s="2461" t="str">
        <f t="shared" si="0"/>
        <v/>
      </c>
      <c r="K9" s="2461" t="str">
        <f t="shared" si="0"/>
        <v/>
      </c>
      <c r="L9" s="2462"/>
      <c r="M9" s="2463"/>
      <c r="O9" s="2464"/>
    </row>
    <row r="10" spans="1:17">
      <c r="A10" s="2443"/>
      <c r="B10" s="2140"/>
      <c r="C10" s="2141">
        <v>132016</v>
      </c>
      <c r="D10" s="2141" t="s">
        <v>486</v>
      </c>
      <c r="E10" s="2143" t="s">
        <v>104</v>
      </c>
      <c r="F10" s="2458">
        <v>353349.33</v>
      </c>
      <c r="G10" s="2458">
        <v>410123.13</v>
      </c>
      <c r="H10" s="2459">
        <f t="shared" si="1"/>
        <v>381736.23</v>
      </c>
      <c r="I10" s="2460">
        <f t="shared" si="2"/>
        <v>381736.23</v>
      </c>
      <c r="J10" s="2461" t="str">
        <f t="shared" si="0"/>
        <v/>
      </c>
      <c r="K10" s="2461" t="str">
        <f t="shared" si="0"/>
        <v/>
      </c>
      <c r="L10" s="2462" t="str">
        <f t="shared" si="0"/>
        <v/>
      </c>
      <c r="M10" s="2463"/>
      <c r="O10" s="2464"/>
    </row>
    <row r="11" spans="1:17">
      <c r="A11" s="2443"/>
      <c r="B11" s="2140"/>
      <c r="C11" s="2141">
        <v>132045</v>
      </c>
      <c r="D11" s="2141" t="s">
        <v>487</v>
      </c>
      <c r="E11" s="2143" t="s">
        <v>856</v>
      </c>
      <c r="F11" s="2458">
        <v>203981.49</v>
      </c>
      <c r="G11" s="2458">
        <v>212406.21</v>
      </c>
      <c r="H11" s="2459">
        <f t="shared" si="1"/>
        <v>208193.84999999998</v>
      </c>
      <c r="I11" s="2460" t="str">
        <f t="shared" si="2"/>
        <v/>
      </c>
      <c r="J11" s="2461" t="str">
        <f t="shared" si="0"/>
        <v/>
      </c>
      <c r="K11" s="2461" t="str">
        <f t="shared" si="0"/>
        <v/>
      </c>
      <c r="L11" s="2462">
        <f t="shared" si="0"/>
        <v>208193.84999999998</v>
      </c>
      <c r="M11" s="2463"/>
      <c r="O11" s="2464"/>
    </row>
    <row r="12" spans="1:17">
      <c r="A12" s="2443"/>
      <c r="B12" s="2140"/>
      <c r="C12" s="2141">
        <v>132055</v>
      </c>
      <c r="D12" s="2141" t="s">
        <v>488</v>
      </c>
      <c r="E12" s="2143" t="s">
        <v>856</v>
      </c>
      <c r="F12" s="2458">
        <v>1130693.2</v>
      </c>
      <c r="G12" s="2458">
        <v>54129.55</v>
      </c>
      <c r="H12" s="2459">
        <f t="shared" si="1"/>
        <v>592411.375</v>
      </c>
      <c r="I12" s="2460" t="str">
        <f t="shared" si="2"/>
        <v/>
      </c>
      <c r="J12" s="2461" t="str">
        <f t="shared" si="0"/>
        <v/>
      </c>
      <c r="K12" s="2461" t="str">
        <f t="shared" si="0"/>
        <v/>
      </c>
      <c r="L12" s="2462">
        <f t="shared" si="0"/>
        <v>592411.375</v>
      </c>
      <c r="M12" s="2463"/>
      <c r="O12" s="2464"/>
    </row>
    <row r="13" spans="1:17">
      <c r="A13" s="2443"/>
      <c r="B13" s="2140"/>
      <c r="C13" s="2141">
        <v>132722</v>
      </c>
      <c r="D13" s="2141" t="s">
        <v>489</v>
      </c>
      <c r="E13" s="2143" t="s">
        <v>855</v>
      </c>
      <c r="F13" s="2458">
        <v>0</v>
      </c>
      <c r="G13" s="2458">
        <v>0</v>
      </c>
      <c r="H13" s="2459">
        <f t="shared" si="1"/>
        <v>0</v>
      </c>
      <c r="I13" s="2460" t="str">
        <f t="shared" si="2"/>
        <v/>
      </c>
      <c r="J13" s="2461" t="str">
        <f t="shared" si="0"/>
        <v/>
      </c>
      <c r="K13" s="2461"/>
      <c r="L13" s="2462" t="str">
        <f t="shared" si="0"/>
        <v/>
      </c>
      <c r="M13" s="2463"/>
      <c r="O13" s="2464"/>
    </row>
    <row r="14" spans="1:17">
      <c r="A14" s="2443"/>
      <c r="B14" s="2140"/>
      <c r="C14" s="2141">
        <v>132723</v>
      </c>
      <c r="D14" s="2141" t="s">
        <v>490</v>
      </c>
      <c r="E14" s="2143" t="s">
        <v>855</v>
      </c>
      <c r="F14" s="2458">
        <v>0</v>
      </c>
      <c r="G14" s="2458">
        <v>0</v>
      </c>
      <c r="H14" s="2459">
        <f t="shared" si="1"/>
        <v>0</v>
      </c>
      <c r="I14" s="2460" t="str">
        <f t="shared" si="2"/>
        <v/>
      </c>
      <c r="J14" s="2461" t="str">
        <f t="shared" si="0"/>
        <v/>
      </c>
      <c r="K14" s="2461"/>
      <c r="L14" s="2462" t="str">
        <f t="shared" si="0"/>
        <v/>
      </c>
      <c r="M14" s="2463"/>
      <c r="O14" s="2464"/>
    </row>
    <row r="15" spans="1:17">
      <c r="A15" s="2443"/>
      <c r="B15" s="2140">
        <v>1652000</v>
      </c>
      <c r="C15" s="2141">
        <v>132101</v>
      </c>
      <c r="D15" s="2141" t="s">
        <v>491</v>
      </c>
      <c r="E15" s="2143" t="s">
        <v>855</v>
      </c>
      <c r="F15" s="2458">
        <v>11864822.09</v>
      </c>
      <c r="G15" s="2458">
        <v>12155895.029999999</v>
      </c>
      <c r="H15" s="2459">
        <f t="shared" si="1"/>
        <v>12010358.559999999</v>
      </c>
      <c r="I15" s="2460" t="str">
        <f t="shared" si="2"/>
        <v/>
      </c>
      <c r="J15" s="2461" t="str">
        <f t="shared" si="0"/>
        <v/>
      </c>
      <c r="K15" s="2461">
        <f t="shared" si="0"/>
        <v>12010358.559999999</v>
      </c>
      <c r="L15" s="2462" t="str">
        <f t="shared" si="0"/>
        <v/>
      </c>
      <c r="M15" s="2463"/>
      <c r="O15" s="2464"/>
    </row>
    <row r="16" spans="1:17">
      <c r="A16" s="2443"/>
      <c r="B16" s="2140"/>
      <c r="C16" s="2141">
        <v>132200</v>
      </c>
      <c r="D16" s="2141" t="s">
        <v>492</v>
      </c>
      <c r="E16" s="2143" t="s">
        <v>104</v>
      </c>
      <c r="F16" s="2458">
        <v>5000</v>
      </c>
      <c r="G16" s="2458">
        <v>0</v>
      </c>
      <c r="H16" s="2459">
        <f t="shared" si="1"/>
        <v>2500</v>
      </c>
      <c r="I16" s="2460">
        <f t="shared" si="2"/>
        <v>2500</v>
      </c>
      <c r="J16" s="2461" t="str">
        <f t="shared" si="0"/>
        <v/>
      </c>
      <c r="K16" s="2461" t="str">
        <f t="shared" si="0"/>
        <v/>
      </c>
      <c r="L16" s="2462" t="str">
        <f t="shared" si="0"/>
        <v/>
      </c>
      <c r="M16" s="2463"/>
      <c r="O16" s="2464"/>
    </row>
    <row r="17" spans="1:15">
      <c r="A17" s="2443"/>
      <c r="B17" s="2140"/>
      <c r="C17" s="2141">
        <v>132924</v>
      </c>
      <c r="D17" s="2141" t="s">
        <v>493</v>
      </c>
      <c r="E17" s="2143" t="s">
        <v>104</v>
      </c>
      <c r="F17" s="2458">
        <v>727667</v>
      </c>
      <c r="G17" s="2458">
        <v>747459.5</v>
      </c>
      <c r="H17" s="2459">
        <f t="shared" si="1"/>
        <v>737563.25</v>
      </c>
      <c r="I17" s="2460">
        <f t="shared" si="2"/>
        <v>737563.25</v>
      </c>
      <c r="J17" s="2461" t="str">
        <f t="shared" si="0"/>
        <v/>
      </c>
      <c r="K17" s="2461" t="str">
        <f t="shared" si="0"/>
        <v/>
      </c>
      <c r="L17" s="2462" t="str">
        <f t="shared" si="0"/>
        <v/>
      </c>
      <c r="M17" s="2463"/>
      <c r="O17" s="2464"/>
    </row>
    <row r="18" spans="1:15">
      <c r="A18" s="2443"/>
      <c r="B18" s="2140">
        <v>1652100</v>
      </c>
      <c r="C18" s="2141">
        <v>132095</v>
      </c>
      <c r="D18" s="2141" t="s">
        <v>494</v>
      </c>
      <c r="E18" s="2143" t="s">
        <v>104</v>
      </c>
      <c r="F18" s="2458">
        <v>579127.84</v>
      </c>
      <c r="G18" s="2458">
        <v>606916.27</v>
      </c>
      <c r="H18" s="2459">
        <f t="shared" si="1"/>
        <v>593022.05499999993</v>
      </c>
      <c r="I18" s="2460">
        <f t="shared" si="2"/>
        <v>593022.05499999993</v>
      </c>
      <c r="J18" s="2461" t="str">
        <f t="shared" si="0"/>
        <v/>
      </c>
      <c r="K18" s="2461" t="str">
        <f t="shared" si="0"/>
        <v/>
      </c>
      <c r="L18" s="2462" t="str">
        <f t="shared" si="0"/>
        <v/>
      </c>
      <c r="M18" s="2463"/>
      <c r="O18" s="2464"/>
    </row>
    <row r="19" spans="1:15">
      <c r="A19" s="2443"/>
      <c r="B19" s="2140"/>
      <c r="C19" s="2141">
        <v>132096</v>
      </c>
      <c r="D19" s="2141" t="s">
        <v>1338</v>
      </c>
      <c r="E19" s="2143" t="s">
        <v>104</v>
      </c>
      <c r="F19" s="2458">
        <v>0</v>
      </c>
      <c r="G19" s="2458">
        <v>0</v>
      </c>
      <c r="H19" s="2459">
        <f t="shared" si="1"/>
        <v>0</v>
      </c>
      <c r="I19" s="2460">
        <f t="shared" si="2"/>
        <v>0</v>
      </c>
      <c r="J19" s="2461" t="str">
        <f t="shared" si="0"/>
        <v/>
      </c>
      <c r="K19" s="2461" t="str">
        <f t="shared" si="0"/>
        <v/>
      </c>
      <c r="L19" s="2462" t="str">
        <f t="shared" si="0"/>
        <v/>
      </c>
      <c r="M19" s="2463"/>
      <c r="O19" s="2464"/>
    </row>
    <row r="20" spans="1:15">
      <c r="A20" s="2443"/>
      <c r="B20" s="2140"/>
      <c r="C20" s="2141">
        <v>132097</v>
      </c>
      <c r="D20" s="2141" t="s">
        <v>2103</v>
      </c>
      <c r="E20" s="2143" t="s">
        <v>104</v>
      </c>
      <c r="F20" s="2458">
        <v>6356831</v>
      </c>
      <c r="G20" s="2458">
        <v>10670199.310000001</v>
      </c>
      <c r="H20" s="2459">
        <f t="shared" si="1"/>
        <v>8513515.1550000012</v>
      </c>
      <c r="I20" s="2460">
        <f t="shared" si="2"/>
        <v>8513515.1550000012</v>
      </c>
      <c r="J20" s="2461" t="str">
        <f t="shared" si="0"/>
        <v/>
      </c>
      <c r="K20" s="2461" t="str">
        <f t="shared" si="0"/>
        <v/>
      </c>
      <c r="L20" s="2462" t="str">
        <f t="shared" si="0"/>
        <v/>
      </c>
      <c r="M20" s="2463"/>
      <c r="O20" s="2464"/>
    </row>
    <row r="21" spans="1:15">
      <c r="A21" s="2443"/>
      <c r="B21" s="2140"/>
      <c r="C21" s="2141">
        <v>132098</v>
      </c>
      <c r="D21" s="2141" t="s">
        <v>2104</v>
      </c>
      <c r="E21" s="2143" t="s">
        <v>104</v>
      </c>
      <c r="F21" s="2458">
        <v>3038769.76</v>
      </c>
      <c r="G21" s="2458">
        <v>7328274.2800000003</v>
      </c>
      <c r="H21" s="2459">
        <f t="shared" si="1"/>
        <v>5183522.0199999996</v>
      </c>
      <c r="I21" s="2460">
        <f t="shared" si="2"/>
        <v>5183522.0199999996</v>
      </c>
      <c r="J21" s="2461" t="str">
        <f t="shared" si="0"/>
        <v/>
      </c>
      <c r="K21" s="2461" t="str">
        <f t="shared" si="0"/>
        <v/>
      </c>
      <c r="L21" s="2462" t="str">
        <f t="shared" si="0"/>
        <v/>
      </c>
      <c r="M21" s="2463"/>
      <c r="O21" s="2464"/>
    </row>
    <row r="22" spans="1:15">
      <c r="A22" s="2443"/>
      <c r="B22" s="2140"/>
      <c r="C22" s="2141">
        <v>132310</v>
      </c>
      <c r="D22" s="2141" t="s">
        <v>495</v>
      </c>
      <c r="E22" s="2143" t="s">
        <v>855</v>
      </c>
      <c r="F22" s="2458">
        <v>32791.68</v>
      </c>
      <c r="G22" s="2458">
        <v>37665.68</v>
      </c>
      <c r="H22" s="2459">
        <f t="shared" si="1"/>
        <v>35228.68</v>
      </c>
      <c r="I22" s="2460" t="str">
        <f t="shared" si="2"/>
        <v/>
      </c>
      <c r="J22" s="2461" t="str">
        <f t="shared" si="0"/>
        <v/>
      </c>
      <c r="K22" s="2461">
        <f t="shared" si="0"/>
        <v>35228.68</v>
      </c>
      <c r="L22" s="2462" t="str">
        <f t="shared" si="0"/>
        <v/>
      </c>
      <c r="M22" s="2463"/>
      <c r="O22" s="2464"/>
    </row>
    <row r="23" spans="1:15">
      <c r="A23" s="2443"/>
      <c r="B23" s="2140"/>
      <c r="C23" s="2141">
        <v>132320</v>
      </c>
      <c r="D23" s="2141" t="s">
        <v>1407</v>
      </c>
      <c r="E23" s="2143" t="s">
        <v>104</v>
      </c>
      <c r="F23" s="2458">
        <v>158744.51999999999</v>
      </c>
      <c r="G23" s="2458">
        <v>0</v>
      </c>
      <c r="H23" s="2459">
        <f t="shared" si="1"/>
        <v>79372.259999999995</v>
      </c>
      <c r="I23" s="2460">
        <f t="shared" si="2"/>
        <v>79372.259999999995</v>
      </c>
      <c r="J23" s="2461" t="str">
        <f t="shared" si="0"/>
        <v/>
      </c>
      <c r="K23" s="2461" t="str">
        <f t="shared" si="0"/>
        <v/>
      </c>
      <c r="L23" s="2462" t="str">
        <f t="shared" si="0"/>
        <v/>
      </c>
      <c r="M23" s="2463"/>
      <c r="O23" s="2464"/>
    </row>
    <row r="24" spans="1:15">
      <c r="A24" s="2443"/>
      <c r="B24" s="2140"/>
      <c r="C24" s="2141">
        <v>132603</v>
      </c>
      <c r="D24" s="2141" t="s">
        <v>496</v>
      </c>
      <c r="E24" s="2143" t="s">
        <v>104</v>
      </c>
      <c r="F24" s="2458">
        <v>2073.56</v>
      </c>
      <c r="G24" s="2458">
        <v>1036.8</v>
      </c>
      <c r="H24" s="2459">
        <f t="shared" si="1"/>
        <v>1555.1799999999998</v>
      </c>
      <c r="I24" s="2460">
        <f t="shared" si="2"/>
        <v>1555.1799999999998</v>
      </c>
      <c r="J24" s="2461" t="str">
        <f t="shared" si="0"/>
        <v/>
      </c>
      <c r="K24" s="2461" t="str">
        <f t="shared" si="0"/>
        <v/>
      </c>
      <c r="L24" s="2462" t="str">
        <f t="shared" si="0"/>
        <v/>
      </c>
      <c r="M24" s="2463"/>
      <c r="O24" s="2464"/>
    </row>
    <row r="25" spans="1:15">
      <c r="A25" s="2443"/>
      <c r="B25" s="2140"/>
      <c r="C25" s="2141">
        <v>132606</v>
      </c>
      <c r="D25" s="2141" t="s">
        <v>497</v>
      </c>
      <c r="E25" s="2143" t="s">
        <v>104</v>
      </c>
      <c r="F25" s="2458">
        <v>0</v>
      </c>
      <c r="G25" s="2458">
        <v>0</v>
      </c>
      <c r="H25" s="2459">
        <f t="shared" si="1"/>
        <v>0</v>
      </c>
      <c r="I25" s="2460">
        <f t="shared" si="2"/>
        <v>0</v>
      </c>
      <c r="J25" s="2461" t="str">
        <f t="shared" si="0"/>
        <v/>
      </c>
      <c r="K25" s="2461" t="str">
        <f t="shared" si="0"/>
        <v/>
      </c>
      <c r="L25" s="2462" t="str">
        <f t="shared" si="0"/>
        <v/>
      </c>
      <c r="M25" s="2463"/>
      <c r="O25" s="2464"/>
    </row>
    <row r="26" spans="1:15">
      <c r="A26" s="2443"/>
      <c r="B26" s="2140"/>
      <c r="C26" s="2141">
        <v>132620</v>
      </c>
      <c r="D26" s="2141" t="s">
        <v>498</v>
      </c>
      <c r="E26" s="2143" t="s">
        <v>104</v>
      </c>
      <c r="F26" s="2458">
        <v>1476099.77</v>
      </c>
      <c r="G26" s="2458">
        <v>1256063.28</v>
      </c>
      <c r="H26" s="2459">
        <f t="shared" si="1"/>
        <v>1366081.5249999999</v>
      </c>
      <c r="I26" s="2460">
        <f t="shared" si="2"/>
        <v>1366081.5249999999</v>
      </c>
      <c r="J26" s="2461" t="str">
        <f t="shared" si="0"/>
        <v/>
      </c>
      <c r="K26" s="2461" t="str">
        <f t="shared" si="0"/>
        <v/>
      </c>
      <c r="L26" s="2462" t="str">
        <f t="shared" si="0"/>
        <v/>
      </c>
      <c r="M26" s="2463"/>
      <c r="O26" s="2464"/>
    </row>
    <row r="27" spans="1:15">
      <c r="A27" s="2443"/>
      <c r="B27" s="2140"/>
      <c r="C27" s="2141">
        <v>132621</v>
      </c>
      <c r="D27" s="2141" t="s">
        <v>499</v>
      </c>
      <c r="E27" s="2143" t="s">
        <v>104</v>
      </c>
      <c r="F27" s="2458">
        <v>557593.74</v>
      </c>
      <c r="G27" s="2458">
        <v>557593.74</v>
      </c>
      <c r="H27" s="2459">
        <f t="shared" si="1"/>
        <v>557593.74</v>
      </c>
      <c r="I27" s="2460">
        <f t="shared" si="2"/>
        <v>557593.74</v>
      </c>
      <c r="J27" s="2461" t="str">
        <f t="shared" si="0"/>
        <v/>
      </c>
      <c r="K27" s="2461" t="str">
        <f t="shared" si="0"/>
        <v/>
      </c>
      <c r="L27" s="2462" t="str">
        <f t="shared" si="0"/>
        <v/>
      </c>
      <c r="M27" s="2463"/>
      <c r="O27" s="2464"/>
    </row>
    <row r="28" spans="1:15">
      <c r="A28" s="2443"/>
      <c r="B28" s="2140"/>
      <c r="C28" s="2141">
        <v>132622</v>
      </c>
      <c r="D28" s="2141" t="s">
        <v>500</v>
      </c>
      <c r="E28" s="2143" t="s">
        <v>104</v>
      </c>
      <c r="F28" s="2458">
        <v>0</v>
      </c>
      <c r="G28" s="2458">
        <v>0</v>
      </c>
      <c r="H28" s="2459">
        <f t="shared" si="1"/>
        <v>0</v>
      </c>
      <c r="I28" s="2460">
        <f t="shared" si="2"/>
        <v>0</v>
      </c>
      <c r="J28" s="2461" t="str">
        <f t="shared" si="2"/>
        <v/>
      </c>
      <c r="K28" s="2461" t="str">
        <f t="shared" si="2"/>
        <v/>
      </c>
      <c r="L28" s="2462" t="str">
        <f t="shared" si="2"/>
        <v/>
      </c>
      <c r="M28" s="2463"/>
      <c r="O28" s="2464"/>
    </row>
    <row r="29" spans="1:15">
      <c r="A29" s="2443"/>
      <c r="B29" s="2140"/>
      <c r="C29" s="2141">
        <v>132623</v>
      </c>
      <c r="D29" s="2141" t="s">
        <v>1724</v>
      </c>
      <c r="E29" s="2143" t="s">
        <v>104</v>
      </c>
      <c r="F29" s="2458">
        <v>286249.98</v>
      </c>
      <c r="G29" s="2458">
        <v>246250.02</v>
      </c>
      <c r="H29" s="2459">
        <f t="shared" si="1"/>
        <v>266250</v>
      </c>
      <c r="I29" s="2460">
        <f t="shared" si="2"/>
        <v>266250</v>
      </c>
      <c r="J29" s="2461" t="str">
        <f t="shared" si="2"/>
        <v/>
      </c>
      <c r="K29" s="2461" t="str">
        <f t="shared" si="2"/>
        <v/>
      </c>
      <c r="L29" s="2462" t="str">
        <f t="shared" si="2"/>
        <v/>
      </c>
      <c r="M29" s="2463"/>
      <c r="O29" s="2464"/>
    </row>
    <row r="30" spans="1:15">
      <c r="A30" s="2443"/>
      <c r="B30" s="2140"/>
      <c r="C30" s="2141">
        <v>132630</v>
      </c>
      <c r="D30" s="2141" t="s">
        <v>501</v>
      </c>
      <c r="E30" s="2143" t="s">
        <v>104</v>
      </c>
      <c r="F30" s="2458">
        <v>0</v>
      </c>
      <c r="G30" s="2458">
        <v>0</v>
      </c>
      <c r="H30" s="2459">
        <f t="shared" si="1"/>
        <v>0</v>
      </c>
      <c r="I30" s="2460">
        <f t="shared" si="2"/>
        <v>0</v>
      </c>
      <c r="J30" s="2461" t="str">
        <f t="shared" si="2"/>
        <v/>
      </c>
      <c r="K30" s="2461" t="str">
        <f t="shared" si="2"/>
        <v/>
      </c>
      <c r="L30" s="2462" t="str">
        <f t="shared" si="2"/>
        <v/>
      </c>
      <c r="M30" s="2463"/>
      <c r="O30" s="2464"/>
    </row>
    <row r="31" spans="1:15">
      <c r="A31" s="2443"/>
      <c r="B31" s="2140"/>
      <c r="C31" s="2141">
        <v>132650</v>
      </c>
      <c r="D31" s="2141" t="s">
        <v>371</v>
      </c>
      <c r="E31" s="2143" t="s">
        <v>104</v>
      </c>
      <c r="F31" s="2458">
        <v>7036051.9900000002</v>
      </c>
      <c r="G31" s="2458">
        <v>3899262.01</v>
      </c>
      <c r="H31" s="2459">
        <f t="shared" si="1"/>
        <v>5467657</v>
      </c>
      <c r="I31" s="2460">
        <f t="shared" si="2"/>
        <v>5467657</v>
      </c>
      <c r="J31" s="2461" t="str">
        <f t="shared" si="2"/>
        <v/>
      </c>
      <c r="K31" s="2461" t="str">
        <f t="shared" si="2"/>
        <v/>
      </c>
      <c r="L31" s="2462" t="str">
        <f t="shared" si="2"/>
        <v/>
      </c>
      <c r="M31" s="2463"/>
      <c r="O31" s="2464"/>
    </row>
    <row r="32" spans="1:15">
      <c r="A32" s="2443"/>
      <c r="B32" s="2140"/>
      <c r="C32" s="2141">
        <v>132700</v>
      </c>
      <c r="D32" s="2141" t="s">
        <v>372</v>
      </c>
      <c r="E32" s="2143" t="s">
        <v>855</v>
      </c>
      <c r="F32" s="2458">
        <v>42666.64</v>
      </c>
      <c r="G32" s="2458">
        <v>42666.64</v>
      </c>
      <c r="H32" s="2459">
        <f t="shared" si="1"/>
        <v>42666.64</v>
      </c>
      <c r="I32" s="2460" t="str">
        <f t="shared" si="2"/>
        <v/>
      </c>
      <c r="J32" s="2461" t="str">
        <f t="shared" si="2"/>
        <v/>
      </c>
      <c r="K32" s="2461">
        <f t="shared" si="2"/>
        <v>42666.64</v>
      </c>
      <c r="L32" s="2462" t="str">
        <f t="shared" si="2"/>
        <v/>
      </c>
      <c r="M32" s="2463"/>
      <c r="O32" s="2464"/>
    </row>
    <row r="33" spans="1:15">
      <c r="A33" s="2443"/>
      <c r="B33" s="2140"/>
      <c r="C33" s="2141">
        <v>132705</v>
      </c>
      <c r="D33" s="2141" t="s">
        <v>502</v>
      </c>
      <c r="E33" s="2143" t="s">
        <v>104</v>
      </c>
      <c r="F33" s="2458">
        <v>326050.98</v>
      </c>
      <c r="G33" s="2458">
        <v>325912.44</v>
      </c>
      <c r="H33" s="2459">
        <f t="shared" si="1"/>
        <v>325981.70999999996</v>
      </c>
      <c r="I33" s="2460">
        <f t="shared" si="2"/>
        <v>325981.70999999996</v>
      </c>
      <c r="J33" s="2461" t="str">
        <f t="shared" si="2"/>
        <v/>
      </c>
      <c r="K33" s="2461" t="str">
        <f t="shared" si="2"/>
        <v/>
      </c>
      <c r="L33" s="2462" t="str">
        <f t="shared" si="2"/>
        <v/>
      </c>
      <c r="M33" s="2463"/>
      <c r="O33" s="2464"/>
    </row>
    <row r="34" spans="1:15">
      <c r="A34" s="2443"/>
      <c r="B34" s="2140"/>
      <c r="C34" s="2141">
        <v>132740</v>
      </c>
      <c r="D34" s="2141" t="s">
        <v>503</v>
      </c>
      <c r="E34" s="2143" t="s">
        <v>104</v>
      </c>
      <c r="F34" s="2458">
        <v>0</v>
      </c>
      <c r="G34" s="2458">
        <v>0</v>
      </c>
      <c r="H34" s="2459">
        <f t="shared" si="1"/>
        <v>0</v>
      </c>
      <c r="I34" s="2460">
        <f t="shared" si="2"/>
        <v>0</v>
      </c>
      <c r="J34" s="2461" t="str">
        <f t="shared" si="2"/>
        <v/>
      </c>
      <c r="K34" s="2461" t="str">
        <f t="shared" si="2"/>
        <v/>
      </c>
      <c r="L34" s="2462" t="str">
        <f t="shared" si="2"/>
        <v/>
      </c>
      <c r="M34" s="2463"/>
      <c r="O34" s="2464"/>
    </row>
    <row r="35" spans="1:15">
      <c r="A35" s="2443"/>
      <c r="B35" s="2140"/>
      <c r="C35" s="2141">
        <v>132755</v>
      </c>
      <c r="D35" s="2141" t="s">
        <v>1406</v>
      </c>
      <c r="E35" s="2143" t="s">
        <v>856</v>
      </c>
      <c r="F35" s="2458">
        <v>0</v>
      </c>
      <c r="G35" s="2458">
        <v>0</v>
      </c>
      <c r="H35" s="2459">
        <f t="shared" si="1"/>
        <v>0</v>
      </c>
      <c r="I35" s="2460" t="str">
        <f t="shared" si="2"/>
        <v/>
      </c>
      <c r="J35" s="2461" t="str">
        <f t="shared" si="2"/>
        <v/>
      </c>
      <c r="K35" s="2461" t="str">
        <f t="shared" si="2"/>
        <v/>
      </c>
      <c r="L35" s="2462"/>
      <c r="M35" s="2463"/>
      <c r="O35" s="2464"/>
    </row>
    <row r="36" spans="1:15">
      <c r="A36" s="2443"/>
      <c r="B36" s="2140"/>
      <c r="C36" s="2141">
        <v>132825</v>
      </c>
      <c r="D36" s="2141" t="s">
        <v>504</v>
      </c>
      <c r="E36" s="2143" t="s">
        <v>104</v>
      </c>
      <c r="F36" s="2458">
        <v>968540.91</v>
      </c>
      <c r="G36" s="2458">
        <v>242135.31</v>
      </c>
      <c r="H36" s="2459">
        <f t="shared" si="1"/>
        <v>605338.11</v>
      </c>
      <c r="I36" s="2460">
        <f t="shared" si="2"/>
        <v>605338.11</v>
      </c>
      <c r="J36" s="2461" t="str">
        <f t="shared" si="2"/>
        <v/>
      </c>
      <c r="K36" s="2461" t="str">
        <f t="shared" si="2"/>
        <v/>
      </c>
      <c r="L36" s="2462" t="str">
        <f t="shared" si="2"/>
        <v/>
      </c>
      <c r="M36" s="2463"/>
      <c r="O36" s="2464"/>
    </row>
    <row r="37" spans="1:15">
      <c r="A37" s="2443"/>
      <c r="B37" s="2140"/>
      <c r="C37" s="2141">
        <v>132831</v>
      </c>
      <c r="D37" s="2141" t="s">
        <v>505</v>
      </c>
      <c r="E37" s="2143" t="s">
        <v>104</v>
      </c>
      <c r="F37" s="2458">
        <v>983688</v>
      </c>
      <c r="G37" s="2458">
        <v>983688</v>
      </c>
      <c r="H37" s="2459">
        <f t="shared" si="1"/>
        <v>983688</v>
      </c>
      <c r="I37" s="2460">
        <f t="shared" si="2"/>
        <v>983688</v>
      </c>
      <c r="J37" s="2461" t="str">
        <f t="shared" si="2"/>
        <v/>
      </c>
      <c r="K37" s="2461" t="str">
        <f t="shared" si="2"/>
        <v/>
      </c>
      <c r="L37" s="2462" t="str">
        <f t="shared" si="2"/>
        <v/>
      </c>
      <c r="M37" s="2463"/>
      <c r="O37" s="2464"/>
    </row>
    <row r="38" spans="1:15">
      <c r="A38" s="2443"/>
      <c r="B38" s="2140"/>
      <c r="C38" s="2141">
        <v>132900</v>
      </c>
      <c r="D38" s="2141" t="s">
        <v>506</v>
      </c>
      <c r="E38" s="2143" t="s">
        <v>856</v>
      </c>
      <c r="F38" s="2458">
        <v>1274956.6599999999</v>
      </c>
      <c r="G38" s="2458">
        <v>1219859.8400000001</v>
      </c>
      <c r="H38" s="2459">
        <f t="shared" si="1"/>
        <v>1247408.25</v>
      </c>
      <c r="I38" s="2460" t="str">
        <f t="shared" si="2"/>
        <v/>
      </c>
      <c r="J38" s="2461" t="str">
        <f t="shared" si="2"/>
        <v/>
      </c>
      <c r="K38" s="2461" t="str">
        <f t="shared" si="2"/>
        <v/>
      </c>
      <c r="L38" s="2462">
        <f t="shared" si="2"/>
        <v>1247408.25</v>
      </c>
      <c r="M38" s="2463"/>
      <c r="O38" s="2464"/>
    </row>
    <row r="39" spans="1:15">
      <c r="A39" s="2443"/>
      <c r="B39" s="2140"/>
      <c r="C39" s="2141">
        <v>132901</v>
      </c>
      <c r="D39" s="2141" t="s">
        <v>507</v>
      </c>
      <c r="E39" s="2143" t="s">
        <v>104</v>
      </c>
      <c r="F39" s="2458">
        <v>876202.23</v>
      </c>
      <c r="G39" s="2458">
        <v>947627.06</v>
      </c>
      <c r="H39" s="2459">
        <f t="shared" si="1"/>
        <v>911914.64500000002</v>
      </c>
      <c r="I39" s="2460">
        <f t="shared" si="2"/>
        <v>911914.64500000002</v>
      </c>
      <c r="J39" s="2461" t="str">
        <f t="shared" si="2"/>
        <v/>
      </c>
      <c r="K39" s="2461" t="str">
        <f t="shared" si="2"/>
        <v/>
      </c>
      <c r="L39" s="2462" t="str">
        <f t="shared" si="2"/>
        <v/>
      </c>
      <c r="M39" s="2463"/>
      <c r="O39" s="2464"/>
    </row>
    <row r="40" spans="1:15">
      <c r="A40" s="2443"/>
      <c r="B40" s="2140"/>
      <c r="C40" s="2141">
        <v>132903</v>
      </c>
      <c r="D40" s="2141" t="s">
        <v>508</v>
      </c>
      <c r="E40" s="2143" t="s">
        <v>104</v>
      </c>
      <c r="F40" s="2458">
        <v>2723258.24</v>
      </c>
      <c r="G40" s="2458">
        <v>3160556.65</v>
      </c>
      <c r="H40" s="2459">
        <f t="shared" si="1"/>
        <v>2941907.4450000003</v>
      </c>
      <c r="I40" s="2460">
        <f t="shared" si="2"/>
        <v>2941907.4450000003</v>
      </c>
      <c r="J40" s="2461" t="str">
        <f t="shared" si="2"/>
        <v/>
      </c>
      <c r="K40" s="2461" t="str">
        <f t="shared" si="2"/>
        <v/>
      </c>
      <c r="L40" s="2462" t="str">
        <f t="shared" si="2"/>
        <v/>
      </c>
      <c r="M40" s="2463"/>
      <c r="O40" s="2464"/>
    </row>
    <row r="41" spans="1:15">
      <c r="A41" s="2443"/>
      <c r="B41" s="2140"/>
      <c r="C41" s="2141">
        <v>132904</v>
      </c>
      <c r="D41" s="2141" t="s">
        <v>509</v>
      </c>
      <c r="E41" s="2143" t="s">
        <v>104</v>
      </c>
      <c r="F41" s="2458">
        <v>349194.59</v>
      </c>
      <c r="G41" s="2458">
        <v>267490.43</v>
      </c>
      <c r="H41" s="2459">
        <f t="shared" si="1"/>
        <v>308342.51</v>
      </c>
      <c r="I41" s="2460">
        <f t="shared" si="2"/>
        <v>308342.51</v>
      </c>
      <c r="J41" s="2461" t="str">
        <f t="shared" si="2"/>
        <v/>
      </c>
      <c r="K41" s="2461" t="str">
        <f t="shared" si="2"/>
        <v/>
      </c>
      <c r="L41" s="2462" t="str">
        <f t="shared" si="2"/>
        <v/>
      </c>
      <c r="M41" s="2463"/>
      <c r="O41" s="2464"/>
    </row>
    <row r="42" spans="1:15">
      <c r="A42" s="2443"/>
      <c r="B42" s="2140"/>
      <c r="C42" s="2141">
        <v>132909</v>
      </c>
      <c r="D42" s="2141" t="s">
        <v>1337</v>
      </c>
      <c r="E42" s="2143" t="s">
        <v>856</v>
      </c>
      <c r="F42" s="2458">
        <v>0</v>
      </c>
      <c r="G42" s="2458">
        <v>0</v>
      </c>
      <c r="H42" s="2459">
        <f t="shared" si="1"/>
        <v>0</v>
      </c>
      <c r="I42" s="2460" t="str">
        <f t="shared" si="2"/>
        <v/>
      </c>
      <c r="J42" s="2461" t="str">
        <f t="shared" si="2"/>
        <v/>
      </c>
      <c r="K42" s="2461" t="str">
        <f t="shared" si="2"/>
        <v/>
      </c>
      <c r="L42" s="2462"/>
      <c r="M42" s="2463"/>
      <c r="O42" s="2464"/>
    </row>
    <row r="43" spans="1:15">
      <c r="A43" s="2443"/>
      <c r="B43" s="2140"/>
      <c r="C43" s="2141">
        <v>132910</v>
      </c>
      <c r="D43" s="2141" t="s">
        <v>510</v>
      </c>
      <c r="E43" s="2143" t="s">
        <v>856</v>
      </c>
      <c r="F43" s="2458">
        <v>7162883.8099999996</v>
      </c>
      <c r="G43" s="2458">
        <v>11707912.35</v>
      </c>
      <c r="H43" s="2459">
        <f t="shared" si="1"/>
        <v>9435398.0800000001</v>
      </c>
      <c r="I43" s="2460" t="str">
        <f t="shared" si="2"/>
        <v/>
      </c>
      <c r="J43" s="2461" t="str">
        <f t="shared" si="2"/>
        <v/>
      </c>
      <c r="K43" s="2461" t="str">
        <f t="shared" si="2"/>
        <v/>
      </c>
      <c r="L43" s="2462">
        <f t="shared" si="2"/>
        <v>9435398.0800000001</v>
      </c>
      <c r="M43" s="2463"/>
      <c r="O43" s="2464"/>
    </row>
    <row r="44" spans="1:15">
      <c r="A44" s="2443"/>
      <c r="B44" s="2140"/>
      <c r="C44" s="2141">
        <v>132926</v>
      </c>
      <c r="D44" s="2141" t="s">
        <v>373</v>
      </c>
      <c r="E44" s="2143" t="s">
        <v>104</v>
      </c>
      <c r="F44" s="2458">
        <v>0</v>
      </c>
      <c r="G44" s="2458">
        <v>68456.02</v>
      </c>
      <c r="H44" s="2459">
        <f t="shared" si="1"/>
        <v>34228.01</v>
      </c>
      <c r="I44" s="2460">
        <f t="shared" si="2"/>
        <v>34228.01</v>
      </c>
      <c r="J44" s="2461" t="str">
        <f t="shared" si="2"/>
        <v/>
      </c>
      <c r="K44" s="2461" t="str">
        <f t="shared" si="2"/>
        <v/>
      </c>
      <c r="L44" s="2462" t="str">
        <f t="shared" si="2"/>
        <v/>
      </c>
      <c r="M44" s="2463"/>
      <c r="O44" s="2464"/>
    </row>
    <row r="45" spans="1:15">
      <c r="A45" s="2443"/>
      <c r="B45" s="2140"/>
      <c r="C45" s="2141">
        <v>132998</v>
      </c>
      <c r="D45" s="2141" t="s">
        <v>511</v>
      </c>
      <c r="E45" s="2143" t="s">
        <v>855</v>
      </c>
      <c r="F45" s="2458">
        <v>-142240.85999999999</v>
      </c>
      <c r="G45" s="2458">
        <v>-121168.14</v>
      </c>
      <c r="H45" s="2459">
        <f t="shared" si="1"/>
        <v>-131704.5</v>
      </c>
      <c r="I45" s="2460" t="str">
        <f t="shared" si="2"/>
        <v/>
      </c>
      <c r="J45" s="2461" t="str">
        <f t="shared" si="2"/>
        <v/>
      </c>
      <c r="K45" s="2461">
        <f t="shared" si="2"/>
        <v>-131704.5</v>
      </c>
      <c r="L45" s="2462" t="str">
        <f t="shared" si="2"/>
        <v/>
      </c>
      <c r="M45" s="2463"/>
      <c r="O45" s="2464"/>
    </row>
    <row r="46" spans="1:15">
      <c r="A46" s="2443"/>
      <c r="B46" s="2140"/>
      <c r="C46" s="2141">
        <v>132999</v>
      </c>
      <c r="D46" s="2141" t="s">
        <v>512</v>
      </c>
      <c r="E46" s="2143" t="s">
        <v>104</v>
      </c>
      <c r="F46" s="2458">
        <v>-654061.98</v>
      </c>
      <c r="G46" s="2458">
        <v>-1487116.77</v>
      </c>
      <c r="H46" s="2459">
        <f t="shared" si="1"/>
        <v>-1070589.375</v>
      </c>
      <c r="I46" s="2460">
        <f t="shared" si="2"/>
        <v>-1070589.375</v>
      </c>
      <c r="J46" s="2461" t="str">
        <f t="shared" si="2"/>
        <v/>
      </c>
      <c r="K46" s="2461" t="str">
        <f t="shared" si="2"/>
        <v/>
      </c>
      <c r="L46" s="2462" t="str">
        <f t="shared" si="2"/>
        <v/>
      </c>
      <c r="M46" s="2463"/>
      <c r="O46" s="2464"/>
    </row>
    <row r="47" spans="1:15">
      <c r="A47" s="2443"/>
      <c r="B47" s="2140"/>
      <c r="C47" s="2141">
        <v>134000</v>
      </c>
      <c r="D47" s="2141" t="s">
        <v>513</v>
      </c>
      <c r="E47" s="2143" t="s">
        <v>104</v>
      </c>
      <c r="F47" s="2458">
        <v>796302.84</v>
      </c>
      <c r="G47" s="2458">
        <v>1608284.91</v>
      </c>
      <c r="H47" s="2459">
        <f t="shared" si="1"/>
        <v>1202293.875</v>
      </c>
      <c r="I47" s="2460">
        <f t="shared" si="2"/>
        <v>1202293.875</v>
      </c>
      <c r="J47" s="2461" t="str">
        <f t="shared" si="2"/>
        <v/>
      </c>
      <c r="K47" s="2461" t="str">
        <f t="shared" si="2"/>
        <v/>
      </c>
      <c r="L47" s="2462" t="str">
        <f t="shared" si="2"/>
        <v/>
      </c>
      <c r="M47" s="2463"/>
      <c r="O47" s="2464"/>
    </row>
    <row r="48" spans="1:15">
      <c r="A48" s="2443"/>
      <c r="B48" s="2140">
        <v>1653000</v>
      </c>
      <c r="C48" s="2141">
        <v>132303</v>
      </c>
      <c r="D48" s="2141" t="s">
        <v>514</v>
      </c>
      <c r="E48" s="2143" t="s">
        <v>104</v>
      </c>
      <c r="F48" s="2458">
        <v>2548547.1800000002</v>
      </c>
      <c r="G48" s="2458">
        <v>2528233.15</v>
      </c>
      <c r="H48" s="2459">
        <f t="shared" si="1"/>
        <v>2538390.165</v>
      </c>
      <c r="I48" s="2460">
        <f t="shared" si="2"/>
        <v>2538390.165</v>
      </c>
      <c r="J48" s="2461" t="str">
        <f t="shared" si="2"/>
        <v/>
      </c>
      <c r="K48" s="2461" t="str">
        <f t="shared" si="2"/>
        <v/>
      </c>
      <c r="L48" s="2462" t="str">
        <f t="shared" si="2"/>
        <v/>
      </c>
      <c r="M48" s="2463"/>
      <c r="O48" s="2464"/>
    </row>
    <row r="49" spans="1:15">
      <c r="A49" s="2443"/>
      <c r="B49" s="2140"/>
      <c r="C49" s="2141">
        <v>132304</v>
      </c>
      <c r="D49" s="2141" t="s">
        <v>515</v>
      </c>
      <c r="E49" s="2143" t="s">
        <v>104</v>
      </c>
      <c r="F49" s="2458">
        <v>0</v>
      </c>
      <c r="G49" s="2458">
        <v>0</v>
      </c>
      <c r="H49" s="2459">
        <f t="shared" si="1"/>
        <v>0</v>
      </c>
      <c r="I49" s="2460">
        <f t="shared" si="2"/>
        <v>0</v>
      </c>
      <c r="J49" s="2461" t="str">
        <f t="shared" si="2"/>
        <v/>
      </c>
      <c r="K49" s="2461" t="str">
        <f t="shared" si="2"/>
        <v/>
      </c>
      <c r="L49" s="2462" t="str">
        <f t="shared" si="2"/>
        <v/>
      </c>
      <c r="M49" s="2463"/>
      <c r="O49" s="2464"/>
    </row>
    <row r="50" spans="1:15">
      <c r="A50" s="2443"/>
      <c r="B50" s="2140"/>
      <c r="C50" s="2141">
        <v>203000</v>
      </c>
      <c r="D50" s="2141" t="s">
        <v>1336</v>
      </c>
      <c r="E50" s="2143" t="s">
        <v>104</v>
      </c>
      <c r="F50" s="2458">
        <v>1444.44</v>
      </c>
      <c r="G50" s="2458">
        <v>91333.34</v>
      </c>
      <c r="H50" s="2459">
        <f t="shared" si="1"/>
        <v>46388.89</v>
      </c>
      <c r="I50" s="2460">
        <f t="shared" si="2"/>
        <v>46388.89</v>
      </c>
      <c r="J50" s="2461" t="str">
        <f t="shared" si="2"/>
        <v/>
      </c>
      <c r="K50" s="2461" t="str">
        <f t="shared" si="2"/>
        <v/>
      </c>
      <c r="L50" s="2462" t="str">
        <f t="shared" si="2"/>
        <v/>
      </c>
      <c r="M50" s="2463"/>
      <c r="O50" s="2464"/>
    </row>
    <row r="51" spans="1:15">
      <c r="A51" s="2443"/>
      <c r="B51" s="2140">
        <v>1655000</v>
      </c>
      <c r="C51" s="2141">
        <v>132400</v>
      </c>
      <c r="D51" s="2141" t="s">
        <v>374</v>
      </c>
      <c r="E51" s="2143" t="s">
        <v>104</v>
      </c>
      <c r="F51" s="2142">
        <v>0</v>
      </c>
      <c r="G51" s="2458">
        <v>0</v>
      </c>
      <c r="H51" s="2459">
        <f t="shared" si="1"/>
        <v>0</v>
      </c>
      <c r="I51" s="2460">
        <f t="shared" si="2"/>
        <v>0</v>
      </c>
      <c r="J51" s="2461" t="str">
        <f t="shared" si="2"/>
        <v/>
      </c>
      <c r="K51" s="2461" t="str">
        <f t="shared" si="2"/>
        <v/>
      </c>
      <c r="L51" s="2462" t="str">
        <f t="shared" si="2"/>
        <v/>
      </c>
      <c r="M51" s="2463"/>
      <c r="O51" s="2464"/>
    </row>
    <row r="52" spans="1:15" ht="15.75" thickBot="1">
      <c r="A52" s="2443"/>
      <c r="B52" s="1555"/>
      <c r="C52" s="1554"/>
      <c r="D52" s="1554"/>
      <c r="E52" s="1553"/>
      <c r="F52" s="2458">
        <v>0</v>
      </c>
      <c r="G52" s="2458">
        <v>0</v>
      </c>
      <c r="H52" s="2459">
        <f>AVERAGE(F52:G52)</f>
        <v>0</v>
      </c>
      <c r="I52" s="2460" t="str">
        <f t="shared" si="2"/>
        <v/>
      </c>
      <c r="J52" s="2461" t="str">
        <f t="shared" si="2"/>
        <v/>
      </c>
      <c r="K52" s="2461" t="str">
        <f t="shared" si="2"/>
        <v/>
      </c>
      <c r="L52" s="2462" t="str">
        <f t="shared" si="2"/>
        <v/>
      </c>
      <c r="M52" s="2463"/>
      <c r="O52" s="2464"/>
    </row>
    <row r="53" spans="1:15" ht="15.75" thickBot="1">
      <c r="A53" s="2443"/>
      <c r="B53" s="2466"/>
      <c r="C53" s="2466"/>
      <c r="D53" s="2467" t="s">
        <v>375</v>
      </c>
      <c r="E53" s="2468"/>
      <c r="F53" s="2469">
        <f t="shared" ref="F53:L53" si="3">SUM(F7:F52)</f>
        <v>57531155.069999993</v>
      </c>
      <c r="G53" s="2470">
        <f t="shared" si="3"/>
        <v>65837449.310000002</v>
      </c>
      <c r="H53" s="2471">
        <f t="shared" si="3"/>
        <v>61684302.18999999</v>
      </c>
      <c r="I53" s="2469">
        <f t="shared" si="3"/>
        <v>31978252.400000002</v>
      </c>
      <c r="J53" s="2470">
        <f t="shared" si="3"/>
        <v>0</v>
      </c>
      <c r="K53" s="2470">
        <f t="shared" si="3"/>
        <v>18222638.234999999</v>
      </c>
      <c r="L53" s="2471">
        <f t="shared" si="3"/>
        <v>11483411.555</v>
      </c>
      <c r="M53" s="2463"/>
    </row>
    <row r="54" spans="1:15">
      <c r="F54" s="2446"/>
    </row>
    <row r="55" spans="1:15">
      <c r="F55" s="2446"/>
    </row>
    <row r="56" spans="1:15" s="1748" customFormat="1">
      <c r="F56" s="1744"/>
      <c r="G56" s="1552" t="s">
        <v>305</v>
      </c>
      <c r="H56" s="1547"/>
      <c r="I56" s="822">
        <v>0</v>
      </c>
      <c r="J56" s="822">
        <v>1</v>
      </c>
      <c r="K56" s="823">
        <f>Allocator.net.plant</f>
        <v>0.26011327313078736</v>
      </c>
      <c r="L56" s="823">
        <f>Allocator.wages.salary</f>
        <v>8.7245911656529326E-2</v>
      </c>
    </row>
    <row r="57" spans="1:15" s="1748" customFormat="1">
      <c r="F57" s="1744"/>
      <c r="G57" s="1552" t="s">
        <v>950</v>
      </c>
      <c r="H57" s="1547"/>
      <c r="I57" s="1551">
        <f>I53*I56</f>
        <v>0</v>
      </c>
      <c r="J57" s="1551">
        <f>J53*J56</f>
        <v>0</v>
      </c>
      <c r="K57" s="1551">
        <f>K53*K56</f>
        <v>4739950.0763840834</v>
      </c>
      <c r="L57" s="1551">
        <f>L53*L56</f>
        <v>1001880.7100430981</v>
      </c>
    </row>
    <row r="58" spans="1:15" s="1748" customFormat="1">
      <c r="F58" s="1744"/>
      <c r="G58" s="1550"/>
      <c r="H58" s="1527"/>
      <c r="I58" s="1527"/>
      <c r="J58" s="1527"/>
      <c r="K58" s="1527"/>
      <c r="L58" s="1527"/>
    </row>
    <row r="59" spans="1:15" s="1748" customFormat="1" ht="15.75" thickBot="1">
      <c r="F59" s="1744"/>
      <c r="G59" s="1549" t="s">
        <v>1066</v>
      </c>
      <c r="H59" s="1548">
        <f>SUM(I57:L57)</f>
        <v>5741830.7864271812</v>
      </c>
      <c r="I59" s="1547"/>
      <c r="J59" s="1527"/>
      <c r="K59" s="1527"/>
      <c r="L59" s="1547"/>
    </row>
    <row r="63" spans="1:15">
      <c r="G63" s="2473"/>
    </row>
  </sheetData>
  <dataValidations count="1">
    <dataValidation type="list" allowBlank="1" showInputMessage="1" showErrorMessage="1" sqref="E7:E52">
      <formula1>$I$6:$L$6</formula1>
    </dataValidation>
  </dataValidations>
  <pageMargins left="0.34" right="0.38" top="0.75" bottom="1.34" header="0.3" footer="0.3"/>
  <pageSetup scale="10" fitToWidth="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F38"/>
  <sheetViews>
    <sheetView workbookViewId="0"/>
  </sheetViews>
  <sheetFormatPr defaultColWidth="19.5703125" defaultRowHeight="12.75"/>
  <cols>
    <col min="1" max="1" width="6.140625" style="984" customWidth="1"/>
    <col min="2" max="2" width="24.140625" style="984" customWidth="1"/>
    <col min="3" max="3" width="40" style="984" customWidth="1"/>
    <col min="4" max="4" width="41.5703125" style="991" customWidth="1"/>
    <col min="5" max="5" width="20.7109375" style="984" customWidth="1"/>
    <col min="6" max="6" width="3.140625" style="984" customWidth="1"/>
    <col min="7" max="241" width="19.5703125" style="984"/>
    <col min="242" max="242" width="7.140625" style="984" customWidth="1"/>
    <col min="243" max="243" width="24.140625" style="984" customWidth="1"/>
    <col min="244" max="244" width="28.42578125" style="984" customWidth="1"/>
    <col min="245" max="245" width="19.5703125" style="984" customWidth="1"/>
    <col min="246" max="246" width="24.140625" style="984" customWidth="1"/>
    <col min="247" max="247" width="19.5703125" style="984"/>
    <col min="248" max="248" width="5.5703125" style="984" customWidth="1"/>
    <col min="249" max="249" width="24.140625" style="984" customWidth="1"/>
    <col min="250" max="250" width="34.140625" style="984" customWidth="1"/>
    <col min="251" max="251" width="41.5703125" style="984" customWidth="1"/>
    <col min="252" max="252" width="25.140625" style="984" customWidth="1"/>
    <col min="253" max="253" width="19.5703125" style="984"/>
    <col min="254" max="254" width="7" style="984" customWidth="1"/>
    <col min="255" max="255" width="4.85546875" style="984" bestFit="1" customWidth="1"/>
    <col min="256" max="256" width="9.140625" style="984" bestFit="1" customWidth="1"/>
    <col min="257" max="257" width="12.5703125" style="984" customWidth="1"/>
    <col min="258" max="258" width="56.7109375" style="984" bestFit="1" customWidth="1"/>
    <col min="259" max="497" width="19.5703125" style="984"/>
    <col min="498" max="498" width="7.140625" style="984" customWidth="1"/>
    <col min="499" max="499" width="24.140625" style="984" customWidth="1"/>
    <col min="500" max="500" width="28.42578125" style="984" customWidth="1"/>
    <col min="501" max="501" width="19.5703125" style="984" customWidth="1"/>
    <col min="502" max="502" width="24.140625" style="984" customWidth="1"/>
    <col min="503" max="503" width="19.5703125" style="984"/>
    <col min="504" max="504" width="5.5703125" style="984" customWidth="1"/>
    <col min="505" max="505" width="24.140625" style="984" customWidth="1"/>
    <col min="506" max="506" width="34.140625" style="984" customWidth="1"/>
    <col min="507" max="507" width="41.5703125" style="984" customWidth="1"/>
    <col min="508" max="508" width="25.140625" style="984" customWidth="1"/>
    <col min="509" max="509" width="19.5703125" style="984"/>
    <col min="510" max="510" width="7" style="984" customWidth="1"/>
    <col min="511" max="511" width="4.85546875" style="984" bestFit="1" customWidth="1"/>
    <col min="512" max="512" width="9.140625" style="984" bestFit="1" customWidth="1"/>
    <col min="513" max="513" width="12.5703125" style="984" customWidth="1"/>
    <col min="514" max="514" width="56.7109375" style="984" bestFit="1" customWidth="1"/>
    <col min="515" max="753" width="19.5703125" style="984"/>
    <col min="754" max="754" width="7.140625" style="984" customWidth="1"/>
    <col min="755" max="755" width="24.140625" style="984" customWidth="1"/>
    <col min="756" max="756" width="28.42578125" style="984" customWidth="1"/>
    <col min="757" max="757" width="19.5703125" style="984" customWidth="1"/>
    <col min="758" max="758" width="24.140625" style="984" customWidth="1"/>
    <col min="759" max="759" width="19.5703125" style="984"/>
    <col min="760" max="760" width="5.5703125" style="984" customWidth="1"/>
    <col min="761" max="761" width="24.140625" style="984" customWidth="1"/>
    <col min="762" max="762" width="34.140625" style="984" customWidth="1"/>
    <col min="763" max="763" width="41.5703125" style="984" customWidth="1"/>
    <col min="764" max="764" width="25.140625" style="984" customWidth="1"/>
    <col min="765" max="765" width="19.5703125" style="984"/>
    <col min="766" max="766" width="7" style="984" customWidth="1"/>
    <col min="767" max="767" width="4.85546875" style="984" bestFit="1" customWidth="1"/>
    <col min="768" max="768" width="9.140625" style="984" bestFit="1" customWidth="1"/>
    <col min="769" max="769" width="12.5703125" style="984" customWidth="1"/>
    <col min="770" max="770" width="56.7109375" style="984" bestFit="1" customWidth="1"/>
    <col min="771" max="1009" width="19.5703125" style="984"/>
    <col min="1010" max="1010" width="7.140625" style="984" customWidth="1"/>
    <col min="1011" max="1011" width="24.140625" style="984" customWidth="1"/>
    <col min="1012" max="1012" width="28.42578125" style="984" customWidth="1"/>
    <col min="1013" max="1013" width="19.5703125" style="984" customWidth="1"/>
    <col min="1014" max="1014" width="24.140625" style="984" customWidth="1"/>
    <col min="1015" max="1015" width="19.5703125" style="984"/>
    <col min="1016" max="1016" width="5.5703125" style="984" customWidth="1"/>
    <col min="1017" max="1017" width="24.140625" style="984" customWidth="1"/>
    <col min="1018" max="1018" width="34.140625" style="984" customWidth="1"/>
    <col min="1019" max="1019" width="41.5703125" style="984" customWidth="1"/>
    <col min="1020" max="1020" width="25.140625" style="984" customWidth="1"/>
    <col min="1021" max="1021" width="19.5703125" style="984"/>
    <col min="1022" max="1022" width="7" style="984" customWidth="1"/>
    <col min="1023" max="1023" width="4.85546875" style="984" bestFit="1" customWidth="1"/>
    <col min="1024" max="1024" width="9.140625" style="984" bestFit="1" customWidth="1"/>
    <col min="1025" max="1025" width="12.5703125" style="984" customWidth="1"/>
    <col min="1026" max="1026" width="56.7109375" style="984" bestFit="1" customWidth="1"/>
    <col min="1027" max="1265" width="19.5703125" style="984"/>
    <col min="1266" max="1266" width="7.140625" style="984" customWidth="1"/>
    <col min="1267" max="1267" width="24.140625" style="984" customWidth="1"/>
    <col min="1268" max="1268" width="28.42578125" style="984" customWidth="1"/>
    <col min="1269" max="1269" width="19.5703125" style="984" customWidth="1"/>
    <col min="1270" max="1270" width="24.140625" style="984" customWidth="1"/>
    <col min="1271" max="1271" width="19.5703125" style="984"/>
    <col min="1272" max="1272" width="5.5703125" style="984" customWidth="1"/>
    <col min="1273" max="1273" width="24.140625" style="984" customWidth="1"/>
    <col min="1274" max="1274" width="34.140625" style="984" customWidth="1"/>
    <col min="1275" max="1275" width="41.5703125" style="984" customWidth="1"/>
    <col min="1276" max="1276" width="25.140625" style="984" customWidth="1"/>
    <col min="1277" max="1277" width="19.5703125" style="984"/>
    <col min="1278" max="1278" width="7" style="984" customWidth="1"/>
    <col min="1279" max="1279" width="4.85546875" style="984" bestFit="1" customWidth="1"/>
    <col min="1280" max="1280" width="9.140625" style="984" bestFit="1" customWidth="1"/>
    <col min="1281" max="1281" width="12.5703125" style="984" customWidth="1"/>
    <col min="1282" max="1282" width="56.7109375" style="984" bestFit="1" customWidth="1"/>
    <col min="1283" max="1521" width="19.5703125" style="984"/>
    <col min="1522" max="1522" width="7.140625" style="984" customWidth="1"/>
    <col min="1523" max="1523" width="24.140625" style="984" customWidth="1"/>
    <col min="1524" max="1524" width="28.42578125" style="984" customWidth="1"/>
    <col min="1525" max="1525" width="19.5703125" style="984" customWidth="1"/>
    <col min="1526" max="1526" width="24.140625" style="984" customWidth="1"/>
    <col min="1527" max="1527" width="19.5703125" style="984"/>
    <col min="1528" max="1528" width="5.5703125" style="984" customWidth="1"/>
    <col min="1529" max="1529" width="24.140625" style="984" customWidth="1"/>
    <col min="1530" max="1530" width="34.140625" style="984" customWidth="1"/>
    <col min="1531" max="1531" width="41.5703125" style="984" customWidth="1"/>
    <col min="1532" max="1532" width="25.140625" style="984" customWidth="1"/>
    <col min="1533" max="1533" width="19.5703125" style="984"/>
    <col min="1534" max="1534" width="7" style="984" customWidth="1"/>
    <col min="1535" max="1535" width="4.85546875" style="984" bestFit="1" customWidth="1"/>
    <col min="1536" max="1536" width="9.140625" style="984" bestFit="1" customWidth="1"/>
    <col min="1537" max="1537" width="12.5703125" style="984" customWidth="1"/>
    <col min="1538" max="1538" width="56.7109375" style="984" bestFit="1" customWidth="1"/>
    <col min="1539" max="1777" width="19.5703125" style="984"/>
    <col min="1778" max="1778" width="7.140625" style="984" customWidth="1"/>
    <col min="1779" max="1779" width="24.140625" style="984" customWidth="1"/>
    <col min="1780" max="1780" width="28.42578125" style="984" customWidth="1"/>
    <col min="1781" max="1781" width="19.5703125" style="984" customWidth="1"/>
    <col min="1782" max="1782" width="24.140625" style="984" customWidth="1"/>
    <col min="1783" max="1783" width="19.5703125" style="984"/>
    <col min="1784" max="1784" width="5.5703125" style="984" customWidth="1"/>
    <col min="1785" max="1785" width="24.140625" style="984" customWidth="1"/>
    <col min="1786" max="1786" width="34.140625" style="984" customWidth="1"/>
    <col min="1787" max="1787" width="41.5703125" style="984" customWidth="1"/>
    <col min="1788" max="1788" width="25.140625" style="984" customWidth="1"/>
    <col min="1789" max="1789" width="19.5703125" style="984"/>
    <col min="1790" max="1790" width="7" style="984" customWidth="1"/>
    <col min="1791" max="1791" width="4.85546875" style="984" bestFit="1" customWidth="1"/>
    <col min="1792" max="1792" width="9.140625" style="984" bestFit="1" customWidth="1"/>
    <col min="1793" max="1793" width="12.5703125" style="984" customWidth="1"/>
    <col min="1794" max="1794" width="56.7109375" style="984" bestFit="1" customWidth="1"/>
    <col min="1795" max="2033" width="19.5703125" style="984"/>
    <col min="2034" max="2034" width="7.140625" style="984" customWidth="1"/>
    <col min="2035" max="2035" width="24.140625" style="984" customWidth="1"/>
    <col min="2036" max="2036" width="28.42578125" style="984" customWidth="1"/>
    <col min="2037" max="2037" width="19.5703125" style="984" customWidth="1"/>
    <col min="2038" max="2038" width="24.140625" style="984" customWidth="1"/>
    <col min="2039" max="2039" width="19.5703125" style="984"/>
    <col min="2040" max="2040" width="5.5703125" style="984" customWidth="1"/>
    <col min="2041" max="2041" width="24.140625" style="984" customWidth="1"/>
    <col min="2042" max="2042" width="34.140625" style="984" customWidth="1"/>
    <col min="2043" max="2043" width="41.5703125" style="984" customWidth="1"/>
    <col min="2044" max="2044" width="25.140625" style="984" customWidth="1"/>
    <col min="2045" max="2045" width="19.5703125" style="984"/>
    <col min="2046" max="2046" width="7" style="984" customWidth="1"/>
    <col min="2047" max="2047" width="4.85546875" style="984" bestFit="1" customWidth="1"/>
    <col min="2048" max="2048" width="9.140625" style="984" bestFit="1" customWidth="1"/>
    <col min="2049" max="2049" width="12.5703125" style="984" customWidth="1"/>
    <col min="2050" max="2050" width="56.7109375" style="984" bestFit="1" customWidth="1"/>
    <col min="2051" max="2289" width="19.5703125" style="984"/>
    <col min="2290" max="2290" width="7.140625" style="984" customWidth="1"/>
    <col min="2291" max="2291" width="24.140625" style="984" customWidth="1"/>
    <col min="2292" max="2292" width="28.42578125" style="984" customWidth="1"/>
    <col min="2293" max="2293" width="19.5703125" style="984" customWidth="1"/>
    <col min="2294" max="2294" width="24.140625" style="984" customWidth="1"/>
    <col min="2295" max="2295" width="19.5703125" style="984"/>
    <col min="2296" max="2296" width="5.5703125" style="984" customWidth="1"/>
    <col min="2297" max="2297" width="24.140625" style="984" customWidth="1"/>
    <col min="2298" max="2298" width="34.140625" style="984" customWidth="1"/>
    <col min="2299" max="2299" width="41.5703125" style="984" customWidth="1"/>
    <col min="2300" max="2300" width="25.140625" style="984" customWidth="1"/>
    <col min="2301" max="2301" width="19.5703125" style="984"/>
    <col min="2302" max="2302" width="7" style="984" customWidth="1"/>
    <col min="2303" max="2303" width="4.85546875" style="984" bestFit="1" customWidth="1"/>
    <col min="2304" max="2304" width="9.140625" style="984" bestFit="1" customWidth="1"/>
    <col min="2305" max="2305" width="12.5703125" style="984" customWidth="1"/>
    <col min="2306" max="2306" width="56.7109375" style="984" bestFit="1" customWidth="1"/>
    <col min="2307" max="2545" width="19.5703125" style="984"/>
    <col min="2546" max="2546" width="7.140625" style="984" customWidth="1"/>
    <col min="2547" max="2547" width="24.140625" style="984" customWidth="1"/>
    <col min="2548" max="2548" width="28.42578125" style="984" customWidth="1"/>
    <col min="2549" max="2549" width="19.5703125" style="984" customWidth="1"/>
    <col min="2550" max="2550" width="24.140625" style="984" customWidth="1"/>
    <col min="2551" max="2551" width="19.5703125" style="984"/>
    <col min="2552" max="2552" width="5.5703125" style="984" customWidth="1"/>
    <col min="2553" max="2553" width="24.140625" style="984" customWidth="1"/>
    <col min="2554" max="2554" width="34.140625" style="984" customWidth="1"/>
    <col min="2555" max="2555" width="41.5703125" style="984" customWidth="1"/>
    <col min="2556" max="2556" width="25.140625" style="984" customWidth="1"/>
    <col min="2557" max="2557" width="19.5703125" style="984"/>
    <col min="2558" max="2558" width="7" style="984" customWidth="1"/>
    <col min="2559" max="2559" width="4.85546875" style="984" bestFit="1" customWidth="1"/>
    <col min="2560" max="2560" width="9.140625" style="984" bestFit="1" customWidth="1"/>
    <col min="2561" max="2561" width="12.5703125" style="984" customWidth="1"/>
    <col min="2562" max="2562" width="56.7109375" style="984" bestFit="1" customWidth="1"/>
    <col min="2563" max="2801" width="19.5703125" style="984"/>
    <col min="2802" max="2802" width="7.140625" style="984" customWidth="1"/>
    <col min="2803" max="2803" width="24.140625" style="984" customWidth="1"/>
    <col min="2804" max="2804" width="28.42578125" style="984" customWidth="1"/>
    <col min="2805" max="2805" width="19.5703125" style="984" customWidth="1"/>
    <col min="2806" max="2806" width="24.140625" style="984" customWidth="1"/>
    <col min="2807" max="2807" width="19.5703125" style="984"/>
    <col min="2808" max="2808" width="5.5703125" style="984" customWidth="1"/>
    <col min="2809" max="2809" width="24.140625" style="984" customWidth="1"/>
    <col min="2810" max="2810" width="34.140625" style="984" customWidth="1"/>
    <col min="2811" max="2811" width="41.5703125" style="984" customWidth="1"/>
    <col min="2812" max="2812" width="25.140625" style="984" customWidth="1"/>
    <col min="2813" max="2813" width="19.5703125" style="984"/>
    <col min="2814" max="2814" width="7" style="984" customWidth="1"/>
    <col min="2815" max="2815" width="4.85546875" style="984" bestFit="1" customWidth="1"/>
    <col min="2816" max="2816" width="9.140625" style="984" bestFit="1" customWidth="1"/>
    <col min="2817" max="2817" width="12.5703125" style="984" customWidth="1"/>
    <col min="2818" max="2818" width="56.7109375" style="984" bestFit="1" customWidth="1"/>
    <col min="2819" max="3057" width="19.5703125" style="984"/>
    <col min="3058" max="3058" width="7.140625" style="984" customWidth="1"/>
    <col min="3059" max="3059" width="24.140625" style="984" customWidth="1"/>
    <col min="3060" max="3060" width="28.42578125" style="984" customWidth="1"/>
    <col min="3061" max="3061" width="19.5703125" style="984" customWidth="1"/>
    <col min="3062" max="3062" width="24.140625" style="984" customWidth="1"/>
    <col min="3063" max="3063" width="19.5703125" style="984"/>
    <col min="3064" max="3064" width="5.5703125" style="984" customWidth="1"/>
    <col min="3065" max="3065" width="24.140625" style="984" customWidth="1"/>
    <col min="3066" max="3066" width="34.140625" style="984" customWidth="1"/>
    <col min="3067" max="3067" width="41.5703125" style="984" customWidth="1"/>
    <col min="3068" max="3068" width="25.140625" style="984" customWidth="1"/>
    <col min="3069" max="3069" width="19.5703125" style="984"/>
    <col min="3070" max="3070" width="7" style="984" customWidth="1"/>
    <col min="3071" max="3071" width="4.85546875" style="984" bestFit="1" customWidth="1"/>
    <col min="3072" max="3072" width="9.140625" style="984" bestFit="1" customWidth="1"/>
    <col min="3073" max="3073" width="12.5703125" style="984" customWidth="1"/>
    <col min="3074" max="3074" width="56.7109375" style="984" bestFit="1" customWidth="1"/>
    <col min="3075" max="3313" width="19.5703125" style="984"/>
    <col min="3314" max="3314" width="7.140625" style="984" customWidth="1"/>
    <col min="3315" max="3315" width="24.140625" style="984" customWidth="1"/>
    <col min="3316" max="3316" width="28.42578125" style="984" customWidth="1"/>
    <col min="3317" max="3317" width="19.5703125" style="984" customWidth="1"/>
    <col min="3318" max="3318" width="24.140625" style="984" customWidth="1"/>
    <col min="3319" max="3319" width="19.5703125" style="984"/>
    <col min="3320" max="3320" width="5.5703125" style="984" customWidth="1"/>
    <col min="3321" max="3321" width="24.140625" style="984" customWidth="1"/>
    <col min="3322" max="3322" width="34.140625" style="984" customWidth="1"/>
    <col min="3323" max="3323" width="41.5703125" style="984" customWidth="1"/>
    <col min="3324" max="3324" width="25.140625" style="984" customWidth="1"/>
    <col min="3325" max="3325" width="19.5703125" style="984"/>
    <col min="3326" max="3326" width="7" style="984" customWidth="1"/>
    <col min="3327" max="3327" width="4.85546875" style="984" bestFit="1" customWidth="1"/>
    <col min="3328" max="3328" width="9.140625" style="984" bestFit="1" customWidth="1"/>
    <col min="3329" max="3329" width="12.5703125" style="984" customWidth="1"/>
    <col min="3330" max="3330" width="56.7109375" style="984" bestFit="1" customWidth="1"/>
    <col min="3331" max="3569" width="19.5703125" style="984"/>
    <col min="3570" max="3570" width="7.140625" style="984" customWidth="1"/>
    <col min="3571" max="3571" width="24.140625" style="984" customWidth="1"/>
    <col min="3572" max="3572" width="28.42578125" style="984" customWidth="1"/>
    <col min="3573" max="3573" width="19.5703125" style="984" customWidth="1"/>
    <col min="3574" max="3574" width="24.140625" style="984" customWidth="1"/>
    <col min="3575" max="3575" width="19.5703125" style="984"/>
    <col min="3576" max="3576" width="5.5703125" style="984" customWidth="1"/>
    <col min="3577" max="3577" width="24.140625" style="984" customWidth="1"/>
    <col min="3578" max="3578" width="34.140625" style="984" customWidth="1"/>
    <col min="3579" max="3579" width="41.5703125" style="984" customWidth="1"/>
    <col min="3580" max="3580" width="25.140625" style="984" customWidth="1"/>
    <col min="3581" max="3581" width="19.5703125" style="984"/>
    <col min="3582" max="3582" width="7" style="984" customWidth="1"/>
    <col min="3583" max="3583" width="4.85546875" style="984" bestFit="1" customWidth="1"/>
    <col min="3584" max="3584" width="9.140625" style="984" bestFit="1" customWidth="1"/>
    <col min="3585" max="3585" width="12.5703125" style="984" customWidth="1"/>
    <col min="3586" max="3586" width="56.7109375" style="984" bestFit="1" customWidth="1"/>
    <col min="3587" max="3825" width="19.5703125" style="984"/>
    <col min="3826" max="3826" width="7.140625" style="984" customWidth="1"/>
    <col min="3827" max="3827" width="24.140625" style="984" customWidth="1"/>
    <col min="3828" max="3828" width="28.42578125" style="984" customWidth="1"/>
    <col min="3829" max="3829" width="19.5703125" style="984" customWidth="1"/>
    <col min="3830" max="3830" width="24.140625" style="984" customWidth="1"/>
    <col min="3831" max="3831" width="19.5703125" style="984"/>
    <col min="3832" max="3832" width="5.5703125" style="984" customWidth="1"/>
    <col min="3833" max="3833" width="24.140625" style="984" customWidth="1"/>
    <col min="3834" max="3834" width="34.140625" style="984" customWidth="1"/>
    <col min="3835" max="3835" width="41.5703125" style="984" customWidth="1"/>
    <col min="3836" max="3836" width="25.140625" style="984" customWidth="1"/>
    <col min="3837" max="3837" width="19.5703125" style="984"/>
    <col min="3838" max="3838" width="7" style="984" customWidth="1"/>
    <col min="3839" max="3839" width="4.85546875" style="984" bestFit="1" customWidth="1"/>
    <col min="3840" max="3840" width="9.140625" style="984" bestFit="1" customWidth="1"/>
    <col min="3841" max="3841" width="12.5703125" style="984" customWidth="1"/>
    <col min="3842" max="3842" width="56.7109375" style="984" bestFit="1" customWidth="1"/>
    <col min="3843" max="4081" width="19.5703125" style="984"/>
    <col min="4082" max="4082" width="7.140625" style="984" customWidth="1"/>
    <col min="4083" max="4083" width="24.140625" style="984" customWidth="1"/>
    <col min="4084" max="4084" width="28.42578125" style="984" customWidth="1"/>
    <col min="4085" max="4085" width="19.5703125" style="984" customWidth="1"/>
    <col min="4086" max="4086" width="24.140625" style="984" customWidth="1"/>
    <col min="4087" max="4087" width="19.5703125" style="984"/>
    <col min="4088" max="4088" width="5.5703125" style="984" customWidth="1"/>
    <col min="4089" max="4089" width="24.140625" style="984" customWidth="1"/>
    <col min="4090" max="4090" width="34.140625" style="984" customWidth="1"/>
    <col min="4091" max="4091" width="41.5703125" style="984" customWidth="1"/>
    <col min="4092" max="4092" width="25.140625" style="984" customWidth="1"/>
    <col min="4093" max="4093" width="19.5703125" style="984"/>
    <col min="4094" max="4094" width="7" style="984" customWidth="1"/>
    <col min="4095" max="4095" width="4.85546875" style="984" bestFit="1" customWidth="1"/>
    <col min="4096" max="4096" width="9.140625" style="984" bestFit="1" customWidth="1"/>
    <col min="4097" max="4097" width="12.5703125" style="984" customWidth="1"/>
    <col min="4098" max="4098" width="56.7109375" style="984" bestFit="1" customWidth="1"/>
    <col min="4099" max="4337" width="19.5703125" style="984"/>
    <col min="4338" max="4338" width="7.140625" style="984" customWidth="1"/>
    <col min="4339" max="4339" width="24.140625" style="984" customWidth="1"/>
    <col min="4340" max="4340" width="28.42578125" style="984" customWidth="1"/>
    <col min="4341" max="4341" width="19.5703125" style="984" customWidth="1"/>
    <col min="4342" max="4342" width="24.140625" style="984" customWidth="1"/>
    <col min="4343" max="4343" width="19.5703125" style="984"/>
    <col min="4344" max="4344" width="5.5703125" style="984" customWidth="1"/>
    <col min="4345" max="4345" width="24.140625" style="984" customWidth="1"/>
    <col min="4346" max="4346" width="34.140625" style="984" customWidth="1"/>
    <col min="4347" max="4347" width="41.5703125" style="984" customWidth="1"/>
    <col min="4348" max="4348" width="25.140625" style="984" customWidth="1"/>
    <col min="4349" max="4349" width="19.5703125" style="984"/>
    <col min="4350" max="4350" width="7" style="984" customWidth="1"/>
    <col min="4351" max="4351" width="4.85546875" style="984" bestFit="1" customWidth="1"/>
    <col min="4352" max="4352" width="9.140625" style="984" bestFit="1" customWidth="1"/>
    <col min="4353" max="4353" width="12.5703125" style="984" customWidth="1"/>
    <col min="4354" max="4354" width="56.7109375" style="984" bestFit="1" customWidth="1"/>
    <col min="4355" max="4593" width="19.5703125" style="984"/>
    <col min="4594" max="4594" width="7.140625" style="984" customWidth="1"/>
    <col min="4595" max="4595" width="24.140625" style="984" customWidth="1"/>
    <col min="4596" max="4596" width="28.42578125" style="984" customWidth="1"/>
    <col min="4597" max="4597" width="19.5703125" style="984" customWidth="1"/>
    <col min="4598" max="4598" width="24.140625" style="984" customWidth="1"/>
    <col min="4599" max="4599" width="19.5703125" style="984"/>
    <col min="4600" max="4600" width="5.5703125" style="984" customWidth="1"/>
    <col min="4601" max="4601" width="24.140625" style="984" customWidth="1"/>
    <col min="4602" max="4602" width="34.140625" style="984" customWidth="1"/>
    <col min="4603" max="4603" width="41.5703125" style="984" customWidth="1"/>
    <col min="4604" max="4604" width="25.140625" style="984" customWidth="1"/>
    <col min="4605" max="4605" width="19.5703125" style="984"/>
    <col min="4606" max="4606" width="7" style="984" customWidth="1"/>
    <col min="4607" max="4607" width="4.85546875" style="984" bestFit="1" customWidth="1"/>
    <col min="4608" max="4608" width="9.140625" style="984" bestFit="1" customWidth="1"/>
    <col min="4609" max="4609" width="12.5703125" style="984" customWidth="1"/>
    <col min="4610" max="4610" width="56.7109375" style="984" bestFit="1" customWidth="1"/>
    <col min="4611" max="4849" width="19.5703125" style="984"/>
    <col min="4850" max="4850" width="7.140625" style="984" customWidth="1"/>
    <col min="4851" max="4851" width="24.140625" style="984" customWidth="1"/>
    <col min="4852" max="4852" width="28.42578125" style="984" customWidth="1"/>
    <col min="4853" max="4853" width="19.5703125" style="984" customWidth="1"/>
    <col min="4854" max="4854" width="24.140625" style="984" customWidth="1"/>
    <col min="4855" max="4855" width="19.5703125" style="984"/>
    <col min="4856" max="4856" width="5.5703125" style="984" customWidth="1"/>
    <col min="4857" max="4857" width="24.140625" style="984" customWidth="1"/>
    <col min="4858" max="4858" width="34.140625" style="984" customWidth="1"/>
    <col min="4859" max="4859" width="41.5703125" style="984" customWidth="1"/>
    <col min="4860" max="4860" width="25.140625" style="984" customWidth="1"/>
    <col min="4861" max="4861" width="19.5703125" style="984"/>
    <col min="4862" max="4862" width="7" style="984" customWidth="1"/>
    <col min="4863" max="4863" width="4.85546875" style="984" bestFit="1" customWidth="1"/>
    <col min="4864" max="4864" width="9.140625" style="984" bestFit="1" customWidth="1"/>
    <col min="4865" max="4865" width="12.5703125" style="984" customWidth="1"/>
    <col min="4866" max="4866" width="56.7109375" style="984" bestFit="1" customWidth="1"/>
    <col min="4867" max="5105" width="19.5703125" style="984"/>
    <col min="5106" max="5106" width="7.140625" style="984" customWidth="1"/>
    <col min="5107" max="5107" width="24.140625" style="984" customWidth="1"/>
    <col min="5108" max="5108" width="28.42578125" style="984" customWidth="1"/>
    <col min="5109" max="5109" width="19.5703125" style="984" customWidth="1"/>
    <col min="5110" max="5110" width="24.140625" style="984" customWidth="1"/>
    <col min="5111" max="5111" width="19.5703125" style="984"/>
    <col min="5112" max="5112" width="5.5703125" style="984" customWidth="1"/>
    <col min="5113" max="5113" width="24.140625" style="984" customWidth="1"/>
    <col min="5114" max="5114" width="34.140625" style="984" customWidth="1"/>
    <col min="5115" max="5115" width="41.5703125" style="984" customWidth="1"/>
    <col min="5116" max="5116" width="25.140625" style="984" customWidth="1"/>
    <col min="5117" max="5117" width="19.5703125" style="984"/>
    <col min="5118" max="5118" width="7" style="984" customWidth="1"/>
    <col min="5119" max="5119" width="4.85546875" style="984" bestFit="1" customWidth="1"/>
    <col min="5120" max="5120" width="9.140625" style="984" bestFit="1" customWidth="1"/>
    <col min="5121" max="5121" width="12.5703125" style="984" customWidth="1"/>
    <col min="5122" max="5122" width="56.7109375" style="984" bestFit="1" customWidth="1"/>
    <col min="5123" max="5361" width="19.5703125" style="984"/>
    <col min="5362" max="5362" width="7.140625" style="984" customWidth="1"/>
    <col min="5363" max="5363" width="24.140625" style="984" customWidth="1"/>
    <col min="5364" max="5364" width="28.42578125" style="984" customWidth="1"/>
    <col min="5365" max="5365" width="19.5703125" style="984" customWidth="1"/>
    <col min="5366" max="5366" width="24.140625" style="984" customWidth="1"/>
    <col min="5367" max="5367" width="19.5703125" style="984"/>
    <col min="5368" max="5368" width="5.5703125" style="984" customWidth="1"/>
    <col min="5369" max="5369" width="24.140625" style="984" customWidth="1"/>
    <col min="5370" max="5370" width="34.140625" style="984" customWidth="1"/>
    <col min="5371" max="5371" width="41.5703125" style="984" customWidth="1"/>
    <col min="5372" max="5372" width="25.140625" style="984" customWidth="1"/>
    <col min="5373" max="5373" width="19.5703125" style="984"/>
    <col min="5374" max="5374" width="7" style="984" customWidth="1"/>
    <col min="5375" max="5375" width="4.85546875" style="984" bestFit="1" customWidth="1"/>
    <col min="5376" max="5376" width="9.140625" style="984" bestFit="1" customWidth="1"/>
    <col min="5377" max="5377" width="12.5703125" style="984" customWidth="1"/>
    <col min="5378" max="5378" width="56.7109375" style="984" bestFit="1" customWidth="1"/>
    <col min="5379" max="5617" width="19.5703125" style="984"/>
    <col min="5618" max="5618" width="7.140625" style="984" customWidth="1"/>
    <col min="5619" max="5619" width="24.140625" style="984" customWidth="1"/>
    <col min="5620" max="5620" width="28.42578125" style="984" customWidth="1"/>
    <col min="5621" max="5621" width="19.5703125" style="984" customWidth="1"/>
    <col min="5622" max="5622" width="24.140625" style="984" customWidth="1"/>
    <col min="5623" max="5623" width="19.5703125" style="984"/>
    <col min="5624" max="5624" width="5.5703125" style="984" customWidth="1"/>
    <col min="5625" max="5625" width="24.140625" style="984" customWidth="1"/>
    <col min="5626" max="5626" width="34.140625" style="984" customWidth="1"/>
    <col min="5627" max="5627" width="41.5703125" style="984" customWidth="1"/>
    <col min="5628" max="5628" width="25.140625" style="984" customWidth="1"/>
    <col min="5629" max="5629" width="19.5703125" style="984"/>
    <col min="5630" max="5630" width="7" style="984" customWidth="1"/>
    <col min="5631" max="5631" width="4.85546875" style="984" bestFit="1" customWidth="1"/>
    <col min="5632" max="5632" width="9.140625" style="984" bestFit="1" customWidth="1"/>
    <col min="5633" max="5633" width="12.5703125" style="984" customWidth="1"/>
    <col min="5634" max="5634" width="56.7109375" style="984" bestFit="1" customWidth="1"/>
    <col min="5635" max="5873" width="19.5703125" style="984"/>
    <col min="5874" max="5874" width="7.140625" style="984" customWidth="1"/>
    <col min="5875" max="5875" width="24.140625" style="984" customWidth="1"/>
    <col min="5876" max="5876" width="28.42578125" style="984" customWidth="1"/>
    <col min="5877" max="5877" width="19.5703125" style="984" customWidth="1"/>
    <col min="5878" max="5878" width="24.140625" style="984" customWidth="1"/>
    <col min="5879" max="5879" width="19.5703125" style="984"/>
    <col min="5880" max="5880" width="5.5703125" style="984" customWidth="1"/>
    <col min="5881" max="5881" width="24.140625" style="984" customWidth="1"/>
    <col min="5882" max="5882" width="34.140625" style="984" customWidth="1"/>
    <col min="5883" max="5883" width="41.5703125" style="984" customWidth="1"/>
    <col min="5884" max="5884" width="25.140625" style="984" customWidth="1"/>
    <col min="5885" max="5885" width="19.5703125" style="984"/>
    <col min="5886" max="5886" width="7" style="984" customWidth="1"/>
    <col min="5887" max="5887" width="4.85546875" style="984" bestFit="1" customWidth="1"/>
    <col min="5888" max="5888" width="9.140625" style="984" bestFit="1" customWidth="1"/>
    <col min="5889" max="5889" width="12.5703125" style="984" customWidth="1"/>
    <col min="5890" max="5890" width="56.7109375" style="984" bestFit="1" customWidth="1"/>
    <col min="5891" max="6129" width="19.5703125" style="984"/>
    <col min="6130" max="6130" width="7.140625" style="984" customWidth="1"/>
    <col min="6131" max="6131" width="24.140625" style="984" customWidth="1"/>
    <col min="6132" max="6132" width="28.42578125" style="984" customWidth="1"/>
    <col min="6133" max="6133" width="19.5703125" style="984" customWidth="1"/>
    <col min="6134" max="6134" width="24.140625" style="984" customWidth="1"/>
    <col min="6135" max="6135" width="19.5703125" style="984"/>
    <col min="6136" max="6136" width="5.5703125" style="984" customWidth="1"/>
    <col min="6137" max="6137" width="24.140625" style="984" customWidth="1"/>
    <col min="6138" max="6138" width="34.140625" style="984" customWidth="1"/>
    <col min="6139" max="6139" width="41.5703125" style="984" customWidth="1"/>
    <col min="6140" max="6140" width="25.140625" style="984" customWidth="1"/>
    <col min="6141" max="6141" width="19.5703125" style="984"/>
    <col min="6142" max="6142" width="7" style="984" customWidth="1"/>
    <col min="6143" max="6143" width="4.85546875" style="984" bestFit="1" customWidth="1"/>
    <col min="6144" max="6144" width="9.140625" style="984" bestFit="1" customWidth="1"/>
    <col min="6145" max="6145" width="12.5703125" style="984" customWidth="1"/>
    <col min="6146" max="6146" width="56.7109375" style="984" bestFit="1" customWidth="1"/>
    <col min="6147" max="6385" width="19.5703125" style="984"/>
    <col min="6386" max="6386" width="7.140625" style="984" customWidth="1"/>
    <col min="6387" max="6387" width="24.140625" style="984" customWidth="1"/>
    <col min="6388" max="6388" width="28.42578125" style="984" customWidth="1"/>
    <col min="6389" max="6389" width="19.5703125" style="984" customWidth="1"/>
    <col min="6390" max="6390" width="24.140625" style="984" customWidth="1"/>
    <col min="6391" max="6391" width="19.5703125" style="984"/>
    <col min="6392" max="6392" width="5.5703125" style="984" customWidth="1"/>
    <col min="6393" max="6393" width="24.140625" style="984" customWidth="1"/>
    <col min="6394" max="6394" width="34.140625" style="984" customWidth="1"/>
    <col min="6395" max="6395" width="41.5703125" style="984" customWidth="1"/>
    <col min="6396" max="6396" width="25.140625" style="984" customWidth="1"/>
    <col min="6397" max="6397" width="19.5703125" style="984"/>
    <col min="6398" max="6398" width="7" style="984" customWidth="1"/>
    <col min="6399" max="6399" width="4.85546875" style="984" bestFit="1" customWidth="1"/>
    <col min="6400" max="6400" width="9.140625" style="984" bestFit="1" customWidth="1"/>
    <col min="6401" max="6401" width="12.5703125" style="984" customWidth="1"/>
    <col min="6402" max="6402" width="56.7109375" style="984" bestFit="1" customWidth="1"/>
    <col min="6403" max="6641" width="19.5703125" style="984"/>
    <col min="6642" max="6642" width="7.140625" style="984" customWidth="1"/>
    <col min="6643" max="6643" width="24.140625" style="984" customWidth="1"/>
    <col min="6644" max="6644" width="28.42578125" style="984" customWidth="1"/>
    <col min="6645" max="6645" width="19.5703125" style="984" customWidth="1"/>
    <col min="6646" max="6646" width="24.140625" style="984" customWidth="1"/>
    <col min="6647" max="6647" width="19.5703125" style="984"/>
    <col min="6648" max="6648" width="5.5703125" style="984" customWidth="1"/>
    <col min="6649" max="6649" width="24.140625" style="984" customWidth="1"/>
    <col min="6650" max="6650" width="34.140625" style="984" customWidth="1"/>
    <col min="6651" max="6651" width="41.5703125" style="984" customWidth="1"/>
    <col min="6652" max="6652" width="25.140625" style="984" customWidth="1"/>
    <col min="6653" max="6653" width="19.5703125" style="984"/>
    <col min="6654" max="6654" width="7" style="984" customWidth="1"/>
    <col min="6655" max="6655" width="4.85546875" style="984" bestFit="1" customWidth="1"/>
    <col min="6656" max="6656" width="9.140625" style="984" bestFit="1" customWidth="1"/>
    <col min="6657" max="6657" width="12.5703125" style="984" customWidth="1"/>
    <col min="6658" max="6658" width="56.7109375" style="984" bestFit="1" customWidth="1"/>
    <col min="6659" max="6897" width="19.5703125" style="984"/>
    <col min="6898" max="6898" width="7.140625" style="984" customWidth="1"/>
    <col min="6899" max="6899" width="24.140625" style="984" customWidth="1"/>
    <col min="6900" max="6900" width="28.42578125" style="984" customWidth="1"/>
    <col min="6901" max="6901" width="19.5703125" style="984" customWidth="1"/>
    <col min="6902" max="6902" width="24.140625" style="984" customWidth="1"/>
    <col min="6903" max="6903" width="19.5703125" style="984"/>
    <col min="6904" max="6904" width="5.5703125" style="984" customWidth="1"/>
    <col min="6905" max="6905" width="24.140625" style="984" customWidth="1"/>
    <col min="6906" max="6906" width="34.140625" style="984" customWidth="1"/>
    <col min="6907" max="6907" width="41.5703125" style="984" customWidth="1"/>
    <col min="6908" max="6908" width="25.140625" style="984" customWidth="1"/>
    <col min="6909" max="6909" width="19.5703125" style="984"/>
    <col min="6910" max="6910" width="7" style="984" customWidth="1"/>
    <col min="6911" max="6911" width="4.85546875" style="984" bestFit="1" customWidth="1"/>
    <col min="6912" max="6912" width="9.140625" style="984" bestFit="1" customWidth="1"/>
    <col min="6913" max="6913" width="12.5703125" style="984" customWidth="1"/>
    <col min="6914" max="6914" width="56.7109375" style="984" bestFit="1" customWidth="1"/>
    <col min="6915" max="7153" width="19.5703125" style="984"/>
    <col min="7154" max="7154" width="7.140625" style="984" customWidth="1"/>
    <col min="7155" max="7155" width="24.140625" style="984" customWidth="1"/>
    <col min="7156" max="7156" width="28.42578125" style="984" customWidth="1"/>
    <col min="7157" max="7157" width="19.5703125" style="984" customWidth="1"/>
    <col min="7158" max="7158" width="24.140625" style="984" customWidth="1"/>
    <col min="7159" max="7159" width="19.5703125" style="984"/>
    <col min="7160" max="7160" width="5.5703125" style="984" customWidth="1"/>
    <col min="7161" max="7161" width="24.140625" style="984" customWidth="1"/>
    <col min="7162" max="7162" width="34.140625" style="984" customWidth="1"/>
    <col min="7163" max="7163" width="41.5703125" style="984" customWidth="1"/>
    <col min="7164" max="7164" width="25.140625" style="984" customWidth="1"/>
    <col min="7165" max="7165" width="19.5703125" style="984"/>
    <col min="7166" max="7166" width="7" style="984" customWidth="1"/>
    <col min="7167" max="7167" width="4.85546875" style="984" bestFit="1" customWidth="1"/>
    <col min="7168" max="7168" width="9.140625" style="984" bestFit="1" customWidth="1"/>
    <col min="7169" max="7169" width="12.5703125" style="984" customWidth="1"/>
    <col min="7170" max="7170" width="56.7109375" style="984" bestFit="1" customWidth="1"/>
    <col min="7171" max="7409" width="19.5703125" style="984"/>
    <col min="7410" max="7410" width="7.140625" style="984" customWidth="1"/>
    <col min="7411" max="7411" width="24.140625" style="984" customWidth="1"/>
    <col min="7412" max="7412" width="28.42578125" style="984" customWidth="1"/>
    <col min="7413" max="7413" width="19.5703125" style="984" customWidth="1"/>
    <col min="7414" max="7414" width="24.140625" style="984" customWidth="1"/>
    <col min="7415" max="7415" width="19.5703125" style="984"/>
    <col min="7416" max="7416" width="5.5703125" style="984" customWidth="1"/>
    <col min="7417" max="7417" width="24.140625" style="984" customWidth="1"/>
    <col min="7418" max="7418" width="34.140625" style="984" customWidth="1"/>
    <col min="7419" max="7419" width="41.5703125" style="984" customWidth="1"/>
    <col min="7420" max="7420" width="25.140625" style="984" customWidth="1"/>
    <col min="7421" max="7421" width="19.5703125" style="984"/>
    <col min="7422" max="7422" width="7" style="984" customWidth="1"/>
    <col min="7423" max="7423" width="4.85546875" style="984" bestFit="1" customWidth="1"/>
    <col min="7424" max="7424" width="9.140625" style="984" bestFit="1" customWidth="1"/>
    <col min="7425" max="7425" width="12.5703125" style="984" customWidth="1"/>
    <col min="7426" max="7426" width="56.7109375" style="984" bestFit="1" customWidth="1"/>
    <col min="7427" max="7665" width="19.5703125" style="984"/>
    <col min="7666" max="7666" width="7.140625" style="984" customWidth="1"/>
    <col min="7667" max="7667" width="24.140625" style="984" customWidth="1"/>
    <col min="7668" max="7668" width="28.42578125" style="984" customWidth="1"/>
    <col min="7669" max="7669" width="19.5703125" style="984" customWidth="1"/>
    <col min="7670" max="7670" width="24.140625" style="984" customWidth="1"/>
    <col min="7671" max="7671" width="19.5703125" style="984"/>
    <col min="7672" max="7672" width="5.5703125" style="984" customWidth="1"/>
    <col min="7673" max="7673" width="24.140625" style="984" customWidth="1"/>
    <col min="7674" max="7674" width="34.140625" style="984" customWidth="1"/>
    <col min="7675" max="7675" width="41.5703125" style="984" customWidth="1"/>
    <col min="7676" max="7676" width="25.140625" style="984" customWidth="1"/>
    <col min="7677" max="7677" width="19.5703125" style="984"/>
    <col min="7678" max="7678" width="7" style="984" customWidth="1"/>
    <col min="7679" max="7679" width="4.85546875" style="984" bestFit="1" customWidth="1"/>
    <col min="7680" max="7680" width="9.140625" style="984" bestFit="1" customWidth="1"/>
    <col min="7681" max="7681" width="12.5703125" style="984" customWidth="1"/>
    <col min="7682" max="7682" width="56.7109375" style="984" bestFit="1" customWidth="1"/>
    <col min="7683" max="7921" width="19.5703125" style="984"/>
    <col min="7922" max="7922" width="7.140625" style="984" customWidth="1"/>
    <col min="7923" max="7923" width="24.140625" style="984" customWidth="1"/>
    <col min="7924" max="7924" width="28.42578125" style="984" customWidth="1"/>
    <col min="7925" max="7925" width="19.5703125" style="984" customWidth="1"/>
    <col min="7926" max="7926" width="24.140625" style="984" customWidth="1"/>
    <col min="7927" max="7927" width="19.5703125" style="984"/>
    <col min="7928" max="7928" width="5.5703125" style="984" customWidth="1"/>
    <col min="7929" max="7929" width="24.140625" style="984" customWidth="1"/>
    <col min="7930" max="7930" width="34.140625" style="984" customWidth="1"/>
    <col min="7931" max="7931" width="41.5703125" style="984" customWidth="1"/>
    <col min="7932" max="7932" width="25.140625" style="984" customWidth="1"/>
    <col min="7933" max="7933" width="19.5703125" style="984"/>
    <col min="7934" max="7934" width="7" style="984" customWidth="1"/>
    <col min="7935" max="7935" width="4.85546875" style="984" bestFit="1" customWidth="1"/>
    <col min="7936" max="7936" width="9.140625" style="984" bestFit="1" customWidth="1"/>
    <col min="7937" max="7937" width="12.5703125" style="984" customWidth="1"/>
    <col min="7938" max="7938" width="56.7109375" style="984" bestFit="1" customWidth="1"/>
    <col min="7939" max="8177" width="19.5703125" style="984"/>
    <col min="8178" max="8178" width="7.140625" style="984" customWidth="1"/>
    <col min="8179" max="8179" width="24.140625" style="984" customWidth="1"/>
    <col min="8180" max="8180" width="28.42578125" style="984" customWidth="1"/>
    <col min="8181" max="8181" width="19.5703125" style="984" customWidth="1"/>
    <col min="8182" max="8182" width="24.140625" style="984" customWidth="1"/>
    <col min="8183" max="8183" width="19.5703125" style="984"/>
    <col min="8184" max="8184" width="5.5703125" style="984" customWidth="1"/>
    <col min="8185" max="8185" width="24.140625" style="984" customWidth="1"/>
    <col min="8186" max="8186" width="34.140625" style="984" customWidth="1"/>
    <col min="8187" max="8187" width="41.5703125" style="984" customWidth="1"/>
    <col min="8188" max="8188" width="25.140625" style="984" customWidth="1"/>
    <col min="8189" max="8189" width="19.5703125" style="984"/>
    <col min="8190" max="8190" width="7" style="984" customWidth="1"/>
    <col min="8191" max="8191" width="4.85546875" style="984" bestFit="1" customWidth="1"/>
    <col min="8192" max="8192" width="9.140625" style="984" bestFit="1" customWidth="1"/>
    <col min="8193" max="8193" width="12.5703125" style="984" customWidth="1"/>
    <col min="8194" max="8194" width="56.7109375" style="984" bestFit="1" customWidth="1"/>
    <col min="8195" max="8433" width="19.5703125" style="984"/>
    <col min="8434" max="8434" width="7.140625" style="984" customWidth="1"/>
    <col min="8435" max="8435" width="24.140625" style="984" customWidth="1"/>
    <col min="8436" max="8436" width="28.42578125" style="984" customWidth="1"/>
    <col min="8437" max="8437" width="19.5703125" style="984" customWidth="1"/>
    <col min="8438" max="8438" width="24.140625" style="984" customWidth="1"/>
    <col min="8439" max="8439" width="19.5703125" style="984"/>
    <col min="8440" max="8440" width="5.5703125" style="984" customWidth="1"/>
    <col min="8441" max="8441" width="24.140625" style="984" customWidth="1"/>
    <col min="8442" max="8442" width="34.140625" style="984" customWidth="1"/>
    <col min="8443" max="8443" width="41.5703125" style="984" customWidth="1"/>
    <col min="8444" max="8444" width="25.140625" style="984" customWidth="1"/>
    <col min="8445" max="8445" width="19.5703125" style="984"/>
    <col min="8446" max="8446" width="7" style="984" customWidth="1"/>
    <col min="8447" max="8447" width="4.85546875" style="984" bestFit="1" customWidth="1"/>
    <col min="8448" max="8448" width="9.140625" style="984" bestFit="1" customWidth="1"/>
    <col min="8449" max="8449" width="12.5703125" style="984" customWidth="1"/>
    <col min="8450" max="8450" width="56.7109375" style="984" bestFit="1" customWidth="1"/>
    <col min="8451" max="8689" width="19.5703125" style="984"/>
    <col min="8690" max="8690" width="7.140625" style="984" customWidth="1"/>
    <col min="8691" max="8691" width="24.140625" style="984" customWidth="1"/>
    <col min="8692" max="8692" width="28.42578125" style="984" customWidth="1"/>
    <col min="8693" max="8693" width="19.5703125" style="984" customWidth="1"/>
    <col min="8694" max="8694" width="24.140625" style="984" customWidth="1"/>
    <col min="8695" max="8695" width="19.5703125" style="984"/>
    <col min="8696" max="8696" width="5.5703125" style="984" customWidth="1"/>
    <col min="8697" max="8697" width="24.140625" style="984" customWidth="1"/>
    <col min="8698" max="8698" width="34.140625" style="984" customWidth="1"/>
    <col min="8699" max="8699" width="41.5703125" style="984" customWidth="1"/>
    <col min="8700" max="8700" width="25.140625" style="984" customWidth="1"/>
    <col min="8701" max="8701" width="19.5703125" style="984"/>
    <col min="8702" max="8702" width="7" style="984" customWidth="1"/>
    <col min="8703" max="8703" width="4.85546875" style="984" bestFit="1" customWidth="1"/>
    <col min="8704" max="8704" width="9.140625" style="984" bestFit="1" customWidth="1"/>
    <col min="8705" max="8705" width="12.5703125" style="984" customWidth="1"/>
    <col min="8706" max="8706" width="56.7109375" style="984" bestFit="1" customWidth="1"/>
    <col min="8707" max="8945" width="19.5703125" style="984"/>
    <col min="8946" max="8946" width="7.140625" style="984" customWidth="1"/>
    <col min="8947" max="8947" width="24.140625" style="984" customWidth="1"/>
    <col min="8948" max="8948" width="28.42578125" style="984" customWidth="1"/>
    <col min="8949" max="8949" width="19.5703125" style="984" customWidth="1"/>
    <col min="8950" max="8950" width="24.140625" style="984" customWidth="1"/>
    <col min="8951" max="8951" width="19.5703125" style="984"/>
    <col min="8952" max="8952" width="5.5703125" style="984" customWidth="1"/>
    <col min="8953" max="8953" width="24.140625" style="984" customWidth="1"/>
    <col min="8954" max="8954" width="34.140625" style="984" customWidth="1"/>
    <col min="8955" max="8955" width="41.5703125" style="984" customWidth="1"/>
    <col min="8956" max="8956" width="25.140625" style="984" customWidth="1"/>
    <col min="8957" max="8957" width="19.5703125" style="984"/>
    <col min="8958" max="8958" width="7" style="984" customWidth="1"/>
    <col min="8959" max="8959" width="4.85546875" style="984" bestFit="1" customWidth="1"/>
    <col min="8960" max="8960" width="9.140625" style="984" bestFit="1" customWidth="1"/>
    <col min="8961" max="8961" width="12.5703125" style="984" customWidth="1"/>
    <col min="8962" max="8962" width="56.7109375" style="984" bestFit="1" customWidth="1"/>
    <col min="8963" max="9201" width="19.5703125" style="984"/>
    <col min="9202" max="9202" width="7.140625" style="984" customWidth="1"/>
    <col min="9203" max="9203" width="24.140625" style="984" customWidth="1"/>
    <col min="9204" max="9204" width="28.42578125" style="984" customWidth="1"/>
    <col min="9205" max="9205" width="19.5703125" style="984" customWidth="1"/>
    <col min="9206" max="9206" width="24.140625" style="984" customWidth="1"/>
    <col min="9207" max="9207" width="19.5703125" style="984"/>
    <col min="9208" max="9208" width="5.5703125" style="984" customWidth="1"/>
    <col min="9209" max="9209" width="24.140625" style="984" customWidth="1"/>
    <col min="9210" max="9210" width="34.140625" style="984" customWidth="1"/>
    <col min="9211" max="9211" width="41.5703125" style="984" customWidth="1"/>
    <col min="9212" max="9212" width="25.140625" style="984" customWidth="1"/>
    <col min="9213" max="9213" width="19.5703125" style="984"/>
    <col min="9214" max="9214" width="7" style="984" customWidth="1"/>
    <col min="9215" max="9215" width="4.85546875" style="984" bestFit="1" customWidth="1"/>
    <col min="9216" max="9216" width="9.140625" style="984" bestFit="1" customWidth="1"/>
    <col min="9217" max="9217" width="12.5703125" style="984" customWidth="1"/>
    <col min="9218" max="9218" width="56.7109375" style="984" bestFit="1" customWidth="1"/>
    <col min="9219" max="9457" width="19.5703125" style="984"/>
    <col min="9458" max="9458" width="7.140625" style="984" customWidth="1"/>
    <col min="9459" max="9459" width="24.140625" style="984" customWidth="1"/>
    <col min="9460" max="9460" width="28.42578125" style="984" customWidth="1"/>
    <col min="9461" max="9461" width="19.5703125" style="984" customWidth="1"/>
    <col min="9462" max="9462" width="24.140625" style="984" customWidth="1"/>
    <col min="9463" max="9463" width="19.5703125" style="984"/>
    <col min="9464" max="9464" width="5.5703125" style="984" customWidth="1"/>
    <col min="9465" max="9465" width="24.140625" style="984" customWidth="1"/>
    <col min="9466" max="9466" width="34.140625" style="984" customWidth="1"/>
    <col min="9467" max="9467" width="41.5703125" style="984" customWidth="1"/>
    <col min="9468" max="9468" width="25.140625" style="984" customWidth="1"/>
    <col min="9469" max="9469" width="19.5703125" style="984"/>
    <col min="9470" max="9470" width="7" style="984" customWidth="1"/>
    <col min="9471" max="9471" width="4.85546875" style="984" bestFit="1" customWidth="1"/>
    <col min="9472" max="9472" width="9.140625" style="984" bestFit="1" customWidth="1"/>
    <col min="9473" max="9473" width="12.5703125" style="984" customWidth="1"/>
    <col min="9474" max="9474" width="56.7109375" style="984" bestFit="1" customWidth="1"/>
    <col min="9475" max="9713" width="19.5703125" style="984"/>
    <col min="9714" max="9714" width="7.140625" style="984" customWidth="1"/>
    <col min="9715" max="9715" width="24.140625" style="984" customWidth="1"/>
    <col min="9716" max="9716" width="28.42578125" style="984" customWidth="1"/>
    <col min="9717" max="9717" width="19.5703125" style="984" customWidth="1"/>
    <col min="9718" max="9718" width="24.140625" style="984" customWidth="1"/>
    <col min="9719" max="9719" width="19.5703125" style="984"/>
    <col min="9720" max="9720" width="5.5703125" style="984" customWidth="1"/>
    <col min="9721" max="9721" width="24.140625" style="984" customWidth="1"/>
    <col min="9722" max="9722" width="34.140625" style="984" customWidth="1"/>
    <col min="9723" max="9723" width="41.5703125" style="984" customWidth="1"/>
    <col min="9724" max="9724" width="25.140625" style="984" customWidth="1"/>
    <col min="9725" max="9725" width="19.5703125" style="984"/>
    <col min="9726" max="9726" width="7" style="984" customWidth="1"/>
    <col min="9727" max="9727" width="4.85546875" style="984" bestFit="1" customWidth="1"/>
    <col min="9728" max="9728" width="9.140625" style="984" bestFit="1" customWidth="1"/>
    <col min="9729" max="9729" width="12.5703125" style="984" customWidth="1"/>
    <col min="9730" max="9730" width="56.7109375" style="984" bestFit="1" customWidth="1"/>
    <col min="9731" max="9969" width="19.5703125" style="984"/>
    <col min="9970" max="9970" width="7.140625" style="984" customWidth="1"/>
    <col min="9971" max="9971" width="24.140625" style="984" customWidth="1"/>
    <col min="9972" max="9972" width="28.42578125" style="984" customWidth="1"/>
    <col min="9973" max="9973" width="19.5703125" style="984" customWidth="1"/>
    <col min="9974" max="9974" width="24.140625" style="984" customWidth="1"/>
    <col min="9975" max="9975" width="19.5703125" style="984"/>
    <col min="9976" max="9976" width="5.5703125" style="984" customWidth="1"/>
    <col min="9977" max="9977" width="24.140625" style="984" customWidth="1"/>
    <col min="9978" max="9978" width="34.140625" style="984" customWidth="1"/>
    <col min="9979" max="9979" width="41.5703125" style="984" customWidth="1"/>
    <col min="9980" max="9980" width="25.140625" style="984" customWidth="1"/>
    <col min="9981" max="9981" width="19.5703125" style="984"/>
    <col min="9982" max="9982" width="7" style="984" customWidth="1"/>
    <col min="9983" max="9983" width="4.85546875" style="984" bestFit="1" customWidth="1"/>
    <col min="9984" max="9984" width="9.140625" style="984" bestFit="1" customWidth="1"/>
    <col min="9985" max="9985" width="12.5703125" style="984" customWidth="1"/>
    <col min="9986" max="9986" width="56.7109375" style="984" bestFit="1" customWidth="1"/>
    <col min="9987" max="10225" width="19.5703125" style="984"/>
    <col min="10226" max="10226" width="7.140625" style="984" customWidth="1"/>
    <col min="10227" max="10227" width="24.140625" style="984" customWidth="1"/>
    <col min="10228" max="10228" width="28.42578125" style="984" customWidth="1"/>
    <col min="10229" max="10229" width="19.5703125" style="984" customWidth="1"/>
    <col min="10230" max="10230" width="24.140625" style="984" customWidth="1"/>
    <col min="10231" max="10231" width="19.5703125" style="984"/>
    <col min="10232" max="10232" width="5.5703125" style="984" customWidth="1"/>
    <col min="10233" max="10233" width="24.140625" style="984" customWidth="1"/>
    <col min="10234" max="10234" width="34.140625" style="984" customWidth="1"/>
    <col min="10235" max="10235" width="41.5703125" style="984" customWidth="1"/>
    <col min="10236" max="10236" width="25.140625" style="984" customWidth="1"/>
    <col min="10237" max="10237" width="19.5703125" style="984"/>
    <col min="10238" max="10238" width="7" style="984" customWidth="1"/>
    <col min="10239" max="10239" width="4.85546875" style="984" bestFit="1" customWidth="1"/>
    <col min="10240" max="10240" width="9.140625" style="984" bestFit="1" customWidth="1"/>
    <col min="10241" max="10241" width="12.5703125" style="984" customWidth="1"/>
    <col min="10242" max="10242" width="56.7109375" style="984" bestFit="1" customWidth="1"/>
    <col min="10243" max="10481" width="19.5703125" style="984"/>
    <col min="10482" max="10482" width="7.140625" style="984" customWidth="1"/>
    <col min="10483" max="10483" width="24.140625" style="984" customWidth="1"/>
    <col min="10484" max="10484" width="28.42578125" style="984" customWidth="1"/>
    <col min="10485" max="10485" width="19.5703125" style="984" customWidth="1"/>
    <col min="10486" max="10486" width="24.140625" style="984" customWidth="1"/>
    <col min="10487" max="10487" width="19.5703125" style="984"/>
    <col min="10488" max="10488" width="5.5703125" style="984" customWidth="1"/>
    <col min="10489" max="10489" width="24.140625" style="984" customWidth="1"/>
    <col min="10490" max="10490" width="34.140625" style="984" customWidth="1"/>
    <col min="10491" max="10491" width="41.5703125" style="984" customWidth="1"/>
    <col min="10492" max="10492" width="25.140625" style="984" customWidth="1"/>
    <col min="10493" max="10493" width="19.5703125" style="984"/>
    <col min="10494" max="10494" width="7" style="984" customWidth="1"/>
    <col min="10495" max="10495" width="4.85546875" style="984" bestFit="1" customWidth="1"/>
    <col min="10496" max="10496" width="9.140625" style="984" bestFit="1" customWidth="1"/>
    <col min="10497" max="10497" width="12.5703125" style="984" customWidth="1"/>
    <col min="10498" max="10498" width="56.7109375" style="984" bestFit="1" customWidth="1"/>
    <col min="10499" max="10737" width="19.5703125" style="984"/>
    <col min="10738" max="10738" width="7.140625" style="984" customWidth="1"/>
    <col min="10739" max="10739" width="24.140625" style="984" customWidth="1"/>
    <col min="10740" max="10740" width="28.42578125" style="984" customWidth="1"/>
    <col min="10741" max="10741" width="19.5703125" style="984" customWidth="1"/>
    <col min="10742" max="10742" width="24.140625" style="984" customWidth="1"/>
    <col min="10743" max="10743" width="19.5703125" style="984"/>
    <col min="10744" max="10744" width="5.5703125" style="984" customWidth="1"/>
    <col min="10745" max="10745" width="24.140625" style="984" customWidth="1"/>
    <col min="10746" max="10746" width="34.140625" style="984" customWidth="1"/>
    <col min="10747" max="10747" width="41.5703125" style="984" customWidth="1"/>
    <col min="10748" max="10748" width="25.140625" style="984" customWidth="1"/>
    <col min="10749" max="10749" width="19.5703125" style="984"/>
    <col min="10750" max="10750" width="7" style="984" customWidth="1"/>
    <col min="10751" max="10751" width="4.85546875" style="984" bestFit="1" customWidth="1"/>
    <col min="10752" max="10752" width="9.140625" style="984" bestFit="1" customWidth="1"/>
    <col min="10753" max="10753" width="12.5703125" style="984" customWidth="1"/>
    <col min="10754" max="10754" width="56.7109375" style="984" bestFit="1" customWidth="1"/>
    <col min="10755" max="10993" width="19.5703125" style="984"/>
    <col min="10994" max="10994" width="7.140625" style="984" customWidth="1"/>
    <col min="10995" max="10995" width="24.140625" style="984" customWidth="1"/>
    <col min="10996" max="10996" width="28.42578125" style="984" customWidth="1"/>
    <col min="10997" max="10997" width="19.5703125" style="984" customWidth="1"/>
    <col min="10998" max="10998" width="24.140625" style="984" customWidth="1"/>
    <col min="10999" max="10999" width="19.5703125" style="984"/>
    <col min="11000" max="11000" width="5.5703125" style="984" customWidth="1"/>
    <col min="11001" max="11001" width="24.140625" style="984" customWidth="1"/>
    <col min="11002" max="11002" width="34.140625" style="984" customWidth="1"/>
    <col min="11003" max="11003" width="41.5703125" style="984" customWidth="1"/>
    <col min="11004" max="11004" width="25.140625" style="984" customWidth="1"/>
    <col min="11005" max="11005" width="19.5703125" style="984"/>
    <col min="11006" max="11006" width="7" style="984" customWidth="1"/>
    <col min="11007" max="11007" width="4.85546875" style="984" bestFit="1" customWidth="1"/>
    <col min="11008" max="11008" width="9.140625" style="984" bestFit="1" customWidth="1"/>
    <col min="11009" max="11009" width="12.5703125" style="984" customWidth="1"/>
    <col min="11010" max="11010" width="56.7109375" style="984" bestFit="1" customWidth="1"/>
    <col min="11011" max="11249" width="19.5703125" style="984"/>
    <col min="11250" max="11250" width="7.140625" style="984" customWidth="1"/>
    <col min="11251" max="11251" width="24.140625" style="984" customWidth="1"/>
    <col min="11252" max="11252" width="28.42578125" style="984" customWidth="1"/>
    <col min="11253" max="11253" width="19.5703125" style="984" customWidth="1"/>
    <col min="11254" max="11254" width="24.140625" style="984" customWidth="1"/>
    <col min="11255" max="11255" width="19.5703125" style="984"/>
    <col min="11256" max="11256" width="5.5703125" style="984" customWidth="1"/>
    <col min="11257" max="11257" width="24.140625" style="984" customWidth="1"/>
    <col min="11258" max="11258" width="34.140625" style="984" customWidth="1"/>
    <col min="11259" max="11259" width="41.5703125" style="984" customWidth="1"/>
    <col min="11260" max="11260" width="25.140625" style="984" customWidth="1"/>
    <col min="11261" max="11261" width="19.5703125" style="984"/>
    <col min="11262" max="11262" width="7" style="984" customWidth="1"/>
    <col min="11263" max="11263" width="4.85546875" style="984" bestFit="1" customWidth="1"/>
    <col min="11264" max="11264" width="9.140625" style="984" bestFit="1" customWidth="1"/>
    <col min="11265" max="11265" width="12.5703125" style="984" customWidth="1"/>
    <col min="11266" max="11266" width="56.7109375" style="984" bestFit="1" customWidth="1"/>
    <col min="11267" max="11505" width="19.5703125" style="984"/>
    <col min="11506" max="11506" width="7.140625" style="984" customWidth="1"/>
    <col min="11507" max="11507" width="24.140625" style="984" customWidth="1"/>
    <col min="11508" max="11508" width="28.42578125" style="984" customWidth="1"/>
    <col min="11509" max="11509" width="19.5703125" style="984" customWidth="1"/>
    <col min="11510" max="11510" width="24.140625" style="984" customWidth="1"/>
    <col min="11511" max="11511" width="19.5703125" style="984"/>
    <col min="11512" max="11512" width="5.5703125" style="984" customWidth="1"/>
    <col min="11513" max="11513" width="24.140625" style="984" customWidth="1"/>
    <col min="11514" max="11514" width="34.140625" style="984" customWidth="1"/>
    <col min="11515" max="11515" width="41.5703125" style="984" customWidth="1"/>
    <col min="11516" max="11516" width="25.140625" style="984" customWidth="1"/>
    <col min="11517" max="11517" width="19.5703125" style="984"/>
    <col min="11518" max="11518" width="7" style="984" customWidth="1"/>
    <col min="11519" max="11519" width="4.85546875" style="984" bestFit="1" customWidth="1"/>
    <col min="11520" max="11520" width="9.140625" style="984" bestFit="1" customWidth="1"/>
    <col min="11521" max="11521" width="12.5703125" style="984" customWidth="1"/>
    <col min="11522" max="11522" width="56.7109375" style="984" bestFit="1" customWidth="1"/>
    <col min="11523" max="11761" width="19.5703125" style="984"/>
    <col min="11762" max="11762" width="7.140625" style="984" customWidth="1"/>
    <col min="11763" max="11763" width="24.140625" style="984" customWidth="1"/>
    <col min="11764" max="11764" width="28.42578125" style="984" customWidth="1"/>
    <col min="11765" max="11765" width="19.5703125" style="984" customWidth="1"/>
    <col min="11766" max="11766" width="24.140625" style="984" customWidth="1"/>
    <col min="11767" max="11767" width="19.5703125" style="984"/>
    <col min="11768" max="11768" width="5.5703125" style="984" customWidth="1"/>
    <col min="11769" max="11769" width="24.140625" style="984" customWidth="1"/>
    <col min="11770" max="11770" width="34.140625" style="984" customWidth="1"/>
    <col min="11771" max="11771" width="41.5703125" style="984" customWidth="1"/>
    <col min="11772" max="11772" width="25.140625" style="984" customWidth="1"/>
    <col min="11773" max="11773" width="19.5703125" style="984"/>
    <col min="11774" max="11774" width="7" style="984" customWidth="1"/>
    <col min="11775" max="11775" width="4.85546875" style="984" bestFit="1" customWidth="1"/>
    <col min="11776" max="11776" width="9.140625" style="984" bestFit="1" customWidth="1"/>
    <col min="11777" max="11777" width="12.5703125" style="984" customWidth="1"/>
    <col min="11778" max="11778" width="56.7109375" style="984" bestFit="1" customWidth="1"/>
    <col min="11779" max="12017" width="19.5703125" style="984"/>
    <col min="12018" max="12018" width="7.140625" style="984" customWidth="1"/>
    <col min="12019" max="12019" width="24.140625" style="984" customWidth="1"/>
    <col min="12020" max="12020" width="28.42578125" style="984" customWidth="1"/>
    <col min="12021" max="12021" width="19.5703125" style="984" customWidth="1"/>
    <col min="12022" max="12022" width="24.140625" style="984" customWidth="1"/>
    <col min="12023" max="12023" width="19.5703125" style="984"/>
    <col min="12024" max="12024" width="5.5703125" style="984" customWidth="1"/>
    <col min="12025" max="12025" width="24.140625" style="984" customWidth="1"/>
    <col min="12026" max="12026" width="34.140625" style="984" customWidth="1"/>
    <col min="12027" max="12027" width="41.5703125" style="984" customWidth="1"/>
    <col min="12028" max="12028" width="25.140625" style="984" customWidth="1"/>
    <col min="12029" max="12029" width="19.5703125" style="984"/>
    <col min="12030" max="12030" width="7" style="984" customWidth="1"/>
    <col min="12031" max="12031" width="4.85546875" style="984" bestFit="1" customWidth="1"/>
    <col min="12032" max="12032" width="9.140625" style="984" bestFit="1" customWidth="1"/>
    <col min="12033" max="12033" width="12.5703125" style="984" customWidth="1"/>
    <col min="12034" max="12034" width="56.7109375" style="984" bestFit="1" customWidth="1"/>
    <col min="12035" max="12273" width="19.5703125" style="984"/>
    <col min="12274" max="12274" width="7.140625" style="984" customWidth="1"/>
    <col min="12275" max="12275" width="24.140625" style="984" customWidth="1"/>
    <col min="12276" max="12276" width="28.42578125" style="984" customWidth="1"/>
    <col min="12277" max="12277" width="19.5703125" style="984" customWidth="1"/>
    <col min="12278" max="12278" width="24.140625" style="984" customWidth="1"/>
    <col min="12279" max="12279" width="19.5703125" style="984"/>
    <col min="12280" max="12280" width="5.5703125" style="984" customWidth="1"/>
    <col min="12281" max="12281" width="24.140625" style="984" customWidth="1"/>
    <col min="12282" max="12282" width="34.140625" style="984" customWidth="1"/>
    <col min="12283" max="12283" width="41.5703125" style="984" customWidth="1"/>
    <col min="12284" max="12284" width="25.140625" style="984" customWidth="1"/>
    <col min="12285" max="12285" width="19.5703125" style="984"/>
    <col min="12286" max="12286" width="7" style="984" customWidth="1"/>
    <col min="12287" max="12287" width="4.85546875" style="984" bestFit="1" customWidth="1"/>
    <col min="12288" max="12288" width="9.140625" style="984" bestFit="1" customWidth="1"/>
    <col min="12289" max="12289" width="12.5703125" style="984" customWidth="1"/>
    <col min="12290" max="12290" width="56.7109375" style="984" bestFit="1" customWidth="1"/>
    <col min="12291" max="12529" width="19.5703125" style="984"/>
    <col min="12530" max="12530" width="7.140625" style="984" customWidth="1"/>
    <col min="12531" max="12531" width="24.140625" style="984" customWidth="1"/>
    <col min="12532" max="12532" width="28.42578125" style="984" customWidth="1"/>
    <col min="12533" max="12533" width="19.5703125" style="984" customWidth="1"/>
    <col min="12534" max="12534" width="24.140625" style="984" customWidth="1"/>
    <col min="12535" max="12535" width="19.5703125" style="984"/>
    <col min="12536" max="12536" width="5.5703125" style="984" customWidth="1"/>
    <col min="12537" max="12537" width="24.140625" style="984" customWidth="1"/>
    <col min="12538" max="12538" width="34.140625" style="984" customWidth="1"/>
    <col min="12539" max="12539" width="41.5703125" style="984" customWidth="1"/>
    <col min="12540" max="12540" width="25.140625" style="984" customWidth="1"/>
    <col min="12541" max="12541" width="19.5703125" style="984"/>
    <col min="12542" max="12542" width="7" style="984" customWidth="1"/>
    <col min="12543" max="12543" width="4.85546875" style="984" bestFit="1" customWidth="1"/>
    <col min="12544" max="12544" width="9.140625" style="984" bestFit="1" customWidth="1"/>
    <col min="12545" max="12545" width="12.5703125" style="984" customWidth="1"/>
    <col min="12546" max="12546" width="56.7109375" style="984" bestFit="1" customWidth="1"/>
    <col min="12547" max="12785" width="19.5703125" style="984"/>
    <col min="12786" max="12786" width="7.140625" style="984" customWidth="1"/>
    <col min="12787" max="12787" width="24.140625" style="984" customWidth="1"/>
    <col min="12788" max="12788" width="28.42578125" style="984" customWidth="1"/>
    <col min="12789" max="12789" width="19.5703125" style="984" customWidth="1"/>
    <col min="12790" max="12790" width="24.140625" style="984" customWidth="1"/>
    <col min="12791" max="12791" width="19.5703125" style="984"/>
    <col min="12792" max="12792" width="5.5703125" style="984" customWidth="1"/>
    <col min="12793" max="12793" width="24.140625" style="984" customWidth="1"/>
    <col min="12794" max="12794" width="34.140625" style="984" customWidth="1"/>
    <col min="12795" max="12795" width="41.5703125" style="984" customWidth="1"/>
    <col min="12796" max="12796" width="25.140625" style="984" customWidth="1"/>
    <col min="12797" max="12797" width="19.5703125" style="984"/>
    <col min="12798" max="12798" width="7" style="984" customWidth="1"/>
    <col min="12799" max="12799" width="4.85546875" style="984" bestFit="1" customWidth="1"/>
    <col min="12800" max="12800" width="9.140625" style="984" bestFit="1" customWidth="1"/>
    <col min="12801" max="12801" width="12.5703125" style="984" customWidth="1"/>
    <col min="12802" max="12802" width="56.7109375" style="984" bestFit="1" customWidth="1"/>
    <col min="12803" max="13041" width="19.5703125" style="984"/>
    <col min="13042" max="13042" width="7.140625" style="984" customWidth="1"/>
    <col min="13043" max="13043" width="24.140625" style="984" customWidth="1"/>
    <col min="13044" max="13044" width="28.42578125" style="984" customWidth="1"/>
    <col min="13045" max="13045" width="19.5703125" style="984" customWidth="1"/>
    <col min="13046" max="13046" width="24.140625" style="984" customWidth="1"/>
    <col min="13047" max="13047" width="19.5703125" style="984"/>
    <col min="13048" max="13048" width="5.5703125" style="984" customWidth="1"/>
    <col min="13049" max="13049" width="24.140625" style="984" customWidth="1"/>
    <col min="13050" max="13050" width="34.140625" style="984" customWidth="1"/>
    <col min="13051" max="13051" width="41.5703125" style="984" customWidth="1"/>
    <col min="13052" max="13052" width="25.140625" style="984" customWidth="1"/>
    <col min="13053" max="13053" width="19.5703125" style="984"/>
    <col min="13054" max="13054" width="7" style="984" customWidth="1"/>
    <col min="13055" max="13055" width="4.85546875" style="984" bestFit="1" customWidth="1"/>
    <col min="13056" max="13056" width="9.140625" style="984" bestFit="1" customWidth="1"/>
    <col min="13057" max="13057" width="12.5703125" style="984" customWidth="1"/>
    <col min="13058" max="13058" width="56.7109375" style="984" bestFit="1" customWidth="1"/>
    <col min="13059" max="13297" width="19.5703125" style="984"/>
    <col min="13298" max="13298" width="7.140625" style="984" customWidth="1"/>
    <col min="13299" max="13299" width="24.140625" style="984" customWidth="1"/>
    <col min="13300" max="13300" width="28.42578125" style="984" customWidth="1"/>
    <col min="13301" max="13301" width="19.5703125" style="984" customWidth="1"/>
    <col min="13302" max="13302" width="24.140625" style="984" customWidth="1"/>
    <col min="13303" max="13303" width="19.5703125" style="984"/>
    <col min="13304" max="13304" width="5.5703125" style="984" customWidth="1"/>
    <col min="13305" max="13305" width="24.140625" style="984" customWidth="1"/>
    <col min="13306" max="13306" width="34.140625" style="984" customWidth="1"/>
    <col min="13307" max="13307" width="41.5703125" style="984" customWidth="1"/>
    <col min="13308" max="13308" width="25.140625" style="984" customWidth="1"/>
    <col min="13309" max="13309" width="19.5703125" style="984"/>
    <col min="13310" max="13310" width="7" style="984" customWidth="1"/>
    <col min="13311" max="13311" width="4.85546875" style="984" bestFit="1" customWidth="1"/>
    <col min="13312" max="13312" width="9.140625" style="984" bestFit="1" customWidth="1"/>
    <col min="13313" max="13313" width="12.5703125" style="984" customWidth="1"/>
    <col min="13314" max="13314" width="56.7109375" style="984" bestFit="1" customWidth="1"/>
    <col min="13315" max="13553" width="19.5703125" style="984"/>
    <col min="13554" max="13554" width="7.140625" style="984" customWidth="1"/>
    <col min="13555" max="13555" width="24.140625" style="984" customWidth="1"/>
    <col min="13556" max="13556" width="28.42578125" style="984" customWidth="1"/>
    <col min="13557" max="13557" width="19.5703125" style="984" customWidth="1"/>
    <col min="13558" max="13558" width="24.140625" style="984" customWidth="1"/>
    <col min="13559" max="13559" width="19.5703125" style="984"/>
    <col min="13560" max="13560" width="5.5703125" style="984" customWidth="1"/>
    <col min="13561" max="13561" width="24.140625" style="984" customWidth="1"/>
    <col min="13562" max="13562" width="34.140625" style="984" customWidth="1"/>
    <col min="13563" max="13563" width="41.5703125" style="984" customWidth="1"/>
    <col min="13564" max="13564" width="25.140625" style="984" customWidth="1"/>
    <col min="13565" max="13565" width="19.5703125" style="984"/>
    <col min="13566" max="13566" width="7" style="984" customWidth="1"/>
    <col min="13567" max="13567" width="4.85546875" style="984" bestFit="1" customWidth="1"/>
    <col min="13568" max="13568" width="9.140625" style="984" bestFit="1" customWidth="1"/>
    <col min="13569" max="13569" width="12.5703125" style="984" customWidth="1"/>
    <col min="13570" max="13570" width="56.7109375" style="984" bestFit="1" customWidth="1"/>
    <col min="13571" max="13809" width="19.5703125" style="984"/>
    <col min="13810" max="13810" width="7.140625" style="984" customWidth="1"/>
    <col min="13811" max="13811" width="24.140625" style="984" customWidth="1"/>
    <col min="13812" max="13812" width="28.42578125" style="984" customWidth="1"/>
    <col min="13813" max="13813" width="19.5703125" style="984" customWidth="1"/>
    <col min="13814" max="13814" width="24.140625" style="984" customWidth="1"/>
    <col min="13815" max="13815" width="19.5703125" style="984"/>
    <col min="13816" max="13816" width="5.5703125" style="984" customWidth="1"/>
    <col min="13817" max="13817" width="24.140625" style="984" customWidth="1"/>
    <col min="13818" max="13818" width="34.140625" style="984" customWidth="1"/>
    <col min="13819" max="13819" width="41.5703125" style="984" customWidth="1"/>
    <col min="13820" max="13820" width="25.140625" style="984" customWidth="1"/>
    <col min="13821" max="13821" width="19.5703125" style="984"/>
    <col min="13822" max="13822" width="7" style="984" customWidth="1"/>
    <col min="13823" max="13823" width="4.85546875" style="984" bestFit="1" customWidth="1"/>
    <col min="13824" max="13824" width="9.140625" style="984" bestFit="1" customWidth="1"/>
    <col min="13825" max="13825" width="12.5703125" style="984" customWidth="1"/>
    <col min="13826" max="13826" width="56.7109375" style="984" bestFit="1" customWidth="1"/>
    <col min="13827" max="14065" width="19.5703125" style="984"/>
    <col min="14066" max="14066" width="7.140625" style="984" customWidth="1"/>
    <col min="14067" max="14067" width="24.140625" style="984" customWidth="1"/>
    <col min="14068" max="14068" width="28.42578125" style="984" customWidth="1"/>
    <col min="14069" max="14069" width="19.5703125" style="984" customWidth="1"/>
    <col min="14070" max="14070" width="24.140625" style="984" customWidth="1"/>
    <col min="14071" max="14071" width="19.5703125" style="984"/>
    <col min="14072" max="14072" width="5.5703125" style="984" customWidth="1"/>
    <col min="14073" max="14073" width="24.140625" style="984" customWidth="1"/>
    <col min="14074" max="14074" width="34.140625" style="984" customWidth="1"/>
    <col min="14075" max="14075" width="41.5703125" style="984" customWidth="1"/>
    <col min="14076" max="14076" width="25.140625" style="984" customWidth="1"/>
    <col min="14077" max="14077" width="19.5703125" style="984"/>
    <col min="14078" max="14078" width="7" style="984" customWidth="1"/>
    <col min="14079" max="14079" width="4.85546875" style="984" bestFit="1" customWidth="1"/>
    <col min="14080" max="14080" width="9.140625" style="984" bestFit="1" customWidth="1"/>
    <col min="14081" max="14081" width="12.5703125" style="984" customWidth="1"/>
    <col min="14082" max="14082" width="56.7109375" style="984" bestFit="1" customWidth="1"/>
    <col min="14083" max="14321" width="19.5703125" style="984"/>
    <col min="14322" max="14322" width="7.140625" style="984" customWidth="1"/>
    <col min="14323" max="14323" width="24.140625" style="984" customWidth="1"/>
    <col min="14324" max="14324" width="28.42578125" style="984" customWidth="1"/>
    <col min="14325" max="14325" width="19.5703125" style="984" customWidth="1"/>
    <col min="14326" max="14326" width="24.140625" style="984" customWidth="1"/>
    <col min="14327" max="14327" width="19.5703125" style="984"/>
    <col min="14328" max="14328" width="5.5703125" style="984" customWidth="1"/>
    <col min="14329" max="14329" width="24.140625" style="984" customWidth="1"/>
    <col min="14330" max="14330" width="34.140625" style="984" customWidth="1"/>
    <col min="14331" max="14331" width="41.5703125" style="984" customWidth="1"/>
    <col min="14332" max="14332" width="25.140625" style="984" customWidth="1"/>
    <col min="14333" max="14333" width="19.5703125" style="984"/>
    <col min="14334" max="14334" width="7" style="984" customWidth="1"/>
    <col min="14335" max="14335" width="4.85546875" style="984" bestFit="1" customWidth="1"/>
    <col min="14336" max="14336" width="9.140625" style="984" bestFit="1" customWidth="1"/>
    <col min="14337" max="14337" width="12.5703125" style="984" customWidth="1"/>
    <col min="14338" max="14338" width="56.7109375" style="984" bestFit="1" customWidth="1"/>
    <col min="14339" max="14577" width="19.5703125" style="984"/>
    <col min="14578" max="14578" width="7.140625" style="984" customWidth="1"/>
    <col min="14579" max="14579" width="24.140625" style="984" customWidth="1"/>
    <col min="14580" max="14580" width="28.42578125" style="984" customWidth="1"/>
    <col min="14581" max="14581" width="19.5703125" style="984" customWidth="1"/>
    <col min="14582" max="14582" width="24.140625" style="984" customWidth="1"/>
    <col min="14583" max="14583" width="19.5703125" style="984"/>
    <col min="14584" max="14584" width="5.5703125" style="984" customWidth="1"/>
    <col min="14585" max="14585" width="24.140625" style="984" customWidth="1"/>
    <col min="14586" max="14586" width="34.140625" style="984" customWidth="1"/>
    <col min="14587" max="14587" width="41.5703125" style="984" customWidth="1"/>
    <col min="14588" max="14588" width="25.140625" style="984" customWidth="1"/>
    <col min="14589" max="14589" width="19.5703125" style="984"/>
    <col min="14590" max="14590" width="7" style="984" customWidth="1"/>
    <col min="14591" max="14591" width="4.85546875" style="984" bestFit="1" customWidth="1"/>
    <col min="14592" max="14592" width="9.140625" style="984" bestFit="1" customWidth="1"/>
    <col min="14593" max="14593" width="12.5703125" style="984" customWidth="1"/>
    <col min="14594" max="14594" width="56.7109375" style="984" bestFit="1" customWidth="1"/>
    <col min="14595" max="14833" width="19.5703125" style="984"/>
    <col min="14834" max="14834" width="7.140625" style="984" customWidth="1"/>
    <col min="14835" max="14835" width="24.140625" style="984" customWidth="1"/>
    <col min="14836" max="14836" width="28.42578125" style="984" customWidth="1"/>
    <col min="14837" max="14837" width="19.5703125" style="984" customWidth="1"/>
    <col min="14838" max="14838" width="24.140625" style="984" customWidth="1"/>
    <col min="14839" max="14839" width="19.5703125" style="984"/>
    <col min="14840" max="14840" width="5.5703125" style="984" customWidth="1"/>
    <col min="14841" max="14841" width="24.140625" style="984" customWidth="1"/>
    <col min="14842" max="14842" width="34.140625" style="984" customWidth="1"/>
    <col min="14843" max="14843" width="41.5703125" style="984" customWidth="1"/>
    <col min="14844" max="14844" width="25.140625" style="984" customWidth="1"/>
    <col min="14845" max="14845" width="19.5703125" style="984"/>
    <col min="14846" max="14846" width="7" style="984" customWidth="1"/>
    <col min="14847" max="14847" width="4.85546875" style="984" bestFit="1" customWidth="1"/>
    <col min="14848" max="14848" width="9.140625" style="984" bestFit="1" customWidth="1"/>
    <col min="14849" max="14849" width="12.5703125" style="984" customWidth="1"/>
    <col min="14850" max="14850" width="56.7109375" style="984" bestFit="1" customWidth="1"/>
    <col min="14851" max="15089" width="19.5703125" style="984"/>
    <col min="15090" max="15090" width="7.140625" style="984" customWidth="1"/>
    <col min="15091" max="15091" width="24.140625" style="984" customWidth="1"/>
    <col min="15092" max="15092" width="28.42578125" style="984" customWidth="1"/>
    <col min="15093" max="15093" width="19.5703125" style="984" customWidth="1"/>
    <col min="15094" max="15094" width="24.140625" style="984" customWidth="1"/>
    <col min="15095" max="15095" width="19.5703125" style="984"/>
    <col min="15096" max="15096" width="5.5703125" style="984" customWidth="1"/>
    <col min="15097" max="15097" width="24.140625" style="984" customWidth="1"/>
    <col min="15098" max="15098" width="34.140625" style="984" customWidth="1"/>
    <col min="15099" max="15099" width="41.5703125" style="984" customWidth="1"/>
    <col min="15100" max="15100" width="25.140625" style="984" customWidth="1"/>
    <col min="15101" max="15101" width="19.5703125" style="984"/>
    <col min="15102" max="15102" width="7" style="984" customWidth="1"/>
    <col min="15103" max="15103" width="4.85546875" style="984" bestFit="1" customWidth="1"/>
    <col min="15104" max="15104" width="9.140625" style="984" bestFit="1" customWidth="1"/>
    <col min="15105" max="15105" width="12.5703125" style="984" customWidth="1"/>
    <col min="15106" max="15106" width="56.7109375" style="984" bestFit="1" customWidth="1"/>
    <col min="15107" max="15345" width="19.5703125" style="984"/>
    <col min="15346" max="15346" width="7.140625" style="984" customWidth="1"/>
    <col min="15347" max="15347" width="24.140625" style="984" customWidth="1"/>
    <col min="15348" max="15348" width="28.42578125" style="984" customWidth="1"/>
    <col min="15349" max="15349" width="19.5703125" style="984" customWidth="1"/>
    <col min="15350" max="15350" width="24.140625" style="984" customWidth="1"/>
    <col min="15351" max="15351" width="19.5703125" style="984"/>
    <col min="15352" max="15352" width="5.5703125" style="984" customWidth="1"/>
    <col min="15353" max="15353" width="24.140625" style="984" customWidth="1"/>
    <col min="15354" max="15354" width="34.140625" style="984" customWidth="1"/>
    <col min="15355" max="15355" width="41.5703125" style="984" customWidth="1"/>
    <col min="15356" max="15356" width="25.140625" style="984" customWidth="1"/>
    <col min="15357" max="15357" width="19.5703125" style="984"/>
    <col min="15358" max="15358" width="7" style="984" customWidth="1"/>
    <col min="15359" max="15359" width="4.85546875" style="984" bestFit="1" customWidth="1"/>
    <col min="15360" max="15360" width="9.140625" style="984" bestFit="1" customWidth="1"/>
    <col min="15361" max="15361" width="12.5703125" style="984" customWidth="1"/>
    <col min="15362" max="15362" width="56.7109375" style="984" bestFit="1" customWidth="1"/>
    <col min="15363" max="15601" width="19.5703125" style="984"/>
    <col min="15602" max="15602" width="7.140625" style="984" customWidth="1"/>
    <col min="15603" max="15603" width="24.140625" style="984" customWidth="1"/>
    <col min="15604" max="15604" width="28.42578125" style="984" customWidth="1"/>
    <col min="15605" max="15605" width="19.5703125" style="984" customWidth="1"/>
    <col min="15606" max="15606" width="24.140625" style="984" customWidth="1"/>
    <col min="15607" max="15607" width="19.5703125" style="984"/>
    <col min="15608" max="15608" width="5.5703125" style="984" customWidth="1"/>
    <col min="15609" max="15609" width="24.140625" style="984" customWidth="1"/>
    <col min="15610" max="15610" width="34.140625" style="984" customWidth="1"/>
    <col min="15611" max="15611" width="41.5703125" style="984" customWidth="1"/>
    <col min="15612" max="15612" width="25.140625" style="984" customWidth="1"/>
    <col min="15613" max="15613" width="19.5703125" style="984"/>
    <col min="15614" max="15614" width="7" style="984" customWidth="1"/>
    <col min="15615" max="15615" width="4.85546875" style="984" bestFit="1" customWidth="1"/>
    <col min="15616" max="15616" width="9.140625" style="984" bestFit="1" customWidth="1"/>
    <col min="15617" max="15617" width="12.5703125" style="984" customWidth="1"/>
    <col min="15618" max="15618" width="56.7109375" style="984" bestFit="1" customWidth="1"/>
    <col min="15619" max="15857" width="19.5703125" style="984"/>
    <col min="15858" max="15858" width="7.140625" style="984" customWidth="1"/>
    <col min="15859" max="15859" width="24.140625" style="984" customWidth="1"/>
    <col min="15860" max="15860" width="28.42578125" style="984" customWidth="1"/>
    <col min="15861" max="15861" width="19.5703125" style="984" customWidth="1"/>
    <col min="15862" max="15862" width="24.140625" style="984" customWidth="1"/>
    <col min="15863" max="15863" width="19.5703125" style="984"/>
    <col min="15864" max="15864" width="5.5703125" style="984" customWidth="1"/>
    <col min="15865" max="15865" width="24.140625" style="984" customWidth="1"/>
    <col min="15866" max="15866" width="34.140625" style="984" customWidth="1"/>
    <col min="15867" max="15867" width="41.5703125" style="984" customWidth="1"/>
    <col min="15868" max="15868" width="25.140625" style="984" customWidth="1"/>
    <col min="15869" max="15869" width="19.5703125" style="984"/>
    <col min="15870" max="15870" width="7" style="984" customWidth="1"/>
    <col min="15871" max="15871" width="4.85546875" style="984" bestFit="1" customWidth="1"/>
    <col min="15872" max="15872" width="9.140625" style="984" bestFit="1" customWidth="1"/>
    <col min="15873" max="15873" width="12.5703125" style="984" customWidth="1"/>
    <col min="15874" max="15874" width="56.7109375" style="984" bestFit="1" customWidth="1"/>
    <col min="15875" max="16113" width="19.5703125" style="984"/>
    <col min="16114" max="16114" width="7.140625" style="984" customWidth="1"/>
    <col min="16115" max="16115" width="24.140625" style="984" customWidth="1"/>
    <col min="16116" max="16116" width="28.42578125" style="984" customWidth="1"/>
    <col min="16117" max="16117" width="19.5703125" style="984" customWidth="1"/>
    <col min="16118" max="16118" width="24.140625" style="984" customWidth="1"/>
    <col min="16119" max="16119" width="19.5703125" style="984"/>
    <col min="16120" max="16120" width="5.5703125" style="984" customWidth="1"/>
    <col min="16121" max="16121" width="24.140625" style="984" customWidth="1"/>
    <col min="16122" max="16122" width="34.140625" style="984" customWidth="1"/>
    <col min="16123" max="16123" width="41.5703125" style="984" customWidth="1"/>
    <col min="16124" max="16124" width="25.140625" style="984" customWidth="1"/>
    <col min="16125" max="16125" width="19.5703125" style="984"/>
    <col min="16126" max="16126" width="7" style="984" customWidth="1"/>
    <col min="16127" max="16127" width="4.85546875" style="984" bestFit="1" customWidth="1"/>
    <col min="16128" max="16128" width="9.140625" style="984" bestFit="1" customWidth="1"/>
    <col min="16129" max="16129" width="12.5703125" style="984" customWidth="1"/>
    <col min="16130" max="16130" width="56.7109375" style="984" bestFit="1" customWidth="1"/>
    <col min="16131" max="16369" width="19.5703125" style="984"/>
    <col min="16370" max="16370" width="7.140625" style="984" customWidth="1"/>
    <col min="16371" max="16371" width="24.140625" style="984" customWidth="1"/>
    <col min="16372" max="16372" width="28.42578125" style="984" customWidth="1"/>
    <col min="16373" max="16373" width="19.5703125" style="984" customWidth="1"/>
    <col min="16374" max="16374" width="24.140625" style="984" customWidth="1"/>
    <col min="16375" max="16384" width="19.5703125" style="984"/>
  </cols>
  <sheetData>
    <row r="1" spans="1:6" ht="15.75">
      <c r="A1" s="1606" t="s">
        <v>225</v>
      </c>
      <c r="B1" s="1606"/>
      <c r="C1" s="1606"/>
      <c r="D1" s="1606"/>
      <c r="E1" s="1606"/>
    </row>
    <row r="2" spans="1:6" ht="15" customHeight="1">
      <c r="A2" s="1071" t="s">
        <v>1073</v>
      </c>
      <c r="B2" s="1071"/>
      <c r="C2" s="1071"/>
      <c r="D2" s="1071"/>
      <c r="E2" s="1071"/>
    </row>
    <row r="3" spans="1:6" ht="15">
      <c r="A3" s="1046"/>
      <c r="B3" s="1046"/>
      <c r="C3" s="1046"/>
      <c r="D3" s="1046"/>
      <c r="E3" s="1046"/>
      <c r="F3" s="986"/>
    </row>
    <row r="4" spans="1:6" ht="12.75" customHeight="1">
      <c r="A4" s="1600" t="s">
        <v>1395</v>
      </c>
      <c r="B4" s="1600"/>
      <c r="C4" s="1600"/>
      <c r="D4" s="1600"/>
      <c r="E4" s="1600"/>
      <c r="F4" s="986"/>
    </row>
    <row r="5" spans="1:6">
      <c r="A5" s="1024"/>
      <c r="B5" s="1024"/>
      <c r="C5" s="1024"/>
      <c r="D5" s="1024"/>
      <c r="E5" s="1024"/>
      <c r="F5" s="986"/>
    </row>
    <row r="6" spans="1:6" ht="13.5" thickBot="1">
      <c r="A6" s="1025" t="s">
        <v>8</v>
      </c>
      <c r="B6" s="1026" t="s">
        <v>24</v>
      </c>
      <c r="C6" s="1027"/>
      <c r="D6" s="1026" t="s">
        <v>1060</v>
      </c>
      <c r="E6" s="1025" t="s">
        <v>79</v>
      </c>
    </row>
    <row r="7" spans="1:6">
      <c r="A7" s="1028">
        <v>1</v>
      </c>
      <c r="B7" s="989" t="s">
        <v>1018</v>
      </c>
      <c r="C7" s="985"/>
      <c r="D7" s="1029" t="s">
        <v>1112</v>
      </c>
      <c r="E7" s="1235">
        <f>INDEX(Inputs_EndYrBal,MATCH(D7,Inputs_FF1_Map,0))</f>
        <v>0</v>
      </c>
    </row>
    <row r="8" spans="1:6">
      <c r="A8" s="1028">
        <f>A7+1</f>
        <v>2</v>
      </c>
      <c r="B8" s="989" t="s">
        <v>1019</v>
      </c>
      <c r="C8" s="985"/>
      <c r="D8" s="1029" t="s">
        <v>204</v>
      </c>
      <c r="E8" s="1235">
        <f>INDEX(Inputs_EndYrBal,MATCH(D8,Inputs_FF1_Map,0))</f>
        <v>7180746</v>
      </c>
    </row>
    <row r="9" spans="1:6">
      <c r="A9" s="1028">
        <f>A8+1</f>
        <v>3</v>
      </c>
      <c r="B9" s="989" t="s">
        <v>1020</v>
      </c>
      <c r="C9" s="985"/>
      <c r="D9" s="1029" t="s">
        <v>423</v>
      </c>
      <c r="E9" s="1235">
        <f>INDEX(Inputs_EndYrBal,MATCH(D9,Inputs_FF1_Map,0))</f>
        <v>0</v>
      </c>
    </row>
    <row r="10" spans="1:6">
      <c r="A10" s="1028">
        <f>A9+1</f>
        <v>4</v>
      </c>
      <c r="B10" s="989" t="s">
        <v>1021</v>
      </c>
      <c r="C10" s="985"/>
      <c r="D10" s="1029" t="s">
        <v>205</v>
      </c>
      <c r="E10" s="1235">
        <f>INDEX(Inputs_EndYrBal,MATCH(D10,Inputs_FF1_Map,0))</f>
        <v>1818514</v>
      </c>
    </row>
    <row r="11" spans="1:6">
      <c r="A11" s="1028">
        <f>A10+1</f>
        <v>5</v>
      </c>
      <c r="B11" s="989" t="s">
        <v>1022</v>
      </c>
      <c r="C11" s="985"/>
      <c r="D11" s="1029" t="s">
        <v>424</v>
      </c>
      <c r="E11" s="1236">
        <f>INDEX(Inputs_EndYrBal,MATCH(D11,Inputs_FF1_Map,0))</f>
        <v>1747640</v>
      </c>
    </row>
    <row r="12" spans="1:6">
      <c r="A12" s="1028">
        <f>A11+1</f>
        <v>6</v>
      </c>
      <c r="B12" s="1033" t="s">
        <v>1023</v>
      </c>
      <c r="C12" s="1034"/>
      <c r="D12" s="1035" t="str">
        <f>"(Sum Lines "&amp;A7&amp;" through "&amp;A11&amp;")"</f>
        <v>(Sum Lines 1 through 5)</v>
      </c>
      <c r="E12" s="1237">
        <f>SUM(E7:E11)</f>
        <v>10746900</v>
      </c>
    </row>
    <row r="13" spans="1:6">
      <c r="A13" s="1028"/>
      <c r="B13" s="990"/>
      <c r="C13" s="985"/>
      <c r="D13" s="1030"/>
      <c r="E13" s="985"/>
    </row>
    <row r="14" spans="1:6">
      <c r="A14" s="1028"/>
      <c r="B14" s="990"/>
      <c r="C14" s="985"/>
      <c r="D14" s="1030"/>
      <c r="E14" s="985"/>
    </row>
    <row r="15" spans="1:6">
      <c r="A15" s="1028">
        <f>A12+1</f>
        <v>7</v>
      </c>
      <c r="B15" s="989" t="s">
        <v>1024</v>
      </c>
      <c r="C15" s="985"/>
      <c r="D15" s="1035" t="str">
        <f>"(Line "&amp;A12&amp;")"</f>
        <v>(Line 6)</v>
      </c>
      <c r="E15" s="1237">
        <f>E12</f>
        <v>10746900</v>
      </c>
      <c r="F15" s="987"/>
    </row>
    <row r="16" spans="1:6">
      <c r="A16" s="1028"/>
      <c r="B16" s="1036"/>
      <c r="C16" s="1034"/>
      <c r="D16" s="1037"/>
      <c r="E16" s="1032"/>
      <c r="F16" s="987"/>
    </row>
    <row r="17" spans="1:6">
      <c r="A17" s="1028"/>
      <c r="B17" s="1031" t="s">
        <v>1062</v>
      </c>
      <c r="C17" s="985"/>
      <c r="D17" s="1031"/>
      <c r="E17" s="990"/>
      <c r="F17" s="987"/>
    </row>
    <row r="18" spans="1:6">
      <c r="A18" s="1028"/>
      <c r="B18" s="990"/>
      <c r="C18" s="985"/>
      <c r="D18" s="1030"/>
      <c r="E18" s="990"/>
      <c r="F18" s="987"/>
    </row>
    <row r="19" spans="1:6">
      <c r="A19" s="1028">
        <f>A15+1</f>
        <v>8</v>
      </c>
      <c r="B19" s="1033" t="s">
        <v>1025</v>
      </c>
      <c r="C19" s="1034"/>
      <c r="D19" s="1035" t="s">
        <v>747</v>
      </c>
      <c r="E19" s="1238">
        <f>'Att 9b - 2016 True-up'!AF43*1000</f>
        <v>13413906.183183331</v>
      </c>
      <c r="F19" s="987"/>
    </row>
    <row r="20" spans="1:6">
      <c r="A20" s="1028"/>
      <c r="B20" s="989"/>
      <c r="C20" s="985"/>
      <c r="D20" s="1030"/>
      <c r="E20" s="989"/>
      <c r="F20" s="987"/>
    </row>
    <row r="21" spans="1:6">
      <c r="A21" s="1028">
        <f>A19+1</f>
        <v>9</v>
      </c>
      <c r="B21" s="989" t="s">
        <v>1026</v>
      </c>
      <c r="C21" s="985"/>
      <c r="D21" s="1035" t="str">
        <f>"(Line "&amp;A15&amp;" / Line "&amp;A19&amp;")"</f>
        <v>(Line 7 / Line 8)</v>
      </c>
      <c r="E21" s="1669">
        <f>ROUND(E15/E19,6)</f>
        <v>0.801176</v>
      </c>
      <c r="F21" s="987"/>
    </row>
    <row r="22" spans="1:6">
      <c r="A22" s="1028">
        <f>A21+1</f>
        <v>10</v>
      </c>
      <c r="B22" s="989" t="s">
        <v>1027</v>
      </c>
      <c r="C22" s="985"/>
      <c r="D22" s="1035" t="str">
        <f>"((Line "&amp;A15&amp;" / Line "&amp;A19&amp;") / 12)"</f>
        <v>((Line 7 / Line 8) / 12)</v>
      </c>
      <c r="E22" s="1674">
        <f>ROUND(($E$15/$E$19)/12,5)</f>
        <v>6.676E-2</v>
      </c>
      <c r="F22" s="987"/>
    </row>
    <row r="23" spans="1:6">
      <c r="A23" s="1028">
        <f>A22+1</f>
        <v>11</v>
      </c>
      <c r="B23" s="989" t="s">
        <v>1028</v>
      </c>
      <c r="C23" s="985"/>
      <c r="D23" s="1035" t="str">
        <f>"((Line "&amp;A15&amp;" / Line "&amp;A19&amp;") / 52)"</f>
        <v>((Line 7 / Line 8) / 52)</v>
      </c>
      <c r="E23" s="1674">
        <f>ROUND(($E$15/$E$19)/52,5)</f>
        <v>1.541E-2</v>
      </c>
      <c r="F23" s="987"/>
    </row>
    <row r="24" spans="1:6">
      <c r="A24" s="1028"/>
      <c r="B24" s="989"/>
      <c r="C24" s="985"/>
      <c r="D24" s="1029"/>
      <c r="E24" s="1670"/>
      <c r="F24" s="987"/>
    </row>
    <row r="25" spans="1:6">
      <c r="A25" s="1028">
        <f>A23+1</f>
        <v>12</v>
      </c>
      <c r="B25" s="989" t="s">
        <v>1029</v>
      </c>
      <c r="C25" s="985"/>
      <c r="D25" s="1035" t="str">
        <f>"(Line "&amp;A23&amp;" / 5)"</f>
        <v>(Line 11 / 5)</v>
      </c>
      <c r="E25" s="1674">
        <f>ROUND($E$23/5,5)</f>
        <v>3.0799999999999998E-3</v>
      </c>
      <c r="F25" s="987"/>
    </row>
    <row r="26" spans="1:6">
      <c r="A26" s="1028">
        <f>A25+1</f>
        <v>13</v>
      </c>
      <c r="B26" s="989" t="s">
        <v>1030</v>
      </c>
      <c r="C26" s="985"/>
      <c r="D26" s="1035" t="str">
        <f>"(Line "&amp;A23&amp;" / 7)"</f>
        <v>(Line 11 / 7)</v>
      </c>
      <c r="E26" s="1674">
        <f>ROUND($E$23/7,5)</f>
        <v>2.2000000000000001E-3</v>
      </c>
      <c r="F26" s="987"/>
    </row>
    <row r="27" spans="1:6">
      <c r="A27" s="1028"/>
      <c r="B27" s="989"/>
      <c r="C27" s="985"/>
      <c r="D27" s="1029"/>
      <c r="E27" s="1670"/>
      <c r="F27" s="987"/>
    </row>
    <row r="28" spans="1:6">
      <c r="A28" s="1028">
        <f>A26+1</f>
        <v>14</v>
      </c>
      <c r="B28" s="989" t="s">
        <v>1031</v>
      </c>
      <c r="C28" s="985"/>
      <c r="D28" s="1035" t="str">
        <f>"((Line "&amp;A25&amp;" / 16) * 1000)"</f>
        <v>((Line 12 / 16) * 1000)</v>
      </c>
      <c r="E28" s="1670">
        <f>ROUND(($E$25/16)*1000,2)</f>
        <v>0.19</v>
      </c>
      <c r="F28" s="987"/>
    </row>
    <row r="29" spans="1:6">
      <c r="A29" s="1028">
        <f>A28+1</f>
        <v>15</v>
      </c>
      <c r="B29" s="989" t="s">
        <v>1032</v>
      </c>
      <c r="C29" s="985"/>
      <c r="D29" s="1035" t="str">
        <f>"((Line "&amp;A26&amp;" / 24) * 1000)"</f>
        <v>((Line 13 / 24) * 1000)</v>
      </c>
      <c r="E29" s="1670">
        <f>ROUND(($E$26/24)*1000,2)</f>
        <v>0.09</v>
      </c>
      <c r="F29" s="987"/>
    </row>
    <row r="30" spans="1:6" ht="13.5" thickBot="1">
      <c r="A30" s="1047"/>
      <c r="B30" s="1048"/>
      <c r="C30" s="1047"/>
      <c r="D30" s="1049"/>
      <c r="E30" s="1048"/>
      <c r="F30" s="987"/>
    </row>
    <row r="31" spans="1:6">
      <c r="A31" s="1050"/>
      <c r="B31" s="1051"/>
      <c r="C31" s="1050"/>
      <c r="D31" s="1052"/>
      <c r="E31" s="1053"/>
      <c r="F31" s="987"/>
    </row>
    <row r="32" spans="1:6">
      <c r="A32" s="985"/>
      <c r="B32" s="985"/>
      <c r="C32" s="985"/>
      <c r="D32" s="988"/>
      <c r="E32" s="990"/>
      <c r="F32" s="987"/>
    </row>
    <row r="33" spans="5:6">
      <c r="E33" s="405"/>
      <c r="F33" s="987"/>
    </row>
    <row r="34" spans="5:6">
      <c r="E34" s="992"/>
      <c r="F34" s="987"/>
    </row>
    <row r="35" spans="5:6">
      <c r="E35" s="992"/>
      <c r="F35" s="987"/>
    </row>
    <row r="36" spans="5:6">
      <c r="E36" s="992"/>
      <c r="F36" s="987"/>
    </row>
    <row r="37" spans="5:6">
      <c r="E37" s="992"/>
      <c r="F37" s="987"/>
    </row>
    <row r="38" spans="5:6">
      <c r="F38" s="987"/>
    </row>
  </sheetData>
  <printOptions horizontalCentered="1"/>
  <pageMargins left="0.47" right="0.59" top="0.81" bottom="1.75" header="0.5" footer="0.5"/>
  <pageSetup scale="95" orientation="landscape"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pageSetUpPr fitToPage="1"/>
  </sheetPr>
  <dimension ref="A1:R22"/>
  <sheetViews>
    <sheetView workbookViewId="0"/>
  </sheetViews>
  <sheetFormatPr defaultRowHeight="12.75"/>
  <cols>
    <col min="1" max="1" width="5.5703125" style="436" customWidth="1"/>
    <col min="2" max="2" width="53" style="436" customWidth="1"/>
    <col min="3" max="4" width="20.85546875" style="436" customWidth="1"/>
    <col min="5" max="5" width="18" style="436" bestFit="1" customWidth="1"/>
    <col min="6" max="7" width="9.140625" style="436"/>
    <col min="8" max="8" width="11.7109375" style="436" bestFit="1" customWidth="1"/>
    <col min="9" max="9" width="18.28515625" style="436" bestFit="1" customWidth="1"/>
    <col min="10" max="10" width="11.7109375" style="436" bestFit="1" customWidth="1"/>
    <col min="11" max="16384" width="9.140625" style="436"/>
  </cols>
  <sheetData>
    <row r="1" spans="1:18" s="437" customFormat="1" ht="15.75">
      <c r="A1" s="1527"/>
      <c r="B1" s="1558" t="s">
        <v>365</v>
      </c>
      <c r="C1" s="1558"/>
      <c r="D1" s="1558"/>
      <c r="E1" s="1558"/>
      <c r="F1" s="1528"/>
      <c r="G1" s="1528"/>
      <c r="H1" s="1528"/>
      <c r="I1" s="1528"/>
      <c r="J1" s="1528"/>
      <c r="K1" s="1528"/>
      <c r="L1" s="1528"/>
      <c r="M1" s="1528"/>
      <c r="N1" s="1528"/>
      <c r="O1" s="1528"/>
      <c r="P1" s="1528"/>
      <c r="Q1" s="1528"/>
      <c r="R1" s="1528"/>
    </row>
    <row r="2" spans="1:18" s="437" customFormat="1" ht="15.75">
      <c r="A2" s="1527"/>
      <c r="B2" s="1558" t="s">
        <v>465</v>
      </c>
      <c r="C2" s="1558"/>
      <c r="D2" s="1558"/>
      <c r="E2" s="1558"/>
      <c r="F2" s="1528"/>
      <c r="G2" s="1528"/>
      <c r="H2" s="1528"/>
      <c r="I2" s="1528"/>
      <c r="J2" s="1528"/>
      <c r="K2" s="1528"/>
      <c r="L2" s="1528"/>
      <c r="M2" s="1528"/>
      <c r="N2" s="1528"/>
      <c r="O2" s="1528"/>
      <c r="P2" s="1528"/>
      <c r="Q2" s="1528"/>
      <c r="R2" s="1528"/>
    </row>
    <row r="3" spans="1:18" s="437" customFormat="1">
      <c r="A3" s="1527"/>
      <c r="B3" s="1526"/>
      <c r="C3" s="1526"/>
      <c r="D3" s="1526"/>
      <c r="E3" s="1526"/>
      <c r="F3" s="1526"/>
      <c r="G3" s="1526"/>
      <c r="H3" s="1526"/>
      <c r="I3" s="1526"/>
      <c r="J3" s="1526"/>
      <c r="K3" s="1526"/>
      <c r="L3" s="1526"/>
      <c r="M3" s="1526"/>
      <c r="N3" s="1526"/>
      <c r="O3" s="1526"/>
      <c r="P3" s="1526"/>
      <c r="Q3" s="1526"/>
      <c r="R3" s="1526"/>
    </row>
    <row r="4" spans="1:18" s="1523" customFormat="1" ht="15">
      <c r="A4" s="1524"/>
      <c r="B4" s="1524"/>
      <c r="C4" s="1524"/>
      <c r="D4" s="1524"/>
      <c r="E4" s="1524"/>
      <c r="F4" s="1524"/>
    </row>
    <row r="5" spans="1:18" s="1523" customFormat="1" ht="15">
      <c r="A5" s="1524"/>
      <c r="B5" s="1525" t="s">
        <v>2091</v>
      </c>
      <c r="C5" s="1525"/>
      <c r="D5" s="1525"/>
      <c r="E5" s="1524"/>
      <c r="F5" s="1524"/>
    </row>
    <row r="6" spans="1:18" s="1523" customFormat="1" ht="15">
      <c r="A6" s="1524"/>
      <c r="B6" s="1537"/>
      <c r="C6" s="1537"/>
      <c r="D6" s="1537"/>
      <c r="E6" s="1524"/>
      <c r="F6" s="1524"/>
    </row>
    <row r="7" spans="1:18">
      <c r="A7" s="437"/>
      <c r="B7" s="1392"/>
      <c r="C7" s="1392"/>
      <c r="D7" s="1532" t="s">
        <v>1096</v>
      </c>
      <c r="E7" s="1531" t="s">
        <v>1097</v>
      </c>
      <c r="F7" s="437"/>
    </row>
    <row r="8" spans="1:18">
      <c r="A8" s="437"/>
      <c r="B8" s="1536" t="s">
        <v>2219</v>
      </c>
      <c r="C8" s="1536"/>
      <c r="D8" s="1246">
        <v>161943.97</v>
      </c>
      <c r="E8" s="1750">
        <v>161943.97</v>
      </c>
      <c r="F8" s="437"/>
      <c r="G8" s="2067" t="s">
        <v>2011</v>
      </c>
    </row>
    <row r="9" spans="1:18">
      <c r="A9" s="437"/>
      <c r="B9" s="1536" t="s">
        <v>2220</v>
      </c>
      <c r="C9" s="1536"/>
      <c r="D9" s="1750">
        <v>156105.46</v>
      </c>
      <c r="E9" s="1750">
        <v>156105.46</v>
      </c>
      <c r="F9" s="437"/>
      <c r="G9" s="2067" t="s">
        <v>2011</v>
      </c>
    </row>
    <row r="10" spans="1:18">
      <c r="A10" s="437"/>
      <c r="B10" s="1536" t="s">
        <v>2221</v>
      </c>
      <c r="C10" s="1536"/>
      <c r="D10" s="1750">
        <v>396019.55</v>
      </c>
      <c r="E10" s="1750">
        <v>396019.55</v>
      </c>
      <c r="F10" s="437"/>
    </row>
    <row r="11" spans="1:18">
      <c r="A11" s="437"/>
      <c r="B11" s="1536" t="s">
        <v>2222</v>
      </c>
      <c r="C11" s="1536"/>
      <c r="D11" s="1750">
        <v>1013577.16</v>
      </c>
      <c r="E11" s="1750">
        <v>1013577.16</v>
      </c>
      <c r="F11" s="437"/>
    </row>
    <row r="12" spans="1:18">
      <c r="A12" s="437"/>
      <c r="B12" s="1536" t="s">
        <v>2223</v>
      </c>
      <c r="C12" s="1536"/>
      <c r="D12" s="1750">
        <v>964042.97</v>
      </c>
      <c r="E12" s="1750">
        <v>964042.97</v>
      </c>
      <c r="F12" s="437"/>
    </row>
    <row r="13" spans="1:18">
      <c r="A13" s="437"/>
      <c r="B13" s="1536" t="s">
        <v>2224</v>
      </c>
      <c r="C13" s="1536"/>
      <c r="D13" s="1750">
        <v>254753.05</v>
      </c>
      <c r="E13" s="1750">
        <v>254753.05</v>
      </c>
      <c r="F13" s="437"/>
    </row>
    <row r="14" spans="1:18">
      <c r="A14" s="437"/>
      <c r="B14" s="1536" t="s">
        <v>2225</v>
      </c>
      <c r="C14" s="1536"/>
      <c r="D14" s="1750">
        <v>598456.77</v>
      </c>
      <c r="E14" s="1750">
        <v>598456.77</v>
      </c>
      <c r="F14" s="437"/>
    </row>
    <row r="15" spans="1:18">
      <c r="A15" s="437"/>
      <c r="B15" s="1536" t="s">
        <v>2226</v>
      </c>
      <c r="C15" s="1536"/>
      <c r="D15" s="1750">
        <v>112635.55</v>
      </c>
      <c r="E15" s="1750">
        <v>112635.55</v>
      </c>
      <c r="F15" s="437"/>
      <c r="G15" s="2067" t="s">
        <v>2011</v>
      </c>
    </row>
    <row r="16" spans="1:18">
      <c r="A16" s="437"/>
      <c r="B16" s="1535" t="s">
        <v>1065</v>
      </c>
      <c r="C16" s="1535"/>
      <c r="D16" s="1534">
        <f>SUM(D7:D15)</f>
        <v>3657534.48</v>
      </c>
      <c r="E16" s="1534">
        <f>SUM(E7:E15)</f>
        <v>3657534.48</v>
      </c>
      <c r="F16" s="437"/>
    </row>
    <row r="17" spans="1:6">
      <c r="A17" s="437"/>
      <c r="B17" s="1533"/>
      <c r="C17" s="1533"/>
      <c r="D17" s="1533"/>
      <c r="E17" s="1111"/>
      <c r="F17" s="437"/>
    </row>
    <row r="18" spans="1:6">
      <c r="A18" s="437"/>
      <c r="B18" s="1533"/>
      <c r="C18" s="1533"/>
      <c r="D18" s="1533"/>
      <c r="E18" s="1111"/>
      <c r="F18" s="437"/>
    </row>
    <row r="19" spans="1:6">
      <c r="D19" s="1532" t="s">
        <v>1096</v>
      </c>
      <c r="E19" s="1531" t="s">
        <v>1097</v>
      </c>
    </row>
    <row r="20" spans="1:6">
      <c r="A20" s="437"/>
      <c r="B20" s="1530" t="s">
        <v>938</v>
      </c>
      <c r="C20" s="1529" t="s">
        <v>332</v>
      </c>
      <c r="D20" s="1745">
        <v>23319217.170000002</v>
      </c>
      <c r="E20" s="1745">
        <v>23502790.160000004</v>
      </c>
      <c r="F20" s="437"/>
    </row>
    <row r="21" spans="1:6">
      <c r="A21" s="437"/>
      <c r="B21" s="437"/>
      <c r="C21" s="437"/>
      <c r="D21" s="437"/>
      <c r="E21" s="437"/>
      <c r="F21" s="437"/>
    </row>
    <row r="22" spans="1:6">
      <c r="A22" s="437"/>
      <c r="B22" s="437"/>
      <c r="C22" s="437"/>
      <c r="D22" s="437"/>
      <c r="E22" s="437"/>
      <c r="F22" s="437"/>
    </row>
  </sheetData>
  <pageMargins left="0.7" right="0.7" top="0.75" bottom="0.75" header="0.3" footer="0.3"/>
  <pageSetup scale="82"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pageSetUpPr fitToPage="1"/>
  </sheetPr>
  <dimension ref="A1:T58"/>
  <sheetViews>
    <sheetView workbookViewId="0"/>
  </sheetViews>
  <sheetFormatPr defaultColWidth="9.140625" defaultRowHeight="15"/>
  <cols>
    <col min="1" max="1" width="2.140625" style="2039" customWidth="1"/>
    <col min="2" max="2" width="58" style="2039" bestFit="1" customWidth="1"/>
    <col min="3" max="3" width="2.85546875" style="2039" customWidth="1"/>
    <col min="4" max="4" width="21.7109375" style="2039" customWidth="1"/>
    <col min="5" max="5" width="2.7109375" style="2039" customWidth="1"/>
    <col min="6" max="6" width="21.7109375" style="2039" customWidth="1"/>
    <col min="7" max="7" width="3" style="2039" customWidth="1"/>
    <col min="8" max="8" width="21.7109375" style="2039" customWidth="1"/>
    <col min="9" max="9" width="2.7109375" style="2039" customWidth="1"/>
    <col min="10" max="10" width="31" style="2039" customWidth="1"/>
    <col min="11" max="11" width="13.28515625" style="2039" customWidth="1"/>
    <col min="12" max="12" width="17.140625" style="2039" customWidth="1"/>
    <col min="13" max="13" width="13.28515625" style="2039" customWidth="1"/>
    <col min="14" max="19" width="9.140625" style="2039" customWidth="1"/>
    <col min="20" max="24" width="9.140625" style="2039"/>
    <col min="25" max="26" width="17.28515625" style="2039" bestFit="1" customWidth="1"/>
    <col min="27" max="16384" width="9.140625" style="2039"/>
  </cols>
  <sheetData>
    <row r="1" spans="1:20" s="437" customFormat="1" ht="15.75">
      <c r="A1" s="1558" t="s">
        <v>365</v>
      </c>
      <c r="B1" s="2653"/>
      <c r="C1" s="1557"/>
      <c r="D1" s="1557"/>
      <c r="E1" s="1557"/>
      <c r="F1" s="1557"/>
      <c r="G1" s="1557"/>
      <c r="H1" s="1557"/>
      <c r="I1" s="1557"/>
      <c r="J1" s="1528"/>
      <c r="K1" s="1528"/>
      <c r="L1" s="1528"/>
      <c r="M1" s="1528"/>
      <c r="N1" s="1528"/>
      <c r="O1" s="1528"/>
      <c r="P1" s="1528"/>
      <c r="Q1" s="1528"/>
      <c r="R1" s="1528"/>
      <c r="S1" s="1528"/>
    </row>
    <row r="2" spans="1:20" s="437" customFormat="1" ht="15.75">
      <c r="A2" s="1558" t="s">
        <v>941</v>
      </c>
      <c r="B2" s="1558"/>
      <c r="C2" s="1557"/>
      <c r="D2" s="1557"/>
      <c r="E2" s="1557"/>
      <c r="F2" s="1557"/>
      <c r="G2" s="1557"/>
      <c r="H2" s="1557"/>
      <c r="I2" s="1557"/>
      <c r="J2" s="1528"/>
      <c r="K2" s="1528"/>
      <c r="L2" s="1528"/>
      <c r="M2" s="1528"/>
      <c r="N2" s="1528"/>
      <c r="O2" s="1528"/>
      <c r="P2" s="1528"/>
      <c r="Q2" s="1528"/>
      <c r="R2" s="1528"/>
      <c r="S2" s="1528"/>
    </row>
    <row r="3" spans="1:20" s="436" customFormat="1" ht="10.5" customHeight="1"/>
    <row r="4" spans="1:20" ht="15.75">
      <c r="A4" s="2036" t="s">
        <v>940</v>
      </c>
      <c r="B4" s="2037"/>
      <c r="C4" s="2037"/>
      <c r="D4" s="2037"/>
      <c r="E4" s="2037"/>
      <c r="F4" s="2037"/>
      <c r="G4" s="2037"/>
      <c r="H4" s="2037"/>
      <c r="I4" s="2038"/>
      <c r="J4" s="2038"/>
      <c r="K4" s="2038"/>
      <c r="L4" s="2038"/>
      <c r="M4" s="2038"/>
      <c r="N4" s="2038"/>
      <c r="O4" s="2038"/>
      <c r="P4" s="2038"/>
      <c r="Q4" s="2038"/>
      <c r="R4" s="2038"/>
      <c r="S4" s="2038"/>
      <c r="T4" s="2038"/>
    </row>
    <row r="5" spans="1:20">
      <c r="A5" s="2040"/>
      <c r="B5" s="2038"/>
      <c r="C5" s="2038"/>
      <c r="D5" s="2038"/>
      <c r="E5" s="2038"/>
      <c r="F5" s="2038"/>
      <c r="G5" s="2038"/>
      <c r="H5" s="2038"/>
      <c r="I5" s="2038"/>
      <c r="J5" s="2038"/>
      <c r="K5" s="2038"/>
      <c r="L5" s="2038"/>
      <c r="M5" s="2038"/>
      <c r="N5" s="2038"/>
      <c r="O5" s="2038"/>
      <c r="P5" s="2038"/>
      <c r="Q5" s="2038"/>
      <c r="R5" s="2038"/>
      <c r="S5" s="2038"/>
      <c r="T5" s="2038"/>
    </row>
    <row r="6" spans="1:20" ht="15.75">
      <c r="A6" s="2041"/>
      <c r="B6" s="2038"/>
      <c r="C6" s="2038"/>
      <c r="D6" s="2038"/>
      <c r="E6" s="2038"/>
      <c r="F6" s="2038"/>
      <c r="G6" s="2038"/>
      <c r="H6" s="2042"/>
      <c r="I6" s="2042"/>
      <c r="J6" s="2042"/>
      <c r="K6" s="2042"/>
      <c r="L6" s="2042"/>
      <c r="M6" s="2042"/>
      <c r="N6" s="2038"/>
      <c r="O6" s="2038"/>
      <c r="P6" s="2038"/>
      <c r="Q6" s="2038"/>
      <c r="R6" s="2038"/>
      <c r="S6" s="2038"/>
      <c r="T6" s="2038"/>
    </row>
    <row r="7" spans="1:20" ht="15.75">
      <c r="A7" s="2043" t="s">
        <v>951</v>
      </c>
      <c r="B7" s="2044"/>
      <c r="C7" s="2038"/>
      <c r="D7" s="2038"/>
      <c r="E7" s="2038"/>
      <c r="F7" s="2038"/>
      <c r="G7" s="2038"/>
      <c r="H7" s="2038"/>
      <c r="I7" s="2038"/>
      <c r="J7" s="2038"/>
      <c r="K7" s="2038"/>
      <c r="L7" s="2038"/>
      <c r="M7" s="2038"/>
      <c r="N7" s="2038"/>
      <c r="O7" s="2038"/>
      <c r="P7" s="2038"/>
      <c r="Q7" s="2038"/>
      <c r="R7" s="2038"/>
      <c r="S7" s="2038"/>
      <c r="T7" s="2038"/>
    </row>
    <row r="8" spans="1:20" ht="15.75">
      <c r="A8" s="2038"/>
      <c r="B8" s="2044"/>
      <c r="C8" s="2038"/>
      <c r="D8" s="2038"/>
      <c r="E8" s="2038"/>
      <c r="F8" s="2038"/>
      <c r="G8" s="2038"/>
      <c r="H8" s="2038"/>
      <c r="I8" s="2038"/>
      <c r="J8" s="2038"/>
      <c r="K8" s="2038"/>
      <c r="L8" s="2038"/>
      <c r="M8" s="2038"/>
      <c r="N8" s="2038"/>
      <c r="O8" s="2038"/>
      <c r="P8" s="2038"/>
      <c r="Q8" s="2038"/>
      <c r="R8" s="2038"/>
      <c r="S8" s="2038"/>
      <c r="T8" s="2038"/>
    </row>
    <row r="9" spans="1:20" ht="58.5">
      <c r="A9" s="2038"/>
      <c r="B9" s="2045" t="s">
        <v>24</v>
      </c>
      <c r="C9" s="2038"/>
      <c r="D9" s="2046" t="s">
        <v>93</v>
      </c>
      <c r="E9" s="2047"/>
      <c r="F9" s="2046" t="s">
        <v>644</v>
      </c>
      <c r="G9" s="2038"/>
      <c r="H9" s="2048" t="s">
        <v>943</v>
      </c>
      <c r="I9" s="2038"/>
      <c r="J9" s="2038"/>
      <c r="K9" s="2038"/>
      <c r="L9" s="2038"/>
      <c r="M9" s="2038"/>
      <c r="N9" s="2038"/>
      <c r="O9" s="2038"/>
      <c r="P9" s="2038"/>
      <c r="Q9" s="2038"/>
      <c r="R9" s="2038"/>
      <c r="S9" s="2038"/>
      <c r="T9" s="2038"/>
    </row>
    <row r="10" spans="1:20">
      <c r="A10" s="2038"/>
      <c r="B10" s="2488" t="s">
        <v>2227</v>
      </c>
      <c r="C10" s="2049"/>
      <c r="D10" s="2050" t="s">
        <v>936</v>
      </c>
      <c r="E10" s="2068"/>
      <c r="F10" s="2051">
        <v>0</v>
      </c>
      <c r="G10" s="2061"/>
      <c r="H10" s="2069">
        <v>0</v>
      </c>
      <c r="I10" s="2038"/>
      <c r="J10" s="2604" t="s">
        <v>1999</v>
      </c>
      <c r="K10" s="2038"/>
      <c r="L10" s="2038"/>
      <c r="M10" s="2038"/>
      <c r="N10" s="2038"/>
      <c r="O10" s="2038"/>
      <c r="P10" s="2038"/>
      <c r="Q10" s="2038"/>
      <c r="R10" s="2038"/>
      <c r="S10" s="2038"/>
      <c r="T10" s="2038"/>
    </row>
    <row r="11" spans="1:20">
      <c r="A11" s="2038"/>
      <c r="B11" s="2488" t="s">
        <v>2228</v>
      </c>
      <c r="C11" s="2049"/>
      <c r="D11" s="2050">
        <v>4547650</v>
      </c>
      <c r="E11" s="2068"/>
      <c r="F11" s="2051" t="s">
        <v>2229</v>
      </c>
      <c r="G11" s="2061"/>
      <c r="H11" s="2069">
        <v>1</v>
      </c>
      <c r="I11" s="2038"/>
      <c r="J11" s="2052"/>
      <c r="K11" s="2038"/>
      <c r="L11" s="2038"/>
      <c r="M11" s="2038"/>
      <c r="N11" s="2038"/>
      <c r="O11" s="2038"/>
      <c r="P11" s="2038"/>
      <c r="Q11" s="2038"/>
      <c r="R11" s="2038"/>
      <c r="S11" s="2038"/>
      <c r="T11" s="2038"/>
    </row>
    <row r="12" spans="1:20">
      <c r="A12" s="2038"/>
      <c r="B12" s="2488" t="s">
        <v>2230</v>
      </c>
      <c r="C12" s="2049"/>
      <c r="D12" s="2050">
        <v>253584</v>
      </c>
      <c r="E12" s="2070"/>
      <c r="F12" s="2051" t="s">
        <v>2229</v>
      </c>
      <c r="G12" s="2061"/>
      <c r="H12" s="2069">
        <v>1</v>
      </c>
      <c r="I12" s="2038"/>
      <c r="J12" s="2052"/>
      <c r="K12" s="2038"/>
      <c r="L12" s="2038"/>
      <c r="M12" s="2038"/>
      <c r="N12" s="2038"/>
      <c r="O12" s="2038"/>
      <c r="P12" s="2038"/>
      <c r="Q12" s="2038"/>
      <c r="R12" s="2038"/>
      <c r="S12" s="2038"/>
      <c r="T12" s="2038"/>
    </row>
    <row r="13" spans="1:20">
      <c r="A13" s="2038"/>
      <c r="B13" s="2488" t="s">
        <v>2231</v>
      </c>
      <c r="C13" s="2049"/>
      <c r="D13" s="2050">
        <v>934100</v>
      </c>
      <c r="E13" s="2070"/>
      <c r="F13" s="2051" t="s">
        <v>2229</v>
      </c>
      <c r="G13" s="2061"/>
      <c r="H13" s="2069">
        <v>1</v>
      </c>
      <c r="I13" s="2038"/>
      <c r="J13" s="2052"/>
      <c r="K13" s="2038"/>
      <c r="L13" s="2038"/>
      <c r="M13" s="2038"/>
      <c r="N13" s="2038"/>
      <c r="O13" s="2038"/>
      <c r="P13" s="2038"/>
      <c r="Q13" s="2038"/>
      <c r="R13" s="2038"/>
      <c r="S13" s="2038"/>
      <c r="T13" s="2038"/>
    </row>
    <row r="14" spans="1:20">
      <c r="A14" s="2038"/>
      <c r="B14" s="2488" t="s">
        <v>2232</v>
      </c>
      <c r="C14" s="2049"/>
      <c r="D14" s="2050">
        <v>166062.26999999999</v>
      </c>
      <c r="E14" s="2070"/>
      <c r="F14" s="2051" t="s">
        <v>2229</v>
      </c>
      <c r="G14" s="2071"/>
      <c r="H14" s="2069">
        <v>1</v>
      </c>
      <c r="I14" s="2038"/>
      <c r="J14" s="2052"/>
      <c r="K14" s="2038"/>
      <c r="L14" s="2038"/>
      <c r="M14" s="2038"/>
      <c r="N14" s="2038"/>
      <c r="O14" s="2038"/>
      <c r="P14" s="2038"/>
      <c r="Q14" s="2038"/>
      <c r="R14" s="2038"/>
      <c r="S14" s="2038"/>
      <c r="T14" s="2038"/>
    </row>
    <row r="15" spans="1:20">
      <c r="A15" s="2038"/>
      <c r="B15" s="2488" t="s">
        <v>2233</v>
      </c>
      <c r="C15" s="2049"/>
      <c r="D15" s="2050" t="s">
        <v>936</v>
      </c>
      <c r="E15" s="2070"/>
      <c r="F15" s="2051">
        <v>91.4</v>
      </c>
      <c r="G15" s="2071"/>
      <c r="H15" s="2069">
        <v>0</v>
      </c>
      <c r="I15" s="2038"/>
      <c r="J15" s="2604" t="s">
        <v>1646</v>
      </c>
      <c r="K15" s="2038"/>
      <c r="L15" s="2038"/>
      <c r="M15" s="2038"/>
      <c r="N15" s="2038"/>
      <c r="O15" s="2038"/>
      <c r="P15" s="2038"/>
      <c r="Q15" s="2038"/>
      <c r="R15" s="2038"/>
      <c r="S15" s="2038"/>
      <c r="T15" s="2038"/>
    </row>
    <row r="16" spans="1:20">
      <c r="A16" s="2038"/>
      <c r="B16" s="2488" t="s">
        <v>2234</v>
      </c>
      <c r="C16" s="2049"/>
      <c r="D16" s="2050">
        <v>151308</v>
      </c>
      <c r="E16" s="2070"/>
      <c r="F16" s="2051" t="s">
        <v>2229</v>
      </c>
      <c r="G16" s="2061"/>
      <c r="H16" s="2069">
        <v>1</v>
      </c>
      <c r="I16" s="2038"/>
      <c r="J16" s="2052"/>
      <c r="K16" s="2038"/>
      <c r="L16" s="2038"/>
      <c r="M16" s="2038"/>
      <c r="N16" s="2038"/>
      <c r="O16" s="2038"/>
      <c r="P16" s="2038"/>
      <c r="Q16" s="2038"/>
      <c r="R16" s="2038"/>
      <c r="S16" s="2038"/>
      <c r="T16" s="2038"/>
    </row>
    <row r="17" spans="1:20">
      <c r="A17" s="2038"/>
      <c r="B17" s="2488" t="s">
        <v>2235</v>
      </c>
      <c r="C17" s="2049"/>
      <c r="D17" s="2050">
        <v>-12408.25</v>
      </c>
      <c r="E17" s="2070"/>
      <c r="F17" s="2051" t="s">
        <v>2229</v>
      </c>
      <c r="G17" s="2061"/>
      <c r="H17" s="2069">
        <v>1</v>
      </c>
      <c r="I17" s="2038"/>
      <c r="J17" s="2052"/>
      <c r="K17" s="2038"/>
      <c r="L17" s="2038"/>
      <c r="M17" s="2038"/>
      <c r="N17" s="2038"/>
      <c r="O17" s="2038"/>
      <c r="P17" s="2038"/>
      <c r="Q17" s="2038"/>
      <c r="R17" s="2038"/>
      <c r="S17" s="2038"/>
      <c r="T17" s="2038"/>
    </row>
    <row r="18" spans="1:20">
      <c r="A18" s="2038"/>
      <c r="B18" s="2488" t="s">
        <v>2236</v>
      </c>
      <c r="C18" s="2049"/>
      <c r="D18" s="2050">
        <v>0</v>
      </c>
      <c r="E18" s="2070"/>
      <c r="F18" s="2051" t="s">
        <v>2229</v>
      </c>
      <c r="G18" s="2061"/>
      <c r="H18" s="2069">
        <v>1</v>
      </c>
      <c r="I18" s="2038"/>
      <c r="J18" s="2052"/>
      <c r="K18" s="2038"/>
      <c r="L18" s="2038"/>
      <c r="M18" s="2038"/>
      <c r="N18" s="2038"/>
      <c r="O18" s="2038"/>
      <c r="P18" s="2038"/>
      <c r="Q18" s="2038"/>
      <c r="R18" s="2038"/>
      <c r="S18" s="2038"/>
      <c r="T18" s="2038"/>
    </row>
    <row r="19" spans="1:20">
      <c r="A19" s="2038"/>
      <c r="B19" s="2488" t="s">
        <v>2237</v>
      </c>
      <c r="C19" s="2049"/>
      <c r="D19" s="2050">
        <v>19261.2</v>
      </c>
      <c r="E19" s="2070"/>
      <c r="F19" s="2051" t="s">
        <v>2229</v>
      </c>
      <c r="G19" s="2061"/>
      <c r="H19" s="2069">
        <v>1</v>
      </c>
      <c r="I19" s="2038"/>
      <c r="J19" s="2052"/>
      <c r="K19" s="2038"/>
      <c r="L19" s="2038"/>
      <c r="M19" s="2038"/>
      <c r="N19" s="2038"/>
      <c r="O19" s="2038"/>
      <c r="P19" s="2038"/>
      <c r="Q19" s="2038"/>
      <c r="R19" s="2038"/>
      <c r="S19" s="2038"/>
      <c r="T19" s="2038"/>
    </row>
    <row r="20" spans="1:20">
      <c r="A20" s="2038"/>
      <c r="B20" s="2488" t="s">
        <v>2238</v>
      </c>
      <c r="C20" s="2049"/>
      <c r="D20" s="2050">
        <v>14500000</v>
      </c>
      <c r="E20" s="2070"/>
      <c r="F20" s="2051" t="s">
        <v>2229</v>
      </c>
      <c r="G20" s="2061"/>
      <c r="H20" s="2069">
        <v>1</v>
      </c>
      <c r="I20" s="2038"/>
      <c r="J20" s="2052"/>
      <c r="K20" s="2038"/>
      <c r="L20" s="2038"/>
      <c r="M20" s="2038"/>
      <c r="N20" s="2038"/>
      <c r="O20" s="2038"/>
      <c r="P20" s="2038"/>
      <c r="Q20" s="2038"/>
      <c r="R20" s="2038"/>
      <c r="S20" s="2038"/>
      <c r="T20" s="2038"/>
    </row>
    <row r="21" spans="1:20">
      <c r="A21" s="2038"/>
      <c r="B21" s="2488" t="s">
        <v>2239</v>
      </c>
      <c r="C21" s="2049"/>
      <c r="D21" s="2050">
        <v>192078</v>
      </c>
      <c r="E21" s="2070"/>
      <c r="F21" s="2051" t="s">
        <v>2229</v>
      </c>
      <c r="G21" s="2061"/>
      <c r="H21" s="2069">
        <v>1</v>
      </c>
      <c r="I21" s="2038"/>
      <c r="J21" s="2052"/>
      <c r="K21" s="2038"/>
      <c r="L21" s="2038"/>
      <c r="M21" s="2038"/>
      <c r="N21" s="2038"/>
      <c r="O21" s="2038"/>
      <c r="P21" s="2038"/>
      <c r="Q21" s="2038"/>
      <c r="R21" s="2038"/>
      <c r="S21" s="2038"/>
      <c r="T21" s="2038"/>
    </row>
    <row r="22" spans="1:20">
      <c r="A22" s="2038"/>
      <c r="B22" s="2488" t="s">
        <v>2240</v>
      </c>
      <c r="C22" s="2049"/>
      <c r="D22" s="2050">
        <v>3314</v>
      </c>
      <c r="E22" s="2070"/>
      <c r="F22" s="2051" t="s">
        <v>2229</v>
      </c>
      <c r="G22" s="2061"/>
      <c r="H22" s="2069">
        <v>1</v>
      </c>
      <c r="I22" s="2038"/>
      <c r="J22" s="2052"/>
      <c r="K22" s="2038"/>
      <c r="L22" s="2038"/>
      <c r="M22" s="2038"/>
      <c r="N22" s="2038"/>
      <c r="O22" s="2038"/>
      <c r="P22" s="2038"/>
      <c r="Q22" s="2038"/>
      <c r="R22" s="2038"/>
      <c r="S22" s="2038"/>
      <c r="T22" s="2038"/>
    </row>
    <row r="23" spans="1:20">
      <c r="A23" s="2038"/>
      <c r="B23" s="2488" t="s">
        <v>2241</v>
      </c>
      <c r="C23" s="2049"/>
      <c r="D23" s="2050">
        <v>59520.73</v>
      </c>
      <c r="E23" s="2070"/>
      <c r="F23" s="2051" t="s">
        <v>2229</v>
      </c>
      <c r="G23" s="2071"/>
      <c r="H23" s="2069">
        <v>1</v>
      </c>
      <c r="I23" s="2038"/>
      <c r="J23" s="2052"/>
      <c r="K23" s="2038"/>
      <c r="L23" s="2038"/>
      <c r="M23" s="2038"/>
      <c r="N23" s="2038"/>
      <c r="O23" s="2038"/>
      <c r="P23" s="2038"/>
      <c r="Q23" s="2038"/>
      <c r="R23" s="2038"/>
      <c r="S23" s="2038"/>
      <c r="T23" s="2038"/>
    </row>
    <row r="24" spans="1:20">
      <c r="A24" s="2038"/>
      <c r="B24" s="2488" t="s">
        <v>2242</v>
      </c>
      <c r="C24" s="2049"/>
      <c r="D24" s="2050">
        <v>192078</v>
      </c>
      <c r="E24" s="2070"/>
      <c r="F24" s="2051" t="s">
        <v>2229</v>
      </c>
      <c r="G24" s="2061"/>
      <c r="H24" s="2069">
        <v>1</v>
      </c>
      <c r="I24" s="2038"/>
      <c r="J24" s="2052"/>
      <c r="K24" s="2038"/>
      <c r="L24" s="2038"/>
      <c r="M24" s="2038"/>
      <c r="N24" s="2038"/>
      <c r="O24" s="2038"/>
      <c r="P24" s="2038"/>
      <c r="Q24" s="2038"/>
      <c r="R24" s="2038"/>
      <c r="S24" s="2038"/>
      <c r="T24" s="2038"/>
    </row>
    <row r="25" spans="1:20">
      <c r="A25" s="2038"/>
      <c r="B25" s="2488" t="s">
        <v>2243</v>
      </c>
      <c r="C25" s="2049"/>
      <c r="D25" s="2050">
        <v>0</v>
      </c>
      <c r="E25" s="2070"/>
      <c r="F25" s="2051" t="s">
        <v>2229</v>
      </c>
      <c r="G25" s="2061"/>
      <c r="H25" s="2069">
        <v>1</v>
      </c>
      <c r="I25" s="2038"/>
      <c r="J25" s="2052"/>
      <c r="K25" s="2038"/>
      <c r="L25" s="2038"/>
      <c r="M25" s="2038"/>
      <c r="N25" s="2038"/>
      <c r="O25" s="2038"/>
      <c r="P25" s="2038"/>
      <c r="Q25" s="2038"/>
      <c r="R25" s="2038"/>
      <c r="S25" s="2038"/>
      <c r="T25" s="2038"/>
    </row>
    <row r="26" spans="1:20">
      <c r="A26" s="2038"/>
      <c r="B26" s="2488" t="s">
        <v>2244</v>
      </c>
      <c r="C26" s="2049"/>
      <c r="D26" s="2050">
        <v>10562.5</v>
      </c>
      <c r="E26" s="2070"/>
      <c r="F26" s="2051" t="s">
        <v>2229</v>
      </c>
      <c r="G26" s="2061"/>
      <c r="H26" s="2069">
        <v>1</v>
      </c>
      <c r="I26" s="2038"/>
      <c r="J26" s="2052"/>
      <c r="K26" s="2038"/>
      <c r="L26" s="2038"/>
      <c r="M26" s="2038"/>
      <c r="N26" s="2038"/>
      <c r="O26" s="2038"/>
      <c r="P26" s="2038"/>
      <c r="Q26" s="2038"/>
      <c r="R26" s="2038"/>
      <c r="S26" s="2038"/>
      <c r="T26" s="2038"/>
    </row>
    <row r="27" spans="1:20">
      <c r="A27" s="2038"/>
      <c r="B27" s="2488" t="s">
        <v>2245</v>
      </c>
      <c r="C27" s="2049"/>
      <c r="D27" s="2050">
        <v>29581</v>
      </c>
      <c r="E27" s="2070"/>
      <c r="F27" s="2051" t="s">
        <v>2229</v>
      </c>
      <c r="G27" s="2071"/>
      <c r="H27" s="2069">
        <v>1</v>
      </c>
      <c r="I27" s="2038"/>
      <c r="J27" s="2052"/>
      <c r="K27" s="2038"/>
      <c r="L27" s="2038"/>
      <c r="M27" s="2038"/>
      <c r="N27" s="2038"/>
      <c r="O27" s="2038"/>
      <c r="P27" s="2038"/>
      <c r="Q27" s="2038"/>
      <c r="R27" s="2038"/>
      <c r="S27" s="2038"/>
      <c r="T27" s="2038"/>
    </row>
    <row r="28" spans="1:20">
      <c r="A28" s="2038"/>
      <c r="B28" s="2488" t="s">
        <v>2246</v>
      </c>
      <c r="C28" s="2049"/>
      <c r="D28" s="2050" t="s">
        <v>936</v>
      </c>
      <c r="E28" s="2070"/>
      <c r="F28" s="2051">
        <v>498.5</v>
      </c>
      <c r="G28" s="2061"/>
      <c r="H28" s="2069">
        <v>0</v>
      </c>
      <c r="I28" s="2038"/>
      <c r="J28" s="2604" t="s">
        <v>1646</v>
      </c>
      <c r="K28" s="2038"/>
      <c r="L28" s="2038"/>
      <c r="M28" s="2038"/>
      <c r="N28" s="2038"/>
      <c r="O28" s="2038"/>
      <c r="P28" s="2038"/>
      <c r="Q28" s="2038"/>
      <c r="R28" s="2038"/>
      <c r="S28" s="2038"/>
      <c r="T28" s="2038"/>
    </row>
    <row r="29" spans="1:20">
      <c r="A29" s="2038"/>
      <c r="B29" s="2488" t="s">
        <v>2247</v>
      </c>
      <c r="C29" s="2049"/>
      <c r="D29" s="2050" t="s">
        <v>936</v>
      </c>
      <c r="E29" s="2070"/>
      <c r="F29" s="2051">
        <v>96.3</v>
      </c>
      <c r="G29" s="2061"/>
      <c r="H29" s="2069">
        <v>0</v>
      </c>
      <c r="I29" s="2038"/>
      <c r="J29" s="2604" t="s">
        <v>1646</v>
      </c>
      <c r="K29" s="2038"/>
      <c r="L29" s="2038"/>
      <c r="M29" s="2038"/>
      <c r="N29" s="2038"/>
      <c r="O29" s="2038"/>
      <c r="P29" s="2038"/>
      <c r="Q29" s="2038"/>
      <c r="R29" s="2038"/>
      <c r="S29" s="2038"/>
      <c r="T29" s="2038"/>
    </row>
    <row r="30" spans="1:20">
      <c r="A30" s="2038"/>
      <c r="B30" s="2488" t="s">
        <v>2248</v>
      </c>
      <c r="C30" s="2049"/>
      <c r="D30" s="2050">
        <v>119700</v>
      </c>
      <c r="E30" s="2070"/>
      <c r="F30" s="2051" t="s">
        <v>2229</v>
      </c>
      <c r="G30" s="2061"/>
      <c r="H30" s="2069">
        <v>1</v>
      </c>
      <c r="I30" s="2038"/>
      <c r="J30" s="2604"/>
      <c r="K30" s="2038"/>
      <c r="L30" s="2038"/>
      <c r="M30" s="2038"/>
      <c r="N30" s="2038"/>
      <c r="O30" s="2038"/>
      <c r="P30" s="2038"/>
      <c r="Q30" s="2038"/>
      <c r="R30" s="2038"/>
      <c r="S30" s="2038"/>
      <c r="T30" s="2038"/>
    </row>
    <row r="31" spans="1:20">
      <c r="A31" s="2038"/>
      <c r="B31" s="2488" t="s">
        <v>2249</v>
      </c>
      <c r="C31" s="2049"/>
      <c r="D31" s="2050" t="s">
        <v>936</v>
      </c>
      <c r="E31" s="2070"/>
      <c r="F31" s="2051">
        <v>330</v>
      </c>
      <c r="G31" s="2061"/>
      <c r="H31" s="2069">
        <v>0</v>
      </c>
      <c r="I31" s="2038"/>
      <c r="J31" s="2604" t="s">
        <v>1823</v>
      </c>
      <c r="K31" s="2038"/>
      <c r="L31" s="2038"/>
      <c r="M31" s="2038"/>
      <c r="N31" s="2038"/>
      <c r="O31" s="2038"/>
      <c r="P31" s="2038"/>
      <c r="Q31" s="2038"/>
      <c r="R31" s="2038"/>
      <c r="S31" s="2038"/>
      <c r="T31" s="2038"/>
    </row>
    <row r="32" spans="1:20">
      <c r="A32" s="2038"/>
      <c r="B32" s="2488" t="s">
        <v>2250</v>
      </c>
      <c r="C32" s="2049"/>
      <c r="D32" s="2050">
        <v>600000</v>
      </c>
      <c r="E32" s="2070"/>
      <c r="F32" s="2051" t="s">
        <v>2229</v>
      </c>
      <c r="G32" s="2061"/>
      <c r="H32" s="2069">
        <v>1</v>
      </c>
      <c r="I32" s="2038"/>
      <c r="J32" s="2604"/>
      <c r="K32" s="2038"/>
      <c r="L32" s="2038"/>
      <c r="M32" s="2038"/>
      <c r="N32" s="2038"/>
      <c r="O32" s="2038"/>
      <c r="P32" s="2038"/>
      <c r="Q32" s="2038"/>
      <c r="R32" s="2038"/>
      <c r="S32" s="2038"/>
      <c r="T32" s="2038"/>
    </row>
    <row r="33" spans="1:20">
      <c r="A33" s="2038"/>
      <c r="B33" s="2488" t="s">
        <v>2251</v>
      </c>
      <c r="C33" s="2049"/>
      <c r="D33" s="2050">
        <v>44313.79</v>
      </c>
      <c r="E33" s="2070"/>
      <c r="F33" s="2051" t="s">
        <v>2229</v>
      </c>
      <c r="G33" s="2061"/>
      <c r="H33" s="2069">
        <v>1</v>
      </c>
      <c r="I33" s="2038"/>
      <c r="J33" s="2604"/>
      <c r="K33" s="2038"/>
      <c r="L33" s="2038"/>
      <c r="M33" s="2038"/>
      <c r="N33" s="2038"/>
      <c r="O33" s="2038"/>
      <c r="P33" s="2038"/>
      <c r="Q33" s="2038"/>
      <c r="R33" s="2038"/>
      <c r="S33" s="2038"/>
      <c r="T33" s="2038"/>
    </row>
    <row r="34" spans="1:20">
      <c r="A34" s="2038"/>
      <c r="B34" s="2488" t="s">
        <v>2252</v>
      </c>
      <c r="C34" s="2049"/>
      <c r="D34" s="2050">
        <v>0</v>
      </c>
      <c r="E34" s="2070"/>
      <c r="F34" s="2051" t="s">
        <v>2229</v>
      </c>
      <c r="G34" s="2061"/>
      <c r="H34" s="2069">
        <v>1</v>
      </c>
      <c r="I34" s="2038"/>
      <c r="J34" s="2604"/>
      <c r="K34" s="2038"/>
      <c r="L34" s="2038"/>
      <c r="M34" s="2038"/>
      <c r="N34" s="2038"/>
      <c r="O34" s="2038"/>
      <c r="P34" s="2038"/>
      <c r="Q34" s="2038"/>
      <c r="R34" s="2038"/>
      <c r="S34" s="2038"/>
      <c r="T34" s="2038"/>
    </row>
    <row r="35" spans="1:20">
      <c r="A35" s="2038"/>
      <c r="B35" s="2488" t="s">
        <v>2253</v>
      </c>
      <c r="C35" s="2049"/>
      <c r="D35" s="2050">
        <v>0</v>
      </c>
      <c r="E35" s="2070"/>
      <c r="F35" s="2051" t="s">
        <v>2229</v>
      </c>
      <c r="G35" s="2061"/>
      <c r="H35" s="2069">
        <v>1</v>
      </c>
      <c r="I35" s="2038"/>
      <c r="J35" s="2604"/>
      <c r="K35" s="2038"/>
      <c r="L35" s="2038"/>
      <c r="M35" s="2038"/>
      <c r="N35" s="2038"/>
      <c r="O35" s="2038"/>
      <c r="P35" s="2038"/>
      <c r="Q35" s="2038"/>
      <c r="R35" s="2038"/>
      <c r="S35" s="2038"/>
      <c r="T35" s="2038"/>
    </row>
    <row r="36" spans="1:20">
      <c r="A36" s="2038"/>
      <c r="B36" s="2488" t="s">
        <v>2254</v>
      </c>
      <c r="C36" s="2049"/>
      <c r="D36" s="2050">
        <v>0</v>
      </c>
      <c r="E36" s="2070"/>
      <c r="F36" s="2051" t="s">
        <v>2229</v>
      </c>
      <c r="G36" s="2061"/>
      <c r="H36" s="2069">
        <v>1</v>
      </c>
      <c r="I36" s="2038"/>
      <c r="J36" s="2052"/>
      <c r="K36" s="2038"/>
      <c r="L36" s="2038"/>
      <c r="M36" s="2038"/>
      <c r="N36" s="2038"/>
      <c r="O36" s="2038"/>
      <c r="P36" s="2038"/>
      <c r="Q36" s="2038"/>
      <c r="R36" s="2038"/>
      <c r="S36" s="2038"/>
      <c r="T36" s="2038"/>
    </row>
    <row r="37" spans="1:20">
      <c r="A37" s="2038"/>
      <c r="B37" s="2488" t="s">
        <v>2255</v>
      </c>
      <c r="C37" s="2049"/>
      <c r="D37" s="2050">
        <v>65898.60500000001</v>
      </c>
      <c r="E37" s="2070"/>
      <c r="F37" s="2051" t="s">
        <v>2229</v>
      </c>
      <c r="G37" s="2061"/>
      <c r="H37" s="2069">
        <v>1</v>
      </c>
      <c r="I37" s="2038"/>
      <c r="J37" s="2604" t="s">
        <v>1649</v>
      </c>
      <c r="K37" s="2038"/>
      <c r="L37" s="2038"/>
      <c r="M37" s="2038"/>
      <c r="N37" s="2038"/>
      <c r="O37" s="2038"/>
      <c r="P37" s="2038"/>
      <c r="Q37" s="2038"/>
      <c r="R37" s="2038"/>
      <c r="S37" s="2038"/>
      <c r="T37" s="2038"/>
    </row>
    <row r="38" spans="1:20">
      <c r="A38" s="2038"/>
      <c r="B38" s="2053" t="s">
        <v>1063</v>
      </c>
      <c r="C38" s="2038"/>
      <c r="D38" s="2054">
        <f>SUM(D10:D37)</f>
        <v>21876603.844999999</v>
      </c>
      <c r="E38" s="2055"/>
      <c r="F38" s="2056">
        <f>SUM(F10:F37)</f>
        <v>1016.1999999999999</v>
      </c>
      <c r="G38" s="2038"/>
      <c r="H38" s="2038"/>
      <c r="I38" s="2038"/>
      <c r="J38" s="2604" t="s">
        <v>1035</v>
      </c>
      <c r="K38" s="2038"/>
      <c r="L38" s="2038"/>
      <c r="M38" s="2038"/>
      <c r="N38" s="2038"/>
      <c r="O38" s="2038"/>
      <c r="P38" s="2038"/>
      <c r="Q38" s="2038"/>
      <c r="R38" s="2038"/>
      <c r="S38" s="2038"/>
      <c r="T38" s="2038"/>
    </row>
    <row r="39" spans="1:20">
      <c r="A39" s="2038"/>
      <c r="B39" s="2049"/>
      <c r="C39" s="2038"/>
      <c r="D39" s="436"/>
      <c r="E39" s="436"/>
      <c r="F39" s="436"/>
      <c r="G39" s="436"/>
      <c r="H39" s="436"/>
      <c r="I39" s="436"/>
      <c r="J39" s="436"/>
      <c r="K39" s="436"/>
      <c r="L39" s="436"/>
      <c r="M39" s="2038"/>
      <c r="N39" s="2038"/>
      <c r="O39" s="2038"/>
      <c r="P39" s="2038"/>
      <c r="Q39" s="2038"/>
      <c r="R39" s="2038"/>
      <c r="S39" s="2038"/>
      <c r="T39" s="2038"/>
    </row>
    <row r="40" spans="1:20">
      <c r="A40" s="2038"/>
      <c r="B40" s="2038"/>
      <c r="C40" s="2038"/>
      <c r="D40" s="2038"/>
      <c r="E40" s="2038"/>
      <c r="F40" s="2038"/>
      <c r="G40" s="2038"/>
      <c r="H40" s="2038"/>
      <c r="I40" s="2038"/>
      <c r="J40" s="2038"/>
      <c r="K40" s="2038"/>
      <c r="L40" s="2038"/>
      <c r="M40" s="2038"/>
      <c r="N40" s="2038"/>
      <c r="O40" s="2038"/>
      <c r="P40" s="2038"/>
      <c r="Q40" s="2038"/>
      <c r="R40" s="2038"/>
      <c r="S40" s="2038"/>
      <c r="T40" s="2038"/>
    </row>
    <row r="41" spans="1:20" ht="15.75">
      <c r="A41" s="2043" t="s">
        <v>947</v>
      </c>
      <c r="B41" s="2044"/>
      <c r="C41" s="2038"/>
      <c r="D41" s="2038"/>
      <c r="E41" s="2038"/>
      <c r="F41" s="2038"/>
      <c r="G41" s="2038"/>
      <c r="H41" s="2038"/>
      <c r="I41" s="2038"/>
      <c r="J41" s="2038"/>
      <c r="K41" s="2038"/>
      <c r="L41" s="2038"/>
      <c r="M41" s="2038"/>
      <c r="N41" s="2038"/>
      <c r="O41" s="2038"/>
      <c r="P41" s="2038"/>
      <c r="Q41" s="2038"/>
      <c r="R41" s="2038"/>
      <c r="S41" s="2038"/>
      <c r="T41" s="2038"/>
    </row>
    <row r="42" spans="1:20">
      <c r="A42" s="2038"/>
      <c r="B42" s="2038"/>
      <c r="C42" s="2038"/>
      <c r="D42" s="2038"/>
      <c r="E42" s="2038"/>
      <c r="F42" s="2038"/>
      <c r="G42" s="2038"/>
      <c r="H42" s="2038"/>
      <c r="I42" s="2038"/>
      <c r="J42" s="2038"/>
      <c r="M42" s="2038"/>
      <c r="N42" s="2038"/>
      <c r="O42" s="2038"/>
      <c r="P42" s="2038"/>
      <c r="Q42" s="2038"/>
      <c r="R42" s="2038"/>
      <c r="S42" s="2038"/>
      <c r="T42" s="2038"/>
    </row>
    <row r="43" spans="1:20">
      <c r="A43" s="2038"/>
      <c r="B43" s="2042" t="s">
        <v>645</v>
      </c>
      <c r="C43" s="2049"/>
      <c r="D43" s="2038"/>
      <c r="E43" s="2038"/>
      <c r="F43" s="2038"/>
      <c r="G43" s="2038"/>
      <c r="H43" s="2038"/>
      <c r="I43" s="2038"/>
      <c r="J43" s="2038"/>
      <c r="M43" s="2038"/>
      <c r="N43" s="2038"/>
      <c r="O43" s="2038"/>
      <c r="P43" s="2038"/>
      <c r="Q43" s="2038"/>
      <c r="R43" s="2038"/>
      <c r="S43" s="2038"/>
      <c r="T43" s="2038"/>
    </row>
    <row r="44" spans="1:20">
      <c r="A44" s="2038"/>
      <c r="B44" s="2057" t="s">
        <v>949</v>
      </c>
      <c r="C44" s="2049"/>
      <c r="D44" s="2058">
        <v>24398551.079999998</v>
      </c>
      <c r="E44" s="2038"/>
      <c r="F44" s="2042"/>
      <c r="G44" s="2042"/>
      <c r="H44" s="2038"/>
      <c r="I44" s="2038"/>
      <c r="J44" s="2038"/>
      <c r="M44" s="2038"/>
      <c r="N44" s="2038"/>
      <c r="O44" s="2038"/>
      <c r="P44" s="2038"/>
      <c r="Q44" s="2038"/>
      <c r="R44" s="2038"/>
      <c r="S44" s="2038"/>
      <c r="T44" s="2038"/>
    </row>
    <row r="45" spans="1:20">
      <c r="A45" s="2038"/>
      <c r="B45" s="2057" t="s">
        <v>944</v>
      </c>
      <c r="C45" s="2049"/>
      <c r="D45" s="2059">
        <v>884249.86</v>
      </c>
      <c r="E45" s="2038"/>
      <c r="F45" s="2038"/>
      <c r="G45" s="2038"/>
      <c r="H45" s="2038"/>
      <c r="I45" s="2038"/>
      <c r="J45" s="2038"/>
      <c r="M45" s="2038"/>
      <c r="N45" s="2038"/>
      <c r="O45" s="2038"/>
      <c r="P45" s="2038"/>
      <c r="Q45" s="2038"/>
      <c r="R45" s="2038"/>
      <c r="S45" s="2038"/>
      <c r="T45" s="2038"/>
    </row>
    <row r="46" spans="1:20">
      <c r="A46" s="2038"/>
      <c r="B46" s="2060" t="s">
        <v>945</v>
      </c>
      <c r="C46" s="2049"/>
      <c r="D46" s="2061">
        <f>+D44+D45</f>
        <v>25282800.939999998</v>
      </c>
      <c r="E46" s="2038"/>
      <c r="F46" s="2038"/>
      <c r="G46" s="2038"/>
      <c r="H46" s="2038"/>
      <c r="I46" s="2038"/>
      <c r="J46" s="2038"/>
      <c r="M46" s="2038"/>
      <c r="N46" s="2038"/>
      <c r="O46" s="2038"/>
      <c r="P46" s="2038"/>
      <c r="Q46" s="2038"/>
      <c r="R46" s="2038"/>
      <c r="S46" s="2038"/>
      <c r="T46" s="2038"/>
    </row>
    <row r="47" spans="1:20">
      <c r="A47" s="2038"/>
      <c r="B47" s="2038"/>
      <c r="C47" s="2049"/>
      <c r="D47" s="2062"/>
      <c r="E47" s="2038"/>
      <c r="F47" s="2038"/>
      <c r="G47" s="2038"/>
      <c r="H47" s="2038"/>
      <c r="I47" s="2038"/>
      <c r="J47" s="2038"/>
      <c r="M47" s="2038"/>
      <c r="N47" s="2038"/>
      <c r="O47" s="2038"/>
      <c r="P47" s="2038"/>
      <c r="Q47" s="2038"/>
      <c r="R47" s="2038"/>
      <c r="S47" s="2038"/>
      <c r="T47" s="2038"/>
    </row>
    <row r="48" spans="1:20">
      <c r="A48" s="2038"/>
      <c r="B48" s="2042" t="s">
        <v>646</v>
      </c>
      <c r="C48" s="2049"/>
      <c r="D48" s="2038"/>
      <c r="E48" s="2038"/>
      <c r="F48" s="2038"/>
      <c r="G48" s="2038"/>
      <c r="H48" s="2038"/>
      <c r="I48" s="2038"/>
      <c r="J48" s="2038"/>
      <c r="M48" s="2038"/>
      <c r="N48" s="2038"/>
      <c r="O48" s="2038"/>
      <c r="P48" s="2038"/>
      <c r="Q48" s="2038"/>
      <c r="R48" s="2038"/>
      <c r="S48" s="2038"/>
      <c r="T48" s="2038"/>
    </row>
    <row r="49" spans="1:20">
      <c r="A49" s="2038"/>
      <c r="B49" s="2057" t="s">
        <v>949</v>
      </c>
      <c r="C49" s="2049"/>
      <c r="D49" s="2058">
        <v>70360761.879999995</v>
      </c>
      <c r="E49" s="2038"/>
      <c r="F49" s="2042"/>
      <c r="G49" s="2042"/>
      <c r="H49" s="2038"/>
      <c r="I49" s="2038"/>
      <c r="J49" s="2038"/>
      <c r="M49" s="2038"/>
      <c r="N49" s="2038"/>
      <c r="O49" s="2038"/>
      <c r="P49" s="2038"/>
      <c r="Q49" s="2038"/>
      <c r="R49" s="2038"/>
      <c r="S49" s="2038"/>
      <c r="T49" s="2038"/>
    </row>
    <row r="50" spans="1:20">
      <c r="A50" s="2038"/>
      <c r="B50" s="2057" t="s">
        <v>944</v>
      </c>
      <c r="C50" s="2049"/>
      <c r="D50" s="2059">
        <v>7481065.7199999997</v>
      </c>
      <c r="E50" s="2038"/>
      <c r="F50" s="2038"/>
      <c r="G50" s="2038"/>
      <c r="H50" s="2038"/>
      <c r="I50" s="2038"/>
      <c r="J50" s="2038"/>
      <c r="M50" s="2038"/>
      <c r="N50" s="2038"/>
      <c r="O50" s="2038"/>
      <c r="P50" s="2038"/>
      <c r="Q50" s="2038"/>
      <c r="R50" s="2038"/>
      <c r="S50" s="2038"/>
      <c r="T50" s="2038"/>
    </row>
    <row r="51" spans="1:20">
      <c r="A51" s="2038"/>
      <c r="B51" s="2060" t="s">
        <v>946</v>
      </c>
      <c r="C51" s="2049"/>
      <c r="D51" s="2061">
        <f>+D50+D49</f>
        <v>77841827.599999994</v>
      </c>
      <c r="E51" s="2038"/>
      <c r="F51" s="2038"/>
      <c r="G51" s="2038"/>
      <c r="H51" s="2038"/>
      <c r="I51" s="2038"/>
      <c r="J51" s="2038"/>
      <c r="M51" s="2038"/>
      <c r="N51" s="2038"/>
      <c r="O51" s="2038"/>
      <c r="P51" s="2038"/>
      <c r="Q51" s="2038"/>
      <c r="R51" s="2038"/>
      <c r="S51" s="2038"/>
      <c r="T51" s="2038"/>
    </row>
    <row r="52" spans="1:20">
      <c r="A52" s="2038"/>
      <c r="B52" s="2038"/>
      <c r="C52" s="2049"/>
      <c r="D52" s="2038"/>
      <c r="E52" s="2038"/>
      <c r="F52" s="2038"/>
      <c r="G52" s="2038"/>
      <c r="H52" s="2038"/>
      <c r="I52" s="2038"/>
      <c r="J52" s="2038"/>
      <c r="M52" s="2038"/>
      <c r="N52" s="2038"/>
      <c r="O52" s="2038"/>
      <c r="P52" s="2038"/>
      <c r="Q52" s="2038"/>
      <c r="R52" s="2038"/>
      <c r="S52" s="2038"/>
      <c r="T52" s="2038"/>
    </row>
    <row r="53" spans="1:20">
      <c r="A53" s="2038"/>
      <c r="B53" s="2038"/>
      <c r="C53" s="2049"/>
      <c r="D53" s="2038"/>
      <c r="E53" s="2038"/>
      <c r="F53" s="2038"/>
      <c r="G53" s="2038"/>
      <c r="H53" s="2038"/>
      <c r="I53" s="2038"/>
      <c r="J53" s="2038"/>
      <c r="M53" s="2038"/>
      <c r="N53" s="2038"/>
      <c r="O53" s="2038"/>
      <c r="P53" s="2038"/>
      <c r="Q53" s="2038"/>
      <c r="R53" s="2038"/>
      <c r="S53" s="2038"/>
      <c r="T53" s="2038"/>
    </row>
    <row r="54" spans="1:20" ht="15.75">
      <c r="A54" s="2043" t="s">
        <v>962</v>
      </c>
      <c r="B54" s="2042"/>
      <c r="C54" s="2049"/>
      <c r="D54" s="2038"/>
      <c r="E54" s="2038"/>
      <c r="F54" s="2038"/>
      <c r="G54" s="2038"/>
      <c r="H54" s="2038"/>
      <c r="I54" s="2038"/>
      <c r="J54" s="2038"/>
      <c r="M54" s="2038"/>
      <c r="N54" s="2038"/>
      <c r="O54" s="2038"/>
      <c r="P54" s="2038"/>
      <c r="Q54" s="2038"/>
      <c r="R54" s="2038"/>
      <c r="S54" s="2038"/>
      <c r="T54" s="2038"/>
    </row>
    <row r="55" spans="1:20">
      <c r="A55" s="2038"/>
      <c r="B55" s="2057" t="s">
        <v>949</v>
      </c>
      <c r="C55" s="2049"/>
      <c r="D55" s="2061">
        <f>SUM(D44,D49)</f>
        <v>94759312.959999993</v>
      </c>
      <c r="E55" s="2038"/>
      <c r="F55" s="2038"/>
      <c r="G55" s="2038"/>
      <c r="H55" s="2038"/>
      <c r="I55" s="2038"/>
      <c r="J55" s="2038"/>
      <c r="M55" s="2038"/>
      <c r="N55" s="2038"/>
      <c r="O55" s="2038"/>
      <c r="P55" s="2038"/>
      <c r="Q55" s="2038"/>
      <c r="R55" s="2038"/>
      <c r="S55" s="2038"/>
      <c r="T55" s="2038"/>
    </row>
    <row r="56" spans="1:20">
      <c r="A56" s="2038"/>
      <c r="B56" s="2057" t="s">
        <v>944</v>
      </c>
      <c r="C56" s="2049"/>
      <c r="D56" s="2061">
        <f>SUM(D45,D50)</f>
        <v>8365315.5800000001</v>
      </c>
      <c r="E56" s="2038"/>
      <c r="F56" s="436"/>
      <c r="G56" s="2042"/>
      <c r="H56" s="2038"/>
      <c r="I56" s="2038"/>
      <c r="J56" s="2038"/>
      <c r="M56" s="2038"/>
      <c r="N56" s="2038"/>
      <c r="O56" s="2038"/>
      <c r="P56" s="2038"/>
      <c r="Q56" s="2038"/>
      <c r="R56" s="2038"/>
      <c r="S56" s="2038"/>
      <c r="T56" s="2038"/>
    </row>
    <row r="57" spans="1:20">
      <c r="A57" s="2038"/>
      <c r="B57" s="2063" t="s">
        <v>1064</v>
      </c>
      <c r="C57" s="2049"/>
      <c r="D57" s="2064">
        <f>SUM(D55:D56)</f>
        <v>103124628.53999999</v>
      </c>
      <c r="E57" s="2038"/>
      <c r="F57" s="436"/>
      <c r="G57" s="436"/>
      <c r="H57" s="436"/>
      <c r="I57" s="436"/>
      <c r="J57" s="2052" t="s">
        <v>1035</v>
      </c>
      <c r="M57" s="2038"/>
      <c r="N57" s="2038"/>
      <c r="O57" s="2038"/>
      <c r="P57" s="2038"/>
      <c r="Q57" s="2038"/>
      <c r="R57" s="2038"/>
      <c r="S57" s="2038"/>
      <c r="T57" s="2038"/>
    </row>
    <row r="58" spans="1:20">
      <c r="C58" s="2065"/>
      <c r="G58" s="2066"/>
    </row>
  </sheetData>
  <pageMargins left="0.31" right="0.17" top="0.35" bottom="0.27" header="0.3" footer="0.16"/>
  <pageSetup scale="10" orientation="portrait" cellComments="asDisplayed"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V37"/>
  <sheetViews>
    <sheetView zoomScale="85" zoomScaleNormal="85" workbookViewId="0"/>
  </sheetViews>
  <sheetFormatPr defaultRowHeight="12.75"/>
  <cols>
    <col min="1" max="1" width="12.7109375" style="881" customWidth="1"/>
    <col min="2" max="3" width="17.28515625" style="881" customWidth="1"/>
    <col min="4" max="4" width="56.28515625" style="881" bestFit="1" customWidth="1"/>
    <col min="5" max="5" width="30.42578125" style="881" bestFit="1" customWidth="1"/>
    <col min="6" max="13" width="14.7109375" style="881" customWidth="1"/>
    <col min="14" max="14" width="14.7109375" style="433" customWidth="1"/>
    <col min="15" max="18" width="14.7109375" style="434" customWidth="1"/>
    <col min="19" max="19" width="14" style="434" bestFit="1" customWidth="1"/>
    <col min="20" max="21" width="20.28515625" style="434" bestFit="1" customWidth="1"/>
    <col min="22" max="22" width="14" style="434" bestFit="1" customWidth="1"/>
    <col min="23" max="25" width="13.140625" style="881" bestFit="1" customWidth="1"/>
    <col min="26" max="16384" width="9.140625" style="881"/>
  </cols>
  <sheetData>
    <row r="1" spans="1:22" ht="15.75">
      <c r="A1" s="600" t="s">
        <v>365</v>
      </c>
      <c r="B1" s="600"/>
      <c r="C1" s="600"/>
      <c r="D1" s="482"/>
      <c r="E1" s="482"/>
      <c r="F1" s="482"/>
      <c r="G1" s="482"/>
      <c r="H1" s="482"/>
      <c r="I1" s="482"/>
      <c r="J1" s="482"/>
      <c r="K1" s="483"/>
      <c r="L1" s="483"/>
      <c r="M1" s="484"/>
      <c r="N1" s="485"/>
      <c r="O1" s="486"/>
      <c r="P1" s="486"/>
      <c r="Q1" s="486"/>
      <c r="R1" s="486"/>
    </row>
    <row r="2" spans="1:22" s="434" customFormat="1" ht="15.75">
      <c r="A2" s="600" t="s">
        <v>1069</v>
      </c>
      <c r="B2" s="600"/>
      <c r="C2" s="600"/>
      <c r="D2" s="482"/>
      <c r="E2" s="482"/>
      <c r="F2" s="482"/>
      <c r="G2" s="482"/>
      <c r="H2" s="482"/>
      <c r="I2" s="482"/>
      <c r="J2" s="482"/>
      <c r="K2" s="486"/>
      <c r="L2" s="486"/>
      <c r="M2" s="486"/>
      <c r="N2" s="487"/>
      <c r="O2" s="486"/>
      <c r="P2" s="486"/>
      <c r="Q2" s="486"/>
      <c r="R2" s="486"/>
    </row>
    <row r="3" spans="1:22" s="434" customFormat="1" ht="15.75" thickBot="1">
      <c r="A3" s="1073"/>
      <c r="B3" s="488"/>
      <c r="C3" s="488"/>
      <c r="D3" s="488"/>
      <c r="E3" s="488"/>
      <c r="F3" s="488"/>
      <c r="G3" s="488"/>
      <c r="H3" s="489"/>
      <c r="I3" s="489"/>
      <c r="J3" s="486"/>
      <c r="K3" s="486"/>
      <c r="L3" s="486"/>
      <c r="M3" s="486"/>
      <c r="N3" s="487"/>
      <c r="O3" s="486"/>
      <c r="P3" s="486"/>
      <c r="Q3" s="486"/>
      <c r="R3" s="486"/>
    </row>
    <row r="4" spans="1:22" ht="26.25" thickBot="1">
      <c r="D4" s="481"/>
      <c r="F4" s="712" t="s">
        <v>952</v>
      </c>
      <c r="G4" s="713" t="s">
        <v>953</v>
      </c>
      <c r="H4" s="714"/>
      <c r="I4" s="715"/>
      <c r="J4" s="715"/>
      <c r="K4" s="714"/>
      <c r="L4" s="715"/>
      <c r="M4" s="715"/>
      <c r="N4" s="716"/>
      <c r="O4" s="717"/>
      <c r="P4" s="717"/>
      <c r="Q4" s="717"/>
      <c r="R4" s="718"/>
    </row>
    <row r="5" spans="1:22" ht="84" customHeight="1" thickBot="1">
      <c r="A5" s="688" t="s">
        <v>876</v>
      </c>
      <c r="B5" s="693" t="s">
        <v>990</v>
      </c>
      <c r="C5" s="693" t="s">
        <v>998</v>
      </c>
      <c r="D5" s="1701" t="s">
        <v>930</v>
      </c>
      <c r="E5" s="1702" t="s">
        <v>525</v>
      </c>
      <c r="F5" s="1703" t="s">
        <v>358</v>
      </c>
      <c r="G5" s="1704" t="s">
        <v>350</v>
      </c>
      <c r="H5" s="1705" t="s">
        <v>351</v>
      </c>
      <c r="I5" s="1705" t="s">
        <v>352</v>
      </c>
      <c r="J5" s="1705" t="s">
        <v>143</v>
      </c>
      <c r="K5" s="1705" t="s">
        <v>144</v>
      </c>
      <c r="L5" s="1705" t="s">
        <v>145</v>
      </c>
      <c r="M5" s="1705" t="s">
        <v>353</v>
      </c>
      <c r="N5" s="1705" t="s">
        <v>354</v>
      </c>
      <c r="O5" s="1705" t="s">
        <v>355</v>
      </c>
      <c r="P5" s="1705" t="s">
        <v>356</v>
      </c>
      <c r="Q5" s="1705" t="s">
        <v>357</v>
      </c>
      <c r="R5" s="1706" t="s">
        <v>358</v>
      </c>
      <c r="S5" s="881"/>
      <c r="T5" s="881"/>
      <c r="U5" s="881"/>
      <c r="V5" s="881"/>
    </row>
    <row r="6" spans="1:22" ht="14.25" customHeight="1">
      <c r="A6" s="689">
        <v>86</v>
      </c>
      <c r="B6" s="694" t="s">
        <v>859</v>
      </c>
      <c r="C6" s="751">
        <f>AVERAGE(F6:R6)</f>
        <v>7108466230.7692308</v>
      </c>
      <c r="D6" s="1707" t="s">
        <v>724</v>
      </c>
      <c r="E6" s="1708" t="s">
        <v>862</v>
      </c>
      <c r="F6" s="1729">
        <v>7159339000</v>
      </c>
      <c r="G6" s="1709">
        <v>7114339000</v>
      </c>
      <c r="H6" s="1709">
        <v>7104974000</v>
      </c>
      <c r="I6" s="1709">
        <v>7104974000</v>
      </c>
      <c r="J6" s="1709">
        <v>7104974000</v>
      </c>
      <c r="K6" s="1709">
        <v>7104974000</v>
      </c>
      <c r="L6" s="1709">
        <v>7104974000</v>
      </c>
      <c r="M6" s="1709">
        <v>7104974000</v>
      </c>
      <c r="N6" s="1709">
        <v>7104974000</v>
      </c>
      <c r="O6" s="1709">
        <v>7104974000</v>
      </c>
      <c r="P6" s="1709">
        <v>7101697000</v>
      </c>
      <c r="Q6" s="1709">
        <v>7101697000</v>
      </c>
      <c r="R6" s="1710">
        <v>7093197000</v>
      </c>
      <c r="S6" s="881"/>
      <c r="T6" s="881"/>
      <c r="U6" s="881"/>
      <c r="V6" s="881"/>
    </row>
    <row r="7" spans="1:22" ht="14.25" customHeight="1">
      <c r="A7" s="690">
        <v>87</v>
      </c>
      <c r="B7" s="695" t="s">
        <v>859</v>
      </c>
      <c r="C7" s="752">
        <f t="shared" ref="C7:C14" si="0">AVERAGE(F7:R7)</f>
        <v>0</v>
      </c>
      <c r="D7" s="1711" t="s">
        <v>725</v>
      </c>
      <c r="E7" s="1712" t="s">
        <v>863</v>
      </c>
      <c r="F7" s="1730">
        <v>0</v>
      </c>
      <c r="G7" s="1713">
        <v>0</v>
      </c>
      <c r="H7" s="1713">
        <v>0</v>
      </c>
      <c r="I7" s="1713">
        <v>0</v>
      </c>
      <c r="J7" s="1713">
        <v>0</v>
      </c>
      <c r="K7" s="1713">
        <v>0</v>
      </c>
      <c r="L7" s="1713">
        <v>0</v>
      </c>
      <c r="M7" s="1713">
        <v>0</v>
      </c>
      <c r="N7" s="1713">
        <v>0</v>
      </c>
      <c r="O7" s="1713">
        <v>0</v>
      </c>
      <c r="P7" s="1713">
        <v>0</v>
      </c>
      <c r="Q7" s="1713">
        <v>0</v>
      </c>
      <c r="R7" s="1714">
        <v>0</v>
      </c>
      <c r="S7" s="881"/>
      <c r="T7" s="881"/>
      <c r="U7" s="881"/>
      <c r="V7" s="881"/>
    </row>
    <row r="8" spans="1:22" ht="14.25" customHeight="1">
      <c r="A8" s="690">
        <v>88</v>
      </c>
      <c r="B8" s="695" t="s">
        <v>859</v>
      </c>
      <c r="C8" s="752">
        <f t="shared" si="0"/>
        <v>0</v>
      </c>
      <c r="D8" s="1711" t="s">
        <v>726</v>
      </c>
      <c r="E8" s="1712" t="s">
        <v>709</v>
      </c>
      <c r="F8" s="1730">
        <v>0</v>
      </c>
      <c r="G8" s="1713">
        <v>0</v>
      </c>
      <c r="H8" s="1713">
        <v>0</v>
      </c>
      <c r="I8" s="1713">
        <v>0</v>
      </c>
      <c r="J8" s="1713">
        <v>0</v>
      </c>
      <c r="K8" s="1713">
        <v>0</v>
      </c>
      <c r="L8" s="1713">
        <v>0</v>
      </c>
      <c r="M8" s="1713">
        <v>0</v>
      </c>
      <c r="N8" s="1713">
        <v>0</v>
      </c>
      <c r="O8" s="1713">
        <v>0</v>
      </c>
      <c r="P8" s="1713">
        <v>0</v>
      </c>
      <c r="Q8" s="1713">
        <v>0</v>
      </c>
      <c r="R8" s="1715">
        <v>0</v>
      </c>
      <c r="S8" s="881"/>
      <c r="T8" s="881"/>
      <c r="U8" s="881"/>
      <c r="V8" s="881"/>
    </row>
    <row r="9" spans="1:22" ht="14.25" customHeight="1">
      <c r="A9" s="690">
        <v>89</v>
      </c>
      <c r="B9" s="695" t="s">
        <v>859</v>
      </c>
      <c r="C9" s="752">
        <f t="shared" si="0"/>
        <v>0</v>
      </c>
      <c r="D9" s="1711" t="s">
        <v>727</v>
      </c>
      <c r="E9" s="1712" t="s">
        <v>864</v>
      </c>
      <c r="F9" s="1730">
        <v>0</v>
      </c>
      <c r="G9" s="1713">
        <v>0</v>
      </c>
      <c r="H9" s="1713">
        <v>0</v>
      </c>
      <c r="I9" s="1713">
        <v>0</v>
      </c>
      <c r="J9" s="1713">
        <v>0</v>
      </c>
      <c r="K9" s="1713">
        <v>0</v>
      </c>
      <c r="L9" s="1713">
        <v>0</v>
      </c>
      <c r="M9" s="1713">
        <v>0</v>
      </c>
      <c r="N9" s="1713">
        <v>0</v>
      </c>
      <c r="O9" s="1713">
        <v>0</v>
      </c>
      <c r="P9" s="1713">
        <v>0</v>
      </c>
      <c r="Q9" s="1713">
        <v>0</v>
      </c>
      <c r="R9" s="1715">
        <v>0</v>
      </c>
      <c r="S9" s="881"/>
      <c r="T9" s="881"/>
      <c r="U9" s="881"/>
      <c r="V9" s="881"/>
    </row>
    <row r="10" spans="1:22" ht="14.25" customHeight="1">
      <c r="A10" s="690">
        <v>91</v>
      </c>
      <c r="B10" s="695" t="s">
        <v>859</v>
      </c>
      <c r="C10" s="752">
        <f t="shared" si="0"/>
        <v>11992787.013076931</v>
      </c>
      <c r="D10" s="1711" t="s">
        <v>729</v>
      </c>
      <c r="E10" s="1712" t="s">
        <v>972</v>
      </c>
      <c r="F10" s="1730">
        <v>12502205.690000005</v>
      </c>
      <c r="G10" s="1713">
        <v>12417302.580000006</v>
      </c>
      <c r="H10" s="1713">
        <v>12332399.460000006</v>
      </c>
      <c r="I10" s="1713">
        <v>12247496.350000007</v>
      </c>
      <c r="J10" s="1713">
        <v>12162593.230000008</v>
      </c>
      <c r="K10" s="1713">
        <v>12077690.120000008</v>
      </c>
      <c r="L10" s="1713">
        <v>11992787.000000009</v>
      </c>
      <c r="M10" s="1713">
        <v>11907883.90000001</v>
      </c>
      <c r="N10" s="1713">
        <v>11822980.780000011</v>
      </c>
      <c r="O10" s="1713">
        <v>11738077.690000011</v>
      </c>
      <c r="P10" s="1713">
        <v>11653174.56000001</v>
      </c>
      <c r="Q10" s="1713">
        <v>11568271.47000001</v>
      </c>
      <c r="R10" s="700">
        <v>11483368.340000009</v>
      </c>
      <c r="S10" s="881"/>
      <c r="T10" s="881"/>
      <c r="U10" s="881"/>
      <c r="V10" s="881"/>
    </row>
    <row r="11" spans="1:22" ht="14.25" customHeight="1">
      <c r="A11" s="690">
        <v>92</v>
      </c>
      <c r="B11" s="695" t="s">
        <v>859</v>
      </c>
      <c r="C11" s="752">
        <f t="shared" si="0"/>
        <v>31458866.74692307</v>
      </c>
      <c r="D11" s="1716" t="s">
        <v>895</v>
      </c>
      <c r="E11" s="881" t="s">
        <v>973</v>
      </c>
      <c r="F11" s="1730">
        <v>33071963.449999996</v>
      </c>
      <c r="G11" s="1713">
        <v>32811171.089999996</v>
      </c>
      <c r="H11" s="1713">
        <v>32490326.689999998</v>
      </c>
      <c r="I11" s="1713">
        <v>32230111.799999997</v>
      </c>
      <c r="J11" s="1713">
        <v>31969897.039999995</v>
      </c>
      <c r="K11" s="1713">
        <v>31709682.139999997</v>
      </c>
      <c r="L11" s="1713">
        <v>31449467.369999997</v>
      </c>
      <c r="M11" s="1713">
        <v>31189252.469999999</v>
      </c>
      <c r="N11" s="1713">
        <v>30929037.699999999</v>
      </c>
      <c r="O11" s="1713">
        <v>30668822.809999999</v>
      </c>
      <c r="P11" s="1713">
        <v>30408608.029999997</v>
      </c>
      <c r="Q11" s="1713">
        <v>30148393.149999999</v>
      </c>
      <c r="R11" s="1717">
        <v>29888533.969999999</v>
      </c>
      <c r="S11" s="881"/>
      <c r="T11" s="881"/>
      <c r="U11" s="881"/>
      <c r="V11" s="881"/>
    </row>
    <row r="12" spans="1:22" s="435" customFormat="1" ht="14.25" customHeight="1">
      <c r="A12" s="690">
        <v>93</v>
      </c>
      <c r="B12" s="695" t="s">
        <v>859</v>
      </c>
      <c r="C12" s="752">
        <f t="shared" si="0"/>
        <v>6095144.927692309</v>
      </c>
      <c r="D12" s="1718" t="s">
        <v>832</v>
      </c>
      <c r="E12" s="881" t="s">
        <v>974</v>
      </c>
      <c r="F12" s="1730">
        <v>6351794.3200000022</v>
      </c>
      <c r="G12" s="1713">
        <v>6296880.7200000025</v>
      </c>
      <c r="H12" s="1713">
        <v>6331883.6800000025</v>
      </c>
      <c r="I12" s="1713">
        <v>6276105.5000000028</v>
      </c>
      <c r="J12" s="1713">
        <v>6220327.4300000025</v>
      </c>
      <c r="K12" s="1713">
        <v>6164549.2400000021</v>
      </c>
      <c r="L12" s="1713">
        <v>6108771.1700000018</v>
      </c>
      <c r="M12" s="1713">
        <v>6052992.9800000014</v>
      </c>
      <c r="N12" s="1713">
        <v>5997214.9100000011</v>
      </c>
      <c r="O12" s="1713">
        <v>5941436.7200000007</v>
      </c>
      <c r="P12" s="1713">
        <v>5885658.6500000004</v>
      </c>
      <c r="Q12" s="1713">
        <v>5829880.46</v>
      </c>
      <c r="R12" s="1715">
        <v>5779388.2800000003</v>
      </c>
      <c r="S12" s="881"/>
      <c r="T12" s="881"/>
      <c r="U12" s="881"/>
    </row>
    <row r="13" spans="1:22" s="435" customFormat="1" ht="14.25" customHeight="1">
      <c r="A13" s="690">
        <v>94</v>
      </c>
      <c r="B13" s="695" t="s">
        <v>859</v>
      </c>
      <c r="C13" s="752">
        <f t="shared" si="0"/>
        <v>63586.87230769224</v>
      </c>
      <c r="D13" s="1711" t="s">
        <v>728</v>
      </c>
      <c r="E13" s="881" t="s">
        <v>975</v>
      </c>
      <c r="F13" s="1730">
        <v>69099.819999999949</v>
      </c>
      <c r="G13" s="1713">
        <v>68180.999999999942</v>
      </c>
      <c r="H13" s="1713">
        <v>67262.16999999994</v>
      </c>
      <c r="I13" s="1713">
        <v>66343.349999999933</v>
      </c>
      <c r="J13" s="1713">
        <v>65424.519999999931</v>
      </c>
      <c r="K13" s="1713">
        <v>64505.699999999932</v>
      </c>
      <c r="L13" s="1713">
        <v>63586.86999999993</v>
      </c>
      <c r="M13" s="1713">
        <v>62668.04999999993</v>
      </c>
      <c r="N13" s="1713">
        <v>61749.219999999928</v>
      </c>
      <c r="O13" s="1713">
        <v>60830.399999999929</v>
      </c>
      <c r="P13" s="1713">
        <v>59911.569999999927</v>
      </c>
      <c r="Q13" s="1713">
        <v>58992.749999999927</v>
      </c>
      <c r="R13" s="1715">
        <v>58073.919999999925</v>
      </c>
      <c r="S13" s="881"/>
      <c r="T13" s="881"/>
      <c r="U13" s="881"/>
    </row>
    <row r="14" spans="1:22" s="435" customFormat="1" ht="14.25" customHeight="1">
      <c r="A14" s="690">
        <v>95</v>
      </c>
      <c r="B14" s="695" t="s">
        <v>859</v>
      </c>
      <c r="C14" s="752">
        <f t="shared" si="0"/>
        <v>0</v>
      </c>
      <c r="D14" s="1718" t="s">
        <v>730</v>
      </c>
      <c r="E14" s="881" t="s">
        <v>976</v>
      </c>
      <c r="F14" s="1730">
        <v>0</v>
      </c>
      <c r="G14" s="1713">
        <v>0</v>
      </c>
      <c r="H14" s="1713">
        <v>0</v>
      </c>
      <c r="I14" s="1713">
        <v>0</v>
      </c>
      <c r="J14" s="1713">
        <v>0</v>
      </c>
      <c r="K14" s="1713">
        <v>0</v>
      </c>
      <c r="L14" s="1713">
        <v>0</v>
      </c>
      <c r="M14" s="1713">
        <v>0</v>
      </c>
      <c r="N14" s="1713">
        <v>0</v>
      </c>
      <c r="O14" s="1713">
        <v>0</v>
      </c>
      <c r="P14" s="1713">
        <v>0</v>
      </c>
      <c r="Q14" s="1713">
        <v>0</v>
      </c>
      <c r="R14" s="1715">
        <v>0</v>
      </c>
      <c r="S14" s="881"/>
      <c r="T14" s="1719"/>
    </row>
    <row r="15" spans="1:22" ht="25.5">
      <c r="A15" s="690">
        <v>97</v>
      </c>
      <c r="B15" s="695" t="s">
        <v>860</v>
      </c>
      <c r="C15" s="752">
        <f t="shared" ref="C15:C20" si="1">SUM(G15:R15)</f>
        <v>359474830.06</v>
      </c>
      <c r="D15" s="1720" t="s">
        <v>1001</v>
      </c>
      <c r="E15" s="1721" t="s">
        <v>971</v>
      </c>
      <c r="F15" s="1730">
        <v>29906105.100000005</v>
      </c>
      <c r="G15" s="1713">
        <v>29859872.020000007</v>
      </c>
      <c r="H15" s="1713">
        <v>29849725.120000001</v>
      </c>
      <c r="I15" s="1713">
        <v>29883836.919999998</v>
      </c>
      <c r="J15" s="1713">
        <v>29947623.650000006</v>
      </c>
      <c r="K15" s="1713">
        <v>29952516.969999995</v>
      </c>
      <c r="L15" s="1713">
        <v>29951586.889999993</v>
      </c>
      <c r="M15" s="1713">
        <v>29957907.370000005</v>
      </c>
      <c r="N15" s="1713">
        <v>29981043.189999998</v>
      </c>
      <c r="O15" s="1713">
        <v>30047912.07</v>
      </c>
      <c r="P15" s="1713">
        <v>30052544.240000002</v>
      </c>
      <c r="Q15" s="1713">
        <v>29981307.309999995</v>
      </c>
      <c r="R15" s="1715">
        <v>30008954.309999999</v>
      </c>
      <c r="S15" s="881"/>
      <c r="U15" s="881"/>
      <c r="V15" s="881"/>
    </row>
    <row r="16" spans="1:22" ht="14.25" customHeight="1">
      <c r="A16" s="690">
        <v>98</v>
      </c>
      <c r="B16" s="695" t="s">
        <v>860</v>
      </c>
      <c r="C16" s="752">
        <f t="shared" si="1"/>
        <v>0</v>
      </c>
      <c r="D16" s="1711" t="s">
        <v>983</v>
      </c>
      <c r="E16" s="1712" t="s">
        <v>965</v>
      </c>
      <c r="F16" s="1730">
        <v>0</v>
      </c>
      <c r="G16" s="1713">
        <v>0</v>
      </c>
      <c r="H16" s="1713">
        <v>0</v>
      </c>
      <c r="I16" s="1713">
        <v>0</v>
      </c>
      <c r="J16" s="1713">
        <v>0</v>
      </c>
      <c r="K16" s="1713">
        <v>0</v>
      </c>
      <c r="L16" s="1713">
        <v>0</v>
      </c>
      <c r="M16" s="1713">
        <v>0</v>
      </c>
      <c r="N16" s="1713">
        <v>0</v>
      </c>
      <c r="O16" s="1713">
        <v>0</v>
      </c>
      <c r="P16" s="1713">
        <v>0</v>
      </c>
      <c r="Q16" s="1713">
        <v>0</v>
      </c>
      <c r="R16" s="1717">
        <v>0</v>
      </c>
      <c r="S16" s="881"/>
      <c r="T16" s="881"/>
      <c r="U16" s="881"/>
      <c r="V16" s="881"/>
    </row>
    <row r="17" spans="1:22" ht="14.25" customHeight="1">
      <c r="A17" s="690">
        <v>99</v>
      </c>
      <c r="B17" s="695" t="s">
        <v>860</v>
      </c>
      <c r="C17" s="752">
        <f t="shared" si="1"/>
        <v>4142214.6300000004</v>
      </c>
      <c r="D17" s="1716" t="s">
        <v>891</v>
      </c>
      <c r="E17" s="1712" t="s">
        <v>982</v>
      </c>
      <c r="F17" s="1730">
        <v>348291.06</v>
      </c>
      <c r="G17" s="1713">
        <v>345695.47</v>
      </c>
      <c r="H17" s="1713">
        <v>345695.32</v>
      </c>
      <c r="I17" s="1713">
        <v>345118</v>
      </c>
      <c r="J17" s="1713">
        <v>345117.88</v>
      </c>
      <c r="K17" s="1713">
        <v>345118.01</v>
      </c>
      <c r="L17" s="1713">
        <v>345117.89</v>
      </c>
      <c r="M17" s="1713">
        <v>345118</v>
      </c>
      <c r="N17" s="1713">
        <v>345117.89</v>
      </c>
      <c r="O17" s="1713">
        <v>345117.98</v>
      </c>
      <c r="P17" s="1713">
        <v>345117.91000000003</v>
      </c>
      <c r="Q17" s="1713">
        <v>345117.97</v>
      </c>
      <c r="R17" s="1717">
        <v>344762.31</v>
      </c>
      <c r="S17" s="881"/>
      <c r="T17" s="1722"/>
      <c r="U17" s="881"/>
      <c r="V17" s="881"/>
    </row>
    <row r="18" spans="1:22" ht="14.25" customHeight="1">
      <c r="A18" s="690">
        <v>100</v>
      </c>
      <c r="B18" s="695" t="s">
        <v>860</v>
      </c>
      <c r="C18" s="752">
        <f t="shared" si="1"/>
        <v>667664.6100000001</v>
      </c>
      <c r="D18" s="1716" t="s">
        <v>892</v>
      </c>
      <c r="E18" s="1712" t="s">
        <v>981</v>
      </c>
      <c r="F18" s="1730">
        <v>63558.31</v>
      </c>
      <c r="G18" s="1713">
        <v>54913.600000000006</v>
      </c>
      <c r="H18" s="1713">
        <v>54913.490000000005</v>
      </c>
      <c r="I18" s="1713">
        <v>55778.179999999993</v>
      </c>
      <c r="J18" s="1713">
        <v>55778.069999999992</v>
      </c>
      <c r="K18" s="1713">
        <v>55778.19</v>
      </c>
      <c r="L18" s="1713">
        <v>55778.069999999992</v>
      </c>
      <c r="M18" s="1713">
        <v>55778.19</v>
      </c>
      <c r="N18" s="1713">
        <v>55778.069999999992</v>
      </c>
      <c r="O18" s="1713">
        <v>55778.19</v>
      </c>
      <c r="P18" s="1713">
        <v>55778.069999999992</v>
      </c>
      <c r="Q18" s="1713">
        <v>55778.19</v>
      </c>
      <c r="R18" s="1717">
        <v>55834.3</v>
      </c>
      <c r="S18" s="881"/>
      <c r="T18" s="1722"/>
      <c r="U18" s="881"/>
      <c r="V18" s="881"/>
    </row>
    <row r="19" spans="1:22" ht="14.25" customHeight="1">
      <c r="A19" s="690">
        <v>101</v>
      </c>
      <c r="B19" s="695" t="s">
        <v>860</v>
      </c>
      <c r="C19" s="752">
        <f t="shared" si="1"/>
        <v>11025.9</v>
      </c>
      <c r="D19" s="1716" t="s">
        <v>893</v>
      </c>
      <c r="E19" s="1712" t="s">
        <v>980</v>
      </c>
      <c r="F19" s="1730">
        <v>918.83</v>
      </c>
      <c r="G19" s="1713">
        <v>918.82</v>
      </c>
      <c r="H19" s="1713">
        <v>918.83</v>
      </c>
      <c r="I19" s="1713">
        <v>918.82</v>
      </c>
      <c r="J19" s="1713">
        <v>918.83</v>
      </c>
      <c r="K19" s="1713">
        <v>918.82</v>
      </c>
      <c r="L19" s="1713">
        <v>918.83</v>
      </c>
      <c r="M19" s="1713">
        <v>918.82</v>
      </c>
      <c r="N19" s="1713">
        <v>918.83</v>
      </c>
      <c r="O19" s="1713">
        <v>918.82</v>
      </c>
      <c r="P19" s="1713">
        <v>918.83</v>
      </c>
      <c r="Q19" s="1713">
        <v>918.82</v>
      </c>
      <c r="R19" s="1717">
        <v>918.83</v>
      </c>
      <c r="S19" s="881"/>
      <c r="T19" s="1722"/>
      <c r="U19" s="881"/>
      <c r="V19" s="881"/>
    </row>
    <row r="20" spans="1:22" ht="14.25" customHeight="1">
      <c r="A20" s="690">
        <v>102</v>
      </c>
      <c r="B20" s="695" t="s">
        <v>860</v>
      </c>
      <c r="C20" s="752">
        <f t="shared" si="1"/>
        <v>0</v>
      </c>
      <c r="D20" s="1716" t="s">
        <v>894</v>
      </c>
      <c r="E20" s="1712" t="s">
        <v>979</v>
      </c>
      <c r="F20" s="1730">
        <v>0</v>
      </c>
      <c r="G20" s="1713">
        <v>0</v>
      </c>
      <c r="H20" s="1713">
        <v>0</v>
      </c>
      <c r="I20" s="1713">
        <v>0</v>
      </c>
      <c r="J20" s="1713">
        <v>0</v>
      </c>
      <c r="K20" s="1713">
        <v>0</v>
      </c>
      <c r="L20" s="1713">
        <v>0</v>
      </c>
      <c r="M20" s="1713">
        <v>0</v>
      </c>
      <c r="N20" s="1713">
        <v>0</v>
      </c>
      <c r="O20" s="1713">
        <v>0</v>
      </c>
      <c r="P20" s="1713">
        <v>0</v>
      </c>
      <c r="Q20" s="1713">
        <v>0</v>
      </c>
      <c r="R20" s="1717">
        <v>0</v>
      </c>
      <c r="S20" s="881"/>
      <c r="T20" s="881"/>
      <c r="U20" s="881"/>
      <c r="V20" s="881"/>
    </row>
    <row r="21" spans="1:22" ht="14.25" customHeight="1">
      <c r="A21" s="690">
        <v>104</v>
      </c>
      <c r="B21" s="695" t="s">
        <v>859</v>
      </c>
      <c r="C21" s="752">
        <f t="shared" ref="C21:C26" si="2">AVERAGE(F21:R21)</f>
        <v>2397600</v>
      </c>
      <c r="D21" s="1718" t="s">
        <v>720</v>
      </c>
      <c r="E21" s="1712" t="s">
        <v>712</v>
      </c>
      <c r="F21" s="1730">
        <v>2397600</v>
      </c>
      <c r="G21" s="1713">
        <v>2397600</v>
      </c>
      <c r="H21" s="1713">
        <v>2397600</v>
      </c>
      <c r="I21" s="1713">
        <v>2397600</v>
      </c>
      <c r="J21" s="1713">
        <v>2397600</v>
      </c>
      <c r="K21" s="1713">
        <v>2397600</v>
      </c>
      <c r="L21" s="1713">
        <v>2397600</v>
      </c>
      <c r="M21" s="1713">
        <v>2397600</v>
      </c>
      <c r="N21" s="1713">
        <v>2397600</v>
      </c>
      <c r="O21" s="1713">
        <v>2397600</v>
      </c>
      <c r="P21" s="1713">
        <v>2397600</v>
      </c>
      <c r="Q21" s="1713">
        <v>2397600</v>
      </c>
      <c r="R21" s="1715">
        <v>2397600</v>
      </c>
      <c r="S21" s="881"/>
      <c r="T21" s="881"/>
      <c r="U21" s="881"/>
      <c r="V21" s="881"/>
    </row>
    <row r="22" spans="1:22" ht="14.25" customHeight="1">
      <c r="A22" s="690">
        <v>105</v>
      </c>
      <c r="B22" s="695" t="s">
        <v>859</v>
      </c>
      <c r="C22" s="752">
        <f t="shared" si="2"/>
        <v>0</v>
      </c>
      <c r="D22" s="1711" t="s">
        <v>886</v>
      </c>
      <c r="E22" s="1712" t="s">
        <v>713</v>
      </c>
      <c r="F22" s="1730">
        <v>0</v>
      </c>
      <c r="G22" s="1713">
        <v>0</v>
      </c>
      <c r="H22" s="1713">
        <v>0</v>
      </c>
      <c r="I22" s="1713">
        <v>0</v>
      </c>
      <c r="J22" s="1713">
        <v>0</v>
      </c>
      <c r="K22" s="1713">
        <v>0</v>
      </c>
      <c r="L22" s="1713">
        <v>0</v>
      </c>
      <c r="M22" s="1713">
        <v>0</v>
      </c>
      <c r="N22" s="1713">
        <v>0</v>
      </c>
      <c r="O22" s="1713">
        <v>0</v>
      </c>
      <c r="P22" s="1713">
        <v>0</v>
      </c>
      <c r="Q22" s="1713">
        <v>0</v>
      </c>
      <c r="R22" s="1715">
        <v>0</v>
      </c>
      <c r="S22" s="881"/>
      <c r="T22" s="881"/>
      <c r="U22" s="881"/>
      <c r="V22" s="881"/>
    </row>
    <row r="23" spans="1:22" ht="14.25" customHeight="1">
      <c r="A23" s="690">
        <v>106</v>
      </c>
      <c r="B23" s="695" t="s">
        <v>859</v>
      </c>
      <c r="C23" s="752">
        <f t="shared" si="2"/>
        <v>0</v>
      </c>
      <c r="D23" s="1711" t="s">
        <v>721</v>
      </c>
      <c r="E23" s="1712" t="s">
        <v>714</v>
      </c>
      <c r="F23" s="1730">
        <v>0</v>
      </c>
      <c r="G23" s="1713">
        <v>0</v>
      </c>
      <c r="H23" s="1713">
        <v>0</v>
      </c>
      <c r="I23" s="1713">
        <v>0</v>
      </c>
      <c r="J23" s="1713">
        <v>0</v>
      </c>
      <c r="K23" s="1713">
        <v>0</v>
      </c>
      <c r="L23" s="1713">
        <v>0</v>
      </c>
      <c r="M23" s="1713">
        <v>0</v>
      </c>
      <c r="N23" s="1713">
        <v>0</v>
      </c>
      <c r="O23" s="1713">
        <v>0</v>
      </c>
      <c r="P23" s="1713">
        <v>0</v>
      </c>
      <c r="Q23" s="1713">
        <v>0</v>
      </c>
      <c r="R23" s="1715">
        <v>0</v>
      </c>
      <c r="S23" s="881"/>
      <c r="T23" s="881"/>
      <c r="U23" s="881"/>
      <c r="V23" s="881"/>
    </row>
    <row r="24" spans="1:22" ht="14.25" customHeight="1">
      <c r="A24" s="690">
        <v>107</v>
      </c>
      <c r="B24" s="695" t="s">
        <v>859</v>
      </c>
      <c r="C24" s="752">
        <f t="shared" si="2"/>
        <v>0</v>
      </c>
      <c r="D24" s="1718" t="s">
        <v>887</v>
      </c>
      <c r="E24" s="1712" t="s">
        <v>977</v>
      </c>
      <c r="F24" s="1730">
        <v>0</v>
      </c>
      <c r="G24" s="1713">
        <v>0</v>
      </c>
      <c r="H24" s="1713">
        <v>0</v>
      </c>
      <c r="I24" s="1713">
        <v>0</v>
      </c>
      <c r="J24" s="1713">
        <v>0</v>
      </c>
      <c r="K24" s="1713">
        <v>0</v>
      </c>
      <c r="L24" s="1713">
        <v>0</v>
      </c>
      <c r="M24" s="1713">
        <v>0</v>
      </c>
      <c r="N24" s="1713">
        <v>0</v>
      </c>
      <c r="O24" s="1713">
        <v>0</v>
      </c>
      <c r="P24" s="1713">
        <v>0</v>
      </c>
      <c r="Q24" s="1713">
        <v>0</v>
      </c>
      <c r="R24" s="1715">
        <v>0</v>
      </c>
      <c r="S24" s="881"/>
      <c r="T24" s="881"/>
      <c r="U24" s="881"/>
      <c r="V24" s="881"/>
    </row>
    <row r="25" spans="1:22" ht="14.25" customHeight="1">
      <c r="A25" s="690">
        <v>108</v>
      </c>
      <c r="B25" s="695" t="s">
        <v>859</v>
      </c>
      <c r="C25" s="752">
        <f t="shared" si="2"/>
        <v>0</v>
      </c>
      <c r="D25" s="1711" t="s">
        <v>888</v>
      </c>
      <c r="E25" s="1712" t="s">
        <v>978</v>
      </c>
      <c r="F25" s="1730">
        <v>0</v>
      </c>
      <c r="G25" s="1713">
        <v>0</v>
      </c>
      <c r="H25" s="1713">
        <v>0</v>
      </c>
      <c r="I25" s="1713">
        <v>0</v>
      </c>
      <c r="J25" s="1713">
        <v>0</v>
      </c>
      <c r="K25" s="1713">
        <v>0</v>
      </c>
      <c r="L25" s="1713">
        <v>0</v>
      </c>
      <c r="M25" s="1713">
        <v>0</v>
      </c>
      <c r="N25" s="1713">
        <v>0</v>
      </c>
      <c r="O25" s="1713">
        <v>0</v>
      </c>
      <c r="P25" s="1713">
        <v>0</v>
      </c>
      <c r="Q25" s="1713">
        <v>0</v>
      </c>
      <c r="R25" s="1715">
        <v>0</v>
      </c>
      <c r="S25" s="881"/>
      <c r="T25" s="881"/>
      <c r="U25" s="881"/>
      <c r="V25" s="881"/>
    </row>
    <row r="26" spans="1:22" ht="14.25" customHeight="1">
      <c r="A26" s="690">
        <v>109</v>
      </c>
      <c r="B26" s="695" t="s">
        <v>859</v>
      </c>
      <c r="C26" s="752">
        <f t="shared" si="2"/>
        <v>0</v>
      </c>
      <c r="D26" s="1718" t="s">
        <v>889</v>
      </c>
      <c r="E26" s="1712" t="s">
        <v>715</v>
      </c>
      <c r="F26" s="1730">
        <v>0</v>
      </c>
      <c r="G26" s="1713">
        <v>0</v>
      </c>
      <c r="H26" s="1713">
        <v>0</v>
      </c>
      <c r="I26" s="1713">
        <v>0</v>
      </c>
      <c r="J26" s="1713">
        <v>0</v>
      </c>
      <c r="K26" s="1713">
        <v>0</v>
      </c>
      <c r="L26" s="1713">
        <v>0</v>
      </c>
      <c r="M26" s="1713">
        <v>0</v>
      </c>
      <c r="N26" s="1713">
        <v>0</v>
      </c>
      <c r="O26" s="1713">
        <v>0</v>
      </c>
      <c r="P26" s="1713">
        <v>0</v>
      </c>
      <c r="Q26" s="1713">
        <v>0</v>
      </c>
      <c r="R26" s="1715">
        <v>0</v>
      </c>
      <c r="S26" s="881"/>
      <c r="T26" s="881"/>
      <c r="U26" s="881"/>
      <c r="V26" s="881"/>
    </row>
    <row r="27" spans="1:22" ht="25.5">
      <c r="A27" s="690">
        <v>111</v>
      </c>
      <c r="B27" s="696" t="s">
        <v>861</v>
      </c>
      <c r="C27" s="752">
        <f>ABS(SUM(G27:R27))</f>
        <v>161901.96</v>
      </c>
      <c r="D27" s="1711" t="s">
        <v>717</v>
      </c>
      <c r="E27" s="1721" t="s">
        <v>718</v>
      </c>
      <c r="F27" s="1730">
        <v>40475.49</v>
      </c>
      <c r="G27" s="1723">
        <v>0</v>
      </c>
      <c r="H27" s="1723">
        <v>0</v>
      </c>
      <c r="I27" s="1723">
        <v>40475.49</v>
      </c>
      <c r="J27" s="1723">
        <v>0</v>
      </c>
      <c r="K27" s="1723">
        <v>0</v>
      </c>
      <c r="L27" s="1723">
        <v>40475.49</v>
      </c>
      <c r="M27" s="1723">
        <v>0</v>
      </c>
      <c r="N27" s="1723">
        <v>0</v>
      </c>
      <c r="O27" s="1713">
        <v>40475.49</v>
      </c>
      <c r="P27" s="1713">
        <v>0</v>
      </c>
      <c r="Q27" s="1723">
        <v>0</v>
      </c>
      <c r="R27" s="1715">
        <v>40475.49</v>
      </c>
      <c r="S27" s="881"/>
      <c r="T27" s="881"/>
      <c r="U27" s="881"/>
      <c r="V27" s="881"/>
    </row>
    <row r="28" spans="1:22">
      <c r="A28" s="690">
        <v>112</v>
      </c>
      <c r="B28" s="695" t="s">
        <v>859</v>
      </c>
      <c r="C28" s="752">
        <f>AVERAGE(F28:R28)</f>
        <v>7531558737.1307697</v>
      </c>
      <c r="D28" s="1718" t="s">
        <v>1720</v>
      </c>
      <c r="E28" s="1712" t="s">
        <v>867</v>
      </c>
      <c r="F28" s="1730">
        <v>7502489725.6800003</v>
      </c>
      <c r="G28" s="1723">
        <v>7573911075.9200001</v>
      </c>
      <c r="H28" s="1723">
        <v>7525106478.1999998</v>
      </c>
      <c r="I28" s="1723">
        <v>7567311084.9099998</v>
      </c>
      <c r="J28" s="1723">
        <v>7603189237.5900002</v>
      </c>
      <c r="K28" s="1723">
        <v>7507371698.7600002</v>
      </c>
      <c r="L28" s="1723">
        <v>7593956355.3599997</v>
      </c>
      <c r="M28" s="1723">
        <v>7696934771.6300001</v>
      </c>
      <c r="N28" s="1713">
        <v>7499438818.04</v>
      </c>
      <c r="O28" s="1713">
        <v>7547121383.0699997</v>
      </c>
      <c r="P28" s="1713">
        <v>7596038871.7399998</v>
      </c>
      <c r="Q28" s="1713">
        <v>7308135421.6400003</v>
      </c>
      <c r="R28" s="1715">
        <v>7389258660.1599998</v>
      </c>
      <c r="S28" s="881"/>
      <c r="T28" s="881"/>
      <c r="U28" s="881"/>
      <c r="V28" s="881"/>
    </row>
    <row r="29" spans="1:22">
      <c r="A29" s="690">
        <v>114</v>
      </c>
      <c r="B29" s="695" t="s">
        <v>859</v>
      </c>
      <c r="C29" s="752">
        <f>AVERAGE(F29:R29)</f>
        <v>139867117.10153845</v>
      </c>
      <c r="D29" s="1711" t="s">
        <v>833</v>
      </c>
      <c r="E29" s="1712" t="s">
        <v>865</v>
      </c>
      <c r="F29" s="1730">
        <v>155605537.79999998</v>
      </c>
      <c r="G29" s="1723">
        <v>157595233.08999997</v>
      </c>
      <c r="H29" s="1723">
        <v>158702459.00999996</v>
      </c>
      <c r="I29" s="1723">
        <v>131808733.96999997</v>
      </c>
      <c r="J29" s="1723">
        <v>130382085.27999997</v>
      </c>
      <c r="K29" s="1723">
        <v>128716007.73999996</v>
      </c>
      <c r="L29" s="1723">
        <v>132447030.11999996</v>
      </c>
      <c r="M29" s="1723">
        <v>142623721.49999997</v>
      </c>
      <c r="N29" s="1713">
        <v>149919327.37999997</v>
      </c>
      <c r="O29" s="1713">
        <v>151464627.42999998</v>
      </c>
      <c r="P29" s="1713">
        <v>146748220.86999997</v>
      </c>
      <c r="Q29" s="1713">
        <v>115313095.98999998</v>
      </c>
      <c r="R29" s="1715">
        <v>116946442.13999999</v>
      </c>
      <c r="S29" s="881"/>
      <c r="T29" s="881"/>
      <c r="U29" s="881"/>
      <c r="V29" s="881"/>
    </row>
    <row r="30" spans="1:22" ht="25.5">
      <c r="A30" s="690">
        <v>115</v>
      </c>
      <c r="B30" s="696" t="s">
        <v>868</v>
      </c>
      <c r="C30" s="752">
        <f>AVERAGE(F30:R30)</f>
        <v>-11852626.353076924</v>
      </c>
      <c r="D30" s="1718" t="s">
        <v>723</v>
      </c>
      <c r="E30" s="1721" t="s">
        <v>866</v>
      </c>
      <c r="F30" s="1730">
        <v>-12014637.850000003</v>
      </c>
      <c r="G30" s="1713">
        <v>-11973945.280000003</v>
      </c>
      <c r="H30" s="1713">
        <v>-11933252.710000003</v>
      </c>
      <c r="I30" s="1713">
        <v>-11892560.150000002</v>
      </c>
      <c r="J30" s="1713">
        <v>-11851867.570000002</v>
      </c>
      <c r="K30" s="1713">
        <v>-11811175.010000002</v>
      </c>
      <c r="L30" s="1713">
        <v>-11770482.450000001</v>
      </c>
      <c r="M30" s="1713">
        <v>-11729789.880000001</v>
      </c>
      <c r="N30" s="1713">
        <v>-11689097.310000001</v>
      </c>
      <c r="O30" s="1713">
        <v>-11648404.75</v>
      </c>
      <c r="P30" s="1713">
        <v>-11607712.18</v>
      </c>
      <c r="Q30" s="1713">
        <v>-11567019.609999999</v>
      </c>
      <c r="R30" s="1715">
        <v>-12594197.84</v>
      </c>
      <c r="S30" s="881"/>
      <c r="T30" s="881"/>
      <c r="U30" s="881"/>
      <c r="V30" s="881"/>
    </row>
    <row r="31" spans="1:22">
      <c r="A31" s="690" t="s">
        <v>936</v>
      </c>
      <c r="B31" s="937" t="s">
        <v>1002</v>
      </c>
      <c r="C31" s="935" t="s">
        <v>1002</v>
      </c>
      <c r="D31" s="1711" t="s">
        <v>719</v>
      </c>
      <c r="E31" s="963" t="s">
        <v>965</v>
      </c>
      <c r="F31" s="1730">
        <v>3417945896.2399998</v>
      </c>
      <c r="G31" s="1713">
        <v>3417945896</v>
      </c>
      <c r="H31" s="1713">
        <v>3417945896</v>
      </c>
      <c r="I31" s="1713">
        <v>3417945896</v>
      </c>
      <c r="J31" s="1713">
        <v>3417945896</v>
      </c>
      <c r="K31" s="1713">
        <v>3417945896</v>
      </c>
      <c r="L31" s="1713">
        <v>3417945896</v>
      </c>
      <c r="M31" s="1713">
        <v>3417945896</v>
      </c>
      <c r="N31" s="1713">
        <v>3417945896</v>
      </c>
      <c r="O31" s="1713">
        <v>3417945896</v>
      </c>
      <c r="P31" s="1713">
        <v>3417945896</v>
      </c>
      <c r="Q31" s="1713">
        <v>3417945896</v>
      </c>
      <c r="R31" s="709">
        <v>3417945896.2399998</v>
      </c>
      <c r="S31" s="881"/>
      <c r="T31" s="881"/>
      <c r="U31" s="881"/>
      <c r="V31" s="881"/>
    </row>
    <row r="32" spans="1:22" ht="13.5" thickBot="1">
      <c r="A32" s="691" t="s">
        <v>936</v>
      </c>
      <c r="B32" s="934" t="s">
        <v>1002</v>
      </c>
      <c r="C32" s="933" t="s">
        <v>1002</v>
      </c>
      <c r="D32" s="1724" t="s">
        <v>722</v>
      </c>
      <c r="E32" s="932" t="s">
        <v>965</v>
      </c>
      <c r="F32" s="1731">
        <v>1102063956.3800001</v>
      </c>
      <c r="G32" s="1725">
        <v>1102063956</v>
      </c>
      <c r="H32" s="1725">
        <v>1102063956</v>
      </c>
      <c r="I32" s="1725">
        <v>1102063956</v>
      </c>
      <c r="J32" s="1725">
        <v>1102063956</v>
      </c>
      <c r="K32" s="1725">
        <v>1102063956</v>
      </c>
      <c r="L32" s="1725">
        <v>1102063956</v>
      </c>
      <c r="M32" s="1725">
        <v>1102063956</v>
      </c>
      <c r="N32" s="1725">
        <v>1102063956</v>
      </c>
      <c r="O32" s="1725">
        <v>1102063956</v>
      </c>
      <c r="P32" s="1725">
        <v>1102063956</v>
      </c>
      <c r="Q32" s="1725">
        <v>1102063956</v>
      </c>
      <c r="R32" s="922">
        <v>1102063956.3800001</v>
      </c>
      <c r="S32" s="881"/>
      <c r="T32" s="881"/>
      <c r="U32" s="881"/>
      <c r="V32" s="881"/>
    </row>
    <row r="33" spans="4:22" ht="14.25" customHeight="1">
      <c r="N33" s="881"/>
      <c r="O33" s="881"/>
      <c r="P33" s="881"/>
      <c r="Q33" s="881"/>
      <c r="R33" s="881"/>
      <c r="S33" s="881"/>
      <c r="T33" s="881"/>
      <c r="U33" s="881"/>
      <c r="V33" s="881"/>
    </row>
    <row r="34" spans="4:22" ht="14.25" customHeight="1" thickBot="1">
      <c r="N34" s="881"/>
      <c r="O34" s="881"/>
      <c r="P34" s="881"/>
      <c r="Q34" s="881"/>
      <c r="R34" s="881"/>
      <c r="S34" s="881"/>
      <c r="T34" s="881"/>
      <c r="U34" s="881"/>
      <c r="V34" s="881"/>
    </row>
    <row r="35" spans="4:22" ht="13.5" thickBot="1">
      <c r="D35" s="1013" t="s">
        <v>24</v>
      </c>
      <c r="E35" s="1014"/>
      <c r="F35" s="1017" t="s">
        <v>282</v>
      </c>
      <c r="G35" s="1018" t="s">
        <v>1047</v>
      </c>
      <c r="H35" s="1019" t="s">
        <v>104</v>
      </c>
    </row>
    <row r="36" spans="4:22">
      <c r="D36" s="1011" t="s">
        <v>995</v>
      </c>
      <c r="E36" s="1012" t="s">
        <v>1046</v>
      </c>
      <c r="F36" s="1015">
        <v>0</v>
      </c>
      <c r="G36" s="1015">
        <v>0</v>
      </c>
      <c r="H36" s="1016">
        <v>0</v>
      </c>
    </row>
    <row r="37" spans="4:22" ht="13.5" thickBot="1">
      <c r="D37" s="1010" t="s">
        <v>994</v>
      </c>
      <c r="E37" s="1726" t="s">
        <v>1046</v>
      </c>
      <c r="F37" s="1727">
        <v>0</v>
      </c>
      <c r="G37" s="1727">
        <v>0</v>
      </c>
      <c r="H37" s="1728">
        <v>0</v>
      </c>
    </row>
  </sheetData>
  <pageMargins left="0.5" right="0.5" top="1.5" bottom="0.75" header="0.3" footer="0.3"/>
  <pageSetup scale="40" fitToHeight="0" orientation="landscape" r:id="rId1"/>
  <colBreaks count="1" manualBreakCount="1">
    <brk id="18" max="1048575" man="1"/>
  </col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pageSetUpPr fitToPage="1"/>
  </sheetPr>
  <dimension ref="A1:M29"/>
  <sheetViews>
    <sheetView workbookViewId="0"/>
  </sheetViews>
  <sheetFormatPr defaultRowHeight="12.75"/>
  <cols>
    <col min="1" max="1" width="2.5703125" style="436" customWidth="1"/>
    <col min="2" max="2" width="58.7109375" style="436" customWidth="1"/>
    <col min="3" max="3" width="23.28515625" style="436" customWidth="1"/>
    <col min="4" max="4" width="3.28515625" style="436" customWidth="1"/>
    <col min="5" max="5" width="21.42578125" style="436" customWidth="1"/>
    <col min="6" max="16384" width="9.140625" style="436"/>
  </cols>
  <sheetData>
    <row r="1" spans="1:13" s="437" customFormat="1" ht="15.75">
      <c r="B1" s="2731" t="s">
        <v>365</v>
      </c>
      <c r="C1" s="2731"/>
      <c r="D1" s="1528"/>
      <c r="E1" s="1528"/>
      <c r="F1" s="1528"/>
      <c r="G1" s="1528"/>
      <c r="H1" s="1528"/>
      <c r="I1" s="1528"/>
      <c r="J1" s="1528"/>
      <c r="K1" s="1528"/>
      <c r="L1" s="1528"/>
      <c r="M1" s="1528"/>
    </row>
    <row r="2" spans="1:13" s="437" customFormat="1" ht="15.75">
      <c r="B2" s="2731" t="s">
        <v>473</v>
      </c>
      <c r="C2" s="2731"/>
      <c r="D2" s="1528"/>
      <c r="E2" s="1528"/>
      <c r="F2" s="1528"/>
      <c r="G2" s="1528"/>
      <c r="H2" s="1528"/>
      <c r="I2" s="1528"/>
      <c r="J2" s="1528"/>
      <c r="K2" s="1528"/>
      <c r="L2" s="1528"/>
      <c r="M2" s="1528"/>
    </row>
    <row r="3" spans="1:13" s="437" customFormat="1">
      <c r="B3" s="2733"/>
      <c r="C3" s="2733"/>
      <c r="D3" s="1526"/>
      <c r="E3" s="1526"/>
      <c r="F3" s="1526"/>
      <c r="G3" s="1526"/>
      <c r="H3" s="1526"/>
      <c r="I3" s="1526"/>
      <c r="J3" s="1526"/>
      <c r="K3" s="1526"/>
      <c r="L3" s="1526"/>
      <c r="M3" s="1526"/>
    </row>
    <row r="4" spans="1:13" s="1684" customFormat="1" ht="15">
      <c r="A4" s="1683"/>
      <c r="B4" s="1683"/>
      <c r="C4" s="1683"/>
    </row>
    <row r="5" spans="1:13" ht="25.5" customHeight="1">
      <c r="A5" s="437"/>
      <c r="B5" s="2734" t="s">
        <v>1006</v>
      </c>
      <c r="C5" s="2734"/>
    </row>
    <row r="6" spans="1:13">
      <c r="A6" s="437"/>
      <c r="B6" s="1340" t="s">
        <v>2092</v>
      </c>
      <c r="C6" s="437"/>
      <c r="D6" s="1546"/>
    </row>
    <row r="7" spans="1:13">
      <c r="A7" s="437"/>
      <c r="B7" s="1545"/>
      <c r="C7" s="437"/>
    </row>
    <row r="8" spans="1:13">
      <c r="A8" s="437"/>
      <c r="B8" s="437"/>
      <c r="C8" s="437"/>
    </row>
    <row r="9" spans="1:13" s="1541" customFormat="1">
      <c r="A9" s="1544"/>
      <c r="B9" s="1543" t="s">
        <v>922</v>
      </c>
      <c r="C9" s="1542" t="s">
        <v>470</v>
      </c>
    </row>
    <row r="10" spans="1:13">
      <c r="A10" s="437"/>
      <c r="B10" s="1540" t="s">
        <v>2256</v>
      </c>
      <c r="C10" s="1247">
        <v>27811.03</v>
      </c>
    </row>
    <row r="11" spans="1:13">
      <c r="A11" s="437"/>
      <c r="B11" s="1540" t="s">
        <v>2257</v>
      </c>
      <c r="C11" s="1247">
        <v>4912884.5499999961</v>
      </c>
    </row>
    <row r="12" spans="1:13">
      <c r="A12" s="437"/>
      <c r="B12" s="1540" t="s">
        <v>2258</v>
      </c>
      <c r="C12" s="1247">
        <v>1417092.8000000003</v>
      </c>
    </row>
    <row r="13" spans="1:13">
      <c r="A13" s="437"/>
      <c r="B13" s="1540" t="s">
        <v>2259</v>
      </c>
      <c r="C13" s="1247">
        <v>1001504.38</v>
      </c>
    </row>
    <row r="14" spans="1:13">
      <c r="A14" s="437"/>
      <c r="B14" s="1540" t="s">
        <v>2260</v>
      </c>
      <c r="C14" s="1247">
        <v>2340812.4400000004</v>
      </c>
    </row>
    <row r="15" spans="1:13">
      <c r="A15" s="437"/>
      <c r="B15" s="1540" t="s">
        <v>2261</v>
      </c>
      <c r="C15" s="1247">
        <v>68954.48000000001</v>
      </c>
    </row>
    <row r="16" spans="1:13">
      <c r="A16" s="437"/>
      <c r="B16" s="1540" t="s">
        <v>2262</v>
      </c>
      <c r="C16" s="1247">
        <v>260211.49999999997</v>
      </c>
    </row>
    <row r="17" spans="1:5">
      <c r="A17" s="437"/>
      <c r="B17" s="1540" t="s">
        <v>2263</v>
      </c>
      <c r="C17" s="1247">
        <v>1626189.3900000004</v>
      </c>
    </row>
    <row r="18" spans="1:5">
      <c r="A18" s="437"/>
      <c r="B18" s="1540" t="s">
        <v>2264</v>
      </c>
      <c r="C18" s="1247">
        <v>2530493.7999999998</v>
      </c>
    </row>
    <row r="19" spans="1:5">
      <c r="A19" s="437"/>
      <c r="B19" s="1540" t="s">
        <v>2265</v>
      </c>
      <c r="C19" s="1247">
        <v>274162.54999999993</v>
      </c>
    </row>
    <row r="20" spans="1:5">
      <c r="A20" s="437"/>
      <c r="B20" s="1540" t="s">
        <v>2266</v>
      </c>
      <c r="C20" s="1247">
        <v>145768257.52000025</v>
      </c>
    </row>
    <row r="21" spans="1:5">
      <c r="A21" s="437"/>
      <c r="B21" s="1685" t="s">
        <v>923</v>
      </c>
      <c r="C21" s="1686">
        <f>SUM(C10:C20)</f>
        <v>160228374.44000024</v>
      </c>
    </row>
    <row r="22" spans="1:5">
      <c r="A22" s="437"/>
      <c r="B22" s="1539"/>
      <c r="C22" s="679"/>
    </row>
    <row r="23" spans="1:5">
      <c r="A23" s="437"/>
      <c r="B23" s="1685" t="s">
        <v>670</v>
      </c>
      <c r="C23" s="1687">
        <f>SUM( Inputs!E100,Inputs!E101)</f>
        <v>76591567.400000006</v>
      </c>
      <c r="E23" s="2067" t="s">
        <v>2082</v>
      </c>
    </row>
    <row r="25" spans="1:5">
      <c r="A25" s="437"/>
      <c r="B25" s="1685" t="s">
        <v>671</v>
      </c>
      <c r="C25" s="1687">
        <v>8107640.2300000004</v>
      </c>
    </row>
    <row r="26" spans="1:5">
      <c r="A26" s="437"/>
      <c r="B26" s="437"/>
      <c r="C26" s="437"/>
    </row>
    <row r="27" spans="1:5" ht="13.5" thickBot="1">
      <c r="A27" s="437"/>
      <c r="B27" s="1538" t="s">
        <v>1067</v>
      </c>
      <c r="C27" s="1688">
        <f>SUM(C21,C23,C25)</f>
        <v>244927582.07000023</v>
      </c>
      <c r="E27" s="2067" t="s">
        <v>1034</v>
      </c>
    </row>
    <row r="28" spans="1:5" ht="13.5" thickTop="1">
      <c r="A28" s="437"/>
      <c r="B28" s="437"/>
      <c r="C28" s="437"/>
    </row>
    <row r="29" spans="1:5">
      <c r="A29" s="437"/>
      <c r="B29" s="437"/>
      <c r="C29" s="437"/>
    </row>
  </sheetData>
  <mergeCells count="4">
    <mergeCell ref="B1:C1"/>
    <mergeCell ref="B2:C2"/>
    <mergeCell ref="B3:C3"/>
    <mergeCell ref="B5:C5"/>
  </mergeCells>
  <pageMargins left="0.25" right="0.25" top="0.5" bottom="0.5" header="0.25" footer="0.25"/>
  <pageSetup fitToHeight="0"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AI160"/>
  <sheetViews>
    <sheetView zoomScale="70" zoomScaleNormal="70" workbookViewId="0"/>
  </sheetViews>
  <sheetFormatPr defaultColWidth="9.140625" defaultRowHeight="12.75" outlineLevelCol="1"/>
  <cols>
    <col min="1" max="1" width="57.7109375" style="454" customWidth="1"/>
    <col min="2" max="2" width="30.140625" style="453" customWidth="1"/>
    <col min="3" max="3" width="19.7109375" style="453" customWidth="1"/>
    <col min="4" max="4" width="3.85546875" style="452" customWidth="1"/>
    <col min="5" max="6" width="13.7109375" style="452" customWidth="1"/>
    <col min="7" max="7" width="1.5703125" style="452" customWidth="1"/>
    <col min="8" max="9" width="13.7109375" style="452" customWidth="1"/>
    <col min="10" max="10" width="1.5703125" style="452" customWidth="1"/>
    <col min="11" max="11" width="14.7109375" style="451" customWidth="1"/>
    <col min="12" max="22" width="14.7109375" style="455" hidden="1" customWidth="1" outlineLevel="1"/>
    <col min="23" max="23" width="14.7109375" style="450" customWidth="1" collapsed="1"/>
    <col min="24" max="24" width="1.5703125" style="436" customWidth="1"/>
    <col min="25" max="25" width="18.140625" style="436" customWidth="1"/>
    <col min="26" max="26" width="1.7109375" style="436" customWidth="1"/>
    <col min="27" max="27" width="14.7109375" style="436" customWidth="1"/>
    <col min="28" max="28" width="1.7109375" style="436" customWidth="1"/>
    <col min="29" max="33" width="15.7109375" style="436" customWidth="1"/>
    <col min="34" max="16384" width="9.140625" style="436"/>
  </cols>
  <sheetData>
    <row r="1" spans="1:35" ht="15.75">
      <c r="A1" s="2654" t="s">
        <v>365</v>
      </c>
      <c r="B1" s="682"/>
      <c r="C1" s="682"/>
      <c r="D1" s="827"/>
      <c r="E1" s="682"/>
      <c r="F1" s="682"/>
      <c r="G1" s="682"/>
      <c r="H1" s="682"/>
      <c r="I1" s="682"/>
      <c r="J1" s="827"/>
      <c r="K1" s="683"/>
      <c r="L1" s="683"/>
      <c r="M1" s="683"/>
      <c r="N1" s="683"/>
      <c r="O1" s="683"/>
      <c r="P1" s="683"/>
      <c r="Q1" s="683"/>
      <c r="R1" s="683"/>
      <c r="S1" s="683"/>
      <c r="T1" s="683"/>
      <c r="U1" s="683"/>
      <c r="V1" s="683"/>
      <c r="W1" s="684"/>
      <c r="X1" s="682"/>
      <c r="Y1" s="682"/>
      <c r="Z1" s="827"/>
      <c r="AA1" s="682"/>
      <c r="AB1" s="827"/>
      <c r="AC1" s="682"/>
      <c r="AD1" s="682"/>
      <c r="AE1" s="682"/>
      <c r="AF1" s="682"/>
      <c r="AG1" s="682"/>
      <c r="AH1" s="437"/>
    </row>
    <row r="2" spans="1:35" ht="15.75">
      <c r="A2" s="2654" t="s">
        <v>1071</v>
      </c>
      <c r="B2" s="682"/>
      <c r="C2" s="682"/>
      <c r="D2" s="827"/>
      <c r="E2" s="682"/>
      <c r="F2" s="682"/>
      <c r="G2" s="682"/>
      <c r="H2" s="682"/>
      <c r="I2" s="682"/>
      <c r="J2" s="827"/>
      <c r="K2" s="683"/>
      <c r="L2" s="683"/>
      <c r="M2" s="683"/>
      <c r="N2" s="683"/>
      <c r="O2" s="683"/>
      <c r="P2" s="683"/>
      <c r="Q2" s="683"/>
      <c r="R2" s="683"/>
      <c r="S2" s="683"/>
      <c r="T2" s="683"/>
      <c r="U2" s="683"/>
      <c r="V2" s="683"/>
      <c r="W2" s="684"/>
      <c r="X2" s="682"/>
      <c r="Y2" s="682"/>
      <c r="Z2" s="827"/>
      <c r="AA2" s="682"/>
      <c r="AB2" s="827"/>
      <c r="AC2" s="682"/>
      <c r="AD2" s="682"/>
      <c r="AE2" s="682"/>
      <c r="AF2" s="682"/>
      <c r="AG2" s="682"/>
      <c r="AH2" s="437"/>
    </row>
    <row r="3" spans="1:35">
      <c r="A3" s="604"/>
      <c r="B3" s="437"/>
      <c r="C3" s="437"/>
      <c r="D3" s="828"/>
      <c r="E3" s="601"/>
      <c r="F3" s="601"/>
      <c r="G3" s="601"/>
      <c r="H3" s="601"/>
      <c r="I3" s="601"/>
      <c r="J3" s="828"/>
      <c r="K3" s="602"/>
      <c r="L3" s="602"/>
      <c r="M3" s="602"/>
      <c r="N3" s="602"/>
      <c r="O3" s="602"/>
      <c r="P3" s="602"/>
      <c r="Q3" s="602"/>
      <c r="R3" s="602"/>
      <c r="S3" s="602"/>
      <c r="T3" s="602"/>
      <c r="U3" s="602"/>
      <c r="V3" s="602"/>
      <c r="W3" s="603"/>
      <c r="X3" s="437"/>
      <c r="Y3" s="437"/>
      <c r="Z3" s="832"/>
      <c r="AA3" s="437"/>
      <c r="AB3" s="832"/>
      <c r="AC3" s="437"/>
      <c r="AD3" s="437"/>
      <c r="AE3" s="437"/>
      <c r="AF3" s="437"/>
      <c r="AG3" s="437"/>
      <c r="AH3" s="437"/>
    </row>
    <row r="4" spans="1:35" ht="25.5">
      <c r="A4" s="825" t="s">
        <v>916</v>
      </c>
      <c r="B4" s="606"/>
      <c r="C4" s="606"/>
      <c r="D4" s="833"/>
      <c r="E4" s="607"/>
      <c r="F4" s="607"/>
      <c r="G4" s="607"/>
      <c r="H4" s="607"/>
      <c r="I4" s="607"/>
      <c r="J4" s="829"/>
      <c r="K4" s="602"/>
      <c r="L4" s="602"/>
      <c r="M4" s="602"/>
      <c r="N4" s="602"/>
      <c r="O4" s="602"/>
      <c r="P4" s="602"/>
      <c r="Q4" s="602"/>
      <c r="R4" s="602"/>
      <c r="S4" s="602"/>
      <c r="T4" s="602"/>
      <c r="U4" s="602"/>
      <c r="V4" s="602"/>
      <c r="W4" s="608"/>
      <c r="X4" s="437"/>
      <c r="Y4" s="437"/>
      <c r="Z4" s="832"/>
      <c r="AA4" s="437"/>
      <c r="AB4" s="832"/>
      <c r="AC4" s="437"/>
      <c r="AE4" s="437"/>
      <c r="AF4" s="437"/>
      <c r="AG4" s="437"/>
      <c r="AH4" s="437"/>
    </row>
    <row r="5" spans="1:35">
      <c r="A5" s="604" t="s">
        <v>954</v>
      </c>
      <c r="B5" s="606"/>
      <c r="C5" s="606"/>
      <c r="D5" s="833"/>
      <c r="E5" s="607"/>
      <c r="F5" s="607"/>
      <c r="G5" s="607"/>
      <c r="H5" s="607"/>
      <c r="I5" s="607"/>
      <c r="J5" s="829"/>
      <c r="K5" s="602"/>
      <c r="L5" s="602"/>
      <c r="M5" s="602"/>
      <c r="N5" s="602"/>
      <c r="O5" s="602"/>
      <c r="P5" s="602"/>
      <c r="Q5" s="602"/>
      <c r="R5" s="602"/>
      <c r="S5" s="602"/>
      <c r="T5" s="602"/>
      <c r="U5" s="602"/>
      <c r="V5" s="602"/>
      <c r="W5" s="608"/>
      <c r="X5" s="437"/>
      <c r="Y5" s="437"/>
      <c r="Z5" s="832"/>
      <c r="AA5" s="437"/>
      <c r="AB5" s="832"/>
      <c r="AC5" s="437"/>
      <c r="AD5" s="437"/>
      <c r="AE5" s="437"/>
      <c r="AF5" s="437"/>
      <c r="AG5" s="437"/>
      <c r="AH5" s="437"/>
    </row>
    <row r="6" spans="1:35">
      <c r="A6" s="611"/>
      <c r="B6" s="609"/>
      <c r="C6" s="610"/>
      <c r="D6" s="830"/>
      <c r="E6" s="622" t="s">
        <v>823</v>
      </c>
      <c r="F6" s="622"/>
      <c r="G6" s="610"/>
      <c r="H6" s="2735" t="s">
        <v>822</v>
      </c>
      <c r="I6" s="2735"/>
      <c r="J6" s="830"/>
      <c r="K6" s="1020" t="s">
        <v>1405</v>
      </c>
      <c r="L6" s="1020" t="s">
        <v>1404</v>
      </c>
      <c r="M6" s="1020"/>
      <c r="N6" s="1020"/>
      <c r="O6" s="1020"/>
      <c r="P6" s="1020"/>
      <c r="Q6" s="1020"/>
      <c r="R6" s="1020"/>
      <c r="S6" s="1020"/>
      <c r="T6" s="1020"/>
      <c r="U6" s="1020"/>
      <c r="V6" s="1020"/>
      <c r="W6" s="1020" t="s">
        <v>633</v>
      </c>
      <c r="X6" s="832"/>
      <c r="Y6" s="1023" t="str">
        <f>Toggle</f>
        <v>True-up</v>
      </c>
      <c r="Z6" s="832"/>
      <c r="AA6" s="437"/>
      <c r="AB6" s="832"/>
      <c r="AC6" s="622" t="s">
        <v>970</v>
      </c>
      <c r="AD6" s="685"/>
      <c r="AE6" s="685"/>
      <c r="AF6" s="685"/>
      <c r="AG6" s="437"/>
      <c r="AH6" s="437"/>
    </row>
    <row r="7" spans="1:35" ht="51" customHeight="1">
      <c r="A7" s="681" t="s">
        <v>24</v>
      </c>
      <c r="B7" s="612" t="s">
        <v>821</v>
      </c>
      <c r="C7" s="613" t="s">
        <v>919</v>
      </c>
      <c r="D7" s="614"/>
      <c r="E7" s="621" t="s">
        <v>918</v>
      </c>
      <c r="F7" s="621" t="s">
        <v>366</v>
      </c>
      <c r="G7" s="614"/>
      <c r="H7" s="621" t="s">
        <v>918</v>
      </c>
      <c r="I7" s="621" t="s">
        <v>366</v>
      </c>
      <c r="J7" s="614"/>
      <c r="K7" s="1021" t="s">
        <v>1048</v>
      </c>
      <c r="L7" s="1021" t="s">
        <v>1049</v>
      </c>
      <c r="M7" s="1021" t="s">
        <v>1050</v>
      </c>
      <c r="N7" s="1021" t="s">
        <v>1051</v>
      </c>
      <c r="O7" s="1021" t="s">
        <v>1052</v>
      </c>
      <c r="P7" s="1021" t="s">
        <v>1053</v>
      </c>
      <c r="Q7" s="1021" t="s">
        <v>1054</v>
      </c>
      <c r="R7" s="1021" t="s">
        <v>1055</v>
      </c>
      <c r="S7" s="1021" t="s">
        <v>1056</v>
      </c>
      <c r="T7" s="1021" t="s">
        <v>1057</v>
      </c>
      <c r="U7" s="1021" t="s">
        <v>1058</v>
      </c>
      <c r="V7" s="1021" t="s">
        <v>1059</v>
      </c>
      <c r="W7" s="1021" t="s">
        <v>1048</v>
      </c>
      <c r="X7" s="832"/>
      <c r="Y7" s="1022" t="str">
        <f>IF(Toggle=Projection,"Beg-/End-of-Year Average",IF(Toggle=True_up,"13-month Average","Set Toggle!"))</f>
        <v>13-month Average</v>
      </c>
      <c r="Z7" s="832"/>
      <c r="AA7" s="1391" t="s">
        <v>857</v>
      </c>
      <c r="AB7" s="832"/>
      <c r="AC7" s="613" t="s">
        <v>820</v>
      </c>
      <c r="AD7" s="1676" t="s">
        <v>676</v>
      </c>
      <c r="AE7" s="1676" t="s">
        <v>63</v>
      </c>
      <c r="AF7" s="1676" t="s">
        <v>104</v>
      </c>
      <c r="AG7" s="613" t="s">
        <v>917</v>
      </c>
      <c r="AH7" s="437"/>
    </row>
    <row r="8" spans="1:35" s="459" customFormat="1">
      <c r="A8" s="719" t="s">
        <v>2267</v>
      </c>
      <c r="B8" s="723" t="s">
        <v>2268</v>
      </c>
      <c r="C8" s="721" t="s">
        <v>2269</v>
      </c>
      <c r="D8" s="834"/>
      <c r="E8" s="722">
        <v>248020</v>
      </c>
      <c r="F8" s="722">
        <v>242</v>
      </c>
      <c r="G8" s="722">
        <v>0</v>
      </c>
      <c r="H8" s="722">
        <v>546526</v>
      </c>
      <c r="I8" s="722">
        <v>555.66999999999996</v>
      </c>
      <c r="J8" s="831">
        <v>0</v>
      </c>
      <c r="K8" s="1248">
        <v>-6.1756324299999994</v>
      </c>
      <c r="L8" s="1248">
        <v>-6.6742424500000004</v>
      </c>
      <c r="M8" s="1248">
        <v>-7.1269757599999997</v>
      </c>
      <c r="N8" s="1248">
        <v>-7.6896375099999998</v>
      </c>
      <c r="O8" s="1248">
        <v>-8.0255924299999997</v>
      </c>
      <c r="P8" s="1248">
        <v>-8.4630325899999992</v>
      </c>
      <c r="Q8" s="1248">
        <v>-9.7501840000000009</v>
      </c>
      <c r="R8" s="1248">
        <v>-10.436409579999999</v>
      </c>
      <c r="S8" s="1248">
        <v>-11.02967885</v>
      </c>
      <c r="T8" s="1248">
        <v>-11.5382275</v>
      </c>
      <c r="U8" s="1248">
        <v>-12.001950359999999</v>
      </c>
      <c r="V8" s="1248">
        <v>-12.466865630000001</v>
      </c>
      <c r="W8" s="1248">
        <v>-11.109143960000001</v>
      </c>
      <c r="X8" s="826">
        <v>0</v>
      </c>
      <c r="Y8" s="1251">
        <f t="shared" ref="Y8:Y69" si="0">IF(Toggle=Projection,AVERAGE(K8,W8),IF(Toggle=True_up,AVERAGE(K8:W8),"Set Toggle!"))</f>
        <v>-9.4221210038461543</v>
      </c>
      <c r="Z8" s="832">
        <v>0</v>
      </c>
      <c r="AA8" s="1700" t="s">
        <v>104</v>
      </c>
      <c r="AB8" s="832">
        <v>0</v>
      </c>
      <c r="AC8" s="1252" t="str">
        <f t="shared" ref="AC8:AF23" si="1">IF($AA8=AC$7,$Y8,"")</f>
        <v/>
      </c>
      <c r="AD8" s="1252" t="str">
        <f t="shared" si="1"/>
        <v/>
      </c>
      <c r="AE8" s="1252" t="str">
        <f t="shared" si="1"/>
        <v/>
      </c>
      <c r="AF8" s="1252">
        <f t="shared" si="1"/>
        <v>-9.4221210038461543</v>
      </c>
      <c r="AG8" s="617"/>
      <c r="AH8" s="616"/>
      <c r="AI8" s="1699"/>
    </row>
    <row r="9" spans="1:35" s="459" customFormat="1">
      <c r="A9" s="719" t="s">
        <v>2270</v>
      </c>
      <c r="B9" s="723" t="s">
        <v>2268</v>
      </c>
      <c r="C9" s="721" t="s">
        <v>2269</v>
      </c>
      <c r="D9" s="834"/>
      <c r="E9" s="722">
        <v>248028</v>
      </c>
      <c r="F9" s="722">
        <v>242</v>
      </c>
      <c r="G9" s="722">
        <v>0</v>
      </c>
      <c r="H9" s="722">
        <v>546516</v>
      </c>
      <c r="I9" s="722">
        <v>555.66999999999996</v>
      </c>
      <c r="J9" s="831">
        <v>0</v>
      </c>
      <c r="K9" s="1248">
        <v>-3.126684</v>
      </c>
      <c r="L9" s="1248">
        <v>-3.2780930000000001</v>
      </c>
      <c r="M9" s="1248">
        <v>-3.472375</v>
      </c>
      <c r="N9" s="1248">
        <v>-3.646398</v>
      </c>
      <c r="O9" s="1248">
        <v>-3.733911</v>
      </c>
      <c r="P9" s="1248">
        <v>-4.0388419999999998</v>
      </c>
      <c r="Q9" s="1248">
        <v>-4.2552190000000003</v>
      </c>
      <c r="R9" s="1248">
        <v>-4.5720190000000001</v>
      </c>
      <c r="S9" s="1248">
        <v>-4.9759070000000003</v>
      </c>
      <c r="T9" s="1248">
        <v>-5.9961630000000001</v>
      </c>
      <c r="U9" s="1248">
        <v>-7.0535300000000003</v>
      </c>
      <c r="V9" s="1248">
        <v>-7.74261</v>
      </c>
      <c r="W9" s="1248">
        <v>-7.3580135199999992</v>
      </c>
      <c r="X9" s="826">
        <v>0</v>
      </c>
      <c r="Y9" s="1251">
        <f t="shared" si="0"/>
        <v>-4.8653665015384622</v>
      </c>
      <c r="Z9" s="832">
        <v>0</v>
      </c>
      <c r="AA9" s="1700" t="s">
        <v>104</v>
      </c>
      <c r="AB9" s="832">
        <v>0</v>
      </c>
      <c r="AC9" s="1252" t="str">
        <f t="shared" si="1"/>
        <v/>
      </c>
      <c r="AD9" s="1252" t="str">
        <f t="shared" si="1"/>
        <v/>
      </c>
      <c r="AE9" s="1252" t="str">
        <f t="shared" si="1"/>
        <v/>
      </c>
      <c r="AF9" s="1252">
        <f t="shared" si="1"/>
        <v>-4.8653665015384622</v>
      </c>
      <c r="AG9" s="617"/>
      <c r="AH9" s="616"/>
      <c r="AI9" s="1699"/>
    </row>
    <row r="10" spans="1:35" s="459" customFormat="1">
      <c r="A10" s="719" t="s">
        <v>2271</v>
      </c>
      <c r="B10" s="723" t="s">
        <v>2272</v>
      </c>
      <c r="C10" s="721" t="s">
        <v>2269</v>
      </c>
      <c r="D10" s="834"/>
      <c r="E10" s="722">
        <v>248070</v>
      </c>
      <c r="F10" s="722">
        <v>242</v>
      </c>
      <c r="G10" s="722">
        <v>0</v>
      </c>
      <c r="H10" s="722">
        <v>545510</v>
      </c>
      <c r="I10" s="722">
        <v>426.3</v>
      </c>
      <c r="J10" s="831">
        <v>0</v>
      </c>
      <c r="K10" s="1248">
        <v>-1</v>
      </c>
      <c r="L10" s="1248">
        <v>-1</v>
      </c>
      <c r="M10" s="1248">
        <v>-1</v>
      </c>
      <c r="N10" s="1248">
        <v>-1</v>
      </c>
      <c r="O10" s="1248">
        <v>-1</v>
      </c>
      <c r="P10" s="1248">
        <v>-1</v>
      </c>
      <c r="Q10" s="1248">
        <v>-1</v>
      </c>
      <c r="R10" s="1248">
        <v>-1</v>
      </c>
      <c r="S10" s="1248">
        <v>-1</v>
      </c>
      <c r="T10" s="1248">
        <v>-1</v>
      </c>
      <c r="U10" s="1248">
        <v>-1</v>
      </c>
      <c r="V10" s="1248">
        <v>-1</v>
      </c>
      <c r="W10" s="1248">
        <v>-1</v>
      </c>
      <c r="X10" s="826">
        <v>0</v>
      </c>
      <c r="Y10" s="1251">
        <f t="shared" si="0"/>
        <v>-1</v>
      </c>
      <c r="Z10" s="832">
        <v>0</v>
      </c>
      <c r="AA10" s="1700" t="s">
        <v>104</v>
      </c>
      <c r="AB10" s="832">
        <v>0</v>
      </c>
      <c r="AC10" s="1252" t="str">
        <f t="shared" si="1"/>
        <v/>
      </c>
      <c r="AD10" s="1252" t="str">
        <f t="shared" si="1"/>
        <v/>
      </c>
      <c r="AE10" s="1252" t="str">
        <f t="shared" si="1"/>
        <v/>
      </c>
      <c r="AF10" s="1252">
        <f t="shared" si="1"/>
        <v>-1</v>
      </c>
      <c r="AG10" s="617"/>
      <c r="AH10" s="616"/>
      <c r="AI10" s="1699"/>
    </row>
    <row r="11" spans="1:35" s="459" customFormat="1">
      <c r="A11" s="719" t="s">
        <v>2273</v>
      </c>
      <c r="B11" s="723" t="s">
        <v>2272</v>
      </c>
      <c r="C11" s="721" t="s">
        <v>2269</v>
      </c>
      <c r="D11" s="834"/>
      <c r="E11" s="722">
        <v>248070</v>
      </c>
      <c r="F11" s="722">
        <v>242</v>
      </c>
      <c r="G11" s="722">
        <v>0</v>
      </c>
      <c r="H11" s="722">
        <v>545510</v>
      </c>
      <c r="I11" s="722">
        <v>426.3</v>
      </c>
      <c r="J11" s="831">
        <v>0</v>
      </c>
      <c r="K11" s="1248">
        <v>-0.14499999999999999</v>
      </c>
      <c r="L11" s="1248">
        <v>-0.14499999999999999</v>
      </c>
      <c r="M11" s="1248">
        <v>-0.14499999999999999</v>
      </c>
      <c r="N11" s="1248">
        <v>0</v>
      </c>
      <c r="O11" s="1248">
        <v>0</v>
      </c>
      <c r="P11" s="1248">
        <v>0</v>
      </c>
      <c r="Q11" s="1248">
        <v>0</v>
      </c>
      <c r="R11" s="1248">
        <v>0</v>
      </c>
      <c r="S11" s="1248">
        <v>0</v>
      </c>
      <c r="T11" s="1248">
        <v>0</v>
      </c>
      <c r="U11" s="1248">
        <v>0</v>
      </c>
      <c r="V11" s="1248">
        <v>0</v>
      </c>
      <c r="W11" s="1248">
        <v>0</v>
      </c>
      <c r="X11" s="826">
        <v>0</v>
      </c>
      <c r="Y11" s="1251">
        <f t="shared" si="0"/>
        <v>-3.3461538461538459E-2</v>
      </c>
      <c r="Z11" s="832">
        <v>0</v>
      </c>
      <c r="AA11" s="1700" t="s">
        <v>104</v>
      </c>
      <c r="AB11" s="832">
        <v>0</v>
      </c>
      <c r="AC11" s="1252" t="str">
        <f t="shared" si="1"/>
        <v/>
      </c>
      <c r="AD11" s="1252" t="str">
        <f t="shared" si="1"/>
        <v/>
      </c>
      <c r="AE11" s="1252" t="str">
        <f t="shared" si="1"/>
        <v/>
      </c>
      <c r="AF11" s="1252">
        <f t="shared" si="1"/>
        <v>-3.3461538461538459E-2</v>
      </c>
      <c r="AG11" s="617"/>
      <c r="AH11" s="616"/>
      <c r="AI11" s="1699"/>
    </row>
    <row r="12" spans="1:35" s="459" customFormat="1">
      <c r="A12" s="719" t="s">
        <v>2274</v>
      </c>
      <c r="B12" s="723" t="s">
        <v>2272</v>
      </c>
      <c r="C12" s="721" t="s">
        <v>2269</v>
      </c>
      <c r="D12" s="834"/>
      <c r="E12" s="722">
        <v>248070</v>
      </c>
      <c r="F12" s="722">
        <v>242</v>
      </c>
      <c r="G12" s="722">
        <v>0</v>
      </c>
      <c r="H12" s="722">
        <v>545500</v>
      </c>
      <c r="I12" s="722">
        <v>555.25</v>
      </c>
      <c r="J12" s="831">
        <v>0</v>
      </c>
      <c r="K12" s="1248">
        <v>-7.0000000000000007E-2</v>
      </c>
      <c r="L12" s="1248">
        <v>-7.0000000000000007E-2</v>
      </c>
      <c r="M12" s="1248">
        <v>-7.0000000000000007E-2</v>
      </c>
      <c r="N12" s="1248">
        <v>-0.13</v>
      </c>
      <c r="O12" s="1248">
        <v>-0.13500000000000001</v>
      </c>
      <c r="P12" s="1248">
        <v>0</v>
      </c>
      <c r="Q12" s="1248">
        <v>0</v>
      </c>
      <c r="R12" s="1248">
        <v>0</v>
      </c>
      <c r="S12" s="1248">
        <v>0</v>
      </c>
      <c r="T12" s="1248">
        <v>0</v>
      </c>
      <c r="U12" s="1248">
        <v>0</v>
      </c>
      <c r="V12" s="1248">
        <v>0</v>
      </c>
      <c r="W12" s="1248">
        <v>0</v>
      </c>
      <c r="X12" s="826">
        <v>0</v>
      </c>
      <c r="Y12" s="1251">
        <f t="shared" si="0"/>
        <v>-3.653846153846154E-2</v>
      </c>
      <c r="Z12" s="832">
        <v>0</v>
      </c>
      <c r="AA12" s="1700" t="s">
        <v>104</v>
      </c>
      <c r="AB12" s="832">
        <v>0</v>
      </c>
      <c r="AC12" s="1252" t="str">
        <f t="shared" si="1"/>
        <v/>
      </c>
      <c r="AD12" s="1252" t="str">
        <f t="shared" si="1"/>
        <v/>
      </c>
      <c r="AE12" s="1252" t="str">
        <f t="shared" si="1"/>
        <v/>
      </c>
      <c r="AF12" s="1252">
        <f t="shared" si="1"/>
        <v>-3.653846153846154E-2</v>
      </c>
      <c r="AG12" s="617"/>
      <c r="AH12" s="616"/>
      <c r="AI12" s="1699"/>
    </row>
    <row r="13" spans="1:35" s="459" customFormat="1">
      <c r="A13" s="719" t="s">
        <v>2275</v>
      </c>
      <c r="B13" s="723" t="s">
        <v>2272</v>
      </c>
      <c r="C13" s="721" t="s">
        <v>2269</v>
      </c>
      <c r="D13" s="834"/>
      <c r="E13" s="722">
        <v>248070</v>
      </c>
      <c r="F13" s="722">
        <v>242</v>
      </c>
      <c r="G13" s="722">
        <v>0</v>
      </c>
      <c r="H13" s="722">
        <v>506059</v>
      </c>
      <c r="I13" s="722">
        <v>565.1</v>
      </c>
      <c r="J13" s="831">
        <v>0</v>
      </c>
      <c r="K13" s="1248">
        <v>-3.2312557799999997</v>
      </c>
      <c r="L13" s="1248">
        <v>-3.2312557799999997</v>
      </c>
      <c r="M13" s="1248">
        <v>0</v>
      </c>
      <c r="N13" s="1248">
        <v>0</v>
      </c>
      <c r="O13" s="1248">
        <v>0</v>
      </c>
      <c r="P13" s="1248">
        <v>0</v>
      </c>
      <c r="Q13" s="1248">
        <v>0</v>
      </c>
      <c r="R13" s="1248">
        <v>0</v>
      </c>
      <c r="S13" s="1248">
        <v>0</v>
      </c>
      <c r="T13" s="1248">
        <v>0</v>
      </c>
      <c r="U13" s="1248">
        <v>0</v>
      </c>
      <c r="V13" s="1248">
        <v>0</v>
      </c>
      <c r="W13" s="1248">
        <v>0</v>
      </c>
      <c r="X13" s="826">
        <v>0</v>
      </c>
      <c r="Y13" s="1251">
        <f t="shared" si="0"/>
        <v>-0.49711627384615381</v>
      </c>
      <c r="Z13" s="832">
        <v>0</v>
      </c>
      <c r="AA13" s="1700" t="s">
        <v>104</v>
      </c>
      <c r="AB13" s="832">
        <v>0</v>
      </c>
      <c r="AC13" s="1252" t="str">
        <f t="shared" si="1"/>
        <v/>
      </c>
      <c r="AD13" s="1252" t="str">
        <f t="shared" si="1"/>
        <v/>
      </c>
      <c r="AE13" s="1252" t="str">
        <f t="shared" si="1"/>
        <v/>
      </c>
      <c r="AF13" s="1252">
        <f t="shared" si="1"/>
        <v>-0.49711627384615381</v>
      </c>
      <c r="AG13" s="617"/>
      <c r="AH13" s="616"/>
      <c r="AI13" s="1699"/>
    </row>
    <row r="14" spans="1:35" s="459" customFormat="1">
      <c r="A14" s="719" t="s">
        <v>2276</v>
      </c>
      <c r="B14" s="723" t="s">
        <v>2272</v>
      </c>
      <c r="C14" s="721" t="s">
        <v>2269</v>
      </c>
      <c r="D14" s="834"/>
      <c r="E14" s="722">
        <v>248070</v>
      </c>
      <c r="F14" s="722">
        <v>242</v>
      </c>
      <c r="G14" s="722">
        <v>0</v>
      </c>
      <c r="H14" s="722">
        <v>545502</v>
      </c>
      <c r="I14" s="722">
        <v>426.5</v>
      </c>
      <c r="J14" s="831">
        <v>0</v>
      </c>
      <c r="K14" s="1248">
        <v>0</v>
      </c>
      <c r="L14" s="1248">
        <v>0</v>
      </c>
      <c r="M14" s="1248">
        <v>0</v>
      </c>
      <c r="N14" s="1248">
        <v>-2.1999999999999999E-2</v>
      </c>
      <c r="O14" s="1248">
        <v>-2.1999999999999999E-2</v>
      </c>
      <c r="P14" s="1248">
        <v>-2.1999999999999999E-2</v>
      </c>
      <c r="Q14" s="1248">
        <v>-2.1999999999999999E-2</v>
      </c>
      <c r="R14" s="1248">
        <v>-2.1999999999999999E-2</v>
      </c>
      <c r="S14" s="1248">
        <v>-2.1999999999999999E-2</v>
      </c>
      <c r="T14" s="1248">
        <v>-2.3460000000000002E-2</v>
      </c>
      <c r="U14" s="1248">
        <v>-2.3460000000000002E-2</v>
      </c>
      <c r="V14" s="1248">
        <v>-2.3460000000000002E-2</v>
      </c>
      <c r="W14" s="1248">
        <v>-2.3460000000000002E-2</v>
      </c>
      <c r="X14" s="826">
        <v>0</v>
      </c>
      <c r="Y14" s="1251">
        <f t="shared" si="0"/>
        <v>-1.7372307692307694E-2</v>
      </c>
      <c r="Z14" s="832">
        <v>0</v>
      </c>
      <c r="AA14" s="1700" t="s">
        <v>104</v>
      </c>
      <c r="AB14" s="832">
        <v>0</v>
      </c>
      <c r="AC14" s="1252" t="str">
        <f t="shared" si="1"/>
        <v/>
      </c>
      <c r="AD14" s="1252" t="str">
        <f t="shared" si="1"/>
        <v/>
      </c>
      <c r="AE14" s="1252" t="str">
        <f t="shared" si="1"/>
        <v/>
      </c>
      <c r="AF14" s="1252">
        <f t="shared" si="1"/>
        <v>-1.7372307692307694E-2</v>
      </c>
      <c r="AG14" s="617"/>
      <c r="AH14" s="616"/>
      <c r="AI14" s="1699"/>
    </row>
    <row r="15" spans="1:35" s="459" customFormat="1">
      <c r="A15" s="719" t="s">
        <v>2277</v>
      </c>
      <c r="B15" s="723" t="s">
        <v>2272</v>
      </c>
      <c r="C15" s="721" t="s">
        <v>2269</v>
      </c>
      <c r="D15" s="834"/>
      <c r="E15" s="722">
        <v>289950</v>
      </c>
      <c r="F15" s="722">
        <v>253.99</v>
      </c>
      <c r="G15" s="722">
        <v>0</v>
      </c>
      <c r="H15" s="722">
        <v>545502</v>
      </c>
      <c r="I15" s="722">
        <v>426.5</v>
      </c>
      <c r="J15" s="831">
        <v>0</v>
      </c>
      <c r="K15" s="1248">
        <v>-121.58376676</v>
      </c>
      <c r="L15" s="1248">
        <v>-121.7904472</v>
      </c>
      <c r="M15" s="1248">
        <v>-121.99712764</v>
      </c>
      <c r="N15" s="1248">
        <v>-122.20380808</v>
      </c>
      <c r="O15" s="1248">
        <v>-122.41048852</v>
      </c>
      <c r="P15" s="1248">
        <v>0</v>
      </c>
      <c r="Q15" s="1248">
        <v>0</v>
      </c>
      <c r="R15" s="1248">
        <v>0</v>
      </c>
      <c r="S15" s="1248">
        <v>0</v>
      </c>
      <c r="T15" s="1248">
        <v>0</v>
      </c>
      <c r="U15" s="1248">
        <v>0</v>
      </c>
      <c r="V15" s="1248">
        <v>0</v>
      </c>
      <c r="W15" s="1248">
        <v>0</v>
      </c>
      <c r="X15" s="826">
        <v>0</v>
      </c>
      <c r="Y15" s="1251">
        <f t="shared" si="0"/>
        <v>-46.92197216923077</v>
      </c>
      <c r="Z15" s="832">
        <v>0</v>
      </c>
      <c r="AA15" s="1700" t="s">
        <v>104</v>
      </c>
      <c r="AB15" s="832">
        <v>0</v>
      </c>
      <c r="AC15" s="1252" t="str">
        <f t="shared" si="1"/>
        <v/>
      </c>
      <c r="AD15" s="1252" t="str">
        <f t="shared" si="1"/>
        <v/>
      </c>
      <c r="AE15" s="1252" t="str">
        <f t="shared" si="1"/>
        <v/>
      </c>
      <c r="AF15" s="1252">
        <f t="shared" si="1"/>
        <v>-46.92197216923077</v>
      </c>
      <c r="AG15" s="617"/>
      <c r="AH15" s="616"/>
      <c r="AI15" s="1699"/>
    </row>
    <row r="16" spans="1:35" s="459" customFormat="1">
      <c r="A16" s="719" t="s">
        <v>2278</v>
      </c>
      <c r="B16" s="723" t="s">
        <v>2268</v>
      </c>
      <c r="C16" s="721" t="s">
        <v>2269</v>
      </c>
      <c r="D16" s="834"/>
      <c r="E16" s="722">
        <v>248025</v>
      </c>
      <c r="F16" s="722">
        <v>242</v>
      </c>
      <c r="G16" s="722">
        <v>0</v>
      </c>
      <c r="H16" s="722">
        <v>505214</v>
      </c>
      <c r="I16" s="722">
        <v>555.63</v>
      </c>
      <c r="J16" s="831">
        <v>0</v>
      </c>
      <c r="K16" s="1248">
        <v>-0.20699999999999999</v>
      </c>
      <c r="L16" s="1248">
        <v>-0.20699999999999999</v>
      </c>
      <c r="M16" s="1248">
        <v>-0.20699999999999999</v>
      </c>
      <c r="N16" s="1248">
        <v>-0.20699999999999999</v>
      </c>
      <c r="O16" s="1248">
        <v>-0.20699999999999999</v>
      </c>
      <c r="P16" s="1248">
        <v>-0.20699999999999999</v>
      </c>
      <c r="Q16" s="1248">
        <v>-0.20699999999999999</v>
      </c>
      <c r="R16" s="1248">
        <v>0</v>
      </c>
      <c r="S16" s="1248">
        <v>0</v>
      </c>
      <c r="T16" s="1248">
        <v>0</v>
      </c>
      <c r="U16" s="1248">
        <v>0</v>
      </c>
      <c r="V16" s="1248">
        <v>0</v>
      </c>
      <c r="W16" s="1248">
        <v>0</v>
      </c>
      <c r="X16" s="826">
        <v>0</v>
      </c>
      <c r="Y16" s="1251">
        <f t="shared" si="0"/>
        <v>-0.11146153846153847</v>
      </c>
      <c r="Z16" s="832">
        <v>0</v>
      </c>
      <c r="AA16" s="1700" t="s">
        <v>104</v>
      </c>
      <c r="AB16" s="832">
        <v>0</v>
      </c>
      <c r="AC16" s="1252" t="str">
        <f t="shared" si="1"/>
        <v/>
      </c>
      <c r="AD16" s="1252" t="str">
        <f t="shared" si="1"/>
        <v/>
      </c>
      <c r="AE16" s="1252" t="str">
        <f t="shared" si="1"/>
        <v/>
      </c>
      <c r="AF16" s="1252">
        <f t="shared" si="1"/>
        <v>-0.11146153846153847</v>
      </c>
      <c r="AG16" s="617"/>
      <c r="AH16" s="616"/>
      <c r="AI16" s="1699"/>
    </row>
    <row r="17" spans="1:35" s="459" customFormat="1">
      <c r="A17" s="719" t="s">
        <v>2279</v>
      </c>
      <c r="B17" s="723" t="s">
        <v>2268</v>
      </c>
      <c r="C17" s="721" t="s">
        <v>2269</v>
      </c>
      <c r="D17" s="834"/>
      <c r="E17" s="722">
        <v>248025</v>
      </c>
      <c r="F17" s="722">
        <v>242</v>
      </c>
      <c r="G17" s="722">
        <v>0</v>
      </c>
      <c r="H17" s="722">
        <v>505214</v>
      </c>
      <c r="I17" s="722">
        <v>555.63</v>
      </c>
      <c r="J17" s="831">
        <v>0</v>
      </c>
      <c r="K17" s="1248">
        <v>-0.29469680999999998</v>
      </c>
      <c r="L17" s="1248">
        <v>-0.19646454000000002</v>
      </c>
      <c r="M17" s="1248">
        <v>-9.823227000000001E-2</v>
      </c>
      <c r="N17" s="1248">
        <v>0</v>
      </c>
      <c r="O17" s="1248">
        <v>0</v>
      </c>
      <c r="P17" s="1248">
        <v>0</v>
      </c>
      <c r="Q17" s="1248">
        <v>0</v>
      </c>
      <c r="R17" s="1248">
        <v>0</v>
      </c>
      <c r="S17" s="1248">
        <v>0</v>
      </c>
      <c r="T17" s="1248">
        <v>0</v>
      </c>
      <c r="U17" s="1248">
        <v>0</v>
      </c>
      <c r="V17" s="1248">
        <v>0</v>
      </c>
      <c r="W17" s="1248">
        <v>0</v>
      </c>
      <c r="X17" s="826">
        <v>0</v>
      </c>
      <c r="Y17" s="1251">
        <f t="shared" si="0"/>
        <v>-4.5337970769230775E-2</v>
      </c>
      <c r="Z17" s="832">
        <v>0</v>
      </c>
      <c r="AA17" s="1700" t="s">
        <v>104</v>
      </c>
      <c r="AB17" s="832">
        <v>0</v>
      </c>
      <c r="AC17" s="1252" t="str">
        <f t="shared" si="1"/>
        <v/>
      </c>
      <c r="AD17" s="1252" t="str">
        <f t="shared" si="1"/>
        <v/>
      </c>
      <c r="AE17" s="1252" t="str">
        <f t="shared" si="1"/>
        <v/>
      </c>
      <c r="AF17" s="1252">
        <f t="shared" si="1"/>
        <v>-4.5337970769230775E-2</v>
      </c>
      <c r="AG17" s="617"/>
      <c r="AH17" s="616"/>
      <c r="AI17" s="1699"/>
    </row>
    <row r="18" spans="1:35" s="459" customFormat="1">
      <c r="A18" s="719" t="s">
        <v>2280</v>
      </c>
      <c r="B18" s="723" t="s">
        <v>2268</v>
      </c>
      <c r="C18" s="721" t="s">
        <v>2269</v>
      </c>
      <c r="D18" s="834"/>
      <c r="E18" s="722">
        <v>248025</v>
      </c>
      <c r="F18" s="722">
        <v>242</v>
      </c>
      <c r="G18" s="722">
        <v>0</v>
      </c>
      <c r="H18" s="722">
        <v>505206</v>
      </c>
      <c r="I18" s="722">
        <v>555.25</v>
      </c>
      <c r="J18" s="831">
        <v>0</v>
      </c>
      <c r="K18" s="1248">
        <v>-0.20195339000000001</v>
      </c>
      <c r="L18" s="1248">
        <v>-0.20195339000000001</v>
      </c>
      <c r="M18" s="1248">
        <v>-0.20195339000000001</v>
      </c>
      <c r="N18" s="1248">
        <v>-0.20195339000000001</v>
      </c>
      <c r="O18" s="1248">
        <v>-0.20195339000000001</v>
      </c>
      <c r="P18" s="1248">
        <v>-0.20195339000000001</v>
      </c>
      <c r="Q18" s="1248">
        <v>-0.20195339000000001</v>
      </c>
      <c r="R18" s="1248">
        <v>-0.20195339000000001</v>
      </c>
      <c r="S18" s="1248">
        <v>-0.20195339000000001</v>
      </c>
      <c r="T18" s="1248">
        <v>-0.20195339000000001</v>
      </c>
      <c r="U18" s="1248">
        <v>-0.20195339000000001</v>
      </c>
      <c r="V18" s="1248">
        <v>-0.20195339000000001</v>
      </c>
      <c r="W18" s="1248">
        <v>-0.20195339000000001</v>
      </c>
      <c r="X18" s="826">
        <v>0</v>
      </c>
      <c r="Y18" s="1251">
        <f t="shared" si="0"/>
        <v>-0.20195338999999993</v>
      </c>
      <c r="Z18" s="832">
        <v>0</v>
      </c>
      <c r="AA18" s="1700" t="s">
        <v>104</v>
      </c>
      <c r="AB18" s="832">
        <v>0</v>
      </c>
      <c r="AC18" s="1252" t="str">
        <f t="shared" si="1"/>
        <v/>
      </c>
      <c r="AD18" s="1252" t="str">
        <f t="shared" si="1"/>
        <v/>
      </c>
      <c r="AE18" s="1252" t="str">
        <f t="shared" si="1"/>
        <v/>
      </c>
      <c r="AF18" s="1252">
        <f t="shared" si="1"/>
        <v>-0.20195338999999993</v>
      </c>
      <c r="AG18" s="617"/>
      <c r="AH18" s="616"/>
      <c r="AI18" s="1699"/>
    </row>
    <row r="19" spans="1:35" s="459" customFormat="1">
      <c r="A19" s="719" t="s">
        <v>2281</v>
      </c>
      <c r="B19" s="723" t="s">
        <v>2268</v>
      </c>
      <c r="C19" s="721" t="s">
        <v>2269</v>
      </c>
      <c r="D19" s="834"/>
      <c r="E19" s="722">
        <v>248025</v>
      </c>
      <c r="F19" s="722">
        <v>242</v>
      </c>
      <c r="G19" s="722">
        <v>0</v>
      </c>
      <c r="H19" s="722">
        <v>506050</v>
      </c>
      <c r="I19" s="722">
        <v>565.46</v>
      </c>
      <c r="J19" s="831">
        <v>0</v>
      </c>
      <c r="K19" s="1248">
        <v>-0.65321200000000001</v>
      </c>
      <c r="L19" s="1248">
        <v>-0.65321200000000001</v>
      </c>
      <c r="M19" s="1248">
        <v>-0.71931199999999995</v>
      </c>
      <c r="N19" s="1248">
        <v>-0.785412</v>
      </c>
      <c r="O19" s="1248">
        <v>-0.85151200000000005</v>
      </c>
      <c r="P19" s="1248">
        <v>-0.91761199999999998</v>
      </c>
      <c r="Q19" s="1248">
        <v>-0.98371200000000003</v>
      </c>
      <c r="R19" s="1248">
        <v>-1.049812</v>
      </c>
      <c r="S19" s="1248">
        <v>-1.115912</v>
      </c>
      <c r="T19" s="1248">
        <v>-1.1820120000000001</v>
      </c>
      <c r="U19" s="1248">
        <v>-1.1820120000000001</v>
      </c>
      <c r="V19" s="1248">
        <v>-1.1820120000000001</v>
      </c>
      <c r="W19" s="1248">
        <v>-1.1820120000000001</v>
      </c>
      <c r="X19" s="826">
        <v>0</v>
      </c>
      <c r="Y19" s="1251">
        <f t="shared" si="0"/>
        <v>-0.95828892307692304</v>
      </c>
      <c r="Z19" s="832">
        <v>0</v>
      </c>
      <c r="AA19" s="1700" t="s">
        <v>104</v>
      </c>
      <c r="AB19" s="832">
        <v>0</v>
      </c>
      <c r="AC19" s="1252" t="str">
        <f t="shared" si="1"/>
        <v/>
      </c>
      <c r="AD19" s="1252" t="str">
        <f t="shared" si="1"/>
        <v/>
      </c>
      <c r="AE19" s="1252" t="str">
        <f t="shared" si="1"/>
        <v/>
      </c>
      <c r="AF19" s="1252">
        <f t="shared" si="1"/>
        <v>-0.95828892307692304</v>
      </c>
      <c r="AG19" s="617"/>
      <c r="AH19" s="616"/>
      <c r="AI19" s="1699"/>
    </row>
    <row r="20" spans="1:35" s="459" customFormat="1">
      <c r="A20" s="719" t="s">
        <v>2275</v>
      </c>
      <c r="B20" s="723" t="s">
        <v>2268</v>
      </c>
      <c r="C20" s="721" t="s">
        <v>2269</v>
      </c>
      <c r="D20" s="834"/>
      <c r="E20" s="722">
        <v>248025</v>
      </c>
      <c r="F20" s="722">
        <v>242</v>
      </c>
      <c r="G20" s="722">
        <v>0</v>
      </c>
      <c r="H20" s="722">
        <v>506050</v>
      </c>
      <c r="I20" s="722">
        <v>565.46</v>
      </c>
      <c r="J20" s="831">
        <v>0</v>
      </c>
      <c r="K20" s="1248">
        <v>0</v>
      </c>
      <c r="L20" s="1248">
        <v>-3.2973560000000002</v>
      </c>
      <c r="M20" s="1248">
        <v>-3.2973560000000002</v>
      </c>
      <c r="N20" s="1248">
        <v>-3.2973560000000002</v>
      </c>
      <c r="O20" s="1248">
        <v>-3.2973560000000002</v>
      </c>
      <c r="P20" s="1248">
        <v>-3.2973560000000002</v>
      </c>
      <c r="Q20" s="1248">
        <v>-3.2973560000000002</v>
      </c>
      <c r="R20" s="1248">
        <v>-3.2973560000000002</v>
      </c>
      <c r="S20" s="1248">
        <v>-3.2973560000000002</v>
      </c>
      <c r="T20" s="1248">
        <v>-3.2973560000000002</v>
      </c>
      <c r="U20" s="1248">
        <v>-3.2973560000000002</v>
      </c>
      <c r="V20" s="1248">
        <v>-3.2973560000000002</v>
      </c>
      <c r="W20" s="1248">
        <v>-3.2973560000000002</v>
      </c>
      <c r="X20" s="826">
        <v>0</v>
      </c>
      <c r="Y20" s="1251">
        <f t="shared" si="0"/>
        <v>-3.0437132307692307</v>
      </c>
      <c r="Z20" s="832">
        <v>0</v>
      </c>
      <c r="AA20" s="1700" t="s">
        <v>104</v>
      </c>
      <c r="AB20" s="832">
        <v>0</v>
      </c>
      <c r="AC20" s="1252" t="str">
        <f t="shared" si="1"/>
        <v/>
      </c>
      <c r="AD20" s="1252" t="str">
        <f t="shared" si="1"/>
        <v/>
      </c>
      <c r="AE20" s="1252" t="str">
        <f t="shared" si="1"/>
        <v/>
      </c>
      <c r="AF20" s="1252">
        <f t="shared" si="1"/>
        <v>-3.0437132307692307</v>
      </c>
      <c r="AG20" s="617"/>
      <c r="AH20" s="616"/>
      <c r="AI20" s="1699"/>
    </row>
    <row r="21" spans="1:35" s="459" customFormat="1">
      <c r="A21" s="719" t="s">
        <v>2282</v>
      </c>
      <c r="B21" s="723" t="s">
        <v>2283</v>
      </c>
      <c r="C21" s="721" t="s">
        <v>2269</v>
      </c>
      <c r="D21" s="834"/>
      <c r="E21" s="722">
        <v>284100</v>
      </c>
      <c r="F21" s="722">
        <v>229</v>
      </c>
      <c r="G21" s="722">
        <v>0</v>
      </c>
      <c r="H21" s="722">
        <v>301913</v>
      </c>
      <c r="I21" s="722">
        <v>456.19900000000001</v>
      </c>
      <c r="J21" s="831">
        <v>0</v>
      </c>
      <c r="K21" s="1248">
        <v>-5.8173240000000001E-2</v>
      </c>
      <c r="L21" s="1248">
        <v>-5.8173240000000001E-2</v>
      </c>
      <c r="M21" s="1248">
        <v>-5.8173240000000001E-2</v>
      </c>
      <c r="N21" s="1248">
        <v>-5.8173240000000001E-2</v>
      </c>
      <c r="O21" s="1248">
        <v>-5.8173240000000001E-2</v>
      </c>
      <c r="P21" s="1248">
        <v>-5.8173240000000001E-2</v>
      </c>
      <c r="Q21" s="1248">
        <v>-5.8173240000000001E-2</v>
      </c>
      <c r="R21" s="1248">
        <v>-5.8173240000000001E-2</v>
      </c>
      <c r="S21" s="1248">
        <v>-5.8173240000000001E-2</v>
      </c>
      <c r="T21" s="1248">
        <v>0</v>
      </c>
      <c r="U21" s="1248">
        <v>0</v>
      </c>
      <c r="V21" s="1248">
        <v>0</v>
      </c>
      <c r="W21" s="1248">
        <v>0</v>
      </c>
      <c r="X21" s="826">
        <v>0</v>
      </c>
      <c r="Y21" s="1251">
        <f t="shared" si="0"/>
        <v>-4.0273781538461541E-2</v>
      </c>
      <c r="Z21" s="832">
        <v>0</v>
      </c>
      <c r="AA21" s="1700" t="s">
        <v>104</v>
      </c>
      <c r="AB21" s="832">
        <v>0</v>
      </c>
      <c r="AC21" s="1252" t="str">
        <f t="shared" si="1"/>
        <v/>
      </c>
      <c r="AD21" s="1252" t="str">
        <f t="shared" si="1"/>
        <v/>
      </c>
      <c r="AE21" s="1252" t="str">
        <f t="shared" si="1"/>
        <v/>
      </c>
      <c r="AF21" s="1252">
        <f t="shared" si="1"/>
        <v>-4.0273781538461541E-2</v>
      </c>
      <c r="AG21" s="617"/>
      <c r="AH21" s="616"/>
      <c r="AI21" s="1699"/>
    </row>
    <row r="22" spans="1:35" s="459" customFormat="1">
      <c r="A22" s="719" t="s">
        <v>2284</v>
      </c>
      <c r="B22" s="723" t="s">
        <v>2285</v>
      </c>
      <c r="C22" s="721" t="s">
        <v>2269</v>
      </c>
      <c r="D22" s="834"/>
      <c r="E22" s="722">
        <v>289517</v>
      </c>
      <c r="F22" s="722">
        <v>253.3</v>
      </c>
      <c r="G22" s="722">
        <v>0</v>
      </c>
      <c r="H22" s="722">
        <v>515100</v>
      </c>
      <c r="I22" s="722">
        <v>501.1</v>
      </c>
      <c r="J22" s="831">
        <v>0</v>
      </c>
      <c r="K22" s="1248">
        <v>-5.8604762700000004</v>
      </c>
      <c r="L22" s="1248">
        <v>-5.8789905999999998</v>
      </c>
      <c r="M22" s="1248">
        <v>-5.8968757800000002</v>
      </c>
      <c r="N22" s="1248">
        <v>-5.9176090800000001</v>
      </c>
      <c r="O22" s="1248">
        <v>-5.9342429699999997</v>
      </c>
      <c r="P22" s="1248">
        <v>-5.9513048600000005</v>
      </c>
      <c r="Q22" s="1248">
        <v>-5.9693815800000003</v>
      </c>
      <c r="R22" s="1248">
        <v>-5.9954770799999997</v>
      </c>
      <c r="S22" s="1248">
        <v>-6.0172420099999995</v>
      </c>
      <c r="T22" s="1248">
        <v>-6.0201490399999997</v>
      </c>
      <c r="U22" s="1248">
        <v>-6.0354524700000001</v>
      </c>
      <c r="V22" s="1248">
        <v>-6.0553018400000003</v>
      </c>
      <c r="W22" s="1248">
        <v>-6.0722707900000001</v>
      </c>
      <c r="X22" s="826">
        <v>0</v>
      </c>
      <c r="Y22" s="1251">
        <f t="shared" si="0"/>
        <v>-5.9695980284615384</v>
      </c>
      <c r="Z22" s="832">
        <v>0</v>
      </c>
      <c r="AA22" s="1700" t="s">
        <v>104</v>
      </c>
      <c r="AB22" s="832">
        <v>0</v>
      </c>
      <c r="AC22" s="1252" t="str">
        <f t="shared" si="1"/>
        <v/>
      </c>
      <c r="AD22" s="1252" t="str">
        <f t="shared" si="1"/>
        <v/>
      </c>
      <c r="AE22" s="1252" t="str">
        <f t="shared" si="1"/>
        <v/>
      </c>
      <c r="AF22" s="1252">
        <f t="shared" si="1"/>
        <v>-5.9695980284615384</v>
      </c>
      <c r="AG22" s="617"/>
      <c r="AH22" s="616"/>
      <c r="AI22" s="1699"/>
    </row>
    <row r="23" spans="1:35" s="459" customFormat="1">
      <c r="A23" s="719" t="s">
        <v>2286</v>
      </c>
      <c r="B23" s="723" t="s">
        <v>2287</v>
      </c>
      <c r="C23" s="721" t="s">
        <v>2269</v>
      </c>
      <c r="D23" s="834"/>
      <c r="E23" s="722">
        <v>289955</v>
      </c>
      <c r="F23" s="722">
        <v>253.99</v>
      </c>
      <c r="G23" s="722">
        <v>0</v>
      </c>
      <c r="H23" s="722">
        <v>582300</v>
      </c>
      <c r="I23" s="722" t="s">
        <v>2288</v>
      </c>
      <c r="J23" s="831">
        <v>0</v>
      </c>
      <c r="K23" s="1248">
        <v>-2.55048254</v>
      </c>
      <c r="L23" s="1248">
        <v>-2.58050779</v>
      </c>
      <c r="M23" s="1248">
        <v>-2.6105330299999996</v>
      </c>
      <c r="N23" s="1248">
        <v>-2.6054185200000002</v>
      </c>
      <c r="O23" s="1248">
        <v>-2.8874487499999999</v>
      </c>
      <c r="P23" s="1248">
        <v>-2.9236456400000002</v>
      </c>
      <c r="Q23" s="1248">
        <v>-3.5097215899999998</v>
      </c>
      <c r="R23" s="1248">
        <v>-3.5601803599999999</v>
      </c>
      <c r="S23" s="1248">
        <v>-3.61142962</v>
      </c>
      <c r="T23" s="1248">
        <v>-3.6610979300000004</v>
      </c>
      <c r="U23" s="1248">
        <v>-3.7123471600000002</v>
      </c>
      <c r="V23" s="1248">
        <v>-3.7620154700000001</v>
      </c>
      <c r="W23" s="1248">
        <v>-3.8130874500000003</v>
      </c>
      <c r="X23" s="826">
        <v>0</v>
      </c>
      <c r="Y23" s="1251">
        <f t="shared" si="0"/>
        <v>-3.2144550653846151</v>
      </c>
      <c r="Z23" s="832">
        <v>0</v>
      </c>
      <c r="AA23" s="1700" t="s">
        <v>104</v>
      </c>
      <c r="AB23" s="832">
        <v>0</v>
      </c>
      <c r="AC23" s="1252" t="str">
        <f t="shared" si="1"/>
        <v/>
      </c>
      <c r="AD23" s="1252" t="str">
        <f t="shared" si="1"/>
        <v/>
      </c>
      <c r="AE23" s="1252" t="str">
        <f t="shared" si="1"/>
        <v/>
      </c>
      <c r="AF23" s="1252">
        <f t="shared" si="1"/>
        <v>-3.2144550653846151</v>
      </c>
      <c r="AG23" s="617"/>
      <c r="AH23" s="616"/>
      <c r="AI23" s="1699"/>
    </row>
    <row r="24" spans="1:35" s="459" customFormat="1">
      <c r="A24" s="1597" t="s">
        <v>2289</v>
      </c>
      <c r="B24" s="723" t="s">
        <v>2290</v>
      </c>
      <c r="C24" s="721" t="s">
        <v>2269</v>
      </c>
      <c r="D24" s="834"/>
      <c r="E24" s="722">
        <v>280311</v>
      </c>
      <c r="F24" s="722">
        <v>228.21</v>
      </c>
      <c r="G24" s="722">
        <v>0</v>
      </c>
      <c r="H24" s="722">
        <v>545050</v>
      </c>
      <c r="I24" s="722">
        <v>925</v>
      </c>
      <c r="J24" s="831">
        <v>0</v>
      </c>
      <c r="K24" s="1248">
        <v>-53.792440079999999</v>
      </c>
      <c r="L24" s="1248">
        <v>-53.616940079999999</v>
      </c>
      <c r="M24" s="1248">
        <v>-55.646440079999998</v>
      </c>
      <c r="N24" s="1248">
        <v>-56.318940079999997</v>
      </c>
      <c r="O24" s="1248">
        <v>-54.671940079999999</v>
      </c>
      <c r="P24" s="1248">
        <v>-53.974906079999997</v>
      </c>
      <c r="Q24" s="1248">
        <v>-53.707906080000001</v>
      </c>
      <c r="R24" s="1248">
        <v>-52.51321136</v>
      </c>
      <c r="S24" s="1248">
        <v>-51.015486000000003</v>
      </c>
      <c r="T24" s="1248">
        <v>-48.115967950000005</v>
      </c>
      <c r="U24" s="1248">
        <v>-48.034241950000002</v>
      </c>
      <c r="V24" s="1248">
        <v>-50.434041950000001</v>
      </c>
      <c r="W24" s="1248">
        <v>-32.400463950000002</v>
      </c>
      <c r="X24" s="826">
        <v>0</v>
      </c>
      <c r="Y24" s="1251">
        <f t="shared" si="0"/>
        <v>-51.095609670769242</v>
      </c>
      <c r="Z24" s="832">
        <v>0</v>
      </c>
      <c r="AA24" s="1700" t="s">
        <v>63</v>
      </c>
      <c r="AB24" s="832">
        <v>0</v>
      </c>
      <c r="AC24" s="1252" t="str">
        <f t="shared" ref="AC24:AF69" si="2">IF($AA24=AC$7,$Y24,"")</f>
        <v/>
      </c>
      <c r="AD24" s="1252" t="str">
        <f t="shared" si="2"/>
        <v/>
      </c>
      <c r="AE24" s="1252">
        <f t="shared" si="2"/>
        <v>-51.095609670769242</v>
      </c>
      <c r="AF24" s="1252" t="str">
        <f t="shared" si="2"/>
        <v/>
      </c>
      <c r="AG24" s="617"/>
      <c r="AH24" s="616"/>
      <c r="AI24" s="1699"/>
    </row>
    <row r="25" spans="1:35" s="459" customFormat="1">
      <c r="A25" s="1597" t="s">
        <v>2291</v>
      </c>
      <c r="B25" s="723" t="s">
        <v>2290</v>
      </c>
      <c r="C25" s="721" t="s">
        <v>2269</v>
      </c>
      <c r="D25" s="834"/>
      <c r="E25" s="722">
        <v>116925</v>
      </c>
      <c r="F25" s="722">
        <v>228.25</v>
      </c>
      <c r="G25" s="722">
        <v>0</v>
      </c>
      <c r="H25" s="722">
        <v>545050</v>
      </c>
      <c r="I25" s="722">
        <v>925</v>
      </c>
      <c r="J25" s="831">
        <v>0</v>
      </c>
      <c r="K25" s="1248">
        <v>27.24147439</v>
      </c>
      <c r="L25" s="1248">
        <v>27.245275530000001</v>
      </c>
      <c r="M25" s="1248">
        <v>27.26983096</v>
      </c>
      <c r="N25" s="1248">
        <v>34.385824149999998</v>
      </c>
      <c r="O25" s="1248">
        <v>36.942798530000005</v>
      </c>
      <c r="P25" s="1248">
        <v>37.245979140000003</v>
      </c>
      <c r="Q25" s="1248">
        <v>37.567100959999998</v>
      </c>
      <c r="R25" s="1248">
        <v>37.74527621</v>
      </c>
      <c r="S25" s="1248">
        <v>34.048437719999995</v>
      </c>
      <c r="T25" s="1248">
        <v>36.76403535</v>
      </c>
      <c r="U25" s="1248">
        <v>36.933179750000001</v>
      </c>
      <c r="V25" s="1248">
        <v>37.411928140000001</v>
      </c>
      <c r="W25" s="1248">
        <v>33.908306039999999</v>
      </c>
      <c r="X25" s="826">
        <v>0</v>
      </c>
      <c r="Y25" s="1251">
        <f t="shared" si="0"/>
        <v>34.208418989999998</v>
      </c>
      <c r="Z25" s="832">
        <v>0</v>
      </c>
      <c r="AA25" s="1700" t="s">
        <v>63</v>
      </c>
      <c r="AB25" s="832">
        <v>0</v>
      </c>
      <c r="AC25" s="1252" t="str">
        <f t="shared" si="2"/>
        <v/>
      </c>
      <c r="AD25" s="1252" t="str">
        <f t="shared" si="2"/>
        <v/>
      </c>
      <c r="AE25" s="1252">
        <f t="shared" si="2"/>
        <v>34.208418989999998</v>
      </c>
      <c r="AF25" s="1252" t="str">
        <f t="shared" si="2"/>
        <v/>
      </c>
      <c r="AG25" s="617"/>
      <c r="AH25" s="616"/>
      <c r="AI25" s="1699"/>
    </row>
    <row r="26" spans="1:35" s="459" customFormat="1">
      <c r="A26" s="719"/>
      <c r="B26" s="723"/>
      <c r="C26" s="721"/>
      <c r="D26" s="834"/>
      <c r="E26" s="722"/>
      <c r="F26" s="722"/>
      <c r="G26" s="722"/>
      <c r="H26" s="722"/>
      <c r="I26" s="722"/>
      <c r="J26" s="831"/>
      <c r="K26" s="1248"/>
      <c r="L26" s="1248"/>
      <c r="M26" s="1248"/>
      <c r="N26" s="1248"/>
      <c r="O26" s="1248"/>
      <c r="P26" s="1248"/>
      <c r="Q26" s="1248"/>
      <c r="R26" s="1248"/>
      <c r="S26" s="1248"/>
      <c r="T26" s="1248"/>
      <c r="U26" s="1248"/>
      <c r="V26" s="1248"/>
      <c r="W26" s="1248"/>
      <c r="X26" s="826"/>
      <c r="Y26" s="1251"/>
      <c r="Z26" s="832"/>
      <c r="AA26" s="1700"/>
      <c r="AB26" s="832"/>
      <c r="AC26" s="1252"/>
      <c r="AD26" s="1252"/>
      <c r="AE26" s="1252"/>
      <c r="AF26" s="1252"/>
      <c r="AG26" s="617"/>
      <c r="AH26" s="616"/>
      <c r="AI26" s="1699"/>
    </row>
    <row r="27" spans="1:35" s="459" customFormat="1">
      <c r="A27" s="719" t="s">
        <v>2292</v>
      </c>
      <c r="B27" s="723" t="s">
        <v>2293</v>
      </c>
      <c r="C27" s="721" t="s">
        <v>2269</v>
      </c>
      <c r="D27" s="834"/>
      <c r="E27" s="722">
        <v>118100</v>
      </c>
      <c r="F27" s="722">
        <v>144</v>
      </c>
      <c r="G27" s="722">
        <v>0</v>
      </c>
      <c r="H27" s="722">
        <v>550750</v>
      </c>
      <c r="I27" s="722">
        <v>904</v>
      </c>
      <c r="J27" s="831">
        <v>0</v>
      </c>
      <c r="K27" s="1248">
        <v>-6.0916860000000002</v>
      </c>
      <c r="L27" s="1248">
        <v>-6.3094590000000004</v>
      </c>
      <c r="M27" s="1248">
        <v>-6.006691</v>
      </c>
      <c r="N27" s="1248">
        <v>-6.6657669999999998</v>
      </c>
      <c r="O27" s="1248">
        <v>-6.5251510000000001</v>
      </c>
      <c r="P27" s="1248">
        <v>-6.736745</v>
      </c>
      <c r="Q27" s="1248">
        <v>-7.176437</v>
      </c>
      <c r="R27" s="1248">
        <v>-7.4324769999999996</v>
      </c>
      <c r="S27" s="1248">
        <v>-7.1346619999999996</v>
      </c>
      <c r="T27" s="1248">
        <v>-7.1650879999999999</v>
      </c>
      <c r="U27" s="1248">
        <v>-6.8186179999999998</v>
      </c>
      <c r="V27" s="1248">
        <v>-7.686477</v>
      </c>
      <c r="W27" s="1248">
        <v>-6.2052259999999997</v>
      </c>
      <c r="X27" s="826">
        <v>0</v>
      </c>
      <c r="Y27" s="1251">
        <f t="shared" si="0"/>
        <v>-6.7657295384615379</v>
      </c>
      <c r="Z27" s="832">
        <v>0</v>
      </c>
      <c r="AA27" s="1700" t="s">
        <v>104</v>
      </c>
      <c r="AB27" s="832">
        <v>0</v>
      </c>
      <c r="AC27" s="1252" t="str">
        <f t="shared" si="2"/>
        <v/>
      </c>
      <c r="AD27" s="1252" t="str">
        <f t="shared" si="2"/>
        <v/>
      </c>
      <c r="AE27" s="1252" t="str">
        <f t="shared" si="2"/>
        <v/>
      </c>
      <c r="AF27" s="1252">
        <f t="shared" si="2"/>
        <v>-6.7657295384615379</v>
      </c>
      <c r="AG27" s="617"/>
      <c r="AH27" s="616"/>
      <c r="AI27" s="1699"/>
    </row>
    <row r="28" spans="1:35" s="459" customFormat="1">
      <c r="A28" s="719" t="s">
        <v>2294</v>
      </c>
      <c r="B28" s="723" t="s">
        <v>2293</v>
      </c>
      <c r="C28" s="721" t="s">
        <v>2269</v>
      </c>
      <c r="D28" s="834"/>
      <c r="E28" s="722">
        <v>118150</v>
      </c>
      <c r="F28" s="722">
        <v>144</v>
      </c>
      <c r="G28" s="722">
        <v>0</v>
      </c>
      <c r="H28" s="722">
        <v>550750</v>
      </c>
      <c r="I28" s="722">
        <v>904</v>
      </c>
      <c r="J28" s="831">
        <v>0</v>
      </c>
      <c r="K28" s="1248">
        <v>-1.5232000000000001E-2</v>
      </c>
      <c r="L28" s="1248">
        <v>-1.8319999999999999E-2</v>
      </c>
      <c r="M28" s="1248">
        <v>-2.4861000000000001E-2</v>
      </c>
      <c r="N28" s="1248">
        <v>-1.6525000000000001E-2</v>
      </c>
      <c r="O28" s="1248">
        <v>-1.1478E-2</v>
      </c>
      <c r="P28" s="1248">
        <v>-8.3370000000000007E-3</v>
      </c>
      <c r="Q28" s="1248">
        <v>-1.4819000000000001E-2</v>
      </c>
      <c r="R28" s="1248">
        <v>-1.7136999999999999E-2</v>
      </c>
      <c r="S28" s="1248">
        <v>-1.0845E-2</v>
      </c>
      <c r="T28" s="1248">
        <v>-1.0340999999999999E-2</v>
      </c>
      <c r="U28" s="1248">
        <v>-8.9320000000000007E-3</v>
      </c>
      <c r="V28" s="1248">
        <v>-9.9679999999999994E-3</v>
      </c>
      <c r="W28" s="1248">
        <v>-9.0259999999999993E-3</v>
      </c>
      <c r="X28" s="826">
        <v>0</v>
      </c>
      <c r="Y28" s="1251">
        <f t="shared" si="0"/>
        <v>-1.3524692307692309E-2</v>
      </c>
      <c r="Z28" s="832">
        <v>0</v>
      </c>
      <c r="AA28" s="1700" t="s">
        <v>104</v>
      </c>
      <c r="AB28" s="832">
        <v>0</v>
      </c>
      <c r="AC28" s="1252" t="str">
        <f t="shared" si="2"/>
        <v/>
      </c>
      <c r="AD28" s="1252" t="str">
        <f t="shared" si="2"/>
        <v/>
      </c>
      <c r="AE28" s="1252" t="str">
        <f t="shared" si="2"/>
        <v/>
      </c>
      <c r="AF28" s="1252">
        <f t="shared" si="2"/>
        <v>-1.3524692307692309E-2</v>
      </c>
      <c r="AG28" s="617"/>
      <c r="AH28" s="616"/>
      <c r="AI28" s="1699"/>
    </row>
    <row r="29" spans="1:35" s="459" customFormat="1">
      <c r="A29" s="719" t="s">
        <v>2295</v>
      </c>
      <c r="B29" s="723" t="s">
        <v>2296</v>
      </c>
      <c r="C29" s="721" t="s">
        <v>2269</v>
      </c>
      <c r="D29" s="834"/>
      <c r="E29" s="722">
        <v>118155</v>
      </c>
      <c r="F29" s="722">
        <v>172</v>
      </c>
      <c r="G29" s="722">
        <v>0</v>
      </c>
      <c r="H29" s="722">
        <v>301869</v>
      </c>
      <c r="I29" s="722">
        <v>454.1</v>
      </c>
      <c r="J29" s="831">
        <v>0</v>
      </c>
      <c r="K29" s="1248">
        <v>-7.1722220000000003E-2</v>
      </c>
      <c r="L29" s="1248">
        <v>-4.5863010000000003E-2</v>
      </c>
      <c r="M29" s="1248">
        <v>-5.9297870000000003E-2</v>
      </c>
      <c r="N29" s="1248">
        <v>-8.2896380000000006E-2</v>
      </c>
      <c r="O29" s="1248">
        <v>-8.5288470000000005E-2</v>
      </c>
      <c r="P29" s="1248">
        <v>-7.4726699999999993E-2</v>
      </c>
      <c r="Q29" s="1248">
        <v>-7.1538259999999992E-2</v>
      </c>
      <c r="R29" s="1248">
        <v>-7.593316E-2</v>
      </c>
      <c r="S29" s="1248">
        <v>-5.2969389999999998E-2</v>
      </c>
      <c r="T29" s="1248">
        <v>-6.241244E-2</v>
      </c>
      <c r="U29" s="1248">
        <v>-5.718181E-2</v>
      </c>
      <c r="V29" s="1248">
        <v>-5.397685E-2</v>
      </c>
      <c r="W29" s="1248">
        <v>-5.8915139999999998E-2</v>
      </c>
      <c r="X29" s="826">
        <v>0</v>
      </c>
      <c r="Y29" s="1251">
        <f t="shared" si="0"/>
        <v>-6.5593976923076919E-2</v>
      </c>
      <c r="Z29" s="832">
        <v>0</v>
      </c>
      <c r="AA29" s="1700" t="s">
        <v>104</v>
      </c>
      <c r="AB29" s="832">
        <v>0</v>
      </c>
      <c r="AC29" s="1252" t="str">
        <f t="shared" si="2"/>
        <v/>
      </c>
      <c r="AD29" s="1252" t="str">
        <f t="shared" si="2"/>
        <v/>
      </c>
      <c r="AE29" s="1252" t="str">
        <f t="shared" si="2"/>
        <v/>
      </c>
      <c r="AF29" s="1252">
        <f t="shared" si="2"/>
        <v>-6.5593976923076919E-2</v>
      </c>
      <c r="AG29" s="617"/>
      <c r="AH29" s="616"/>
      <c r="AI29" s="1699"/>
    </row>
    <row r="30" spans="1:35" s="459" customFormat="1">
      <c r="A30" s="719" t="s">
        <v>2297</v>
      </c>
      <c r="B30" s="723" t="s">
        <v>2298</v>
      </c>
      <c r="C30" s="721" t="s">
        <v>2269</v>
      </c>
      <c r="D30" s="834"/>
      <c r="E30" s="722">
        <v>118157</v>
      </c>
      <c r="F30" s="722">
        <v>144</v>
      </c>
      <c r="G30" s="722"/>
      <c r="H30" s="722">
        <v>550776</v>
      </c>
      <c r="I30" s="722">
        <v>904.2</v>
      </c>
      <c r="J30" s="831"/>
      <c r="K30" s="1248">
        <v>-0.77497651000000001</v>
      </c>
      <c r="L30" s="1248">
        <v>-0.73131639999999998</v>
      </c>
      <c r="M30" s="1248">
        <v>-0.80439928999999999</v>
      </c>
      <c r="N30" s="1248">
        <v>-0.80935893000000003</v>
      </c>
      <c r="O30" s="1248">
        <v>-0.76776355000000007</v>
      </c>
      <c r="P30" s="1248">
        <v>-0.79018303000000001</v>
      </c>
      <c r="Q30" s="1248">
        <v>-0.80321750000000003</v>
      </c>
      <c r="R30" s="1248">
        <v>-0.82177018999999996</v>
      </c>
      <c r="S30" s="1248">
        <v>-0.81350385999999997</v>
      </c>
      <c r="T30" s="1248">
        <v>-0.80714193000000001</v>
      </c>
      <c r="U30" s="1248">
        <v>-0.78239349000000002</v>
      </c>
      <c r="V30" s="1248">
        <v>-0.78200493999999998</v>
      </c>
      <c r="W30" s="1248">
        <v>-0.75894638999999997</v>
      </c>
      <c r="X30" s="826"/>
      <c r="Y30" s="1251">
        <f t="shared" si="0"/>
        <v>-0.78822892384615395</v>
      </c>
      <c r="Z30" s="832"/>
      <c r="AA30" s="1700" t="s">
        <v>104</v>
      </c>
      <c r="AB30" s="832"/>
      <c r="AC30" s="1252" t="str">
        <f t="shared" si="2"/>
        <v/>
      </c>
      <c r="AD30" s="1252" t="str">
        <f t="shared" si="2"/>
        <v/>
      </c>
      <c r="AE30" s="1252" t="str">
        <f t="shared" si="2"/>
        <v/>
      </c>
      <c r="AF30" s="1252">
        <f t="shared" si="2"/>
        <v>-0.78822892384615395</v>
      </c>
      <c r="AG30" s="617"/>
      <c r="AH30" s="616"/>
      <c r="AI30" s="1699"/>
    </row>
    <row r="31" spans="1:35" s="459" customFormat="1">
      <c r="A31" s="719" t="s">
        <v>2299</v>
      </c>
      <c r="B31" s="723" t="s">
        <v>2290</v>
      </c>
      <c r="C31" s="721" t="s">
        <v>2269</v>
      </c>
      <c r="D31" s="834"/>
      <c r="E31" s="722">
        <v>118168</v>
      </c>
      <c r="F31" s="722">
        <v>144</v>
      </c>
      <c r="G31" s="722">
        <v>0</v>
      </c>
      <c r="H31" s="722">
        <v>550750</v>
      </c>
      <c r="I31" s="722">
        <v>904</v>
      </c>
      <c r="J31" s="831">
        <v>0</v>
      </c>
      <c r="K31" s="1248">
        <v>-5.8543039999999998E-2</v>
      </c>
      <c r="L31" s="1248">
        <v>-5.8543039999999998E-2</v>
      </c>
      <c r="M31" s="1248">
        <v>-5.8543039999999998E-2</v>
      </c>
      <c r="N31" s="1248">
        <v>-6.6936750000000003E-2</v>
      </c>
      <c r="O31" s="1248">
        <v>-6.4682260000000005E-2</v>
      </c>
      <c r="P31" s="1248">
        <v>-6.4682260000000005E-2</v>
      </c>
      <c r="Q31" s="1248">
        <v>-7.9682259999999991E-2</v>
      </c>
      <c r="R31" s="1248">
        <v>-7.8082260000000001E-2</v>
      </c>
      <c r="S31" s="1248">
        <v>-7.8082260000000001E-2</v>
      </c>
      <c r="T31" s="1248">
        <v>-7.7955570000000002E-2</v>
      </c>
      <c r="U31" s="1248">
        <v>-7.7955570000000002E-2</v>
      </c>
      <c r="V31" s="1248">
        <v>-7.6855570000000012E-2</v>
      </c>
      <c r="W31" s="1248">
        <v>-7.6855570000000012E-2</v>
      </c>
      <c r="X31" s="826">
        <v>0</v>
      </c>
      <c r="Y31" s="1251">
        <f t="shared" si="0"/>
        <v>-7.0569188461538451E-2</v>
      </c>
      <c r="Z31" s="832">
        <v>0</v>
      </c>
      <c r="AA31" s="1700" t="s">
        <v>104</v>
      </c>
      <c r="AB31" s="832">
        <v>0</v>
      </c>
      <c r="AC31" s="1252" t="str">
        <f t="shared" si="2"/>
        <v/>
      </c>
      <c r="AD31" s="1252" t="str">
        <f t="shared" si="2"/>
        <v/>
      </c>
      <c r="AE31" s="1252" t="str">
        <f t="shared" si="2"/>
        <v/>
      </c>
      <c r="AF31" s="1252">
        <f t="shared" si="2"/>
        <v>-7.0569188461538451E-2</v>
      </c>
      <c r="AG31" s="617"/>
      <c r="AH31" s="616"/>
      <c r="AI31" s="1699"/>
    </row>
    <row r="32" spans="1:35" s="459" customFormat="1">
      <c r="A32" s="719" t="s">
        <v>2300</v>
      </c>
      <c r="B32" s="723" t="s">
        <v>2290</v>
      </c>
      <c r="C32" s="721" t="s">
        <v>2269</v>
      </c>
      <c r="D32" s="834"/>
      <c r="E32" s="722">
        <v>118175</v>
      </c>
      <c r="F32" s="722">
        <v>144</v>
      </c>
      <c r="G32" s="722">
        <v>0</v>
      </c>
      <c r="H32" s="722">
        <v>550775</v>
      </c>
      <c r="I32" s="722">
        <v>904</v>
      </c>
      <c r="J32" s="831">
        <v>0</v>
      </c>
      <c r="K32" s="1248">
        <v>-6.6057599999999994E-2</v>
      </c>
      <c r="L32" s="1248">
        <v>-6.6057600000000008E-2</v>
      </c>
      <c r="M32" s="1248">
        <v>-6.6057600000000008E-2</v>
      </c>
      <c r="N32" s="1248">
        <v>-6.6057600000000008E-2</v>
      </c>
      <c r="O32" s="1248">
        <v>-0.33355232000000001</v>
      </c>
      <c r="P32" s="1248">
        <v>-0.46292946999999995</v>
      </c>
      <c r="Q32" s="1248">
        <v>-0.59230662000000001</v>
      </c>
      <c r="R32" s="1248">
        <v>-0.59230662000000001</v>
      </c>
      <c r="S32" s="1248">
        <v>-0.59230662000000001</v>
      </c>
      <c r="T32" s="1248">
        <v>-0.72729012000000004</v>
      </c>
      <c r="U32" s="1248">
        <v>-6.6057600000000008E-2</v>
      </c>
      <c r="V32" s="1248">
        <v>-6.6057600000000008E-2</v>
      </c>
      <c r="W32" s="1248">
        <v>-6.6057600000000008E-2</v>
      </c>
      <c r="X32" s="826">
        <v>0</v>
      </c>
      <c r="Y32" s="1251">
        <f t="shared" si="0"/>
        <v>-0.2894688438461539</v>
      </c>
      <c r="Z32" s="832">
        <v>0</v>
      </c>
      <c r="AA32" s="1700" t="s">
        <v>104</v>
      </c>
      <c r="AB32" s="832">
        <v>0</v>
      </c>
      <c r="AC32" s="1252" t="str">
        <f t="shared" si="2"/>
        <v/>
      </c>
      <c r="AD32" s="1252" t="str">
        <f t="shared" si="2"/>
        <v/>
      </c>
      <c r="AE32" s="1252" t="str">
        <f t="shared" si="2"/>
        <v/>
      </c>
      <c r="AF32" s="1252">
        <f t="shared" si="2"/>
        <v>-0.2894688438461539</v>
      </c>
      <c r="AG32" s="617"/>
      <c r="AH32" s="616"/>
      <c r="AI32" s="1699"/>
    </row>
    <row r="33" spans="1:35" s="459" customFormat="1">
      <c r="A33" s="719" t="s">
        <v>2301</v>
      </c>
      <c r="B33" s="723" t="s">
        <v>2293</v>
      </c>
      <c r="C33" s="721" t="s">
        <v>2269</v>
      </c>
      <c r="D33" s="834"/>
      <c r="E33" s="722">
        <v>118200</v>
      </c>
      <c r="F33" s="722">
        <v>173</v>
      </c>
      <c r="G33" s="722">
        <v>0</v>
      </c>
      <c r="H33" s="722">
        <v>301119</v>
      </c>
      <c r="I33" s="722">
        <v>440.1</v>
      </c>
      <c r="J33" s="831">
        <v>0</v>
      </c>
      <c r="K33" s="1248">
        <v>-0.254</v>
      </c>
      <c r="L33" s="1248">
        <v>-0.187</v>
      </c>
      <c r="M33" s="1248">
        <v>-0.16500000000000001</v>
      </c>
      <c r="N33" s="1248">
        <v>-0.17199999999999999</v>
      </c>
      <c r="O33" s="1248">
        <v>-0.16200000000000001</v>
      </c>
      <c r="P33" s="1248">
        <v>-0.17599999999999999</v>
      </c>
      <c r="Q33" s="1248">
        <v>-0.187</v>
      </c>
      <c r="R33" s="1248">
        <v>-0.20499999999999999</v>
      </c>
      <c r="S33" s="1248">
        <v>-0.221</v>
      </c>
      <c r="T33" s="1248">
        <v>-0.184</v>
      </c>
      <c r="U33" s="1248">
        <v>-0.19600000000000001</v>
      </c>
      <c r="V33" s="1248">
        <v>-0.20499999999999999</v>
      </c>
      <c r="W33" s="1248">
        <v>-0.251</v>
      </c>
      <c r="X33" s="826">
        <v>0</v>
      </c>
      <c r="Y33" s="1251">
        <f t="shared" si="0"/>
        <v>-0.19730769230769235</v>
      </c>
      <c r="Z33" s="832">
        <v>0</v>
      </c>
      <c r="AA33" s="1700" t="s">
        <v>104</v>
      </c>
      <c r="AB33" s="832">
        <v>0</v>
      </c>
      <c r="AC33" s="1252" t="str">
        <f t="shared" si="2"/>
        <v/>
      </c>
      <c r="AD33" s="1252" t="str">
        <f t="shared" si="2"/>
        <v/>
      </c>
      <c r="AE33" s="1252" t="str">
        <f t="shared" si="2"/>
        <v/>
      </c>
      <c r="AF33" s="1252">
        <f t="shared" si="2"/>
        <v>-0.19730769230769235</v>
      </c>
      <c r="AG33" s="617"/>
      <c r="AH33" s="616"/>
      <c r="AI33" s="1699"/>
    </row>
    <row r="34" spans="1:35" s="459" customFormat="1">
      <c r="A34" s="719" t="s">
        <v>2302</v>
      </c>
      <c r="B34" s="723" t="s">
        <v>2293</v>
      </c>
      <c r="C34" s="721" t="s">
        <v>2269</v>
      </c>
      <c r="D34" s="834"/>
      <c r="E34" s="722">
        <v>118300</v>
      </c>
      <c r="F34" s="722">
        <v>173</v>
      </c>
      <c r="G34" s="722">
        <v>0</v>
      </c>
      <c r="H34" s="722">
        <v>301119</v>
      </c>
      <c r="I34" s="722">
        <v>440.1</v>
      </c>
      <c r="J34" s="831">
        <v>0</v>
      </c>
      <c r="K34" s="1248">
        <v>-0.374</v>
      </c>
      <c r="L34" s="1248">
        <v>-0.28299999999999997</v>
      </c>
      <c r="M34" s="1248">
        <v>-0.26300000000000001</v>
      </c>
      <c r="N34" s="1248">
        <v>-0.27200000000000002</v>
      </c>
      <c r="O34" s="1248">
        <v>-0.27900000000000003</v>
      </c>
      <c r="P34" s="1248">
        <v>-0.32400000000000001</v>
      </c>
      <c r="Q34" s="1248">
        <v>-0.40699999999999997</v>
      </c>
      <c r="R34" s="1248">
        <v>-0.41599999999999998</v>
      </c>
      <c r="S34" s="1248">
        <v>-0.40200000000000002</v>
      </c>
      <c r="T34" s="1248">
        <v>-0.33300000000000002</v>
      </c>
      <c r="U34" s="1248">
        <v>-0.314</v>
      </c>
      <c r="V34" s="1248">
        <v>-0.30099999999999999</v>
      </c>
      <c r="W34" s="1248">
        <v>-0.32400000000000001</v>
      </c>
      <c r="X34" s="826">
        <v>0</v>
      </c>
      <c r="Y34" s="1251">
        <f t="shared" si="0"/>
        <v>-0.33015384615384619</v>
      </c>
      <c r="Z34" s="832">
        <v>0</v>
      </c>
      <c r="AA34" s="1700" t="s">
        <v>104</v>
      </c>
      <c r="AB34" s="832">
        <v>0</v>
      </c>
      <c r="AC34" s="1252" t="str">
        <f t="shared" si="2"/>
        <v/>
      </c>
      <c r="AD34" s="1252" t="str">
        <f t="shared" si="2"/>
        <v/>
      </c>
      <c r="AE34" s="1252" t="str">
        <f t="shared" si="2"/>
        <v/>
      </c>
      <c r="AF34" s="1252">
        <f t="shared" si="2"/>
        <v>-0.33015384615384619</v>
      </c>
      <c r="AG34" s="617"/>
      <c r="AH34" s="616"/>
      <c r="AI34" s="1699"/>
    </row>
    <row r="35" spans="1:35" s="459" customFormat="1">
      <c r="A35" s="719"/>
      <c r="B35" s="723"/>
      <c r="C35" s="721"/>
      <c r="D35" s="834"/>
      <c r="E35" s="722"/>
      <c r="F35" s="722"/>
      <c r="G35" s="722"/>
      <c r="H35" s="722"/>
      <c r="I35" s="722"/>
      <c r="J35" s="831"/>
      <c r="K35" s="1248"/>
      <c r="L35" s="1248"/>
      <c r="M35" s="1248"/>
      <c r="N35" s="1248"/>
      <c r="O35" s="1248"/>
      <c r="P35" s="1248"/>
      <c r="Q35" s="1248"/>
      <c r="R35" s="1248"/>
      <c r="S35" s="1248"/>
      <c r="T35" s="1248"/>
      <c r="U35" s="1248"/>
      <c r="V35" s="1248"/>
      <c r="W35" s="1248"/>
      <c r="X35" s="826"/>
      <c r="Y35" s="1251"/>
      <c r="Z35" s="832"/>
      <c r="AA35" s="1700"/>
      <c r="AB35" s="832"/>
      <c r="AC35" s="1252"/>
      <c r="AD35" s="1252"/>
      <c r="AE35" s="1252"/>
      <c r="AF35" s="1252"/>
      <c r="AG35" s="617"/>
      <c r="AH35" s="616"/>
      <c r="AI35" s="1699"/>
    </row>
    <row r="36" spans="1:35" s="459" customFormat="1">
      <c r="A36" s="719" t="s">
        <v>2303</v>
      </c>
      <c r="B36" s="723" t="s">
        <v>2304</v>
      </c>
      <c r="C36" s="721" t="s">
        <v>2269</v>
      </c>
      <c r="D36" s="834"/>
      <c r="E36" s="722">
        <v>120930</v>
      </c>
      <c r="F36" s="722">
        <v>154.99</v>
      </c>
      <c r="G36" s="722">
        <v>0</v>
      </c>
      <c r="H36" s="722">
        <v>516400</v>
      </c>
      <c r="I36" s="722">
        <v>557</v>
      </c>
      <c r="J36" s="831">
        <v>0</v>
      </c>
      <c r="K36" s="1248">
        <v>-0.60151915</v>
      </c>
      <c r="L36" s="1248">
        <v>-0.60151915</v>
      </c>
      <c r="M36" s="1248">
        <v>-0.60151915</v>
      </c>
      <c r="N36" s="1248">
        <v>-1.21503059</v>
      </c>
      <c r="O36" s="1248">
        <v>-1.21503059</v>
      </c>
      <c r="P36" s="1248">
        <v>-1.21503059</v>
      </c>
      <c r="Q36" s="1248">
        <v>-2.28049407</v>
      </c>
      <c r="R36" s="1248">
        <v>-2.28049407</v>
      </c>
      <c r="S36" s="1248">
        <v>-0.18078186999999998</v>
      </c>
      <c r="T36" s="1248">
        <v>-0.57860549999999999</v>
      </c>
      <c r="U36" s="1248">
        <v>-0.57860549999999999</v>
      </c>
      <c r="V36" s="1248">
        <v>-0.57860549999999999</v>
      </c>
      <c r="W36" s="1248">
        <v>-0.72062959999999998</v>
      </c>
      <c r="X36" s="826">
        <v>0</v>
      </c>
      <c r="Y36" s="1251">
        <f t="shared" si="0"/>
        <v>-0.97291271769230769</v>
      </c>
      <c r="Z36" s="832">
        <v>0</v>
      </c>
      <c r="AA36" s="1700" t="s">
        <v>104</v>
      </c>
      <c r="AB36" s="832">
        <v>0</v>
      </c>
      <c r="AC36" s="1252" t="str">
        <f t="shared" si="2"/>
        <v/>
      </c>
      <c r="AD36" s="1252" t="str">
        <f t="shared" si="2"/>
        <v/>
      </c>
      <c r="AE36" s="1252" t="str">
        <f t="shared" si="2"/>
        <v/>
      </c>
      <c r="AF36" s="1252">
        <f t="shared" si="2"/>
        <v>-0.97291271769230769</v>
      </c>
      <c r="AG36" s="617"/>
      <c r="AH36" s="616"/>
      <c r="AI36" s="1699"/>
    </row>
    <row r="37" spans="1:35" s="459" customFormat="1">
      <c r="A37" s="719" t="s">
        <v>2305</v>
      </c>
      <c r="B37" s="723" t="s">
        <v>2306</v>
      </c>
      <c r="C37" s="721" t="s">
        <v>2269</v>
      </c>
      <c r="D37" s="834"/>
      <c r="E37" s="722">
        <v>120932</v>
      </c>
      <c r="F37" s="722">
        <v>154.99</v>
      </c>
      <c r="G37" s="722">
        <v>0</v>
      </c>
      <c r="H37" s="722">
        <v>516900</v>
      </c>
      <c r="I37" s="722" t="s">
        <v>2307</v>
      </c>
      <c r="J37" s="831">
        <v>0</v>
      </c>
      <c r="K37" s="1248">
        <v>-1.5594819900000001</v>
      </c>
      <c r="L37" s="1248">
        <v>-1.3926953500000001</v>
      </c>
      <c r="M37" s="1248">
        <v>-1.3706075500000001</v>
      </c>
      <c r="N37" s="1248">
        <v>-1.4082674199999998</v>
      </c>
      <c r="O37" s="1248">
        <v>-1.5528196200000002</v>
      </c>
      <c r="P37" s="1248">
        <v>-1.5885009800000001</v>
      </c>
      <c r="Q37" s="1248">
        <v>-1.5207614199999999</v>
      </c>
      <c r="R37" s="1248">
        <v>-1.4338547099999999</v>
      </c>
      <c r="S37" s="1248">
        <v>-1.3433651100000001</v>
      </c>
      <c r="T37" s="1248">
        <v>-1.3694659</v>
      </c>
      <c r="U37" s="1248">
        <v>-1.4303848000000001</v>
      </c>
      <c r="V37" s="1248">
        <v>-1.3775893300000002</v>
      </c>
      <c r="W37" s="1248">
        <v>-1.85016059</v>
      </c>
      <c r="X37" s="826">
        <v>0</v>
      </c>
      <c r="Y37" s="1251">
        <f t="shared" si="0"/>
        <v>-1.4767657515384618</v>
      </c>
      <c r="Z37" s="832">
        <v>0</v>
      </c>
      <c r="AA37" s="1700" t="s">
        <v>104</v>
      </c>
      <c r="AB37" s="832">
        <v>0</v>
      </c>
      <c r="AC37" s="1252" t="str">
        <f t="shared" si="2"/>
        <v/>
      </c>
      <c r="AD37" s="1252" t="str">
        <f t="shared" si="2"/>
        <v/>
      </c>
      <c r="AE37" s="1252" t="str">
        <f t="shared" si="2"/>
        <v/>
      </c>
      <c r="AF37" s="1252">
        <f t="shared" si="2"/>
        <v>-1.4767657515384618</v>
      </c>
      <c r="AG37" s="617"/>
      <c r="AH37" s="616"/>
      <c r="AI37" s="1699"/>
    </row>
    <row r="38" spans="1:35" s="459" customFormat="1">
      <c r="A38" s="719" t="s">
        <v>2308</v>
      </c>
      <c r="B38" s="723" t="s">
        <v>2309</v>
      </c>
      <c r="C38" s="721" t="s">
        <v>2269</v>
      </c>
      <c r="D38" s="834"/>
      <c r="E38" s="722">
        <v>120933</v>
      </c>
      <c r="F38" s="722">
        <v>154.99</v>
      </c>
      <c r="G38" s="722">
        <v>0</v>
      </c>
      <c r="H38" s="722">
        <v>516900</v>
      </c>
      <c r="I38" s="722" t="s">
        <v>2307</v>
      </c>
      <c r="J38" s="831">
        <v>0</v>
      </c>
      <c r="K38" s="1248">
        <v>-0.77823456000000002</v>
      </c>
      <c r="L38" s="1248">
        <v>-0.77823456000000002</v>
      </c>
      <c r="M38" s="1248">
        <v>-0.77823456000000002</v>
      </c>
      <c r="N38" s="1248">
        <v>-0.76115631000000006</v>
      </c>
      <c r="O38" s="1248">
        <v>-0.76115631000000006</v>
      </c>
      <c r="P38" s="1248">
        <v>-0.75890188000000003</v>
      </c>
      <c r="Q38" s="1248">
        <v>-0.63599983999999998</v>
      </c>
      <c r="R38" s="1248">
        <v>-0.59425474</v>
      </c>
      <c r="S38" s="1248">
        <v>-0.59349428000000004</v>
      </c>
      <c r="T38" s="1248">
        <v>-0.62340713999999997</v>
      </c>
      <c r="U38" s="1248">
        <v>-0.62340713999999997</v>
      </c>
      <c r="V38" s="1248">
        <v>-0.62002869999999999</v>
      </c>
      <c r="W38" s="1248">
        <v>-0.67424117000000006</v>
      </c>
      <c r="X38" s="826">
        <v>0</v>
      </c>
      <c r="Y38" s="1251">
        <f t="shared" si="0"/>
        <v>-0.69082701461538476</v>
      </c>
      <c r="Z38" s="832">
        <v>0</v>
      </c>
      <c r="AA38" s="1700" t="s">
        <v>104</v>
      </c>
      <c r="AB38" s="832">
        <v>0</v>
      </c>
      <c r="AC38" s="1252" t="str">
        <f t="shared" si="2"/>
        <v/>
      </c>
      <c r="AD38" s="1252" t="str">
        <f t="shared" si="2"/>
        <v/>
      </c>
      <c r="AE38" s="1252" t="str">
        <f t="shared" si="2"/>
        <v/>
      </c>
      <c r="AF38" s="1252">
        <f t="shared" si="2"/>
        <v>-0.69082701461538476</v>
      </c>
      <c r="AG38" s="617"/>
      <c r="AH38" s="616"/>
      <c r="AI38" s="1699"/>
    </row>
    <row r="39" spans="1:35" s="459" customFormat="1">
      <c r="A39" s="719" t="s">
        <v>2310</v>
      </c>
      <c r="B39" s="723" t="s">
        <v>2311</v>
      </c>
      <c r="C39" s="721" t="s">
        <v>2269</v>
      </c>
      <c r="D39" s="834"/>
      <c r="E39" s="722">
        <v>148001</v>
      </c>
      <c r="F39" s="722">
        <v>107</v>
      </c>
      <c r="G39" s="722"/>
      <c r="H39" s="722">
        <v>554990</v>
      </c>
      <c r="I39" s="722" t="s">
        <v>2312</v>
      </c>
      <c r="J39" s="831"/>
      <c r="K39" s="1248">
        <v>-1.93031635</v>
      </c>
      <c r="L39" s="1248">
        <v>-1.96631635</v>
      </c>
      <c r="M39" s="1248">
        <v>-1.8533163500000001</v>
      </c>
      <c r="N39" s="1248">
        <v>-1.4903163500000001</v>
      </c>
      <c r="O39" s="1248">
        <v>-1.48275036</v>
      </c>
      <c r="P39" s="1248">
        <v>-1.5947503600000001</v>
      </c>
      <c r="Q39" s="1248">
        <v>-1.7257503600000001</v>
      </c>
      <c r="R39" s="1248">
        <v>-1.8627503600000002</v>
      </c>
      <c r="S39" s="1248">
        <v>-1.9077503600000001</v>
      </c>
      <c r="T39" s="1248">
        <v>-1.5257503600000002</v>
      </c>
      <c r="U39" s="1248">
        <v>-1.4977503600000002</v>
      </c>
      <c r="V39" s="1248">
        <v>-1.5187503600000001</v>
      </c>
      <c r="W39" s="1248">
        <v>-1.53578974</v>
      </c>
      <c r="X39" s="826"/>
      <c r="Y39" s="1251">
        <f t="shared" si="0"/>
        <v>-1.6840044630769231</v>
      </c>
      <c r="Z39" s="832"/>
      <c r="AA39" s="1700" t="s">
        <v>104</v>
      </c>
      <c r="AB39" s="832"/>
      <c r="AC39" s="1252" t="str">
        <f t="shared" si="2"/>
        <v/>
      </c>
      <c r="AD39" s="1252" t="str">
        <f t="shared" si="2"/>
        <v/>
      </c>
      <c r="AE39" s="1252" t="str">
        <f t="shared" si="2"/>
        <v/>
      </c>
      <c r="AF39" s="1252">
        <f t="shared" si="2"/>
        <v>-1.6840044630769231</v>
      </c>
      <c r="AG39" s="617"/>
      <c r="AH39" s="616"/>
      <c r="AI39" s="1699"/>
    </row>
    <row r="40" spans="1:35" s="459" customFormat="1">
      <c r="A40" s="719" t="s">
        <v>2313</v>
      </c>
      <c r="B40" s="723" t="s">
        <v>2314</v>
      </c>
      <c r="C40" s="721" t="s">
        <v>2269</v>
      </c>
      <c r="D40" s="834"/>
      <c r="E40" s="722">
        <v>162010</v>
      </c>
      <c r="F40" s="722">
        <v>124.9</v>
      </c>
      <c r="G40" s="722">
        <v>0</v>
      </c>
      <c r="H40" s="722">
        <v>550750</v>
      </c>
      <c r="I40" s="722">
        <v>904</v>
      </c>
      <c r="J40" s="831">
        <v>0</v>
      </c>
      <c r="K40" s="1248">
        <v>-0.10282039999999999</v>
      </c>
      <c r="L40" s="1248">
        <v>-0.10282038</v>
      </c>
      <c r="M40" s="1248">
        <v>-0.10282091</v>
      </c>
      <c r="N40" s="1248">
        <v>-0.10911811</v>
      </c>
      <c r="O40" s="1248">
        <v>-0.11947227000000001</v>
      </c>
      <c r="P40" s="1248">
        <v>-0.1189292</v>
      </c>
      <c r="Q40" s="1248">
        <v>-0.11870195</v>
      </c>
      <c r="R40" s="1248">
        <v>-0.11870195</v>
      </c>
      <c r="S40" s="1248">
        <v>-0.11870203999999999</v>
      </c>
      <c r="T40" s="1248">
        <v>-0.11857233</v>
      </c>
      <c r="U40" s="1248">
        <v>-0.12497072000000001</v>
      </c>
      <c r="V40" s="1248">
        <v>-0.12497072000000001</v>
      </c>
      <c r="W40" s="1248">
        <v>-0.12461669</v>
      </c>
      <c r="X40" s="826">
        <v>0</v>
      </c>
      <c r="Y40" s="1251">
        <f t="shared" si="0"/>
        <v>-0.11578597461538463</v>
      </c>
      <c r="Z40" s="832">
        <v>0</v>
      </c>
      <c r="AA40" s="1700" t="s">
        <v>104</v>
      </c>
      <c r="AB40" s="832">
        <v>0</v>
      </c>
      <c r="AC40" s="1252" t="str">
        <f t="shared" si="2"/>
        <v/>
      </c>
      <c r="AD40" s="1252" t="str">
        <f t="shared" si="2"/>
        <v/>
      </c>
      <c r="AE40" s="1252" t="str">
        <f t="shared" si="2"/>
        <v/>
      </c>
      <c r="AF40" s="1252">
        <f t="shared" si="2"/>
        <v>-0.11578597461538463</v>
      </c>
      <c r="AG40" s="617"/>
      <c r="AH40" s="616"/>
      <c r="AI40" s="1699"/>
    </row>
    <row r="41" spans="1:35" s="459" customFormat="1">
      <c r="A41" s="719"/>
      <c r="B41" s="723"/>
      <c r="C41" s="721"/>
      <c r="D41" s="834"/>
      <c r="E41" s="722"/>
      <c r="F41" s="722"/>
      <c r="G41" s="722"/>
      <c r="H41" s="722"/>
      <c r="I41" s="722"/>
      <c r="J41" s="831"/>
      <c r="K41" s="1248"/>
      <c r="L41" s="1248"/>
      <c r="M41" s="1248"/>
      <c r="N41" s="1248"/>
      <c r="O41" s="1248"/>
      <c r="P41" s="1248"/>
      <c r="Q41" s="1248"/>
      <c r="R41" s="1248"/>
      <c r="S41" s="1248"/>
      <c r="T41" s="1248"/>
      <c r="U41" s="1248"/>
      <c r="V41" s="1248"/>
      <c r="W41" s="1248"/>
      <c r="X41" s="826"/>
      <c r="Y41" s="1251"/>
      <c r="Z41" s="832"/>
      <c r="AA41" s="1700"/>
      <c r="AB41" s="832"/>
      <c r="AC41" s="1252"/>
      <c r="AD41" s="1252"/>
      <c r="AE41" s="1252"/>
      <c r="AF41" s="1252"/>
      <c r="AG41" s="617"/>
      <c r="AH41" s="616"/>
      <c r="AI41" s="1699"/>
    </row>
    <row r="42" spans="1:35" s="459" customFormat="1">
      <c r="A42" s="719" t="s">
        <v>2315</v>
      </c>
      <c r="B42" s="723" t="s">
        <v>2316</v>
      </c>
      <c r="C42" s="721" t="s">
        <v>2269</v>
      </c>
      <c r="D42" s="834"/>
      <c r="E42" s="722">
        <v>210649</v>
      </c>
      <c r="F42" s="722">
        <v>232</v>
      </c>
      <c r="G42" s="722">
        <v>0</v>
      </c>
      <c r="H42" s="722">
        <v>515100</v>
      </c>
      <c r="I42" s="722">
        <v>501.1</v>
      </c>
      <c r="J42" s="831">
        <v>0</v>
      </c>
      <c r="K42" s="1248">
        <v>0</v>
      </c>
      <c r="L42" s="1248">
        <v>0</v>
      </c>
      <c r="M42" s="1248">
        <v>0</v>
      </c>
      <c r="N42" s="1248">
        <v>0</v>
      </c>
      <c r="O42" s="1248">
        <v>0</v>
      </c>
      <c r="P42" s="1248">
        <v>0</v>
      </c>
      <c r="Q42" s="1248">
        <v>0</v>
      </c>
      <c r="R42" s="1248">
        <v>0</v>
      </c>
      <c r="S42" s="1248">
        <v>0</v>
      </c>
      <c r="T42" s="1248">
        <v>0</v>
      </c>
      <c r="U42" s="1248">
        <v>0</v>
      </c>
      <c r="V42" s="1248">
        <v>0</v>
      </c>
      <c r="W42" s="1248">
        <v>0</v>
      </c>
      <c r="X42" s="826">
        <v>0</v>
      </c>
      <c r="Y42" s="1251">
        <f t="shared" si="0"/>
        <v>0</v>
      </c>
      <c r="Z42" s="832">
        <v>0</v>
      </c>
      <c r="AA42" s="1700" t="s">
        <v>104</v>
      </c>
      <c r="AB42" s="832">
        <v>0</v>
      </c>
      <c r="AC42" s="1252" t="str">
        <f t="shared" si="2"/>
        <v/>
      </c>
      <c r="AD42" s="1252" t="str">
        <f t="shared" si="2"/>
        <v/>
      </c>
      <c r="AE42" s="1252" t="str">
        <f t="shared" si="2"/>
        <v/>
      </c>
      <c r="AF42" s="1252">
        <f t="shared" si="2"/>
        <v>0</v>
      </c>
      <c r="AG42" s="617"/>
      <c r="AH42" s="616"/>
      <c r="AI42" s="1699"/>
    </row>
    <row r="43" spans="1:35" s="459" customFormat="1">
      <c r="A43" s="719"/>
      <c r="B43" s="723"/>
      <c r="C43" s="721"/>
      <c r="D43" s="834"/>
      <c r="E43" s="722"/>
      <c r="F43" s="722"/>
      <c r="G43" s="722"/>
      <c r="H43" s="722"/>
      <c r="I43" s="722"/>
      <c r="J43" s="831"/>
      <c r="K43" s="1248"/>
      <c r="L43" s="1248"/>
      <c r="M43" s="1248"/>
      <c r="N43" s="1248"/>
      <c r="O43" s="1248"/>
      <c r="P43" s="1248"/>
      <c r="Q43" s="1248"/>
      <c r="R43" s="1248"/>
      <c r="S43" s="1248"/>
      <c r="T43" s="1248"/>
      <c r="U43" s="1248"/>
      <c r="V43" s="1248"/>
      <c r="W43" s="1248"/>
      <c r="X43" s="826"/>
      <c r="Y43" s="1251"/>
      <c r="Z43" s="832"/>
      <c r="AA43" s="1700"/>
      <c r="AB43" s="832"/>
      <c r="AC43" s="1252"/>
      <c r="AD43" s="1252"/>
      <c r="AE43" s="1252"/>
      <c r="AF43" s="1252"/>
      <c r="AG43" s="617"/>
      <c r="AH43" s="616"/>
      <c r="AI43" s="1699"/>
    </row>
    <row r="44" spans="1:35" s="459" customFormat="1">
      <c r="A44" s="1597" t="s">
        <v>2317</v>
      </c>
      <c r="B44" s="723" t="s">
        <v>2290</v>
      </c>
      <c r="C44" s="721" t="s">
        <v>2269</v>
      </c>
      <c r="D44" s="834"/>
      <c r="E44" s="722">
        <v>235190</v>
      </c>
      <c r="F44" s="722">
        <v>232</v>
      </c>
      <c r="G44" s="722">
        <v>0</v>
      </c>
      <c r="H44" s="722">
        <v>500700</v>
      </c>
      <c r="I44" s="722">
        <v>920</v>
      </c>
      <c r="J44" s="831">
        <v>0</v>
      </c>
      <c r="K44" s="1248">
        <v>-0.54283040999999999</v>
      </c>
      <c r="L44" s="1248">
        <v>-0.47887798999999998</v>
      </c>
      <c r="M44" s="1248">
        <v>-0.37332017000000001</v>
      </c>
      <c r="N44" s="1248">
        <v>-0.27150825000000001</v>
      </c>
      <c r="O44" s="1248">
        <v>-0.21174076999999999</v>
      </c>
      <c r="P44" s="1248">
        <v>-0.18706288000000001</v>
      </c>
      <c r="Q44" s="1248">
        <v>-0.29789753000000002</v>
      </c>
      <c r="R44" s="1248">
        <v>-0.28257979</v>
      </c>
      <c r="S44" s="1248">
        <v>-0.87409503</v>
      </c>
      <c r="T44" s="1248">
        <v>-0.75292762000000002</v>
      </c>
      <c r="U44" s="1248">
        <v>-0.65357984999999996</v>
      </c>
      <c r="V44" s="1248">
        <v>-0.48275028999999997</v>
      </c>
      <c r="W44" s="1248">
        <v>-0.35526214</v>
      </c>
      <c r="X44" s="826">
        <v>0</v>
      </c>
      <c r="Y44" s="1251">
        <f t="shared" si="0"/>
        <v>-0.44341790153846156</v>
      </c>
      <c r="Z44" s="832">
        <v>0</v>
      </c>
      <c r="AA44" s="1700" t="s">
        <v>63</v>
      </c>
      <c r="AB44" s="832">
        <v>0</v>
      </c>
      <c r="AC44" s="1252" t="str">
        <f t="shared" si="2"/>
        <v/>
      </c>
      <c r="AD44" s="1252" t="str">
        <f t="shared" si="2"/>
        <v/>
      </c>
      <c r="AE44" s="1252">
        <f t="shared" si="2"/>
        <v>-0.44341790153846156</v>
      </c>
      <c r="AF44" s="1252" t="str">
        <f t="shared" si="2"/>
        <v/>
      </c>
      <c r="AG44" s="617"/>
      <c r="AH44" s="616"/>
      <c r="AI44" s="1699"/>
    </row>
    <row r="45" spans="1:35" s="459" customFormat="1">
      <c r="A45" s="1597" t="s">
        <v>2318</v>
      </c>
      <c r="B45" s="723" t="s">
        <v>2319</v>
      </c>
      <c r="C45" s="721" t="s">
        <v>2269</v>
      </c>
      <c r="D45" s="834"/>
      <c r="E45" s="722">
        <v>235510</v>
      </c>
      <c r="F45" s="722">
        <v>232</v>
      </c>
      <c r="G45" s="722">
        <v>0</v>
      </c>
      <c r="H45" s="722">
        <v>500410</v>
      </c>
      <c r="I45" s="722" t="s">
        <v>2320</v>
      </c>
      <c r="J45" s="831">
        <v>0</v>
      </c>
      <c r="K45" s="1248">
        <v>0</v>
      </c>
      <c r="L45" s="1248">
        <v>-2.7528747400000002</v>
      </c>
      <c r="M45" s="1248">
        <v>-5.5173324099999999</v>
      </c>
      <c r="N45" s="1248">
        <v>-8.2081921100000006</v>
      </c>
      <c r="O45" s="1248">
        <v>-10.88811647</v>
      </c>
      <c r="P45" s="1248">
        <v>-13.796606689999999</v>
      </c>
      <c r="Q45" s="1248">
        <v>-16.77993055</v>
      </c>
      <c r="R45" s="1248">
        <v>-19.329005420000001</v>
      </c>
      <c r="S45" s="1248">
        <v>-22.025735269999998</v>
      </c>
      <c r="T45" s="1248">
        <v>-21.713939159999999</v>
      </c>
      <c r="U45" s="1248">
        <v>-24.019825390000001</v>
      </c>
      <c r="V45" s="1248">
        <v>-26.462614859999999</v>
      </c>
      <c r="W45" s="1248">
        <v>-0.2</v>
      </c>
      <c r="X45" s="826">
        <v>0</v>
      </c>
      <c r="Y45" s="1251">
        <f t="shared" si="0"/>
        <v>-13.207244082307691</v>
      </c>
      <c r="Z45" s="832">
        <v>0</v>
      </c>
      <c r="AA45" s="1700" t="s">
        <v>63</v>
      </c>
      <c r="AB45" s="832">
        <v>0</v>
      </c>
      <c r="AC45" s="1252" t="str">
        <f t="shared" si="2"/>
        <v/>
      </c>
      <c r="AD45" s="1252" t="str">
        <f t="shared" si="2"/>
        <v/>
      </c>
      <c r="AE45" s="1252">
        <f t="shared" si="2"/>
        <v>-13.207244082307691</v>
      </c>
      <c r="AF45" s="1252" t="str">
        <f t="shared" si="2"/>
        <v/>
      </c>
      <c r="AG45" s="617"/>
      <c r="AH45" s="616"/>
      <c r="AI45" s="1699"/>
    </row>
    <row r="46" spans="1:35" s="459" customFormat="1">
      <c r="A46" s="1597" t="s">
        <v>2321</v>
      </c>
      <c r="B46" s="723" t="s">
        <v>2319</v>
      </c>
      <c r="C46" s="721" t="s">
        <v>2269</v>
      </c>
      <c r="D46" s="834"/>
      <c r="E46" s="722">
        <v>215078</v>
      </c>
      <c r="F46" s="722">
        <v>232</v>
      </c>
      <c r="G46" s="722"/>
      <c r="H46" s="722">
        <v>501250</v>
      </c>
      <c r="I46" s="722" t="s">
        <v>2320</v>
      </c>
      <c r="J46" s="831"/>
      <c r="K46" s="1248">
        <v>-1.8612392499999999</v>
      </c>
      <c r="L46" s="1248">
        <v>-2.0878115199999998</v>
      </c>
      <c r="M46" s="1248">
        <v>-0.41519499999999998</v>
      </c>
      <c r="N46" s="1248">
        <v>-0.59220170999999999</v>
      </c>
      <c r="O46" s="1248">
        <v>-0.74551543000000009</v>
      </c>
      <c r="P46" s="1248">
        <v>-0.88725441000000005</v>
      </c>
      <c r="Q46" s="1248">
        <v>-1.03431816</v>
      </c>
      <c r="R46" s="1248">
        <v>-1.1771548300000001</v>
      </c>
      <c r="S46" s="1248">
        <v>-1.3334198400000001</v>
      </c>
      <c r="T46" s="1248">
        <v>-1.3775690900000002</v>
      </c>
      <c r="U46" s="1248">
        <v>-1.62140438</v>
      </c>
      <c r="V46" s="1248">
        <v>-1.7436443100000001</v>
      </c>
      <c r="W46" s="1248">
        <v>-1.7900911499999999</v>
      </c>
      <c r="X46" s="826"/>
      <c r="Y46" s="1251">
        <f t="shared" si="0"/>
        <v>-1.2820630061538461</v>
      </c>
      <c r="Z46" s="832"/>
      <c r="AA46" s="1700" t="s">
        <v>63</v>
      </c>
      <c r="AB46" s="832"/>
      <c r="AC46" s="1252" t="str">
        <f t="shared" si="2"/>
        <v/>
      </c>
      <c r="AD46" s="1252" t="str">
        <f t="shared" si="2"/>
        <v/>
      </c>
      <c r="AE46" s="1252">
        <f t="shared" si="2"/>
        <v>-1.2820630061538461</v>
      </c>
      <c r="AF46" s="1252" t="str">
        <f t="shared" si="2"/>
        <v/>
      </c>
      <c r="AG46" s="617"/>
      <c r="AH46" s="616"/>
      <c r="AI46" s="1699"/>
    </row>
    <row r="47" spans="1:35" s="459" customFormat="1">
      <c r="A47" s="1597" t="s">
        <v>2322</v>
      </c>
      <c r="B47" s="723" t="s">
        <v>2319</v>
      </c>
      <c r="C47" s="721" t="s">
        <v>2269</v>
      </c>
      <c r="D47" s="834"/>
      <c r="E47" s="722">
        <v>235599</v>
      </c>
      <c r="F47" s="722">
        <v>232</v>
      </c>
      <c r="G47" s="722">
        <v>0</v>
      </c>
      <c r="H47" s="722">
        <v>500400</v>
      </c>
      <c r="I47" s="722" t="s">
        <v>2320</v>
      </c>
      <c r="J47" s="831">
        <v>0</v>
      </c>
      <c r="K47" s="1248">
        <v>-2.5895000000000001</v>
      </c>
      <c r="L47" s="1248">
        <v>-0.21375007999999998</v>
      </c>
      <c r="M47" s="1248">
        <v>-0.42733323000000001</v>
      </c>
      <c r="N47" s="1248">
        <v>-0.640625</v>
      </c>
      <c r="O47" s="1248">
        <v>-0.85383346999999998</v>
      </c>
      <c r="P47" s="1248">
        <v>-1.0735416299999998</v>
      </c>
      <c r="Q47" s="1248">
        <v>-1.29375</v>
      </c>
      <c r="R47" s="1248">
        <v>-1.7344250700000001</v>
      </c>
      <c r="S47" s="1248">
        <v>-1.9494666699999998</v>
      </c>
      <c r="T47" s="1248">
        <v>-2.15205</v>
      </c>
      <c r="U47" s="1248">
        <v>-2.36221674</v>
      </c>
      <c r="V47" s="1248">
        <v>-2.5762167000000002</v>
      </c>
      <c r="W47" s="1248">
        <v>-2.7763</v>
      </c>
      <c r="X47" s="826">
        <v>0</v>
      </c>
      <c r="Y47" s="1251">
        <f t="shared" si="0"/>
        <v>-1.5879237376923074</v>
      </c>
      <c r="Z47" s="832">
        <v>0</v>
      </c>
      <c r="AA47" s="1700" t="s">
        <v>63</v>
      </c>
      <c r="AB47" s="832">
        <v>0</v>
      </c>
      <c r="AC47" s="1252" t="str">
        <f t="shared" si="2"/>
        <v/>
      </c>
      <c r="AD47" s="1252" t="str">
        <f t="shared" si="2"/>
        <v/>
      </c>
      <c r="AE47" s="1252">
        <f t="shared" si="2"/>
        <v>-1.5879237376923074</v>
      </c>
      <c r="AF47" s="1252" t="str">
        <f t="shared" si="2"/>
        <v/>
      </c>
      <c r="AG47" s="617"/>
      <c r="AH47" s="616"/>
      <c r="AI47" s="1699"/>
    </row>
    <row r="48" spans="1:35" s="459" customFormat="1">
      <c r="A48" s="1597" t="s">
        <v>2323</v>
      </c>
      <c r="B48" s="723" t="s">
        <v>2324</v>
      </c>
      <c r="C48" s="721" t="s">
        <v>2325</v>
      </c>
      <c r="D48" s="834"/>
      <c r="E48" s="722">
        <v>289000</v>
      </c>
      <c r="F48" s="722">
        <v>253.99</v>
      </c>
      <c r="G48" s="722"/>
      <c r="H48" s="722">
        <v>550500</v>
      </c>
      <c r="I48" s="722">
        <v>921</v>
      </c>
      <c r="J48" s="831"/>
      <c r="K48" s="1248">
        <v>-0.1144698</v>
      </c>
      <c r="L48" s="1248">
        <v>-0.10160287</v>
      </c>
      <c r="M48" s="1248">
        <v>-8.8735939999999999E-2</v>
      </c>
      <c r="N48" s="1248">
        <v>-7.5869010000000001E-2</v>
      </c>
      <c r="O48" s="1248">
        <v>-6.3002080000000002E-2</v>
      </c>
      <c r="P48" s="1248">
        <v>-5.512682E-2</v>
      </c>
      <c r="Q48" s="1248">
        <v>-4.7251559999999998E-2</v>
      </c>
      <c r="R48" s="1248">
        <v>-3.9376300000000003E-2</v>
      </c>
      <c r="S48" s="1248">
        <v>-3.1501040000000001E-2</v>
      </c>
      <c r="T48" s="1248">
        <v>-2.3625779999999999E-2</v>
      </c>
      <c r="U48" s="1248">
        <v>-1.575052E-2</v>
      </c>
      <c r="V48" s="1248">
        <v>-7.8752600000000002E-3</v>
      </c>
      <c r="W48" s="1248">
        <v>0</v>
      </c>
      <c r="X48" s="826"/>
      <c r="Y48" s="1251">
        <f t="shared" si="0"/>
        <v>-5.1091306153846161E-2</v>
      </c>
      <c r="Z48" s="832"/>
      <c r="AA48" s="1700" t="s">
        <v>63</v>
      </c>
      <c r="AB48" s="832"/>
      <c r="AC48" s="1252" t="str">
        <f t="shared" si="2"/>
        <v/>
      </c>
      <c r="AD48" s="1252" t="str">
        <f t="shared" si="2"/>
        <v/>
      </c>
      <c r="AE48" s="1252">
        <f t="shared" si="2"/>
        <v>-5.1091306153846161E-2</v>
      </c>
      <c r="AF48" s="1252" t="str">
        <f t="shared" si="2"/>
        <v/>
      </c>
      <c r="AG48" s="617"/>
      <c r="AH48" s="616"/>
      <c r="AI48" s="1699"/>
    </row>
    <row r="49" spans="1:35" s="459" customFormat="1" ht="25.5" customHeight="1">
      <c r="A49" s="719" t="s">
        <v>2326</v>
      </c>
      <c r="B49" s="723" t="s">
        <v>2327</v>
      </c>
      <c r="C49" s="721" t="s">
        <v>2328</v>
      </c>
      <c r="D49" s="834"/>
      <c r="E49" s="722">
        <v>288601</v>
      </c>
      <c r="F49" s="722">
        <v>253.99</v>
      </c>
      <c r="G49" s="722">
        <v>0</v>
      </c>
      <c r="H49" s="722">
        <v>140709</v>
      </c>
      <c r="I49" s="722">
        <v>102</v>
      </c>
      <c r="J49" s="831">
        <v>0</v>
      </c>
      <c r="K49" s="1248">
        <v>0</v>
      </c>
      <c r="L49" s="1248">
        <v>0</v>
      </c>
      <c r="M49" s="1248">
        <v>0</v>
      </c>
      <c r="N49" s="1248">
        <v>0</v>
      </c>
      <c r="O49" s="1248">
        <v>0</v>
      </c>
      <c r="P49" s="1248">
        <v>0</v>
      </c>
      <c r="Q49" s="1248">
        <v>0</v>
      </c>
      <c r="R49" s="1248">
        <v>0</v>
      </c>
      <c r="S49" s="1248">
        <v>0</v>
      </c>
      <c r="T49" s="1248">
        <v>0</v>
      </c>
      <c r="U49" s="1248">
        <v>0</v>
      </c>
      <c r="V49" s="1248">
        <v>0</v>
      </c>
      <c r="W49" s="1248">
        <v>0</v>
      </c>
      <c r="X49" s="826">
        <v>0</v>
      </c>
      <c r="Y49" s="1251">
        <f t="shared" si="0"/>
        <v>0</v>
      </c>
      <c r="Z49" s="832">
        <v>0</v>
      </c>
      <c r="AA49" s="1700" t="s">
        <v>104</v>
      </c>
      <c r="AB49" s="832">
        <v>0</v>
      </c>
      <c r="AC49" s="1252" t="str">
        <f t="shared" si="2"/>
        <v/>
      </c>
      <c r="AD49" s="1252" t="str">
        <f t="shared" si="2"/>
        <v/>
      </c>
      <c r="AE49" s="1252" t="str">
        <f t="shared" si="2"/>
        <v/>
      </c>
      <c r="AF49" s="1252">
        <f t="shared" si="2"/>
        <v>0</v>
      </c>
      <c r="AG49" s="617"/>
      <c r="AH49" s="616"/>
      <c r="AI49" s="1699"/>
    </row>
    <row r="50" spans="1:35" s="459" customFormat="1" ht="25.5" customHeight="1">
      <c r="A50" s="719" t="s">
        <v>2329</v>
      </c>
      <c r="B50" s="723" t="s">
        <v>2327</v>
      </c>
      <c r="C50" s="721" t="s">
        <v>2328</v>
      </c>
      <c r="D50" s="834"/>
      <c r="E50" s="722">
        <v>288602</v>
      </c>
      <c r="F50" s="722">
        <v>253.99</v>
      </c>
      <c r="G50" s="722">
        <v>0</v>
      </c>
      <c r="H50" s="722">
        <v>140709</v>
      </c>
      <c r="I50" s="722">
        <v>102</v>
      </c>
      <c r="J50" s="831">
        <v>0</v>
      </c>
      <c r="K50" s="1248">
        <v>0</v>
      </c>
      <c r="L50" s="1248">
        <v>0</v>
      </c>
      <c r="M50" s="1248">
        <v>0</v>
      </c>
      <c r="N50" s="1248">
        <v>0</v>
      </c>
      <c r="O50" s="1248">
        <v>0</v>
      </c>
      <c r="P50" s="1248">
        <v>0</v>
      </c>
      <c r="Q50" s="1248">
        <v>0</v>
      </c>
      <c r="R50" s="1248">
        <v>0</v>
      </c>
      <c r="S50" s="1248">
        <v>0</v>
      </c>
      <c r="T50" s="1248">
        <v>0</v>
      </c>
      <c r="U50" s="1248">
        <v>0</v>
      </c>
      <c r="V50" s="1248">
        <v>0</v>
      </c>
      <c r="W50" s="1248">
        <v>0</v>
      </c>
      <c r="X50" s="826">
        <v>0</v>
      </c>
      <c r="Y50" s="1251">
        <f t="shared" si="0"/>
        <v>0</v>
      </c>
      <c r="Z50" s="832">
        <v>0</v>
      </c>
      <c r="AA50" s="1700" t="s">
        <v>104</v>
      </c>
      <c r="AB50" s="832">
        <v>0</v>
      </c>
      <c r="AC50" s="1252" t="str">
        <f t="shared" si="2"/>
        <v/>
      </c>
      <c r="AD50" s="1252" t="str">
        <f t="shared" si="2"/>
        <v/>
      </c>
      <c r="AE50" s="1252" t="str">
        <f t="shared" si="2"/>
        <v/>
      </c>
      <c r="AF50" s="1252">
        <f t="shared" si="2"/>
        <v>0</v>
      </c>
      <c r="AG50" s="617"/>
      <c r="AH50" s="616"/>
      <c r="AI50" s="1699"/>
    </row>
    <row r="51" spans="1:35" s="459" customFormat="1" ht="25.5" customHeight="1">
      <c r="A51" s="719" t="s">
        <v>2330</v>
      </c>
      <c r="B51" s="723" t="s">
        <v>2327</v>
      </c>
      <c r="C51" s="721" t="s">
        <v>2328</v>
      </c>
      <c r="D51" s="834"/>
      <c r="E51" s="722">
        <v>288603</v>
      </c>
      <c r="F51" s="722">
        <v>253.99</v>
      </c>
      <c r="G51" s="722">
        <v>0</v>
      </c>
      <c r="H51" s="722">
        <v>140709</v>
      </c>
      <c r="I51" s="722">
        <v>102</v>
      </c>
      <c r="J51" s="831">
        <v>0</v>
      </c>
      <c r="K51" s="1248">
        <v>0</v>
      </c>
      <c r="L51" s="1248">
        <v>0</v>
      </c>
      <c r="M51" s="1248">
        <v>0</v>
      </c>
      <c r="N51" s="1248">
        <v>0</v>
      </c>
      <c r="O51" s="1248">
        <v>0</v>
      </c>
      <c r="P51" s="1248">
        <v>0</v>
      </c>
      <c r="Q51" s="1248">
        <v>0</v>
      </c>
      <c r="R51" s="1248">
        <v>0</v>
      </c>
      <c r="S51" s="1248">
        <v>0</v>
      </c>
      <c r="T51" s="1248">
        <v>0</v>
      </c>
      <c r="U51" s="1248">
        <v>0</v>
      </c>
      <c r="V51" s="1248">
        <v>0</v>
      </c>
      <c r="W51" s="1248">
        <v>0</v>
      </c>
      <c r="X51" s="826">
        <v>0</v>
      </c>
      <c r="Y51" s="1251">
        <f t="shared" si="0"/>
        <v>0</v>
      </c>
      <c r="Z51" s="832">
        <v>0</v>
      </c>
      <c r="AA51" s="1700" t="s">
        <v>104</v>
      </c>
      <c r="AB51" s="832">
        <v>0</v>
      </c>
      <c r="AC51" s="1252" t="str">
        <f t="shared" si="2"/>
        <v/>
      </c>
      <c r="AD51" s="1252" t="str">
        <f t="shared" si="2"/>
        <v/>
      </c>
      <c r="AE51" s="1252" t="str">
        <f t="shared" si="2"/>
        <v/>
      </c>
      <c r="AF51" s="1252">
        <f t="shared" si="2"/>
        <v>0</v>
      </c>
      <c r="AG51" s="617"/>
      <c r="AH51" s="616"/>
      <c r="AI51" s="1699"/>
    </row>
    <row r="52" spans="1:35" s="459" customFormat="1">
      <c r="A52" s="719"/>
      <c r="B52" s="723"/>
      <c r="C52" s="721"/>
      <c r="D52" s="834"/>
      <c r="E52" s="722"/>
      <c r="F52" s="722"/>
      <c r="G52" s="722"/>
      <c r="H52" s="722"/>
      <c r="I52" s="722"/>
      <c r="J52" s="831"/>
      <c r="K52" s="1248"/>
      <c r="L52" s="1248"/>
      <c r="M52" s="1248"/>
      <c r="N52" s="1248"/>
      <c r="O52" s="1248"/>
      <c r="P52" s="1248"/>
      <c r="Q52" s="1248"/>
      <c r="R52" s="1248"/>
      <c r="S52" s="1248"/>
      <c r="T52" s="1248"/>
      <c r="U52" s="1248"/>
      <c r="V52" s="1248"/>
      <c r="W52" s="1248"/>
      <c r="X52" s="826"/>
      <c r="Y52" s="1251"/>
      <c r="Z52" s="832"/>
      <c r="AA52" s="1700"/>
      <c r="AB52" s="832"/>
      <c r="AC52" s="1252"/>
      <c r="AD52" s="1252"/>
      <c r="AE52" s="1252"/>
      <c r="AF52" s="1252"/>
      <c r="AG52" s="617"/>
      <c r="AH52" s="616"/>
      <c r="AI52" s="1699"/>
    </row>
    <row r="53" spans="1:35" s="459" customFormat="1">
      <c r="A53" s="1597" t="s">
        <v>2331</v>
      </c>
      <c r="B53" s="723" t="s">
        <v>2332</v>
      </c>
      <c r="C53" s="721" t="s">
        <v>2269</v>
      </c>
      <c r="D53" s="834"/>
      <c r="E53" s="722">
        <v>248181</v>
      </c>
      <c r="F53" s="722">
        <v>242</v>
      </c>
      <c r="G53" s="722">
        <v>0</v>
      </c>
      <c r="H53" s="722">
        <v>500515</v>
      </c>
      <c r="I53" s="722" t="s">
        <v>2320</v>
      </c>
      <c r="J53" s="831">
        <v>0</v>
      </c>
      <c r="K53" s="1248">
        <v>-2.8969822599999997</v>
      </c>
      <c r="L53" s="1248">
        <v>-3.4498717200000004</v>
      </c>
      <c r="M53" s="1248">
        <v>-3.8428057799999999</v>
      </c>
      <c r="N53" s="1248">
        <v>-4.0485428800000003</v>
      </c>
      <c r="O53" s="1248">
        <v>-4.2932179800000005</v>
      </c>
      <c r="P53" s="1248">
        <v>-4.4850798599999999</v>
      </c>
      <c r="Q53" s="1248">
        <v>-4.3052098600000006</v>
      </c>
      <c r="R53" s="1248">
        <v>-4.0494170299999999</v>
      </c>
      <c r="S53" s="1248">
        <v>-3.8247482000000002</v>
      </c>
      <c r="T53" s="1248">
        <v>-3.7569635400000001</v>
      </c>
      <c r="U53" s="1248">
        <v>-3.50138908</v>
      </c>
      <c r="V53" s="1248">
        <v>-3.3269440800000001</v>
      </c>
      <c r="W53" s="1248">
        <v>-2.6495273900000003</v>
      </c>
      <c r="X53" s="826">
        <v>0</v>
      </c>
      <c r="Y53" s="1251">
        <f t="shared" si="0"/>
        <v>-3.7254384353846159</v>
      </c>
      <c r="Z53" s="832">
        <v>0</v>
      </c>
      <c r="AA53" s="1700" t="s">
        <v>63</v>
      </c>
      <c r="AB53" s="832">
        <v>0</v>
      </c>
      <c r="AC53" s="1252" t="str">
        <f t="shared" si="2"/>
        <v/>
      </c>
      <c r="AD53" s="1252" t="str">
        <f t="shared" si="2"/>
        <v/>
      </c>
      <c r="AE53" s="1252">
        <f t="shared" si="2"/>
        <v>-3.7254384353846159</v>
      </c>
      <c r="AF53" s="1252" t="str">
        <f t="shared" si="2"/>
        <v/>
      </c>
      <c r="AG53" s="617"/>
      <c r="AH53" s="616"/>
      <c r="AI53" s="1699"/>
    </row>
    <row r="54" spans="1:35" s="459" customFormat="1">
      <c r="A54" s="1597" t="s">
        <v>2333</v>
      </c>
      <c r="B54" s="723" t="s">
        <v>2332</v>
      </c>
      <c r="C54" s="721" t="s">
        <v>2269</v>
      </c>
      <c r="D54" s="834"/>
      <c r="E54" s="722">
        <v>248182</v>
      </c>
      <c r="F54" s="722">
        <v>242</v>
      </c>
      <c r="G54" s="722">
        <v>0</v>
      </c>
      <c r="H54" s="722">
        <v>500517</v>
      </c>
      <c r="I54" s="722" t="s">
        <v>2320</v>
      </c>
      <c r="J54" s="831">
        <v>0</v>
      </c>
      <c r="K54" s="1248">
        <v>-1.6863790000000001</v>
      </c>
      <c r="L54" s="1248">
        <v>-1.7962926000000001</v>
      </c>
      <c r="M54" s="1248">
        <v>-1.90594397</v>
      </c>
      <c r="N54" s="1248">
        <v>-1.94476373</v>
      </c>
      <c r="O54" s="1248">
        <v>-1.98314576</v>
      </c>
      <c r="P54" s="1248">
        <v>-2.0031868899999998</v>
      </c>
      <c r="Q54" s="1248">
        <v>-2.0016589200000001</v>
      </c>
      <c r="R54" s="1248">
        <v>-1.9719506299999998</v>
      </c>
      <c r="S54" s="1248">
        <v>-1.89504494</v>
      </c>
      <c r="T54" s="1248">
        <v>-1.88364117</v>
      </c>
      <c r="U54" s="1248">
        <v>-1.88140821</v>
      </c>
      <c r="V54" s="1248">
        <v>-1.8743077800000001</v>
      </c>
      <c r="W54" s="1248">
        <v>-1.7782873899999998</v>
      </c>
      <c r="X54" s="826">
        <v>0</v>
      </c>
      <c r="Y54" s="1251">
        <f t="shared" si="0"/>
        <v>-1.8927700761538462</v>
      </c>
      <c r="Z54" s="832">
        <v>0</v>
      </c>
      <c r="AA54" s="1700" t="s">
        <v>63</v>
      </c>
      <c r="AB54" s="832">
        <v>0</v>
      </c>
      <c r="AC54" s="1252" t="str">
        <f t="shared" si="2"/>
        <v/>
      </c>
      <c r="AD54" s="1252" t="str">
        <f t="shared" si="2"/>
        <v/>
      </c>
      <c r="AE54" s="1252">
        <f t="shared" si="2"/>
        <v>-1.8927700761538462</v>
      </c>
      <c r="AF54" s="1252" t="str">
        <f t="shared" si="2"/>
        <v/>
      </c>
      <c r="AG54" s="617"/>
      <c r="AH54" s="616"/>
      <c r="AI54" s="1699"/>
    </row>
    <row r="55" spans="1:35" s="459" customFormat="1">
      <c r="A55" s="1597" t="s">
        <v>2334</v>
      </c>
      <c r="B55" s="723" t="s">
        <v>2332</v>
      </c>
      <c r="C55" s="721" t="s">
        <v>2269</v>
      </c>
      <c r="D55" s="834"/>
      <c r="E55" s="722">
        <v>248183</v>
      </c>
      <c r="F55" s="722">
        <v>242</v>
      </c>
      <c r="G55" s="722">
        <v>0</v>
      </c>
      <c r="H55" s="722">
        <v>500520</v>
      </c>
      <c r="I55" s="722" t="s">
        <v>2320</v>
      </c>
      <c r="J55" s="831">
        <v>0</v>
      </c>
      <c r="K55" s="1248">
        <v>-2.08485297</v>
      </c>
      <c r="L55" s="1248">
        <v>-2.1682005899999997</v>
      </c>
      <c r="M55" s="1248">
        <v>-2.2841740699999997</v>
      </c>
      <c r="N55" s="1248">
        <v>-2.29869426</v>
      </c>
      <c r="O55" s="1248">
        <v>-2.4295628599999999</v>
      </c>
      <c r="P55" s="1248">
        <v>-2.4601262400000001</v>
      </c>
      <c r="Q55" s="1248">
        <v>-2.4225102500000002</v>
      </c>
      <c r="R55" s="1248">
        <v>-2.3696242999999999</v>
      </c>
      <c r="S55" s="1248">
        <v>-2.2720404199999997</v>
      </c>
      <c r="T55" s="1248">
        <v>-2.2345792599999998</v>
      </c>
      <c r="U55" s="1248">
        <v>-2.2267059500000004</v>
      </c>
      <c r="V55" s="1248">
        <v>-2.1697787100000001</v>
      </c>
      <c r="W55" s="1248">
        <v>-2.0838102699999999</v>
      </c>
      <c r="X55" s="826">
        <v>0</v>
      </c>
      <c r="Y55" s="1251">
        <f t="shared" si="0"/>
        <v>-2.2695892423076924</v>
      </c>
      <c r="Z55" s="832">
        <v>0</v>
      </c>
      <c r="AA55" s="1700" t="s">
        <v>63</v>
      </c>
      <c r="AB55" s="832">
        <v>0</v>
      </c>
      <c r="AC55" s="1252" t="str">
        <f t="shared" si="2"/>
        <v/>
      </c>
      <c r="AD55" s="1252" t="str">
        <f t="shared" si="2"/>
        <v/>
      </c>
      <c r="AE55" s="1252">
        <f t="shared" si="2"/>
        <v>-2.2695892423076924</v>
      </c>
      <c r="AF55" s="1252" t="str">
        <f t="shared" si="2"/>
        <v/>
      </c>
      <c r="AG55" s="617"/>
      <c r="AH55" s="616"/>
      <c r="AI55" s="1699"/>
    </row>
    <row r="56" spans="1:35" s="459" customFormat="1">
      <c r="A56" s="1597" t="s">
        <v>2335</v>
      </c>
      <c r="B56" s="723" t="s">
        <v>2332</v>
      </c>
      <c r="C56" s="721" t="s">
        <v>2269</v>
      </c>
      <c r="D56" s="834"/>
      <c r="E56" s="722">
        <v>248186</v>
      </c>
      <c r="F56" s="722">
        <v>242</v>
      </c>
      <c r="G56" s="722">
        <v>0</v>
      </c>
      <c r="H56" s="722">
        <v>500515</v>
      </c>
      <c r="I56" s="722" t="s">
        <v>2320</v>
      </c>
      <c r="J56" s="831">
        <v>0</v>
      </c>
      <c r="K56" s="1248">
        <v>-3.2119309999999998E-2</v>
      </c>
      <c r="L56" s="1248">
        <v>-3.005211E-2</v>
      </c>
      <c r="M56" s="1248">
        <v>-2.7181939999999998E-2</v>
      </c>
      <c r="N56" s="1248">
        <v>-2.888079E-2</v>
      </c>
      <c r="O56" s="1248">
        <v>-2.8615939999999999E-2</v>
      </c>
      <c r="P56" s="1248">
        <v>-2.5721569999999999E-2</v>
      </c>
      <c r="Q56" s="1248">
        <v>-2.5165240000000002E-2</v>
      </c>
      <c r="R56" s="1248">
        <v>-2.2201389999999998E-2</v>
      </c>
      <c r="S56" s="1248">
        <v>-2.228898E-2</v>
      </c>
      <c r="T56" s="1248">
        <v>-2.0120119999999998E-2</v>
      </c>
      <c r="U56" s="1248">
        <v>-2.0822549999999999E-2</v>
      </c>
      <c r="V56" s="1248">
        <v>-2.3080630000000001E-2</v>
      </c>
      <c r="W56" s="1248">
        <v>-2.4114210000000001E-2</v>
      </c>
      <c r="X56" s="826">
        <v>0</v>
      </c>
      <c r="Y56" s="1251">
        <f t="shared" si="0"/>
        <v>-2.5412675384615387E-2</v>
      </c>
      <c r="Z56" s="832">
        <v>0</v>
      </c>
      <c r="AA56" s="1700" t="s">
        <v>63</v>
      </c>
      <c r="AB56" s="832">
        <v>0</v>
      </c>
      <c r="AC56" s="1252" t="str">
        <f t="shared" si="2"/>
        <v/>
      </c>
      <c r="AD56" s="1252" t="str">
        <f t="shared" si="2"/>
        <v/>
      </c>
      <c r="AE56" s="1252">
        <f t="shared" si="2"/>
        <v>-2.5412675384615387E-2</v>
      </c>
      <c r="AF56" s="1252" t="str">
        <f t="shared" si="2"/>
        <v/>
      </c>
      <c r="AG56" s="617"/>
      <c r="AH56" s="616"/>
      <c r="AI56" s="1699"/>
    </row>
    <row r="57" spans="1:35" s="459" customFormat="1">
      <c r="A57" s="1597" t="s">
        <v>2336</v>
      </c>
      <c r="B57" s="723" t="s">
        <v>2332</v>
      </c>
      <c r="C57" s="721" t="s">
        <v>2269</v>
      </c>
      <c r="D57" s="834"/>
      <c r="E57" s="722">
        <v>248187</v>
      </c>
      <c r="F57" s="722">
        <v>242</v>
      </c>
      <c r="G57" s="722"/>
      <c r="H57" s="722">
        <v>500518</v>
      </c>
      <c r="I57" s="722" t="s">
        <v>2320</v>
      </c>
      <c r="J57" s="831"/>
      <c r="K57" s="1248">
        <v>-3.5965236099999998</v>
      </c>
      <c r="L57" s="1248">
        <v>-3.7658886800000002</v>
      </c>
      <c r="M57" s="1248">
        <v>-3.9359724900000002</v>
      </c>
      <c r="N57" s="1248">
        <v>-3.9730854</v>
      </c>
      <c r="O57" s="1248">
        <v>-4.1070497399999999</v>
      </c>
      <c r="P57" s="1248">
        <v>-4.1487339300000006</v>
      </c>
      <c r="Q57" s="1248">
        <v>-3.9628468399999996</v>
      </c>
      <c r="R57" s="1248">
        <v>-3.8165719300000003</v>
      </c>
      <c r="S57" s="1248">
        <v>-3.7293341600000001</v>
      </c>
      <c r="T57" s="1248">
        <v>-3.7592771900000002</v>
      </c>
      <c r="U57" s="1248">
        <v>-3.7430878599999997</v>
      </c>
      <c r="V57" s="1248">
        <v>-3.7639288099999999</v>
      </c>
      <c r="W57" s="1248">
        <v>-3.5295974999999999</v>
      </c>
      <c r="X57" s="826"/>
      <c r="Y57" s="1251">
        <f t="shared" si="0"/>
        <v>-3.8332229338461543</v>
      </c>
      <c r="Z57" s="832"/>
      <c r="AA57" s="1700" t="s">
        <v>63</v>
      </c>
      <c r="AB57" s="832"/>
      <c r="AC57" s="1252" t="str">
        <f t="shared" si="2"/>
        <v/>
      </c>
      <c r="AD57" s="1252" t="str">
        <f t="shared" si="2"/>
        <v/>
      </c>
      <c r="AE57" s="1252">
        <f t="shared" si="2"/>
        <v>-3.8332229338461543</v>
      </c>
      <c r="AF57" s="1252" t="str">
        <f t="shared" si="2"/>
        <v/>
      </c>
      <c r="AG57" s="617"/>
      <c r="AH57" s="616"/>
      <c r="AI57" s="1699"/>
    </row>
    <row r="58" spans="1:35" s="459" customFormat="1">
      <c r="A58" s="1597" t="s">
        <v>2337</v>
      </c>
      <c r="B58" s="723" t="s">
        <v>2332</v>
      </c>
      <c r="C58" s="721" t="s">
        <v>2269</v>
      </c>
      <c r="D58" s="834"/>
      <c r="E58" s="722">
        <v>248188</v>
      </c>
      <c r="F58" s="722">
        <v>242</v>
      </c>
      <c r="G58" s="722">
        <v>0</v>
      </c>
      <c r="H58" s="722">
        <v>500519</v>
      </c>
      <c r="I58" s="722" t="s">
        <v>2320</v>
      </c>
      <c r="J58" s="831">
        <v>0</v>
      </c>
      <c r="K58" s="1248">
        <v>-0.11171532000000001</v>
      </c>
      <c r="L58" s="1248">
        <v>-0.11733386</v>
      </c>
      <c r="M58" s="1248">
        <v>-0.12544583000000001</v>
      </c>
      <c r="N58" s="1248">
        <v>-0.12625016999999999</v>
      </c>
      <c r="O58" s="1248">
        <v>-0.13222175</v>
      </c>
      <c r="P58" s="1248">
        <v>-0.13463045999999998</v>
      </c>
      <c r="Q58" s="1248">
        <v>-0.13853923000000001</v>
      </c>
      <c r="R58" s="1248">
        <v>-0.13303703</v>
      </c>
      <c r="S58" s="1248">
        <v>-0.13179301000000002</v>
      </c>
      <c r="T58" s="1248">
        <v>-0.13242851</v>
      </c>
      <c r="U58" s="1248">
        <v>-0.13507943</v>
      </c>
      <c r="V58" s="1248">
        <v>-0.12909482</v>
      </c>
      <c r="W58" s="1248">
        <v>-0.11986280000000001</v>
      </c>
      <c r="X58" s="826">
        <v>0</v>
      </c>
      <c r="Y58" s="1251">
        <f t="shared" si="0"/>
        <v>-0.1282640169230769</v>
      </c>
      <c r="Z58" s="832">
        <v>0</v>
      </c>
      <c r="AA58" s="1700" t="s">
        <v>63</v>
      </c>
      <c r="AB58" s="832">
        <v>0</v>
      </c>
      <c r="AC58" s="1252" t="str">
        <f t="shared" si="2"/>
        <v/>
      </c>
      <c r="AD58" s="1252" t="str">
        <f t="shared" si="2"/>
        <v/>
      </c>
      <c r="AE58" s="1252">
        <f t="shared" si="2"/>
        <v>-0.1282640169230769</v>
      </c>
      <c r="AF58" s="1252" t="str">
        <f t="shared" si="2"/>
        <v/>
      </c>
      <c r="AG58" s="617"/>
      <c r="AH58" s="616"/>
      <c r="AI58" s="1699"/>
    </row>
    <row r="59" spans="1:35" s="459" customFormat="1">
      <c r="A59" s="1597" t="s">
        <v>2338</v>
      </c>
      <c r="B59" s="723" t="s">
        <v>2332</v>
      </c>
      <c r="C59" s="721" t="s">
        <v>2269</v>
      </c>
      <c r="D59" s="834"/>
      <c r="E59" s="722">
        <v>248189</v>
      </c>
      <c r="F59" s="722">
        <v>242</v>
      </c>
      <c r="G59" s="722">
        <v>0</v>
      </c>
      <c r="H59" s="722">
        <v>500516</v>
      </c>
      <c r="I59" s="722" t="s">
        <v>2320</v>
      </c>
      <c r="J59" s="831">
        <v>0</v>
      </c>
      <c r="K59" s="1248">
        <v>-15.500094199999999</v>
      </c>
      <c r="L59" s="1248">
        <v>-15.797018830000001</v>
      </c>
      <c r="M59" s="1248">
        <v>-16.047071339999999</v>
      </c>
      <c r="N59" s="1248">
        <v>-15.9946179</v>
      </c>
      <c r="O59" s="1248">
        <v>-16.149766039999999</v>
      </c>
      <c r="P59" s="1248">
        <v>-16.160964019999998</v>
      </c>
      <c r="Q59" s="1248">
        <v>-16.06594887</v>
      </c>
      <c r="R59" s="1248">
        <v>-15.72867293</v>
      </c>
      <c r="S59" s="1248">
        <v>-15.384943359999999</v>
      </c>
      <c r="T59" s="1248">
        <v>-15.224368109999999</v>
      </c>
      <c r="U59" s="1248">
        <v>-15.305158</v>
      </c>
      <c r="V59" s="1248">
        <v>-15.33442874</v>
      </c>
      <c r="W59" s="1248">
        <v>-15.229296289999999</v>
      </c>
      <c r="X59" s="826">
        <v>0</v>
      </c>
      <c r="Y59" s="1251">
        <f t="shared" si="0"/>
        <v>-15.686334509999998</v>
      </c>
      <c r="Z59" s="832">
        <v>0</v>
      </c>
      <c r="AA59" s="1700" t="s">
        <v>63</v>
      </c>
      <c r="AB59" s="832">
        <v>0</v>
      </c>
      <c r="AC59" s="1252" t="str">
        <f t="shared" si="2"/>
        <v/>
      </c>
      <c r="AD59" s="1252" t="str">
        <f t="shared" si="2"/>
        <v/>
      </c>
      <c r="AE59" s="1252">
        <f t="shared" si="2"/>
        <v>-15.686334509999998</v>
      </c>
      <c r="AF59" s="1252" t="str">
        <f t="shared" si="2"/>
        <v/>
      </c>
      <c r="AG59" s="617"/>
      <c r="AH59" s="616"/>
      <c r="AI59" s="1699"/>
    </row>
    <row r="60" spans="1:35" s="459" customFormat="1">
      <c r="A60" s="2474" t="s">
        <v>2339</v>
      </c>
      <c r="B60" s="723" t="s">
        <v>2332</v>
      </c>
      <c r="C60" s="721" t="s">
        <v>2269</v>
      </c>
      <c r="D60" s="834"/>
      <c r="E60" s="722">
        <v>248195</v>
      </c>
      <c r="F60" s="722">
        <v>242</v>
      </c>
      <c r="G60" s="722">
        <v>0</v>
      </c>
      <c r="H60" s="722">
        <v>500515</v>
      </c>
      <c r="I60" s="722" t="s">
        <v>2320</v>
      </c>
      <c r="J60" s="831">
        <v>0</v>
      </c>
      <c r="K60" s="1248">
        <v>-6.0877574900000004</v>
      </c>
      <c r="L60" s="1248">
        <v>-6.2626061100000001</v>
      </c>
      <c r="M60" s="1248">
        <v>-6.2247597400000005</v>
      </c>
      <c r="N60" s="1248">
        <v>-6.2311276500000004</v>
      </c>
      <c r="O60" s="1248">
        <v>-6.2341255799999997</v>
      </c>
      <c r="P60" s="1248">
        <v>-6.2654831900000003</v>
      </c>
      <c r="Q60" s="1248">
        <v>-6.2464565900000002</v>
      </c>
      <c r="R60" s="1248">
        <v>-5.45669396</v>
      </c>
      <c r="S60" s="1248">
        <v>-5.4576537599999995</v>
      </c>
      <c r="T60" s="1248">
        <v>-5.45465278</v>
      </c>
      <c r="U60" s="1248">
        <v>-5.4654162199999998</v>
      </c>
      <c r="V60" s="1248">
        <v>-5.4796547800000006</v>
      </c>
      <c r="W60" s="1248">
        <v>-6.11367555</v>
      </c>
      <c r="X60" s="826">
        <v>0</v>
      </c>
      <c r="Y60" s="1251">
        <f t="shared" si="0"/>
        <v>-5.9215433384615386</v>
      </c>
      <c r="Z60" s="832">
        <v>0</v>
      </c>
      <c r="AA60" s="1700" t="s">
        <v>63</v>
      </c>
      <c r="AB60" s="832">
        <v>0</v>
      </c>
      <c r="AC60" s="1252" t="str">
        <f t="shared" si="2"/>
        <v/>
      </c>
      <c r="AD60" s="1252" t="str">
        <f t="shared" si="2"/>
        <v/>
      </c>
      <c r="AE60" s="1252">
        <f t="shared" si="2"/>
        <v>-5.9215433384615386</v>
      </c>
      <c r="AF60" s="1252" t="str">
        <f t="shared" si="2"/>
        <v/>
      </c>
      <c r="AG60" s="617"/>
      <c r="AH60" s="616"/>
      <c r="AI60" s="1699"/>
    </row>
    <row r="61" spans="1:35" s="459" customFormat="1">
      <c r="A61" s="2475"/>
      <c r="B61" s="723"/>
      <c r="C61" s="721"/>
      <c r="D61" s="834"/>
      <c r="E61" s="722"/>
      <c r="F61" s="722"/>
      <c r="G61" s="722"/>
      <c r="H61" s="722"/>
      <c r="I61" s="722"/>
      <c r="J61" s="831"/>
      <c r="K61" s="1248"/>
      <c r="L61" s="1248"/>
      <c r="M61" s="1248"/>
      <c r="N61" s="1248"/>
      <c r="O61" s="1248"/>
      <c r="P61" s="1248"/>
      <c r="Q61" s="1248"/>
      <c r="R61" s="1248"/>
      <c r="S61" s="1248"/>
      <c r="T61" s="1248"/>
      <c r="U61" s="1248"/>
      <c r="V61" s="1248"/>
      <c r="W61" s="1248"/>
      <c r="X61" s="826"/>
      <c r="Y61" s="1251"/>
      <c r="Z61" s="832"/>
      <c r="AA61" s="1700"/>
      <c r="AB61" s="832"/>
      <c r="AC61" s="1252"/>
      <c r="AD61" s="1252"/>
      <c r="AE61" s="1252"/>
      <c r="AF61" s="1252"/>
      <c r="AG61" s="617"/>
      <c r="AH61" s="616"/>
      <c r="AI61" s="1699"/>
    </row>
    <row r="62" spans="1:35" s="1380" customFormat="1" ht="19.5" customHeight="1">
      <c r="A62" s="2477" t="s">
        <v>2340</v>
      </c>
      <c r="B62" s="2478" t="s">
        <v>2341</v>
      </c>
      <c r="C62" s="2479" t="s">
        <v>2269</v>
      </c>
      <c r="D62" s="2480"/>
      <c r="E62" s="2481">
        <v>280349</v>
      </c>
      <c r="F62" s="2481">
        <v>228.3</v>
      </c>
      <c r="G62" s="2481">
        <v>0</v>
      </c>
      <c r="H62" s="2481">
        <v>501106</v>
      </c>
      <c r="I62" s="2481">
        <v>426.5</v>
      </c>
      <c r="J62" s="2035">
        <v>0</v>
      </c>
      <c r="K62" s="2482">
        <v>-2.1906189999999999</v>
      </c>
      <c r="L62" s="2482">
        <v>-2.1894670000000001</v>
      </c>
      <c r="M62" s="2482">
        <v>-2.145829</v>
      </c>
      <c r="N62" s="2482">
        <v>-2.1411799999999999</v>
      </c>
      <c r="O62" s="2482">
        <v>-2.1498529999999998</v>
      </c>
      <c r="P62" s="2482">
        <v>-2.1308530000000001</v>
      </c>
      <c r="Q62" s="2482">
        <v>-2.1230060000000002</v>
      </c>
      <c r="R62" s="2482">
        <v>-2.1073849999999998</v>
      </c>
      <c r="S62" s="2482">
        <v>-2.1073849999999998</v>
      </c>
      <c r="T62" s="2482">
        <v>-2.1039129999999999</v>
      </c>
      <c r="U62" s="2482">
        <v>-2.09179</v>
      </c>
      <c r="V62" s="2482">
        <v>-2.0891950000000001</v>
      </c>
      <c r="W62" s="2482">
        <v>-1.9224680000000001</v>
      </c>
      <c r="X62" s="1464">
        <v>0</v>
      </c>
      <c r="Y62" s="2483">
        <f t="shared" si="0"/>
        <v>-2.1148417692307691</v>
      </c>
      <c r="Z62" s="1464">
        <v>0</v>
      </c>
      <c r="AA62" s="2484" t="s">
        <v>104</v>
      </c>
      <c r="AB62" s="1464">
        <v>0</v>
      </c>
      <c r="AC62" s="2485" t="str">
        <f t="shared" si="2"/>
        <v/>
      </c>
      <c r="AD62" s="2485" t="str">
        <f t="shared" si="2"/>
        <v/>
      </c>
      <c r="AE62" s="2485" t="str">
        <f t="shared" si="2"/>
        <v/>
      </c>
      <c r="AF62" s="2485">
        <f t="shared" si="2"/>
        <v>-2.1148417692307691</v>
      </c>
      <c r="AG62" s="2355"/>
      <c r="AH62" s="1379"/>
      <c r="AI62" s="2486"/>
    </row>
    <row r="63" spans="1:35" s="459" customFormat="1">
      <c r="A63" s="2476" t="s">
        <v>2342</v>
      </c>
      <c r="B63" s="723" t="s">
        <v>2343</v>
      </c>
      <c r="C63" s="721" t="s">
        <v>2269</v>
      </c>
      <c r="D63" s="834"/>
      <c r="E63" s="722">
        <v>280350</v>
      </c>
      <c r="F63" s="722">
        <v>228.35</v>
      </c>
      <c r="G63" s="722">
        <v>0</v>
      </c>
      <c r="H63" s="722">
        <v>501105</v>
      </c>
      <c r="I63" s="722" t="s">
        <v>2320</v>
      </c>
      <c r="J63" s="831">
        <v>0</v>
      </c>
      <c r="K63" s="1248">
        <v>-0.66601999999999995</v>
      </c>
      <c r="L63" s="1248">
        <v>-1.33202</v>
      </c>
      <c r="M63" s="1248">
        <v>-0.65702000000000005</v>
      </c>
      <c r="N63" s="1248">
        <v>-1.31402</v>
      </c>
      <c r="O63" s="1248">
        <v>-1.3130200000000001</v>
      </c>
      <c r="P63" s="1248">
        <v>-0.65923138000000003</v>
      </c>
      <c r="Q63" s="1248">
        <v>-0.65400000000000003</v>
      </c>
      <c r="R63" s="1248">
        <v>-1.3080000000000001</v>
      </c>
      <c r="S63" s="1248">
        <v>-1.3029999999999999</v>
      </c>
      <c r="T63" s="1248">
        <v>-0.64</v>
      </c>
      <c r="U63" s="1248">
        <v>-0.63600000000000001</v>
      </c>
      <c r="V63" s="1248">
        <v>-0.63300000000000001</v>
      </c>
      <c r="W63" s="1248">
        <v>-0.63100000000000001</v>
      </c>
      <c r="X63" s="826">
        <v>0</v>
      </c>
      <c r="Y63" s="1251">
        <f t="shared" si="0"/>
        <v>-0.90356395230769215</v>
      </c>
      <c r="Z63" s="832">
        <v>0</v>
      </c>
      <c r="AA63" s="1700" t="s">
        <v>63</v>
      </c>
      <c r="AB63" s="832">
        <v>0</v>
      </c>
      <c r="AC63" s="1252" t="str">
        <f t="shared" si="2"/>
        <v/>
      </c>
      <c r="AD63" s="1252" t="str">
        <f t="shared" si="2"/>
        <v/>
      </c>
      <c r="AE63" s="1252">
        <f t="shared" si="2"/>
        <v>-0.90356395230769215</v>
      </c>
      <c r="AF63" s="1252" t="str">
        <f t="shared" si="2"/>
        <v/>
      </c>
      <c r="AG63" s="617"/>
      <c r="AH63" s="616"/>
      <c r="AI63" s="1699"/>
    </row>
    <row r="64" spans="1:35" s="459" customFormat="1">
      <c r="A64" s="719"/>
      <c r="B64" s="723"/>
      <c r="C64" s="721"/>
      <c r="D64" s="834"/>
      <c r="E64" s="722"/>
      <c r="F64" s="722"/>
      <c r="G64" s="722"/>
      <c r="H64" s="722"/>
      <c r="I64" s="722"/>
      <c r="J64" s="831"/>
      <c r="K64" s="1248"/>
      <c r="L64" s="1248"/>
      <c r="M64" s="1248"/>
      <c r="N64" s="1248"/>
      <c r="O64" s="1248"/>
      <c r="P64" s="1248"/>
      <c r="Q64" s="1248"/>
      <c r="R64" s="1248"/>
      <c r="S64" s="1248"/>
      <c r="T64" s="1248"/>
      <c r="U64" s="1248"/>
      <c r="V64" s="1248"/>
      <c r="W64" s="1248"/>
      <c r="X64" s="826"/>
      <c r="Y64" s="1251"/>
      <c r="Z64" s="832"/>
      <c r="AA64" s="1700"/>
      <c r="AB64" s="832"/>
      <c r="AC64" s="1252"/>
      <c r="AD64" s="1252"/>
      <c r="AE64" s="1252"/>
      <c r="AF64" s="1252"/>
      <c r="AG64" s="617"/>
      <c r="AH64" s="616"/>
      <c r="AI64" s="1699"/>
    </row>
    <row r="65" spans="1:35" s="459" customFormat="1">
      <c r="A65" s="1597" t="s">
        <v>559</v>
      </c>
      <c r="B65" s="723" t="s">
        <v>2344</v>
      </c>
      <c r="C65" s="721" t="s">
        <v>2269</v>
      </c>
      <c r="D65" s="834"/>
      <c r="E65" s="722">
        <v>280465</v>
      </c>
      <c r="F65" s="722">
        <v>228.35</v>
      </c>
      <c r="G65" s="722">
        <v>0</v>
      </c>
      <c r="H65" s="722">
        <v>501115</v>
      </c>
      <c r="I65" s="722" t="s">
        <v>2345</v>
      </c>
      <c r="J65" s="831">
        <v>0</v>
      </c>
      <c r="K65" s="1248">
        <v>-59.278716000000003</v>
      </c>
      <c r="L65" s="1248">
        <v>-59.126988520000005</v>
      </c>
      <c r="M65" s="1248">
        <v>-58.975261039999999</v>
      </c>
      <c r="N65" s="1248">
        <v>-58.823533560000001</v>
      </c>
      <c r="O65" s="1248">
        <v>-58.671806079999996</v>
      </c>
      <c r="P65" s="1248">
        <v>-58.454868349999998</v>
      </c>
      <c r="Q65" s="1248">
        <v>-58.281404119999998</v>
      </c>
      <c r="R65" s="1248">
        <v>-58.107939889999997</v>
      </c>
      <c r="S65" s="1248">
        <v>-57.938810659999994</v>
      </c>
      <c r="T65" s="1248">
        <v>-57.768081430000002</v>
      </c>
      <c r="U65" s="1248">
        <v>-57.598952200000006</v>
      </c>
      <c r="V65" s="1248">
        <v>-57.429822969999996</v>
      </c>
      <c r="W65" s="1248">
        <v>-58.981706000000003</v>
      </c>
      <c r="X65" s="826">
        <v>0</v>
      </c>
      <c r="Y65" s="1251">
        <f t="shared" si="0"/>
        <v>-58.418299293846161</v>
      </c>
      <c r="Z65" s="832">
        <v>0</v>
      </c>
      <c r="AA65" s="1700" t="s">
        <v>63</v>
      </c>
      <c r="AB65" s="832">
        <v>0</v>
      </c>
      <c r="AC65" s="1252" t="str">
        <f t="shared" si="2"/>
        <v/>
      </c>
      <c r="AD65" s="1252" t="str">
        <f t="shared" si="2"/>
        <v/>
      </c>
      <c r="AE65" s="1252">
        <f t="shared" si="2"/>
        <v>-58.418299293846161</v>
      </c>
      <c r="AF65" s="1252" t="str">
        <f t="shared" si="2"/>
        <v/>
      </c>
      <c r="AG65" s="617"/>
      <c r="AH65" s="616"/>
      <c r="AI65" s="1699"/>
    </row>
    <row r="66" spans="1:35" s="459" customFormat="1" ht="38.25">
      <c r="A66" s="1597" t="s">
        <v>2346</v>
      </c>
      <c r="B66" s="720" t="s">
        <v>2344</v>
      </c>
      <c r="C66" s="721" t="s">
        <v>2347</v>
      </c>
      <c r="D66" s="834"/>
      <c r="E66" s="722">
        <v>299107</v>
      </c>
      <c r="F66" s="722">
        <v>219</v>
      </c>
      <c r="G66" s="722"/>
      <c r="H66" s="722">
        <v>0</v>
      </c>
      <c r="I66" s="722">
        <v>0</v>
      </c>
      <c r="J66" s="831"/>
      <c r="K66" s="1249">
        <v>19.363143000000001</v>
      </c>
      <c r="L66" s="1249">
        <v>19.29756166</v>
      </c>
      <c r="M66" s="1249">
        <v>19.231980320000002</v>
      </c>
      <c r="N66" s="1249">
        <v>19.16639898</v>
      </c>
      <c r="O66" s="1249">
        <v>19.100817639999999</v>
      </c>
      <c r="P66" s="1249">
        <v>19.035236300000001</v>
      </c>
      <c r="Q66" s="1249">
        <v>18.96965496</v>
      </c>
      <c r="R66" s="1249">
        <v>18.904073620000002</v>
      </c>
      <c r="S66" s="1249">
        <v>18.838492280000001</v>
      </c>
      <c r="T66" s="1249">
        <v>18.772910940000003</v>
      </c>
      <c r="U66" s="1249">
        <v>18.707329600000001</v>
      </c>
      <c r="V66" s="1249">
        <v>18.64174826</v>
      </c>
      <c r="W66" s="1250">
        <v>20.297179</v>
      </c>
      <c r="X66" s="826"/>
      <c r="Y66" s="1251">
        <f t="shared" si="0"/>
        <v>19.102040504615381</v>
      </c>
      <c r="Z66" s="832"/>
      <c r="AA66" s="1700" t="s">
        <v>63</v>
      </c>
      <c r="AB66" s="832"/>
      <c r="AC66" s="1252" t="str">
        <f t="shared" si="2"/>
        <v/>
      </c>
      <c r="AD66" s="1252" t="str">
        <f t="shared" si="2"/>
        <v/>
      </c>
      <c r="AE66" s="1252">
        <f t="shared" si="2"/>
        <v>19.102040504615381</v>
      </c>
      <c r="AF66" s="1252" t="str">
        <f t="shared" si="2"/>
        <v/>
      </c>
      <c r="AG66" s="617"/>
      <c r="AH66" s="616"/>
      <c r="AI66" s="1699"/>
    </row>
    <row r="67" spans="1:35" s="459" customFormat="1">
      <c r="A67" s="719"/>
      <c r="B67" s="723"/>
      <c r="C67" s="721"/>
      <c r="D67" s="834"/>
      <c r="E67" s="722"/>
      <c r="F67" s="722"/>
      <c r="G67" s="722"/>
      <c r="H67" s="722"/>
      <c r="I67" s="722"/>
      <c r="J67" s="831"/>
      <c r="K67" s="1248"/>
      <c r="L67" s="1248"/>
      <c r="M67" s="1248"/>
      <c r="N67" s="1248"/>
      <c r="O67" s="1248"/>
      <c r="P67" s="1248"/>
      <c r="Q67" s="1248"/>
      <c r="R67" s="1248"/>
      <c r="S67" s="1248"/>
      <c r="T67" s="1248"/>
      <c r="U67" s="1248"/>
      <c r="V67" s="1248"/>
      <c r="W67" s="1248"/>
      <c r="X67" s="826"/>
      <c r="Y67" s="1251"/>
      <c r="Z67" s="832"/>
      <c r="AA67" s="1700"/>
      <c r="AB67" s="832"/>
      <c r="AC67" s="1252"/>
      <c r="AD67" s="1252"/>
      <c r="AE67" s="1252"/>
      <c r="AF67" s="1252"/>
      <c r="AG67" s="617"/>
      <c r="AH67" s="616"/>
      <c r="AI67" s="1699"/>
    </row>
    <row r="68" spans="1:35" s="1380" customFormat="1" ht="19.5" customHeight="1">
      <c r="A68" s="2487" t="s">
        <v>2348</v>
      </c>
      <c r="B68" s="2478" t="s">
        <v>2349</v>
      </c>
      <c r="C68" s="2479" t="s">
        <v>2269</v>
      </c>
      <c r="D68" s="2480"/>
      <c r="E68" s="2481">
        <v>280330</v>
      </c>
      <c r="F68" s="2481">
        <v>228.3</v>
      </c>
      <c r="G68" s="2481">
        <v>0</v>
      </c>
      <c r="H68" s="2481">
        <v>501160</v>
      </c>
      <c r="I68" s="2481">
        <v>920</v>
      </c>
      <c r="J68" s="2035">
        <v>0</v>
      </c>
      <c r="K68" s="2482">
        <v>-31.649884</v>
      </c>
      <c r="L68" s="2482">
        <v>-31.947795660000001</v>
      </c>
      <c r="M68" s="2482">
        <v>-31.793695850000002</v>
      </c>
      <c r="N68" s="2482">
        <v>-31.867899739999999</v>
      </c>
      <c r="O68" s="2482">
        <v>-31.97057148</v>
      </c>
      <c r="P68" s="2482">
        <v>-31.463482120000002</v>
      </c>
      <c r="Q68" s="2482">
        <v>-31.91264606</v>
      </c>
      <c r="R68" s="2482">
        <v>-31.8788941</v>
      </c>
      <c r="S68" s="2482">
        <v>-31.80869478</v>
      </c>
      <c r="T68" s="2482">
        <v>-31.824391479999999</v>
      </c>
      <c r="U68" s="2482">
        <v>-31.792427920000002</v>
      </c>
      <c r="V68" s="2482">
        <v>-31.612858690000003</v>
      </c>
      <c r="W68" s="2482">
        <v>-30.687620850000002</v>
      </c>
      <c r="X68" s="1464">
        <v>0</v>
      </c>
      <c r="Y68" s="2483">
        <f t="shared" si="0"/>
        <v>-31.708527902307694</v>
      </c>
      <c r="Z68" s="1464">
        <v>0</v>
      </c>
      <c r="AA68" s="2484" t="s">
        <v>63</v>
      </c>
      <c r="AB68" s="1464">
        <v>0</v>
      </c>
      <c r="AC68" s="2485" t="str">
        <f t="shared" si="2"/>
        <v/>
      </c>
      <c r="AD68" s="2485" t="str">
        <f t="shared" si="2"/>
        <v/>
      </c>
      <c r="AE68" s="2485">
        <f t="shared" si="2"/>
        <v>-31.708527902307694</v>
      </c>
      <c r="AF68" s="2485" t="str">
        <f t="shared" si="2"/>
        <v/>
      </c>
      <c r="AG68" s="2355"/>
      <c r="AH68" s="1379"/>
      <c r="AI68" s="2486"/>
    </row>
    <row r="69" spans="1:35" s="459" customFormat="1">
      <c r="A69" s="1597" t="s">
        <v>2350</v>
      </c>
      <c r="B69" s="723" t="s">
        <v>2349</v>
      </c>
      <c r="C69" s="721" t="s">
        <v>2269</v>
      </c>
      <c r="D69" s="834"/>
      <c r="E69" s="722">
        <v>280490</v>
      </c>
      <c r="F69" s="722">
        <v>228.3</v>
      </c>
      <c r="G69" s="722"/>
      <c r="H69" s="722">
        <v>501160</v>
      </c>
      <c r="I69" s="722">
        <v>920</v>
      </c>
      <c r="J69" s="831"/>
      <c r="K69" s="1248">
        <v>-3.106519</v>
      </c>
      <c r="L69" s="1248">
        <v>-3.10448652</v>
      </c>
      <c r="M69" s="1248">
        <v>-3.1003222300000002</v>
      </c>
      <c r="N69" s="1248">
        <v>-3.10062287</v>
      </c>
      <c r="O69" s="1248">
        <v>-3.0914000499999998</v>
      </c>
      <c r="P69" s="1248">
        <v>-3.0827797599999998</v>
      </c>
      <c r="Q69" s="1248">
        <v>-3.0706281099999999</v>
      </c>
      <c r="R69" s="1248">
        <v>-3.0716111000000001</v>
      </c>
      <c r="S69" s="1248">
        <v>-3.0749787099999999</v>
      </c>
      <c r="T69" s="1248">
        <v>-3.0522328599999997</v>
      </c>
      <c r="U69" s="1248">
        <v>-3.0555062599999996</v>
      </c>
      <c r="V69" s="1248">
        <v>-3.0415229500000001</v>
      </c>
      <c r="W69" s="1248">
        <v>-3.0447951500000001</v>
      </c>
      <c r="X69" s="826"/>
      <c r="Y69" s="1251">
        <f t="shared" si="0"/>
        <v>-3.0767235053846158</v>
      </c>
      <c r="Z69" s="832"/>
      <c r="AA69" s="1700" t="s">
        <v>63</v>
      </c>
      <c r="AB69" s="832"/>
      <c r="AC69" s="1252" t="str">
        <f t="shared" si="2"/>
        <v/>
      </c>
      <c r="AD69" s="1252" t="str">
        <f t="shared" si="2"/>
        <v/>
      </c>
      <c r="AE69" s="1252">
        <f t="shared" si="2"/>
        <v>-3.0767235053846158</v>
      </c>
      <c r="AF69" s="1252" t="str">
        <f t="shared" si="2"/>
        <v/>
      </c>
      <c r="AG69" s="617"/>
      <c r="AH69" s="616"/>
      <c r="AI69" s="1699"/>
    </row>
    <row r="70" spans="1:35" s="459" customFormat="1">
      <c r="A70" s="1698" t="s">
        <v>924</v>
      </c>
      <c r="B70" s="725"/>
      <c r="C70" s="725"/>
      <c r="D70" s="834"/>
      <c r="E70" s="726"/>
      <c r="F70" s="726"/>
      <c r="G70" s="726"/>
      <c r="H70" s="726"/>
      <c r="I70" s="726"/>
      <c r="J70" s="726"/>
      <c r="K70" s="1697">
        <f t="shared" ref="K70:W70" si="3">SUM(K8:K69)</f>
        <v>-299.02096734999992</v>
      </c>
      <c r="L70" s="1697">
        <f t="shared" si="3"/>
        <v>-305.60088312000011</v>
      </c>
      <c r="M70" s="1697">
        <f t="shared" si="3"/>
        <v>-306.08729125999992</v>
      </c>
      <c r="N70" s="1697">
        <f t="shared" si="3"/>
        <v>-305.34852823999995</v>
      </c>
      <c r="O70" s="1697">
        <f t="shared" si="3"/>
        <v>-306.06971144000011</v>
      </c>
      <c r="P70" s="1697">
        <f t="shared" si="3"/>
        <v>-186.16306002999994</v>
      </c>
      <c r="Q70" s="1697">
        <f t="shared" si="3"/>
        <v>-192.70272713</v>
      </c>
      <c r="R70" s="1697">
        <f t="shared" si="3"/>
        <v>-194.57054494000002</v>
      </c>
      <c r="S70" s="1697">
        <f t="shared" si="3"/>
        <v>-198.07260472999999</v>
      </c>
      <c r="T70" s="1697">
        <f t="shared" si="3"/>
        <v>-192.95723191000005</v>
      </c>
      <c r="U70" s="1697">
        <f t="shared" si="3"/>
        <v>-195.60457152999999</v>
      </c>
      <c r="V70" s="1697">
        <f t="shared" si="3"/>
        <v>-201.69394382999997</v>
      </c>
      <c r="W70" s="1697">
        <f t="shared" si="3"/>
        <v>-156.82515520000001</v>
      </c>
      <c r="X70" s="727"/>
      <c r="Y70" s="1696">
        <f>ROUND(SUM(K70+W70)/2,4)</f>
        <v>-227.92310000000001</v>
      </c>
      <c r="Z70" s="727"/>
      <c r="AA70" s="727"/>
      <c r="AB70" s="727"/>
      <c r="AC70" s="1695">
        <f>SUM(AC8:AC69)</f>
        <v>0</v>
      </c>
      <c r="AD70" s="1695">
        <f>SUM(AD8:AD69)</f>
        <v>0</v>
      </c>
      <c r="AE70" s="1695">
        <f>SUM(AE8:AE69)</f>
        <v>-141.94658009230773</v>
      </c>
      <c r="AF70" s="1695">
        <f>SUM(AF8:AF69)</f>
        <v>-91.954744577692281</v>
      </c>
      <c r="AG70" s="727"/>
      <c r="AH70" s="616"/>
    </row>
    <row r="71" spans="1:35">
      <c r="A71" s="605"/>
      <c r="B71" s="606"/>
      <c r="C71" s="606"/>
      <c r="D71" s="607"/>
      <c r="E71" s="607"/>
      <c r="F71" s="607"/>
      <c r="G71" s="607"/>
      <c r="H71" s="607"/>
      <c r="I71" s="607"/>
      <c r="J71" s="607"/>
      <c r="K71" s="602"/>
      <c r="L71" s="602"/>
      <c r="M71" s="602"/>
      <c r="N71" s="602"/>
      <c r="O71" s="602"/>
      <c r="P71" s="602"/>
      <c r="Q71" s="602"/>
      <c r="R71" s="602"/>
      <c r="S71" s="602"/>
      <c r="T71" s="602"/>
      <c r="U71" s="602"/>
      <c r="V71" s="602"/>
      <c r="W71" s="602"/>
      <c r="X71" s="437"/>
      <c r="Y71" s="437"/>
      <c r="Z71" s="437"/>
      <c r="AA71" s="437"/>
      <c r="AB71" s="437"/>
      <c r="AC71" s="615"/>
      <c r="AD71" s="615"/>
      <c r="AE71" s="615"/>
      <c r="AF71" s="615"/>
      <c r="AG71" s="617"/>
      <c r="AH71" s="437"/>
    </row>
    <row r="72" spans="1:35">
      <c r="A72" s="605"/>
      <c r="B72" s="606"/>
      <c r="C72" s="606"/>
      <c r="D72" s="607"/>
      <c r="E72" s="607"/>
      <c r="F72" s="607"/>
      <c r="G72" s="607"/>
      <c r="H72" s="607"/>
      <c r="I72" s="607"/>
      <c r="J72" s="607"/>
      <c r="K72" s="602"/>
      <c r="L72" s="602"/>
      <c r="M72" s="602"/>
      <c r="N72" s="602"/>
      <c r="O72" s="602"/>
      <c r="P72" s="602"/>
      <c r="Q72" s="602"/>
      <c r="R72" s="602"/>
      <c r="S72" s="602"/>
      <c r="T72" s="602"/>
      <c r="U72" s="602"/>
      <c r="V72" s="602"/>
      <c r="W72" s="602"/>
      <c r="X72" s="437"/>
      <c r="Y72" s="602"/>
      <c r="Z72" s="437"/>
      <c r="AA72" s="437"/>
      <c r="AB72" s="437"/>
      <c r="AE72" s="602"/>
      <c r="AF72" s="602"/>
      <c r="AG72" s="617"/>
      <c r="AH72" s="437"/>
    </row>
    <row r="73" spans="1:35">
      <c r="A73" s="605"/>
      <c r="B73" s="606"/>
      <c r="C73" s="606"/>
      <c r="D73" s="607"/>
      <c r="E73" s="607"/>
      <c r="F73" s="607"/>
      <c r="G73" s="607"/>
      <c r="H73" s="607"/>
      <c r="I73" s="607"/>
      <c r="J73" s="607"/>
      <c r="K73" s="602"/>
      <c r="L73" s="602"/>
      <c r="M73" s="602"/>
      <c r="N73" s="602"/>
      <c r="O73" s="602"/>
      <c r="P73" s="602"/>
      <c r="Q73" s="602"/>
      <c r="R73" s="602"/>
      <c r="S73" s="602"/>
      <c r="T73" s="602"/>
      <c r="U73" s="602"/>
      <c r="V73" s="602"/>
      <c r="W73" s="603"/>
      <c r="X73" s="437"/>
      <c r="Y73" s="437"/>
      <c r="Z73" s="437"/>
      <c r="AA73" s="1690" t="s">
        <v>246</v>
      </c>
      <c r="AB73" s="1690"/>
      <c r="AC73" s="1253">
        <v>1</v>
      </c>
      <c r="AD73" s="619">
        <f>Allocator.gross.plant</f>
        <v>0.23037119814049065</v>
      </c>
      <c r="AE73" s="619">
        <f>Allocator.wages.salary</f>
        <v>8.7245911656529326E-2</v>
      </c>
      <c r="AF73" s="619">
        <v>0</v>
      </c>
      <c r="AG73" s="437"/>
      <c r="AH73" s="437"/>
    </row>
    <row r="74" spans="1:35">
      <c r="A74" s="605"/>
      <c r="B74" s="606"/>
      <c r="C74" s="606"/>
      <c r="D74" s="607"/>
      <c r="E74" s="607"/>
      <c r="F74" s="607"/>
      <c r="G74" s="607"/>
      <c r="H74" s="607"/>
      <c r="I74" s="607"/>
      <c r="J74" s="607"/>
      <c r="K74" s="602"/>
      <c r="L74" s="602"/>
      <c r="M74" s="602"/>
      <c r="N74" s="602"/>
      <c r="O74" s="602"/>
      <c r="P74" s="602"/>
      <c r="Q74" s="602"/>
      <c r="R74" s="602"/>
      <c r="S74" s="602"/>
      <c r="T74" s="602"/>
      <c r="U74" s="602"/>
      <c r="V74" s="602"/>
      <c r="W74" s="603"/>
      <c r="X74" s="437"/>
      <c r="Y74" s="437"/>
      <c r="Z74" s="437"/>
      <c r="AA74" s="1690" t="s">
        <v>925</v>
      </c>
      <c r="AB74" s="1690"/>
      <c r="AC74" s="1694">
        <f>AC70*AC73</f>
        <v>0</v>
      </c>
      <c r="AD74" s="1693">
        <f>AD70*AD73</f>
        <v>0</v>
      </c>
      <c r="AE74" s="1693">
        <f>AE70*AE73</f>
        <v>-12.384258786679945</v>
      </c>
      <c r="AF74" s="1693">
        <f>AF70*AF73</f>
        <v>0</v>
      </c>
      <c r="AG74" s="1692">
        <f>SUM(AC74:AF74)</f>
        <v>-12.384258786679945</v>
      </c>
    </row>
    <row r="75" spans="1:35">
      <c r="A75" s="605"/>
      <c r="B75" s="606"/>
      <c r="C75" s="606"/>
      <c r="D75" s="607"/>
      <c r="E75" s="607"/>
      <c r="F75" s="607"/>
      <c r="G75" s="607"/>
      <c r="H75" s="607"/>
      <c r="I75" s="607"/>
      <c r="J75" s="607"/>
      <c r="K75" s="602"/>
      <c r="L75" s="602"/>
      <c r="M75" s="602"/>
      <c r="N75" s="602"/>
      <c r="O75" s="602"/>
      <c r="P75" s="602"/>
      <c r="Q75" s="602"/>
      <c r="R75" s="602"/>
      <c r="S75" s="602"/>
      <c r="T75" s="602"/>
      <c r="U75" s="602"/>
      <c r="V75" s="602"/>
      <c r="W75" s="603"/>
      <c r="X75" s="437"/>
      <c r="Y75" s="437"/>
      <c r="Z75" s="437"/>
      <c r="AA75" s="1690"/>
      <c r="AB75" s="1690"/>
      <c r="AC75" s="437"/>
      <c r="AD75" s="620"/>
      <c r="AE75" s="620"/>
      <c r="AF75" s="620"/>
      <c r="AG75" s="620"/>
    </row>
    <row r="76" spans="1:35">
      <c r="A76" s="605"/>
      <c r="B76" s="606"/>
      <c r="C76" s="606"/>
      <c r="D76" s="607"/>
      <c r="E76" s="607"/>
      <c r="F76" s="607"/>
      <c r="G76" s="607"/>
      <c r="H76" s="607"/>
      <c r="I76" s="607"/>
      <c r="J76" s="607"/>
      <c r="K76" s="602"/>
      <c r="L76" s="602"/>
      <c r="M76" s="602"/>
      <c r="N76" s="602"/>
      <c r="O76" s="602"/>
      <c r="P76" s="602"/>
      <c r="Q76" s="602"/>
      <c r="R76" s="602"/>
      <c r="S76" s="602"/>
      <c r="T76" s="602"/>
      <c r="U76" s="602"/>
      <c r="V76" s="602"/>
      <c r="W76" s="603"/>
      <c r="X76" s="437"/>
      <c r="Y76" s="437"/>
      <c r="Z76" s="437"/>
      <c r="AA76" s="1691" t="s">
        <v>1014</v>
      </c>
      <c r="AB76" s="1690"/>
      <c r="AC76" s="617"/>
      <c r="AD76" s="617"/>
      <c r="AE76" s="618"/>
      <c r="AF76" s="617"/>
      <c r="AG76" s="1689">
        <f>AG74*10^6</f>
        <v>-12384258.786679946</v>
      </c>
    </row>
    <row r="77" spans="1:35">
      <c r="A77" s="458"/>
      <c r="B77" s="457"/>
      <c r="C77" s="457"/>
      <c r="D77" s="456"/>
      <c r="E77" s="456"/>
      <c r="F77" s="456"/>
      <c r="G77" s="456"/>
      <c r="H77" s="456"/>
      <c r="I77" s="456"/>
      <c r="J77" s="456"/>
      <c r="K77" s="455"/>
    </row>
    <row r="78" spans="1:35">
      <c r="A78" s="458"/>
      <c r="B78" s="457"/>
      <c r="C78" s="457"/>
      <c r="D78" s="456"/>
      <c r="E78" s="456"/>
      <c r="F78" s="456"/>
      <c r="G78" s="456"/>
      <c r="H78" s="456"/>
      <c r="I78" s="456"/>
      <c r="J78" s="456"/>
      <c r="K78" s="455"/>
    </row>
    <row r="79" spans="1:35">
      <c r="A79" s="458"/>
      <c r="B79" s="457"/>
      <c r="C79" s="457"/>
      <c r="D79" s="456"/>
      <c r="E79" s="456"/>
      <c r="F79" s="456"/>
      <c r="G79" s="456"/>
      <c r="H79" s="456"/>
      <c r="I79" s="456"/>
      <c r="J79" s="456"/>
      <c r="K79" s="455"/>
    </row>
    <row r="80" spans="1:35">
      <c r="A80" s="458"/>
      <c r="B80" s="457"/>
      <c r="C80" s="457"/>
      <c r="D80" s="456"/>
      <c r="E80" s="456"/>
      <c r="F80" s="456"/>
      <c r="G80" s="456"/>
      <c r="H80" s="456"/>
      <c r="I80" s="456"/>
      <c r="J80" s="456"/>
      <c r="K80" s="455"/>
    </row>
    <row r="81" spans="1:11">
      <c r="A81" s="458"/>
      <c r="B81" s="457"/>
      <c r="C81" s="457"/>
      <c r="D81" s="456"/>
      <c r="E81" s="456"/>
      <c r="F81" s="456"/>
      <c r="G81" s="456"/>
      <c r="H81" s="456"/>
      <c r="I81" s="456"/>
      <c r="J81" s="456"/>
      <c r="K81" s="455"/>
    </row>
    <row r="82" spans="1:11">
      <c r="K82" s="455"/>
    </row>
    <row r="83" spans="1:11">
      <c r="K83" s="455"/>
    </row>
    <row r="84" spans="1:11">
      <c r="K84" s="455"/>
    </row>
    <row r="85" spans="1:11">
      <c r="K85" s="455"/>
    </row>
    <row r="86" spans="1:11">
      <c r="K86" s="455"/>
    </row>
    <row r="87" spans="1:11">
      <c r="K87" s="455"/>
    </row>
    <row r="88" spans="1:11">
      <c r="K88" s="455"/>
    </row>
    <row r="89" spans="1:11">
      <c r="K89" s="455"/>
    </row>
    <row r="90" spans="1:11">
      <c r="K90" s="455"/>
    </row>
    <row r="91" spans="1:11">
      <c r="K91" s="455"/>
    </row>
    <row r="92" spans="1:11">
      <c r="K92" s="455"/>
    </row>
    <row r="93" spans="1:11">
      <c r="K93" s="455"/>
    </row>
    <row r="94" spans="1:11">
      <c r="K94" s="455"/>
    </row>
    <row r="95" spans="1:11">
      <c r="K95" s="455"/>
    </row>
    <row r="96" spans="1:11">
      <c r="K96" s="455"/>
    </row>
    <row r="97" spans="11:11">
      <c r="K97" s="455"/>
    </row>
    <row r="98" spans="11:11">
      <c r="K98" s="455"/>
    </row>
    <row r="99" spans="11:11">
      <c r="K99" s="455"/>
    </row>
    <row r="100" spans="11:11">
      <c r="K100" s="455"/>
    </row>
    <row r="101" spans="11:11">
      <c r="K101" s="455"/>
    </row>
    <row r="102" spans="11:11">
      <c r="K102" s="455"/>
    </row>
    <row r="103" spans="11:11">
      <c r="K103" s="455"/>
    </row>
    <row r="104" spans="11:11">
      <c r="K104" s="455"/>
    </row>
    <row r="105" spans="11:11">
      <c r="K105" s="455"/>
    </row>
    <row r="106" spans="11:11">
      <c r="K106" s="455"/>
    </row>
    <row r="107" spans="11:11">
      <c r="K107" s="455"/>
    </row>
    <row r="108" spans="11:11">
      <c r="K108" s="455"/>
    </row>
    <row r="109" spans="11:11">
      <c r="K109" s="455"/>
    </row>
    <row r="110" spans="11:11">
      <c r="K110" s="455"/>
    </row>
    <row r="111" spans="11:11">
      <c r="K111" s="455"/>
    </row>
    <row r="112" spans="11:11">
      <c r="K112" s="455"/>
    </row>
    <row r="113" spans="11:11">
      <c r="K113" s="455"/>
    </row>
    <row r="114" spans="11:11">
      <c r="K114" s="455"/>
    </row>
    <row r="115" spans="11:11">
      <c r="K115" s="455"/>
    </row>
    <row r="116" spans="11:11">
      <c r="K116" s="455"/>
    </row>
    <row r="117" spans="11:11">
      <c r="K117" s="455"/>
    </row>
    <row r="118" spans="11:11">
      <c r="K118" s="455"/>
    </row>
    <row r="119" spans="11:11">
      <c r="K119" s="455"/>
    </row>
    <row r="120" spans="11:11">
      <c r="K120" s="455"/>
    </row>
    <row r="121" spans="11:11">
      <c r="K121" s="455"/>
    </row>
    <row r="122" spans="11:11">
      <c r="K122" s="455"/>
    </row>
    <row r="123" spans="11:11">
      <c r="K123" s="455"/>
    </row>
    <row r="124" spans="11:11">
      <c r="K124" s="455"/>
    </row>
    <row r="125" spans="11:11">
      <c r="K125" s="455"/>
    </row>
    <row r="126" spans="11:11">
      <c r="K126" s="455"/>
    </row>
    <row r="127" spans="11:11">
      <c r="K127" s="455"/>
    </row>
    <row r="128" spans="11:11">
      <c r="K128" s="455"/>
    </row>
    <row r="129" spans="11:11">
      <c r="K129" s="455"/>
    </row>
    <row r="130" spans="11:11">
      <c r="K130" s="455"/>
    </row>
    <row r="131" spans="11:11">
      <c r="K131" s="455"/>
    </row>
    <row r="132" spans="11:11">
      <c r="K132" s="455"/>
    </row>
    <row r="133" spans="11:11">
      <c r="K133" s="455"/>
    </row>
    <row r="134" spans="11:11">
      <c r="K134" s="455"/>
    </row>
    <row r="135" spans="11:11">
      <c r="K135" s="455"/>
    </row>
    <row r="136" spans="11:11">
      <c r="K136" s="455"/>
    </row>
    <row r="137" spans="11:11">
      <c r="K137" s="455"/>
    </row>
    <row r="138" spans="11:11">
      <c r="K138" s="455"/>
    </row>
    <row r="139" spans="11:11">
      <c r="K139" s="455"/>
    </row>
    <row r="140" spans="11:11">
      <c r="K140" s="455"/>
    </row>
    <row r="141" spans="11:11">
      <c r="K141" s="455"/>
    </row>
    <row r="142" spans="11:11">
      <c r="K142" s="455"/>
    </row>
    <row r="143" spans="11:11">
      <c r="K143" s="455"/>
    </row>
    <row r="144" spans="11:11">
      <c r="K144" s="455"/>
    </row>
    <row r="145" spans="11:11">
      <c r="K145" s="455"/>
    </row>
    <row r="146" spans="11:11">
      <c r="K146" s="455"/>
    </row>
    <row r="147" spans="11:11">
      <c r="K147" s="455"/>
    </row>
    <row r="148" spans="11:11">
      <c r="K148" s="455"/>
    </row>
    <row r="149" spans="11:11">
      <c r="K149" s="455"/>
    </row>
    <row r="150" spans="11:11">
      <c r="K150" s="455"/>
    </row>
    <row r="151" spans="11:11">
      <c r="K151" s="455"/>
    </row>
    <row r="152" spans="11:11">
      <c r="K152" s="455"/>
    </row>
    <row r="153" spans="11:11">
      <c r="K153" s="455"/>
    </row>
    <row r="154" spans="11:11">
      <c r="K154" s="455"/>
    </row>
    <row r="155" spans="11:11">
      <c r="K155" s="455"/>
    </row>
    <row r="156" spans="11:11">
      <c r="K156" s="455"/>
    </row>
    <row r="157" spans="11:11">
      <c r="K157" s="455"/>
    </row>
    <row r="158" spans="11:11">
      <c r="K158" s="455"/>
    </row>
    <row r="159" spans="11:11">
      <c r="K159" s="455"/>
    </row>
    <row r="160" spans="11:11">
      <c r="K160" s="455"/>
    </row>
  </sheetData>
  <mergeCells count="1">
    <mergeCell ref="H6:I6"/>
  </mergeCells>
  <dataValidations disablePrompts="1" count="1">
    <dataValidation type="list" allowBlank="1" showInputMessage="1" showErrorMessage="1" sqref="AA30 AA39 AA46 AA48 AA57 AA66">
      <formula1>$AC$7:$AF$7</formula1>
    </dataValidation>
  </dataValidations>
  <printOptions horizontalCentered="1"/>
  <pageMargins left="0.4" right="0.4" top="0.83" bottom="0.2" header="0.22" footer="0.18"/>
  <pageSetup scale="10" orientation="landscape"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fitToPage="1"/>
  </sheetPr>
  <dimension ref="A1:E63"/>
  <sheetViews>
    <sheetView workbookViewId="0"/>
  </sheetViews>
  <sheetFormatPr defaultRowHeight="12.75"/>
  <cols>
    <col min="1" max="1" width="4" style="436" customWidth="1"/>
    <col min="2" max="2" width="13.28515625" style="436" customWidth="1"/>
    <col min="3" max="3" width="44.42578125" style="436" customWidth="1"/>
    <col min="4" max="4" width="14.5703125" style="436" customWidth="1"/>
    <col min="5" max="5" width="9.140625" style="436"/>
    <col min="6" max="6" width="50.7109375" style="436" customWidth="1"/>
    <col min="7" max="8" width="9.140625" style="436"/>
    <col min="9" max="9" width="11.42578125" style="436" bestFit="1" customWidth="1"/>
    <col min="10" max="10" width="14.28515625" style="436" bestFit="1" customWidth="1"/>
    <col min="11" max="11" width="12.85546875" style="436" bestFit="1" customWidth="1"/>
    <col min="12" max="16384" width="9.140625" style="436"/>
  </cols>
  <sheetData>
    <row r="1" spans="1:5" ht="15.75">
      <c r="A1" s="1558" t="s">
        <v>365</v>
      </c>
      <c r="B1" s="1564"/>
      <c r="C1" s="1564"/>
      <c r="D1" s="1564"/>
      <c r="E1" s="1564"/>
    </row>
    <row r="2" spans="1:5" ht="15.75">
      <c r="A2" s="1558" t="s">
        <v>2218</v>
      </c>
      <c r="B2" s="1564"/>
      <c r="C2" s="1564"/>
      <c r="D2" s="1564"/>
      <c r="E2" s="1564"/>
    </row>
    <row r="5" spans="1:5">
      <c r="B5" s="1676" t="s">
        <v>530</v>
      </c>
      <c r="C5" s="1391" t="s">
        <v>24</v>
      </c>
      <c r="D5" s="1682" t="s">
        <v>2098</v>
      </c>
      <c r="E5" s="1546"/>
    </row>
    <row r="6" spans="1:5">
      <c r="B6" s="1563" t="s">
        <v>2351</v>
      </c>
      <c r="C6" s="1559" t="s">
        <v>2352</v>
      </c>
      <c r="D6" s="1562">
        <v>-5954.04</v>
      </c>
    </row>
    <row r="7" spans="1:5">
      <c r="B7" s="1563" t="s">
        <v>2353</v>
      </c>
      <c r="C7" s="1559" t="s">
        <v>2354</v>
      </c>
      <c r="D7" s="1562">
        <v>-3212.99</v>
      </c>
    </row>
    <row r="8" spans="1:5">
      <c r="B8" s="1563" t="s">
        <v>2355</v>
      </c>
      <c r="C8" s="1559" t="s">
        <v>2356</v>
      </c>
      <c r="D8" s="1562">
        <v>-2228714.88</v>
      </c>
    </row>
    <row r="9" spans="1:5">
      <c r="B9" s="1563" t="s">
        <v>2357</v>
      </c>
      <c r="C9" s="1559" t="s">
        <v>2358</v>
      </c>
      <c r="D9" s="1562">
        <v>271917.86</v>
      </c>
    </row>
    <row r="10" spans="1:5">
      <c r="B10" s="1563" t="s">
        <v>2359</v>
      </c>
      <c r="C10" s="1559" t="s">
        <v>2360</v>
      </c>
      <c r="D10" s="1562">
        <v>-7955.28</v>
      </c>
    </row>
    <row r="11" spans="1:5">
      <c r="B11" s="1563" t="s">
        <v>2361</v>
      </c>
      <c r="C11" s="1559" t="s">
        <v>2362</v>
      </c>
      <c r="D11" s="1562">
        <v>-9430.32</v>
      </c>
    </row>
    <row r="12" spans="1:5">
      <c r="B12" s="1563" t="s">
        <v>2363</v>
      </c>
      <c r="C12" s="1559" t="s">
        <v>2364</v>
      </c>
      <c r="D12" s="1562">
        <v>-194929.08</v>
      </c>
    </row>
    <row r="13" spans="1:5">
      <c r="B13" s="1563" t="s">
        <v>2365</v>
      </c>
      <c r="C13" s="1559" t="s">
        <v>2366</v>
      </c>
      <c r="D13" s="1562">
        <v>-129788.93</v>
      </c>
    </row>
    <row r="14" spans="1:5">
      <c r="B14" s="1563" t="s">
        <v>2367</v>
      </c>
      <c r="C14" s="1559" t="s">
        <v>2368</v>
      </c>
      <c r="D14" s="1562">
        <v>-3929.28</v>
      </c>
    </row>
    <row r="15" spans="1:5">
      <c r="B15" s="1563" t="s">
        <v>2369</v>
      </c>
      <c r="C15" s="1559" t="s">
        <v>2370</v>
      </c>
      <c r="D15" s="1562">
        <v>-52002.96</v>
      </c>
    </row>
    <row r="16" spans="1:5">
      <c r="B16" s="1563" t="s">
        <v>2371</v>
      </c>
      <c r="C16" s="1559" t="s">
        <v>2372</v>
      </c>
      <c r="D16" s="1562">
        <v>-10904.88</v>
      </c>
    </row>
    <row r="17" spans="2:4">
      <c r="B17" s="1563" t="s">
        <v>2373</v>
      </c>
      <c r="C17" s="1559" t="s">
        <v>2374</v>
      </c>
      <c r="D17" s="1562">
        <v>-13455.96</v>
      </c>
    </row>
    <row r="18" spans="2:4">
      <c r="B18" s="1563" t="s">
        <v>2375</v>
      </c>
      <c r="C18" s="1559" t="s">
        <v>2376</v>
      </c>
      <c r="D18" s="1562">
        <v>-693019.48</v>
      </c>
    </row>
    <row r="19" spans="2:4">
      <c r="B19" s="1563" t="s">
        <v>2377</v>
      </c>
      <c r="C19" s="1559" t="s">
        <v>2364</v>
      </c>
      <c r="D19" s="1562">
        <v>-370070.72</v>
      </c>
    </row>
    <row r="20" spans="2:4">
      <c r="B20" s="1563" t="s">
        <v>2378</v>
      </c>
      <c r="C20" s="1559" t="s">
        <v>2379</v>
      </c>
      <c r="D20" s="1562">
        <v>-45270</v>
      </c>
    </row>
    <row r="21" spans="2:4">
      <c r="B21" s="1563" t="s">
        <v>2380</v>
      </c>
      <c r="C21" s="1559" t="s">
        <v>2381</v>
      </c>
      <c r="D21" s="1562">
        <v>-18568.080000000002</v>
      </c>
    </row>
    <row r="22" spans="2:4">
      <c r="B22" s="1563" t="s">
        <v>2382</v>
      </c>
      <c r="C22" s="1559" t="s">
        <v>2383</v>
      </c>
      <c r="D22" s="1562">
        <v>0.14000000000000001</v>
      </c>
    </row>
    <row r="23" spans="2:4">
      <c r="B23" s="1563" t="s">
        <v>2384</v>
      </c>
      <c r="C23" s="1559" t="s">
        <v>2385</v>
      </c>
      <c r="D23" s="1562">
        <v>-37318.89</v>
      </c>
    </row>
    <row r="24" spans="2:4">
      <c r="B24" s="1563" t="s">
        <v>2386</v>
      </c>
      <c r="C24" s="1559" t="s">
        <v>2387</v>
      </c>
      <c r="D24" s="1562">
        <v>-12825.81</v>
      </c>
    </row>
    <row r="25" spans="2:4">
      <c r="B25" s="1563" t="s">
        <v>2388</v>
      </c>
      <c r="C25" s="1559" t="s">
        <v>2389</v>
      </c>
      <c r="D25" s="1562">
        <v>-3964.22</v>
      </c>
    </row>
    <row r="26" spans="2:4">
      <c r="B26" s="1563" t="s">
        <v>2390</v>
      </c>
      <c r="C26" s="1559" t="s">
        <v>2364</v>
      </c>
      <c r="D26" s="1562">
        <v>-380854.01</v>
      </c>
    </row>
    <row r="27" spans="2:4">
      <c r="B27" s="1563" t="s">
        <v>2391</v>
      </c>
      <c r="C27" s="1559" t="s">
        <v>2392</v>
      </c>
      <c r="D27" s="1562">
        <v>-152426.28</v>
      </c>
    </row>
    <row r="28" spans="2:4">
      <c r="B28" s="1563" t="s">
        <v>2393</v>
      </c>
      <c r="C28" s="1559" t="s">
        <v>2394</v>
      </c>
      <c r="D28" s="1562">
        <v>-10484.040000000001</v>
      </c>
    </row>
    <row r="29" spans="2:4">
      <c r="B29" s="1563" t="s">
        <v>2395</v>
      </c>
      <c r="C29" s="1559" t="s">
        <v>2396</v>
      </c>
      <c r="D29" s="1562">
        <v>-59770.36</v>
      </c>
    </row>
    <row r="30" spans="2:4">
      <c r="B30" s="1563" t="s">
        <v>2397</v>
      </c>
      <c r="C30" s="1559" t="s">
        <v>2398</v>
      </c>
      <c r="D30" s="1562">
        <v>-291362.34000000003</v>
      </c>
    </row>
    <row r="31" spans="2:4">
      <c r="B31" s="1563" t="s">
        <v>2399</v>
      </c>
      <c r="C31" s="1559" t="s">
        <v>2400</v>
      </c>
      <c r="D31" s="1562">
        <v>-121189.08</v>
      </c>
    </row>
    <row r="32" spans="2:4">
      <c r="B32" s="1563" t="s">
        <v>2401</v>
      </c>
      <c r="C32" s="1559" t="s">
        <v>2389</v>
      </c>
      <c r="D32" s="1562">
        <v>-18264.34</v>
      </c>
    </row>
    <row r="33" spans="2:4">
      <c r="B33" s="1563" t="s">
        <v>2402</v>
      </c>
      <c r="C33" s="1559" t="s">
        <v>2403</v>
      </c>
      <c r="D33" s="1562">
        <v>-31175.52</v>
      </c>
    </row>
    <row r="34" spans="2:4">
      <c r="B34" s="1563" t="s">
        <v>2404</v>
      </c>
      <c r="C34" s="1559" t="s">
        <v>2405</v>
      </c>
      <c r="D34" s="1562">
        <v>-13942.08</v>
      </c>
    </row>
    <row r="35" spans="2:4">
      <c r="B35" s="1563" t="s">
        <v>2406</v>
      </c>
      <c r="C35" s="1559" t="s">
        <v>2407</v>
      </c>
      <c r="D35" s="1562">
        <v>-30170.240000000002</v>
      </c>
    </row>
    <row r="36" spans="2:4">
      <c r="B36" s="1563" t="s">
        <v>2408</v>
      </c>
      <c r="C36" s="1559" t="s">
        <v>2409</v>
      </c>
      <c r="D36" s="1562">
        <v>-1789950.96</v>
      </c>
    </row>
    <row r="37" spans="2:4">
      <c r="B37" s="1563" t="s">
        <v>2410</v>
      </c>
      <c r="C37" s="1559" t="s">
        <v>2411</v>
      </c>
      <c r="D37" s="1562">
        <v>-959135.88</v>
      </c>
    </row>
    <row r="38" spans="2:4">
      <c r="B38" s="1563" t="s">
        <v>2412</v>
      </c>
      <c r="C38" s="1559" t="s">
        <v>2413</v>
      </c>
      <c r="D38" s="1562">
        <v>-129609.24</v>
      </c>
    </row>
    <row r="39" spans="2:4">
      <c r="B39" s="1563" t="s">
        <v>2414</v>
      </c>
      <c r="C39" s="1559" t="s">
        <v>2415</v>
      </c>
      <c r="D39" s="1562">
        <v>-102290.04</v>
      </c>
    </row>
    <row r="40" spans="2:4">
      <c r="B40" s="1563" t="s">
        <v>2416</v>
      </c>
      <c r="C40" s="1559" t="s">
        <v>2417</v>
      </c>
      <c r="D40" s="1562">
        <v>-69308.039999999994</v>
      </c>
    </row>
    <row r="41" spans="2:4">
      <c r="B41" s="1563" t="s">
        <v>2418</v>
      </c>
      <c r="C41" s="1559" t="s">
        <v>2419</v>
      </c>
      <c r="D41" s="1562">
        <v>-48154.37</v>
      </c>
    </row>
    <row r="42" spans="2:4">
      <c r="B42" s="1563" t="s">
        <v>2420</v>
      </c>
      <c r="C42" s="1559" t="s">
        <v>2421</v>
      </c>
      <c r="D42" s="1562">
        <v>-5669.04</v>
      </c>
    </row>
    <row r="43" spans="2:4">
      <c r="B43" s="1563" t="s">
        <v>2422</v>
      </c>
      <c r="C43" s="1559" t="s">
        <v>2423</v>
      </c>
      <c r="D43" s="1562">
        <v>-38106</v>
      </c>
    </row>
    <row r="44" spans="2:4">
      <c r="B44" s="1563" t="s">
        <v>2424</v>
      </c>
      <c r="C44" s="1559" t="s">
        <v>2425</v>
      </c>
      <c r="D44" s="1562">
        <v>-23376</v>
      </c>
    </row>
    <row r="45" spans="2:4">
      <c r="B45" s="1563" t="s">
        <v>2426</v>
      </c>
      <c r="C45" s="1559" t="s">
        <v>2427</v>
      </c>
      <c r="D45" s="1562">
        <v>-83960.28</v>
      </c>
    </row>
    <row r="46" spans="2:4">
      <c r="B46" s="1563" t="s">
        <v>2428</v>
      </c>
      <c r="C46" s="1559" t="s">
        <v>2429</v>
      </c>
      <c r="D46" s="1562">
        <v>-251328.84</v>
      </c>
    </row>
    <row r="47" spans="2:4">
      <c r="B47" s="1563" t="s">
        <v>2430</v>
      </c>
      <c r="C47" s="1559" t="s">
        <v>2431</v>
      </c>
      <c r="D47" s="1562">
        <v>-278.04000000000002</v>
      </c>
    </row>
    <row r="48" spans="2:4">
      <c r="B48" s="1563" t="s">
        <v>2432</v>
      </c>
      <c r="C48" s="1559" t="s">
        <v>2433</v>
      </c>
      <c r="D48" s="1562">
        <v>-5913.96</v>
      </c>
    </row>
    <row r="49" spans="2:4">
      <c r="B49" s="1563" t="s">
        <v>2434</v>
      </c>
      <c r="C49" s="1559" t="s">
        <v>2435</v>
      </c>
      <c r="D49" s="1562">
        <v>-27088.080000000002</v>
      </c>
    </row>
    <row r="50" spans="2:4">
      <c r="B50" s="1563" t="s">
        <v>2436</v>
      </c>
      <c r="C50" s="1559" t="s">
        <v>2437</v>
      </c>
      <c r="D50" s="1562">
        <v>-162811.07999999999</v>
      </c>
    </row>
    <row r="51" spans="2:4">
      <c r="B51" s="1563" t="s">
        <v>2438</v>
      </c>
      <c r="C51" s="1559" t="s">
        <v>2439</v>
      </c>
      <c r="D51" s="1562">
        <v>-1379.04</v>
      </c>
    </row>
    <row r="52" spans="2:4">
      <c r="B52" s="1563" t="s">
        <v>2440</v>
      </c>
      <c r="C52" s="1559" t="s">
        <v>2441</v>
      </c>
      <c r="D52" s="1562">
        <v>-1115975.72</v>
      </c>
    </row>
    <row r="53" spans="2:4">
      <c r="B53" s="1563" t="s">
        <v>2442</v>
      </c>
      <c r="C53" s="1559" t="s">
        <v>2443</v>
      </c>
      <c r="D53" s="1562">
        <v>-569.55999999999995</v>
      </c>
    </row>
    <row r="54" spans="2:4" ht="13.5" thickBot="1">
      <c r="B54" s="1561"/>
      <c r="C54" s="1535" t="s">
        <v>1343</v>
      </c>
      <c r="D54" s="1560">
        <f>SUM(D6:D53)</f>
        <v>-9493940.2599999998</v>
      </c>
    </row>
    <row r="55" spans="2:4" ht="13.5" thickTop="1">
      <c r="B55" s="1309"/>
      <c r="C55" s="1309"/>
    </row>
    <row r="56" spans="2:4">
      <c r="B56" s="606" t="s">
        <v>451</v>
      </c>
      <c r="C56" s="2435" t="s">
        <v>2095</v>
      </c>
    </row>
    <row r="57" spans="2:4">
      <c r="C57" s="2435" t="s">
        <v>1342</v>
      </c>
    </row>
    <row r="58" spans="2:4">
      <c r="C58" s="2435" t="s">
        <v>1341</v>
      </c>
    </row>
    <row r="59" spans="2:4">
      <c r="C59" s="2435" t="s">
        <v>1340</v>
      </c>
    </row>
    <row r="60" spans="2:4">
      <c r="C60" s="2435" t="s">
        <v>1339</v>
      </c>
    </row>
    <row r="61" spans="2:4">
      <c r="C61" s="2435" t="s">
        <v>2096</v>
      </c>
    </row>
    <row r="62" spans="2:4">
      <c r="C62" s="2435" t="s">
        <v>2097</v>
      </c>
    </row>
    <row r="63" spans="2:4">
      <c r="C63" s="2435" t="s">
        <v>1403</v>
      </c>
    </row>
  </sheetData>
  <pageMargins left="0.7" right="0.7" top="0.55000000000000004" bottom="0.75" header="0.3" footer="0.3"/>
  <pageSetup scale="10" fitToWidth="0"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theme="7"/>
    <pageSetUpPr fitToPage="1"/>
  </sheetPr>
  <dimension ref="A1:L37"/>
  <sheetViews>
    <sheetView workbookViewId="0"/>
  </sheetViews>
  <sheetFormatPr defaultRowHeight="15"/>
  <cols>
    <col min="1" max="1" width="4.140625" style="1621" customWidth="1"/>
    <col min="2" max="2" width="11.28515625" style="1621" customWidth="1"/>
    <col min="3" max="3" width="19.28515625" style="1621" customWidth="1"/>
    <col min="4" max="4" width="16.28515625" style="1621" customWidth="1"/>
    <col min="5" max="5" width="19.140625" style="1621" customWidth="1"/>
    <col min="6" max="6" width="18.5703125" style="1621" customWidth="1"/>
    <col min="7" max="7" width="15.28515625" style="1621" customWidth="1"/>
    <col min="8" max="8" width="13.28515625" style="1621" customWidth="1"/>
    <col min="9" max="9" width="15.7109375" style="1621" customWidth="1"/>
    <col min="10" max="10" width="17.140625" style="1621" customWidth="1"/>
    <col min="11" max="11" width="14.140625" style="1621" customWidth="1"/>
    <col min="12" max="12" width="16.140625" style="1621" customWidth="1"/>
    <col min="13" max="16384" width="9.140625" style="1621"/>
  </cols>
  <sheetData>
    <row r="1" spans="2:5">
      <c r="B1" s="2633" t="s">
        <v>2205</v>
      </c>
    </row>
    <row r="3" spans="2:5">
      <c r="B3" s="1594" t="s">
        <v>2207</v>
      </c>
      <c r="D3" s="2635"/>
    </row>
    <row r="4" spans="2:5">
      <c r="C4" s="1630"/>
    </row>
    <row r="5" spans="2:5">
      <c r="B5" s="1626">
        <v>42766</v>
      </c>
      <c r="C5" s="2631">
        <v>1295467.3626371257</v>
      </c>
    </row>
    <row r="6" spans="2:5">
      <c r="B6" s="1626">
        <v>42794</v>
      </c>
      <c r="C6" s="2632">
        <v>2540166.048069953</v>
      </c>
    </row>
    <row r="7" spans="2:5" ht="15" customHeight="1">
      <c r="B7" s="1626">
        <v>42825</v>
      </c>
      <c r="C7" s="2632">
        <v>5752873</v>
      </c>
      <c r="E7" s="2634"/>
    </row>
    <row r="8" spans="2:5">
      <c r="B8" s="1626">
        <v>42855</v>
      </c>
      <c r="C8" s="2632">
        <v>19272881.902480356</v>
      </c>
    </row>
    <row r="9" spans="2:5">
      <c r="B9" s="1626">
        <v>42886</v>
      </c>
      <c r="C9" s="2632">
        <v>46510029.104603663</v>
      </c>
    </row>
    <row r="10" spans="2:5">
      <c r="B10" s="1626">
        <v>42916</v>
      </c>
      <c r="C10" s="2632">
        <v>13668836.610722741</v>
      </c>
    </row>
    <row r="11" spans="2:5">
      <c r="B11" s="1626">
        <v>42947</v>
      </c>
      <c r="C11" s="2632">
        <v>14677105.209100848</v>
      </c>
    </row>
    <row r="12" spans="2:5">
      <c r="B12" s="1626">
        <v>42978</v>
      </c>
      <c r="C12" s="2632">
        <v>9395815.7309547719</v>
      </c>
    </row>
    <row r="13" spans="2:5">
      <c r="B13" s="1626">
        <v>43008</v>
      </c>
      <c r="C13" s="2632">
        <v>6392028.9213775229</v>
      </c>
    </row>
    <row r="14" spans="2:5">
      <c r="B14" s="1626">
        <v>43039</v>
      </c>
      <c r="C14" s="2632">
        <v>5638946.7533986112</v>
      </c>
    </row>
    <row r="15" spans="2:5">
      <c r="B15" s="1626">
        <v>43069</v>
      </c>
      <c r="C15" s="2632">
        <v>53725374.89503172</v>
      </c>
    </row>
    <row r="16" spans="2:5">
      <c r="B16" s="1626">
        <v>43100</v>
      </c>
      <c r="C16" s="1588">
        <v>15486214.331054231</v>
      </c>
    </row>
    <row r="19" spans="1:12">
      <c r="A19" s="400"/>
      <c r="B19" s="1624" t="s">
        <v>2206</v>
      </c>
      <c r="C19" s="1592"/>
      <c r="D19" s="1591"/>
      <c r="E19" s="403"/>
      <c r="F19" s="403"/>
      <c r="G19" s="403"/>
      <c r="H19" s="403"/>
      <c r="I19" s="403"/>
      <c r="J19" s="403"/>
      <c r="K19" s="403"/>
      <c r="L19" s="403"/>
    </row>
    <row r="20" spans="1:12">
      <c r="A20" s="1601"/>
      <c r="B20" s="405"/>
      <c r="C20" s="2229" t="s">
        <v>200</v>
      </c>
      <c r="D20" s="2229" t="s">
        <v>201</v>
      </c>
      <c r="E20" s="2229" t="s">
        <v>532</v>
      </c>
      <c r="F20" s="2229" t="s">
        <v>114</v>
      </c>
      <c r="G20" s="2229" t="s">
        <v>115</v>
      </c>
      <c r="H20" s="2229" t="s">
        <v>116</v>
      </c>
      <c r="I20" s="2229" t="s">
        <v>117</v>
      </c>
      <c r="J20" s="2229" t="s">
        <v>118</v>
      </c>
      <c r="K20" s="2229" t="s">
        <v>119</v>
      </c>
      <c r="L20" s="2229" t="s">
        <v>120</v>
      </c>
    </row>
    <row r="21" spans="1:12">
      <c r="A21" s="1601"/>
      <c r="B21" s="405"/>
      <c r="C21" s="2230" t="s">
        <v>124</v>
      </c>
      <c r="D21" s="2230" t="s">
        <v>124</v>
      </c>
      <c r="E21" s="2230" t="s">
        <v>124</v>
      </c>
      <c r="F21" s="2230" t="s">
        <v>124</v>
      </c>
      <c r="G21" s="2230" t="s">
        <v>124</v>
      </c>
      <c r="H21" s="2230" t="s">
        <v>124</v>
      </c>
      <c r="I21" s="2230" t="s">
        <v>124</v>
      </c>
      <c r="J21" s="2230" t="s">
        <v>124</v>
      </c>
      <c r="K21" s="2230" t="s">
        <v>124</v>
      </c>
      <c r="L21" s="2230" t="s">
        <v>124</v>
      </c>
    </row>
    <row r="22" spans="1:12">
      <c r="A22" s="1601"/>
      <c r="B22" s="403"/>
      <c r="C22" s="2231" t="s">
        <v>429</v>
      </c>
      <c r="D22" s="2231"/>
      <c r="E22" s="2231" t="s">
        <v>362</v>
      </c>
      <c r="F22" s="2231" t="s">
        <v>362</v>
      </c>
      <c r="G22" s="2231" t="s">
        <v>362</v>
      </c>
      <c r="H22" s="2231" t="s">
        <v>362</v>
      </c>
      <c r="I22" s="2231" t="s">
        <v>362</v>
      </c>
      <c r="J22" s="2231" t="s">
        <v>362</v>
      </c>
      <c r="K22" s="2231" t="s">
        <v>362</v>
      </c>
      <c r="L22" s="2231" t="s">
        <v>362</v>
      </c>
    </row>
    <row r="23" spans="1:12">
      <c r="A23" s="1601"/>
      <c r="B23" s="403"/>
      <c r="C23" t="s">
        <v>1666</v>
      </c>
      <c r="D23" s="1619"/>
      <c r="E23" s="1619" t="s">
        <v>283</v>
      </c>
      <c r="F23" s="1619" t="s">
        <v>215</v>
      </c>
      <c r="G23" s="1619" t="s">
        <v>228</v>
      </c>
      <c r="H23" s="1619" t="s">
        <v>226</v>
      </c>
      <c r="I23" s="1619" t="s">
        <v>107</v>
      </c>
      <c r="J23" s="1619" t="s">
        <v>229</v>
      </c>
      <c r="K23" s="1619" t="s">
        <v>25</v>
      </c>
      <c r="L23" s="1636" t="s">
        <v>550</v>
      </c>
    </row>
    <row r="24" spans="1:12">
      <c r="A24" s="1601"/>
      <c r="B24" s="1589"/>
      <c r="C24" s="1587"/>
      <c r="D24" s="1644"/>
      <c r="E24" s="1644"/>
      <c r="F24" s="1644"/>
      <c r="G24" s="1644"/>
      <c r="H24" s="1644"/>
      <c r="I24" s="1644"/>
      <c r="J24" s="1644"/>
      <c r="K24" s="1644"/>
      <c r="L24" s="1586"/>
    </row>
    <row r="25" spans="1:12">
      <c r="A25" s="1601"/>
      <c r="B25" s="1626">
        <v>42766</v>
      </c>
      <c r="C25" s="1634">
        <f>C5-L25</f>
        <v>1291901.0226371256</v>
      </c>
      <c r="D25" s="1628"/>
      <c r="E25" s="1628">
        <v>0</v>
      </c>
      <c r="F25" s="1628">
        <v>0</v>
      </c>
      <c r="G25" s="1628">
        <v>0</v>
      </c>
      <c r="H25" s="1628">
        <v>0</v>
      </c>
      <c r="I25" s="1628">
        <v>0</v>
      </c>
      <c r="J25" s="1628">
        <v>3566.3399999999992</v>
      </c>
      <c r="K25" s="1628">
        <v>0</v>
      </c>
      <c r="L25" s="1586">
        <f t="shared" ref="L25:L36" si="0">SUM(D25:K25)</f>
        <v>3566.3399999999992</v>
      </c>
    </row>
    <row r="26" spans="1:12">
      <c r="A26" s="1601"/>
      <c r="B26" s="1626">
        <v>42794</v>
      </c>
      <c r="C26" s="1634">
        <f t="shared" ref="C26:C36" si="1">C6-L26</f>
        <v>2524214.108069953</v>
      </c>
      <c r="D26" s="1628"/>
      <c r="E26" s="1628">
        <v>532.26</v>
      </c>
      <c r="F26" s="1628">
        <v>0</v>
      </c>
      <c r="G26" s="1628">
        <v>0</v>
      </c>
      <c r="H26" s="1628">
        <v>0</v>
      </c>
      <c r="I26" s="1628">
        <v>0</v>
      </c>
      <c r="J26" s="1628">
        <v>15419.679999999998</v>
      </c>
      <c r="K26" s="1628">
        <v>0</v>
      </c>
      <c r="L26" s="1586">
        <f t="shared" si="0"/>
        <v>15951.939999999999</v>
      </c>
    </row>
    <row r="27" spans="1:12">
      <c r="A27" s="1601"/>
      <c r="B27" s="1626">
        <v>42825</v>
      </c>
      <c r="C27" s="1634">
        <f t="shared" si="1"/>
        <v>5745573</v>
      </c>
      <c r="D27" s="1628"/>
      <c r="E27" s="1628">
        <v>338</v>
      </c>
      <c r="F27" s="1628">
        <v>0</v>
      </c>
      <c r="G27" s="1628">
        <v>0</v>
      </c>
      <c r="H27" s="1628">
        <v>0</v>
      </c>
      <c r="I27" s="1628">
        <v>0</v>
      </c>
      <c r="J27" s="1628">
        <v>6962</v>
      </c>
      <c r="K27" s="1628">
        <v>0</v>
      </c>
      <c r="L27" s="1586">
        <f t="shared" si="0"/>
        <v>7300</v>
      </c>
    </row>
    <row r="28" spans="1:12">
      <c r="A28" s="1601"/>
      <c r="B28" s="1626">
        <v>42855</v>
      </c>
      <c r="C28" s="1634">
        <f t="shared" si="1"/>
        <v>19193346.607280355</v>
      </c>
      <c r="D28" s="1628"/>
      <c r="E28" s="1628">
        <v>50500</v>
      </c>
      <c r="F28" s="1628">
        <v>0</v>
      </c>
      <c r="G28" s="1628">
        <v>0</v>
      </c>
      <c r="H28" s="1628">
        <v>0</v>
      </c>
      <c r="I28" s="1628">
        <v>0</v>
      </c>
      <c r="J28" s="1628">
        <v>29035.295200000004</v>
      </c>
      <c r="K28" s="1628">
        <v>0</v>
      </c>
      <c r="L28" s="1586">
        <f t="shared" si="0"/>
        <v>79535.295200000008</v>
      </c>
    </row>
    <row r="29" spans="1:12">
      <c r="A29" s="1601"/>
      <c r="B29" s="1626">
        <v>42886</v>
      </c>
      <c r="C29" s="1634">
        <f t="shared" si="1"/>
        <v>46432527.78050366</v>
      </c>
      <c r="D29" s="1628"/>
      <c r="E29" s="1628">
        <v>50500</v>
      </c>
      <c r="F29" s="1628">
        <v>0</v>
      </c>
      <c r="G29" s="1628">
        <v>0</v>
      </c>
      <c r="H29" s="1628">
        <v>0</v>
      </c>
      <c r="I29" s="1628">
        <v>0</v>
      </c>
      <c r="J29" s="1628">
        <v>27001.324100000005</v>
      </c>
      <c r="K29" s="1628">
        <v>0</v>
      </c>
      <c r="L29" s="1586">
        <f t="shared" si="0"/>
        <v>77501.324099999998</v>
      </c>
    </row>
    <row r="30" spans="1:12">
      <c r="A30" s="1601"/>
      <c r="B30" s="1626">
        <v>42916</v>
      </c>
      <c r="C30" s="1634">
        <f t="shared" si="1"/>
        <v>10249188.610722741</v>
      </c>
      <c r="D30" s="1628"/>
      <c r="E30" s="1628">
        <v>50500</v>
      </c>
      <c r="F30" s="1628">
        <v>0</v>
      </c>
      <c r="G30" s="1628">
        <v>0</v>
      </c>
      <c r="H30" s="1628">
        <v>0</v>
      </c>
      <c r="I30" s="1628">
        <v>0</v>
      </c>
      <c r="J30" s="1628">
        <v>3369148</v>
      </c>
      <c r="K30" s="1628">
        <v>0</v>
      </c>
      <c r="L30" s="1586">
        <f t="shared" si="0"/>
        <v>3419648</v>
      </c>
    </row>
    <row r="31" spans="1:12">
      <c r="A31" s="1601"/>
      <c r="B31" s="1626">
        <v>42947</v>
      </c>
      <c r="C31" s="1634">
        <f t="shared" si="1"/>
        <v>14600311.722900849</v>
      </c>
      <c r="D31" s="1628"/>
      <c r="E31" s="1628">
        <v>50500</v>
      </c>
      <c r="F31" s="1628">
        <v>0</v>
      </c>
      <c r="G31" s="1628">
        <v>0</v>
      </c>
      <c r="H31" s="1628">
        <v>0</v>
      </c>
      <c r="I31" s="1628">
        <v>0</v>
      </c>
      <c r="J31" s="1628">
        <v>26293.486200000003</v>
      </c>
      <c r="K31" s="1628">
        <v>0</v>
      </c>
      <c r="L31" s="1586">
        <f t="shared" si="0"/>
        <v>76793.486199999999</v>
      </c>
    </row>
    <row r="32" spans="1:12">
      <c r="A32" s="1601"/>
      <c r="B32" s="1626">
        <v>42978</v>
      </c>
      <c r="C32" s="1634">
        <f t="shared" si="1"/>
        <v>9355415.7309547719</v>
      </c>
      <c r="D32" s="1628"/>
      <c r="E32" s="1628">
        <v>40400</v>
      </c>
      <c r="F32" s="1628">
        <v>0</v>
      </c>
      <c r="G32" s="1628">
        <v>0</v>
      </c>
      <c r="H32" s="1628">
        <v>0</v>
      </c>
      <c r="I32" s="1628">
        <v>0</v>
      </c>
      <c r="J32" s="1628">
        <v>0</v>
      </c>
      <c r="K32" s="1628">
        <v>0</v>
      </c>
      <c r="L32" s="1586">
        <f t="shared" si="0"/>
        <v>40400</v>
      </c>
    </row>
    <row r="33" spans="1:12">
      <c r="A33" s="1601"/>
      <c r="B33" s="1626">
        <v>43008</v>
      </c>
      <c r="C33" s="1634">
        <f t="shared" si="1"/>
        <v>6392028.9213775229</v>
      </c>
      <c r="D33" s="1628"/>
      <c r="E33" s="1628">
        <v>0</v>
      </c>
      <c r="F33" s="1628">
        <v>0</v>
      </c>
      <c r="G33" s="1628">
        <v>0</v>
      </c>
      <c r="H33" s="1628">
        <v>0</v>
      </c>
      <c r="I33" s="1628">
        <v>0</v>
      </c>
      <c r="J33" s="1628">
        <v>0</v>
      </c>
      <c r="K33" s="1628">
        <v>0</v>
      </c>
      <c r="L33" s="1586">
        <f t="shared" si="0"/>
        <v>0</v>
      </c>
    </row>
    <row r="34" spans="1:12">
      <c r="A34" s="1601"/>
      <c r="B34" s="1626">
        <v>43039</v>
      </c>
      <c r="C34" s="1634">
        <f t="shared" si="1"/>
        <v>5638946.7533986112</v>
      </c>
      <c r="D34" s="1628"/>
      <c r="E34" s="1628">
        <v>0</v>
      </c>
      <c r="F34" s="1628">
        <v>0</v>
      </c>
      <c r="G34" s="1628">
        <v>0</v>
      </c>
      <c r="H34" s="1628">
        <v>0</v>
      </c>
      <c r="I34" s="1628">
        <v>0</v>
      </c>
      <c r="J34" s="1628">
        <v>0</v>
      </c>
      <c r="K34" s="1628">
        <v>0</v>
      </c>
      <c r="L34" s="1586">
        <f t="shared" si="0"/>
        <v>0</v>
      </c>
    </row>
    <row r="35" spans="1:12">
      <c r="A35" s="1601"/>
      <c r="B35" s="1626">
        <v>43069</v>
      </c>
      <c r="C35" s="1634">
        <f t="shared" si="1"/>
        <v>53725374.89503172</v>
      </c>
      <c r="D35" s="1628"/>
      <c r="E35" s="1628">
        <v>0</v>
      </c>
      <c r="F35" s="1628">
        <v>0</v>
      </c>
      <c r="G35" s="1628">
        <v>0</v>
      </c>
      <c r="H35" s="1628">
        <v>0</v>
      </c>
      <c r="I35" s="1628">
        <v>0</v>
      </c>
      <c r="J35" s="1628">
        <v>0</v>
      </c>
      <c r="K35" s="1628">
        <v>0</v>
      </c>
      <c r="L35" s="1586">
        <f t="shared" si="0"/>
        <v>0</v>
      </c>
    </row>
    <row r="36" spans="1:12">
      <c r="A36" s="1601"/>
      <c r="B36" s="1626">
        <v>43100</v>
      </c>
      <c r="C36" s="1631">
        <f t="shared" si="1"/>
        <v>15486214.331054231</v>
      </c>
      <c r="D36" s="1627"/>
      <c r="E36" s="1627">
        <v>0</v>
      </c>
      <c r="F36" s="1627">
        <v>0</v>
      </c>
      <c r="G36" s="1627">
        <v>0</v>
      </c>
      <c r="H36" s="1627">
        <v>0</v>
      </c>
      <c r="I36" s="1627">
        <v>0</v>
      </c>
      <c r="J36" s="1627">
        <v>0</v>
      </c>
      <c r="K36" s="1627">
        <v>0</v>
      </c>
      <c r="L36" s="1635">
        <f t="shared" si="0"/>
        <v>0</v>
      </c>
    </row>
    <row r="37" spans="1:12">
      <c r="A37" s="400"/>
      <c r="B37" s="403" t="s">
        <v>282</v>
      </c>
      <c r="C37" s="1585">
        <f>SUM(C24:C36)</f>
        <v>190635043.48393154</v>
      </c>
      <c r="D37" s="1585">
        <f t="shared" ref="D37:K37" si="2">SUM(D24:D36)</f>
        <v>0</v>
      </c>
      <c r="E37" s="1585">
        <f>SUM(E24:E36)</f>
        <v>243270.26</v>
      </c>
      <c r="F37" s="1585">
        <f>SUM(F24:F36)</f>
        <v>0</v>
      </c>
      <c r="G37" s="1585">
        <f t="shared" si="2"/>
        <v>0</v>
      </c>
      <c r="H37" s="1585">
        <f t="shared" si="2"/>
        <v>0</v>
      </c>
      <c r="I37" s="1585">
        <f t="shared" si="2"/>
        <v>0</v>
      </c>
      <c r="J37" s="1585">
        <f t="shared" si="2"/>
        <v>3477426.1255000001</v>
      </c>
      <c r="K37" s="1585">
        <f t="shared" si="2"/>
        <v>0</v>
      </c>
      <c r="L37" s="1585">
        <f>SUM(L24:L36)</f>
        <v>3720696.3855000003</v>
      </c>
    </row>
  </sheetData>
  <pageMargins left="0.7" right="0.7" top="0.75" bottom="0.75" header="0.3" footer="0.3"/>
  <pageSetup scale="69" orientation="landscape"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tabColor theme="7"/>
    <pageSetUpPr fitToPage="1"/>
  </sheetPr>
  <dimension ref="A1:M118"/>
  <sheetViews>
    <sheetView workbookViewId="0"/>
  </sheetViews>
  <sheetFormatPr defaultRowHeight="15"/>
  <cols>
    <col min="1" max="1" width="7.5703125" style="1752" customWidth="1"/>
    <col min="2" max="2" width="6" style="1752" customWidth="1"/>
    <col min="3" max="7" width="18.140625" style="1752" customWidth="1"/>
    <col min="8" max="8" width="2" style="1752" customWidth="1"/>
    <col min="9" max="9" width="19.140625" style="1752" customWidth="1"/>
    <col min="10" max="13" width="18.7109375" style="1752" customWidth="1"/>
    <col min="14" max="16384" width="9.140625" style="1752"/>
  </cols>
  <sheetData>
    <row r="1" spans="1:13">
      <c r="A1" s="1602" t="s">
        <v>1381</v>
      </c>
      <c r="B1" s="1609"/>
      <c r="C1" s="1609"/>
      <c r="D1" s="1609"/>
      <c r="E1" s="1609"/>
      <c r="F1" s="1609"/>
      <c r="G1" s="1609"/>
      <c r="H1" s="1620"/>
      <c r="I1" s="1629"/>
      <c r="J1" s="1629"/>
      <c r="K1" s="1629"/>
      <c r="L1" s="1629"/>
      <c r="M1" s="1629"/>
    </row>
    <row r="2" spans="1:13">
      <c r="A2" s="1593" t="s">
        <v>2087</v>
      </c>
      <c r="B2" s="1609"/>
      <c r="C2" s="1609"/>
      <c r="D2" s="1609"/>
      <c r="E2" s="1609"/>
      <c r="F2" s="1609"/>
      <c r="G2" s="1609"/>
      <c r="H2" s="1620"/>
      <c r="I2" s="1629"/>
      <c r="J2" s="1629"/>
      <c r="K2" s="1629"/>
      <c r="L2" s="1629"/>
      <c r="M2" s="1629"/>
    </row>
    <row r="3" spans="1:13">
      <c r="A3" s="1609"/>
      <c r="B3" s="1609"/>
      <c r="C3" s="1609"/>
      <c r="D3" s="1609"/>
      <c r="E3" s="1609"/>
      <c r="F3" s="1609"/>
      <c r="G3" s="1609"/>
      <c r="H3" s="1620"/>
      <c r="I3" s="1629"/>
      <c r="J3" s="1629"/>
      <c r="K3" s="1629"/>
      <c r="L3" s="1629"/>
      <c r="M3" s="1629"/>
    </row>
    <row r="4" spans="1:13">
      <c r="A4" s="1616" t="s">
        <v>1380</v>
      </c>
      <c r="B4" s="1609"/>
      <c r="C4" s="1609"/>
      <c r="D4" s="1609"/>
      <c r="E4" s="1609"/>
      <c r="F4" s="1609"/>
      <c r="G4" s="1609"/>
      <c r="H4" s="1620"/>
      <c r="I4" s="1629"/>
      <c r="J4" s="1629"/>
      <c r="K4" s="1629"/>
      <c r="L4" s="1629"/>
      <c r="M4" s="1629"/>
    </row>
    <row r="5" spans="1:13">
      <c r="A5" s="1753" t="s">
        <v>1375</v>
      </c>
      <c r="B5" s="1638"/>
      <c r="C5" s="1620"/>
      <c r="D5" s="1620"/>
      <c r="E5" s="1620"/>
      <c r="F5" s="1620"/>
      <c r="G5" s="1620"/>
      <c r="H5" s="1620"/>
      <c r="I5" s="1629"/>
      <c r="J5" s="1754"/>
      <c r="K5" s="1629"/>
      <c r="L5" s="1629"/>
      <c r="M5" s="1629"/>
    </row>
    <row r="6" spans="1:13">
      <c r="A6" s="1753" t="s">
        <v>1410</v>
      </c>
      <c r="B6" s="1638"/>
      <c r="C6" s="1620"/>
      <c r="D6" s="1620"/>
      <c r="E6" s="1620"/>
      <c r="F6" s="1620"/>
      <c r="G6" s="1620"/>
      <c r="H6" s="1620"/>
      <c r="I6" s="1629"/>
      <c r="J6" s="1754"/>
      <c r="K6" s="1629"/>
      <c r="L6" s="1629"/>
      <c r="M6" s="1629"/>
    </row>
    <row r="7" spans="1:13">
      <c r="A7" s="1609"/>
      <c r="B7" s="1609"/>
      <c r="C7" s="1609"/>
      <c r="D7" s="1609"/>
      <c r="E7" s="1609"/>
      <c r="F7" s="1609"/>
      <c r="G7" s="1609"/>
      <c r="H7" s="1620"/>
      <c r="I7" s="1629"/>
      <c r="J7" s="1647" t="s">
        <v>1382</v>
      </c>
      <c r="K7" s="1629"/>
      <c r="L7" s="1629"/>
      <c r="M7" s="1629"/>
    </row>
    <row r="8" spans="1:13">
      <c r="A8" s="1609"/>
      <c r="B8" s="1609"/>
      <c r="C8" s="1609"/>
      <c r="D8" s="1609"/>
      <c r="E8" s="1609"/>
      <c r="F8" s="1609"/>
      <c r="G8" s="1609"/>
      <c r="H8" s="1620"/>
      <c r="I8" s="1629"/>
      <c r="J8" s="1755">
        <f>1/58/12</f>
        <v>1.4367816091954023E-3</v>
      </c>
      <c r="K8" s="1756"/>
      <c r="L8" s="1756"/>
      <c r="M8" s="1756"/>
    </row>
    <row r="9" spans="1:13" ht="43.5">
      <c r="A9" s="2202" t="s">
        <v>141</v>
      </c>
      <c r="B9" s="2202" t="s">
        <v>1379</v>
      </c>
      <c r="C9" s="2228" t="s">
        <v>1384</v>
      </c>
      <c r="D9" s="2203" t="s">
        <v>1378</v>
      </c>
      <c r="E9" s="2203" t="s">
        <v>469</v>
      </c>
      <c r="F9" s="2204" t="s">
        <v>1377</v>
      </c>
      <c r="G9" s="2204" t="s">
        <v>1376</v>
      </c>
      <c r="H9" s="2205"/>
      <c r="I9" s="2206" t="s">
        <v>1383</v>
      </c>
      <c r="J9" s="2207" t="s">
        <v>1386</v>
      </c>
      <c r="K9" s="2207" t="s">
        <v>1385</v>
      </c>
      <c r="L9" s="2207" t="s">
        <v>1387</v>
      </c>
      <c r="M9" s="2208" t="s">
        <v>1388</v>
      </c>
    </row>
    <row r="10" spans="1:13">
      <c r="A10" s="2209">
        <v>2008</v>
      </c>
      <c r="B10" s="2210">
        <v>12</v>
      </c>
      <c r="C10" s="2211"/>
      <c r="D10" s="2203"/>
      <c r="E10" s="2203"/>
      <c r="F10" s="2203"/>
      <c r="G10" s="2203"/>
      <c r="H10" s="2211"/>
      <c r="I10" s="2212"/>
      <c r="J10" s="2213"/>
      <c r="K10" s="2213"/>
      <c r="L10" s="2213"/>
      <c r="M10" s="2213"/>
    </row>
    <row r="11" spans="1:13">
      <c r="A11" s="2209">
        <v>2009</v>
      </c>
      <c r="B11" s="2210">
        <v>1</v>
      </c>
      <c r="C11" s="2214">
        <v>5595.33</v>
      </c>
      <c r="D11" s="2215"/>
      <c r="E11" s="2215">
        <v>196.67</v>
      </c>
      <c r="F11" s="2215"/>
      <c r="G11" s="2216">
        <v>5792</v>
      </c>
      <c r="H11" s="2217"/>
      <c r="I11" s="2218">
        <f>SUM(C$11:C11)</f>
        <v>5595.33</v>
      </c>
      <c r="J11" s="2218"/>
      <c r="K11" s="2218"/>
      <c r="L11" s="2218"/>
      <c r="M11" s="2218"/>
    </row>
    <row r="12" spans="1:13">
      <c r="A12" s="2210"/>
      <c r="B12" s="2210">
        <v>2</v>
      </c>
      <c r="C12" s="2214"/>
      <c r="D12" s="2215"/>
      <c r="E12" s="2215">
        <v>29.170000000000016</v>
      </c>
      <c r="F12" s="2215"/>
      <c r="G12" s="2216">
        <v>29.170000000000016</v>
      </c>
      <c r="H12" s="2217"/>
      <c r="I12" s="2218">
        <f>SUM(C$11:C12)</f>
        <v>5595.33</v>
      </c>
      <c r="J12" s="2218"/>
      <c r="K12" s="2218"/>
      <c r="L12" s="2218"/>
      <c r="M12" s="2218"/>
    </row>
    <row r="13" spans="1:13">
      <c r="A13" s="2210"/>
      <c r="B13" s="2210">
        <v>3</v>
      </c>
      <c r="C13" s="2214">
        <v>-5595.33</v>
      </c>
      <c r="D13" s="2215">
        <v>5595.33</v>
      </c>
      <c r="E13" s="2215">
        <v>11.87</v>
      </c>
      <c r="F13" s="2215"/>
      <c r="G13" s="2216">
        <v>11.87</v>
      </c>
      <c r="H13" s="2217"/>
      <c r="I13" s="2218">
        <f>SUM(C$11:C13)</f>
        <v>0</v>
      </c>
      <c r="J13" s="2218"/>
      <c r="K13" s="2218"/>
      <c r="L13" s="2218"/>
      <c r="M13" s="2218"/>
    </row>
    <row r="14" spans="1:13">
      <c r="A14" s="2210"/>
      <c r="B14" s="2210">
        <v>4</v>
      </c>
      <c r="C14" s="2214"/>
      <c r="D14" s="2215"/>
      <c r="E14" s="2215">
        <v>2.14</v>
      </c>
      <c r="F14" s="2215"/>
      <c r="G14" s="2216">
        <v>2.14</v>
      </c>
      <c r="H14" s="2217"/>
      <c r="I14" s="2218">
        <f>SUM(C$11:C14)</f>
        <v>0</v>
      </c>
      <c r="J14" s="2218"/>
      <c r="K14" s="2218"/>
      <c r="L14" s="2218"/>
      <c r="M14" s="2218"/>
    </row>
    <row r="15" spans="1:13">
      <c r="A15" s="2210"/>
      <c r="B15" s="2210">
        <v>5</v>
      </c>
      <c r="C15" s="2214"/>
      <c r="D15" s="2215"/>
      <c r="E15" s="2215">
        <v>0.1</v>
      </c>
      <c r="F15" s="2215"/>
      <c r="G15" s="2216">
        <v>0.1</v>
      </c>
      <c r="H15" s="2217"/>
      <c r="I15" s="2218">
        <f>SUM(C$11:C15)</f>
        <v>0</v>
      </c>
      <c r="J15" s="2218"/>
      <c r="K15" s="2218"/>
      <c r="L15" s="2218"/>
      <c r="M15" s="2218"/>
    </row>
    <row r="16" spans="1:13">
      <c r="A16" s="2210"/>
      <c r="B16" s="2210">
        <v>6</v>
      </c>
      <c r="C16" s="2214"/>
      <c r="D16" s="2215"/>
      <c r="E16" s="2215">
        <v>0.1</v>
      </c>
      <c r="F16" s="2215"/>
      <c r="G16" s="2216">
        <v>0.1</v>
      </c>
      <c r="H16" s="2217"/>
      <c r="I16" s="2218">
        <f>SUM(C$11:C16)</f>
        <v>0</v>
      </c>
      <c r="J16" s="2218"/>
      <c r="K16" s="2218"/>
      <c r="L16" s="2218"/>
      <c r="M16" s="2218"/>
    </row>
    <row r="17" spans="1:13">
      <c r="A17" s="2210"/>
      <c r="B17" s="2210">
        <v>7</v>
      </c>
      <c r="C17" s="2214"/>
      <c r="D17" s="2215"/>
      <c r="E17" s="2215">
        <v>291535.07</v>
      </c>
      <c r="F17" s="2215"/>
      <c r="G17" s="2216">
        <v>291535.07</v>
      </c>
      <c r="H17" s="2217"/>
      <c r="I17" s="2218">
        <f>SUM(C$11:C17)</f>
        <v>0</v>
      </c>
      <c r="J17" s="2218"/>
      <c r="K17" s="2218"/>
      <c r="L17" s="2218"/>
      <c r="M17" s="2218"/>
    </row>
    <row r="18" spans="1:13">
      <c r="A18" s="2210"/>
      <c r="B18" s="2210">
        <v>8</v>
      </c>
      <c r="C18" s="2214"/>
      <c r="D18" s="2215">
        <v>22386.29</v>
      </c>
      <c r="E18" s="2215">
        <v>834.29000000000008</v>
      </c>
      <c r="F18" s="2215"/>
      <c r="G18" s="2216">
        <v>23220.58</v>
      </c>
      <c r="H18" s="2217"/>
      <c r="I18" s="2218">
        <f>SUM(C$11:C18)</f>
        <v>0</v>
      </c>
      <c r="J18" s="2218"/>
      <c r="K18" s="2218"/>
      <c r="L18" s="2218"/>
      <c r="M18" s="2218"/>
    </row>
    <row r="19" spans="1:13">
      <c r="A19" s="2210"/>
      <c r="B19" s="2210">
        <v>9</v>
      </c>
      <c r="C19" s="2214"/>
      <c r="D19" s="2215">
        <v>3940</v>
      </c>
      <c r="E19" s="2215">
        <v>2218516.3000000003</v>
      </c>
      <c r="F19" s="2215"/>
      <c r="G19" s="2216">
        <v>2222456.3000000003</v>
      </c>
      <c r="H19" s="2217"/>
      <c r="I19" s="2218">
        <f>SUM(C$11:C19)</f>
        <v>0</v>
      </c>
      <c r="J19" s="2218"/>
      <c r="K19" s="2218"/>
      <c r="L19" s="2218"/>
      <c r="M19" s="2218"/>
    </row>
    <row r="20" spans="1:13">
      <c r="A20" s="2210"/>
      <c r="B20" s="2210">
        <v>10</v>
      </c>
      <c r="C20" s="2214"/>
      <c r="D20" s="2215">
        <v>0</v>
      </c>
      <c r="E20" s="2215">
        <v>14137.84</v>
      </c>
      <c r="F20" s="2215"/>
      <c r="G20" s="2216">
        <v>14137.84</v>
      </c>
      <c r="H20" s="2217"/>
      <c r="I20" s="2218">
        <f>SUM(C$11:C20)</f>
        <v>0</v>
      </c>
      <c r="J20" s="2218"/>
      <c r="K20" s="2218"/>
      <c r="L20" s="2218"/>
      <c r="M20" s="2218"/>
    </row>
    <row r="21" spans="1:13">
      <c r="A21" s="2210"/>
      <c r="B21" s="2210">
        <v>11</v>
      </c>
      <c r="C21" s="2214"/>
      <c r="D21" s="2215"/>
      <c r="E21" s="2215">
        <v>713565.12</v>
      </c>
      <c r="F21" s="2215"/>
      <c r="G21" s="2216">
        <v>713565.12</v>
      </c>
      <c r="H21" s="2217"/>
      <c r="I21" s="2218">
        <f>SUM(C$11:C21)</f>
        <v>0</v>
      </c>
      <c r="J21" s="2218"/>
      <c r="K21" s="2218"/>
      <c r="L21" s="2218"/>
      <c r="M21" s="2218"/>
    </row>
    <row r="22" spans="1:13">
      <c r="A22" s="2210"/>
      <c r="B22" s="2210">
        <v>12</v>
      </c>
      <c r="C22" s="2214">
        <v>49329088.560000002</v>
      </c>
      <c r="D22" s="2215">
        <v>90.72</v>
      </c>
      <c r="E22" s="2215">
        <v>915261.9</v>
      </c>
      <c r="F22" s="2215"/>
      <c r="G22" s="2216">
        <v>50244441.18</v>
      </c>
      <c r="H22" s="2217"/>
      <c r="I22" s="2219">
        <f>SUM(C$11:C22)</f>
        <v>49329088.560000002</v>
      </c>
      <c r="J22" s="2220">
        <f>+C22*J$8*0.5+J$8*I21</f>
        <v>35437.56362068966</v>
      </c>
      <c r="K22" s="2220">
        <f>J22+K21</f>
        <v>35437.56362068966</v>
      </c>
      <c r="L22" s="2218">
        <f t="shared" ref="L22:L82" si="0">+I22-K22</f>
        <v>49293650.996379316</v>
      </c>
      <c r="M22" s="2220">
        <f>SUM(L10:L22)/13</f>
        <v>3791819.3074137936</v>
      </c>
    </row>
    <row r="23" spans="1:13">
      <c r="A23" s="2209">
        <v>2010</v>
      </c>
      <c r="B23" s="2210">
        <v>1</v>
      </c>
      <c r="C23" s="2215"/>
      <c r="D23" s="2215"/>
      <c r="E23" s="2215">
        <v>-2660.5800000000008</v>
      </c>
      <c r="F23" s="2215"/>
      <c r="G23" s="2216">
        <v>-2660.5800000000008</v>
      </c>
      <c r="H23" s="2217"/>
      <c r="I23" s="2218">
        <f>SUM(C$11:C23)</f>
        <v>49329088.560000002</v>
      </c>
      <c r="J23" s="2220">
        <f t="shared" ref="J23:J82" si="1">+C23*J$8*0.5+J$8*I22</f>
        <v>70875.127241379319</v>
      </c>
      <c r="K23" s="2220">
        <f>J23+K22</f>
        <v>106312.69086206898</v>
      </c>
      <c r="L23" s="2218">
        <f t="shared" si="0"/>
        <v>49222775.869137935</v>
      </c>
      <c r="M23" s="2218"/>
    </row>
    <row r="24" spans="1:13">
      <c r="A24" s="2210"/>
      <c r="B24" s="2210">
        <v>2</v>
      </c>
      <c r="C24" s="2215"/>
      <c r="D24" s="2215"/>
      <c r="E24" s="2215">
        <v>56707.81</v>
      </c>
      <c r="F24" s="2215"/>
      <c r="G24" s="2216">
        <v>56707.81</v>
      </c>
      <c r="H24" s="2217"/>
      <c r="I24" s="2218">
        <f>SUM(C$11:C24)</f>
        <v>49329088.560000002</v>
      </c>
      <c r="J24" s="2220">
        <f t="shared" si="1"/>
        <v>70875.127241379319</v>
      </c>
      <c r="K24" s="2220">
        <f t="shared" ref="K24:K82" si="2">J24+K23</f>
        <v>177187.81810344831</v>
      </c>
      <c r="L24" s="2218">
        <f t="shared" si="0"/>
        <v>49151900.741896555</v>
      </c>
      <c r="M24" s="2218"/>
    </row>
    <row r="25" spans="1:13">
      <c r="A25" s="2210"/>
      <c r="B25" s="2210">
        <v>3</v>
      </c>
      <c r="C25" s="2215">
        <v>186516475.59000003</v>
      </c>
      <c r="D25" s="2215">
        <v>4593.3</v>
      </c>
      <c r="E25" s="2215">
        <v>1540415.9000000001</v>
      </c>
      <c r="F25" s="2215"/>
      <c r="G25" s="2216">
        <v>188061484.79000005</v>
      </c>
      <c r="H25" s="2217"/>
      <c r="I25" s="2218">
        <f>SUM(C$11:C25)</f>
        <v>235845564.15000004</v>
      </c>
      <c r="J25" s="2220">
        <f t="shared" si="1"/>
        <v>204866.84821120693</v>
      </c>
      <c r="K25" s="2220">
        <f t="shared" si="2"/>
        <v>382054.66631465522</v>
      </c>
      <c r="L25" s="2218">
        <f t="shared" si="0"/>
        <v>235463509.48368537</v>
      </c>
      <c r="M25" s="2218"/>
    </row>
    <row r="26" spans="1:13">
      <c r="A26" s="2210"/>
      <c r="B26" s="2210">
        <v>4</v>
      </c>
      <c r="C26" s="2215">
        <v>10877334.39999998</v>
      </c>
      <c r="D26" s="2215">
        <v>4.9999999999727152E-2</v>
      </c>
      <c r="E26" s="2215">
        <v>101389.12</v>
      </c>
      <c r="F26" s="2215"/>
      <c r="G26" s="2216">
        <v>10978723.56999998</v>
      </c>
      <c r="H26" s="2217"/>
      <c r="I26" s="2218">
        <f>SUM(C$11:C26)</f>
        <v>246722898.55000001</v>
      </c>
      <c r="J26" s="2220">
        <f t="shared" si="1"/>
        <v>346672.74619252875</v>
      </c>
      <c r="K26" s="2220">
        <f t="shared" si="2"/>
        <v>728727.41250718397</v>
      </c>
      <c r="L26" s="2218">
        <f t="shared" si="0"/>
        <v>245994171.13749284</v>
      </c>
      <c r="M26" s="2218"/>
    </row>
    <row r="27" spans="1:13">
      <c r="A27" s="2210"/>
      <c r="B27" s="2210">
        <v>5</v>
      </c>
      <c r="C27" s="2215">
        <v>-353166.11999999569</v>
      </c>
      <c r="D27" s="2215"/>
      <c r="E27" s="2215">
        <v>45114.470000000008</v>
      </c>
      <c r="F27" s="2215"/>
      <c r="G27" s="2216">
        <v>-308051.64999999566</v>
      </c>
      <c r="H27" s="2217"/>
      <c r="I27" s="2218">
        <f>SUM(C$11:C27)</f>
        <v>246369732.43000001</v>
      </c>
      <c r="J27" s="2220">
        <f t="shared" si="1"/>
        <v>354233.21191091952</v>
      </c>
      <c r="K27" s="2220">
        <f t="shared" si="2"/>
        <v>1082960.6244181036</v>
      </c>
      <c r="L27" s="2218">
        <f t="shared" si="0"/>
        <v>245286771.8055819</v>
      </c>
      <c r="M27" s="2218"/>
    </row>
    <row r="28" spans="1:13">
      <c r="A28" s="2210"/>
      <c r="B28" s="2210">
        <v>6</v>
      </c>
      <c r="C28" s="2215">
        <v>798120.67999998387</v>
      </c>
      <c r="D28" s="2215">
        <v>-12163.470000000001</v>
      </c>
      <c r="E28" s="2215">
        <v>82042.029999999984</v>
      </c>
      <c r="F28" s="2215"/>
      <c r="G28" s="2216">
        <v>867999.23999998393</v>
      </c>
      <c r="H28" s="2217"/>
      <c r="I28" s="2218">
        <f>SUM(C$11:C28)</f>
        <v>247167853.10999998</v>
      </c>
      <c r="J28" s="2220">
        <f t="shared" si="1"/>
        <v>354552.86317528738</v>
      </c>
      <c r="K28" s="2220">
        <f t="shared" si="2"/>
        <v>1437513.487593391</v>
      </c>
      <c r="L28" s="2218">
        <f t="shared" si="0"/>
        <v>245730339.6224066</v>
      </c>
      <c r="M28" s="2218"/>
    </row>
    <row r="29" spans="1:13">
      <c r="A29" s="2210"/>
      <c r="B29" s="2210">
        <v>7</v>
      </c>
      <c r="C29" s="2215">
        <v>1116636.3700000001</v>
      </c>
      <c r="D29" s="2215">
        <v>1294.0999999999999</v>
      </c>
      <c r="E29" s="2215">
        <v>21234.670000000024</v>
      </c>
      <c r="F29" s="2215"/>
      <c r="G29" s="2216">
        <v>1139165.1400000001</v>
      </c>
      <c r="H29" s="2217"/>
      <c r="I29" s="2218">
        <f>SUM(C$11:C29)</f>
        <v>248284489.47999999</v>
      </c>
      <c r="J29" s="2220">
        <f t="shared" si="1"/>
        <v>355928.40703304595</v>
      </c>
      <c r="K29" s="2220">
        <f t="shared" si="2"/>
        <v>1793441.894626437</v>
      </c>
      <c r="L29" s="2218">
        <f t="shared" si="0"/>
        <v>246491047.58537355</v>
      </c>
      <c r="M29" s="2218"/>
    </row>
    <row r="30" spans="1:13">
      <c r="A30" s="2210"/>
      <c r="B30" s="2210">
        <v>8</v>
      </c>
      <c r="C30" s="2215">
        <v>392805.13</v>
      </c>
      <c r="D30" s="2215">
        <v>-38.079999999999927</v>
      </c>
      <c r="E30" s="2215">
        <v>32124.50999999998</v>
      </c>
      <c r="F30" s="2215"/>
      <c r="G30" s="2216">
        <v>424891.55999999994</v>
      </c>
      <c r="H30" s="2217"/>
      <c r="I30" s="2218">
        <f>SUM(C$11:C30)</f>
        <v>248677294.60999998</v>
      </c>
      <c r="J30" s="2220">
        <f t="shared" si="1"/>
        <v>357012.77592672413</v>
      </c>
      <c r="K30" s="2220">
        <f t="shared" si="2"/>
        <v>2150454.6705531613</v>
      </c>
      <c r="L30" s="2218">
        <f t="shared" si="0"/>
        <v>246526839.93944684</v>
      </c>
      <c r="M30" s="2218"/>
    </row>
    <row r="31" spans="1:13">
      <c r="A31" s="2210"/>
      <c r="B31" s="2210">
        <v>9</v>
      </c>
      <c r="C31" s="2215">
        <v>-81061.900000000038</v>
      </c>
      <c r="D31" s="2215">
        <v>-2506.2800000000002</v>
      </c>
      <c r="E31" s="2215">
        <v>-61825.96</v>
      </c>
      <c r="F31" s="2215"/>
      <c r="G31" s="2216">
        <v>-145394.14000000004</v>
      </c>
      <c r="H31" s="2217"/>
      <c r="I31" s="2218">
        <f>SUM(C$11:C31)</f>
        <v>248596232.70999998</v>
      </c>
      <c r="J31" s="2220">
        <f t="shared" si="1"/>
        <v>357236.72939655167</v>
      </c>
      <c r="K31" s="2220">
        <f t="shared" si="2"/>
        <v>2507691.3999497131</v>
      </c>
      <c r="L31" s="2218">
        <f t="shared" si="0"/>
        <v>246088541.31005028</v>
      </c>
      <c r="M31" s="2218"/>
    </row>
    <row r="32" spans="1:13">
      <c r="A32" s="2210"/>
      <c r="B32" s="2210">
        <v>10</v>
      </c>
      <c r="C32" s="2215">
        <v>87873223.509999976</v>
      </c>
      <c r="D32" s="2215">
        <v>36378.14</v>
      </c>
      <c r="E32" s="2215">
        <v>8623922.4899999984</v>
      </c>
      <c r="F32" s="2215">
        <v>364553.74</v>
      </c>
      <c r="G32" s="2216">
        <v>96898077.879999965</v>
      </c>
      <c r="H32" s="2217"/>
      <c r="I32" s="2218">
        <f>SUM(C$11:C32)</f>
        <v>336469456.21999997</v>
      </c>
      <c r="J32" s="2220">
        <f t="shared" si="1"/>
        <v>420305.81101293094</v>
      </c>
      <c r="K32" s="2220">
        <f t="shared" si="2"/>
        <v>2927997.2109626438</v>
      </c>
      <c r="L32" s="2218">
        <f t="shared" si="0"/>
        <v>333541459.00903732</v>
      </c>
      <c r="M32" s="2218"/>
    </row>
    <row r="33" spans="1:13">
      <c r="A33" s="2210"/>
      <c r="B33" s="2210">
        <v>11</v>
      </c>
      <c r="C33" s="2215">
        <v>434391075.3300001</v>
      </c>
      <c r="D33" s="2215">
        <v>-4161.4500000000007</v>
      </c>
      <c r="E33" s="2215">
        <v>-1457462.9400000004</v>
      </c>
      <c r="F33" s="2215">
        <v>2700529.23</v>
      </c>
      <c r="G33" s="2216">
        <v>435629980.17000014</v>
      </c>
      <c r="H33" s="2217"/>
      <c r="I33" s="2218">
        <f>SUM(C$11:C33)</f>
        <v>770860531.55000007</v>
      </c>
      <c r="J33" s="2220">
        <f t="shared" si="1"/>
        <v>795495.68086925289</v>
      </c>
      <c r="K33" s="2220">
        <f t="shared" si="2"/>
        <v>3723492.8918318967</v>
      </c>
      <c r="L33" s="2218">
        <f t="shared" si="0"/>
        <v>767137038.6581682</v>
      </c>
      <c r="M33" s="2218"/>
    </row>
    <row r="34" spans="1:13">
      <c r="A34" s="2210"/>
      <c r="B34" s="2210">
        <v>12</v>
      </c>
      <c r="C34" s="2215">
        <v>7978725.1199999703</v>
      </c>
      <c r="D34" s="2215">
        <v>4034.919999999991</v>
      </c>
      <c r="E34" s="2215">
        <v>943607.23</v>
      </c>
      <c r="F34" s="2215">
        <v>970519.44000000006</v>
      </c>
      <c r="G34" s="2216">
        <v>9896886.7099999748</v>
      </c>
      <c r="H34" s="2217"/>
      <c r="I34" s="2219">
        <f>SUM(C$11:C34)</f>
        <v>778839256.67000008</v>
      </c>
      <c r="J34" s="2220">
        <f t="shared" si="1"/>
        <v>1113290.077744253</v>
      </c>
      <c r="K34" s="2220">
        <f t="shared" si="2"/>
        <v>4836782.9695761502</v>
      </c>
      <c r="L34" s="2218">
        <f t="shared" si="0"/>
        <v>774002473.70042396</v>
      </c>
      <c r="M34" s="2220">
        <f>SUM(L22:L34)/13</f>
        <v>287225424.6045447</v>
      </c>
    </row>
    <row r="35" spans="1:13">
      <c r="A35" s="2209">
        <v>2011</v>
      </c>
      <c r="B35" s="2210">
        <v>1</v>
      </c>
      <c r="C35" s="2215">
        <v>1570431.4800000181</v>
      </c>
      <c r="D35" s="2215">
        <v>150</v>
      </c>
      <c r="E35" s="2215">
        <v>81574.509999999995</v>
      </c>
      <c r="F35" s="2215">
        <v>21651.35</v>
      </c>
      <c r="G35" s="2216">
        <v>1673807.3400000182</v>
      </c>
      <c r="H35" s="2217"/>
      <c r="I35" s="2218">
        <f>SUM(C$11:C35)</f>
        <v>780409688.1500001</v>
      </c>
      <c r="J35" s="2220">
        <f t="shared" si="1"/>
        <v>1120150.1040373563</v>
      </c>
      <c r="K35" s="2220">
        <f t="shared" si="2"/>
        <v>5956933.0736135067</v>
      </c>
      <c r="L35" s="2218">
        <f t="shared" si="0"/>
        <v>774452755.07638657</v>
      </c>
      <c r="M35" s="2218"/>
    </row>
    <row r="36" spans="1:13">
      <c r="A36" s="2210"/>
      <c r="B36" s="2210">
        <v>2</v>
      </c>
      <c r="C36" s="2215">
        <v>14494419.71000002</v>
      </c>
      <c r="D36" s="2215">
        <v>203.29000000000002</v>
      </c>
      <c r="E36" s="2215">
        <v>32193.41</v>
      </c>
      <c r="F36" s="2215">
        <v>1865956.72</v>
      </c>
      <c r="G36" s="2216">
        <v>16392773.130000019</v>
      </c>
      <c r="H36" s="2217"/>
      <c r="I36" s="2218">
        <f>SUM(C$11:C36)</f>
        <v>794904107.86000013</v>
      </c>
      <c r="J36" s="2220">
        <f t="shared" si="1"/>
        <v>1131690.945409483</v>
      </c>
      <c r="K36" s="2220">
        <f t="shared" si="2"/>
        <v>7088624.01902299</v>
      </c>
      <c r="L36" s="2218">
        <f t="shared" si="0"/>
        <v>787815483.84097719</v>
      </c>
      <c r="M36" s="2218"/>
    </row>
    <row r="37" spans="1:13">
      <c r="A37" s="2210"/>
      <c r="B37" s="2210">
        <v>3</v>
      </c>
      <c r="C37" s="2215">
        <v>-1319835.47</v>
      </c>
      <c r="D37" s="2215"/>
      <c r="E37" s="2215">
        <v>50543.16</v>
      </c>
      <c r="F37" s="2215">
        <v>62917.19999999999</v>
      </c>
      <c r="G37" s="2216">
        <v>-1206375.1100000001</v>
      </c>
      <c r="H37" s="2217"/>
      <c r="I37" s="2218">
        <f>SUM(C$11:C37)</f>
        <v>793584272.3900001</v>
      </c>
      <c r="J37" s="2220">
        <f t="shared" si="1"/>
        <v>1141155.4455818967</v>
      </c>
      <c r="K37" s="2220">
        <f t="shared" si="2"/>
        <v>8229779.4646048862</v>
      </c>
      <c r="L37" s="2218">
        <f t="shared" si="0"/>
        <v>785354492.92539525</v>
      </c>
      <c r="M37" s="2218"/>
    </row>
    <row r="38" spans="1:13">
      <c r="A38" s="2210"/>
      <c r="B38" s="2210">
        <v>4</v>
      </c>
      <c r="C38" s="2215">
        <v>818994.6799999997</v>
      </c>
      <c r="D38" s="2215">
        <v>-1945.55</v>
      </c>
      <c r="E38" s="2215">
        <v>7431.9300000000012</v>
      </c>
      <c r="F38" s="2215">
        <v>-16373.909999999994</v>
      </c>
      <c r="G38" s="2216">
        <v>808107.14999999967</v>
      </c>
      <c r="H38" s="2217"/>
      <c r="I38" s="2218">
        <f>SUM(C$11:C38)</f>
        <v>794403267.07000005</v>
      </c>
      <c r="J38" s="2220">
        <f t="shared" si="1"/>
        <v>1140795.6461637933</v>
      </c>
      <c r="K38" s="2220">
        <f t="shared" si="2"/>
        <v>9370575.1107686795</v>
      </c>
      <c r="L38" s="2218">
        <f t="shared" si="0"/>
        <v>785032691.95923138</v>
      </c>
      <c r="M38" s="2218"/>
    </row>
    <row r="39" spans="1:13">
      <c r="A39" s="2210"/>
      <c r="B39" s="2210">
        <v>5</v>
      </c>
      <c r="C39" s="2215">
        <v>-674048.58999999892</v>
      </c>
      <c r="D39" s="2215"/>
      <c r="E39" s="2215">
        <v>16323.12</v>
      </c>
      <c r="F39" s="2215">
        <v>62500.57</v>
      </c>
      <c r="G39" s="2216">
        <v>-595224.89999999898</v>
      </c>
      <c r="H39" s="2217"/>
      <c r="I39" s="2218">
        <f>SUM(C$11:C39)</f>
        <v>793729218.48000002</v>
      </c>
      <c r="J39" s="2220">
        <f t="shared" si="1"/>
        <v>1140899.7741020115</v>
      </c>
      <c r="K39" s="2220">
        <f t="shared" si="2"/>
        <v>10511474.884870691</v>
      </c>
      <c r="L39" s="2218">
        <f t="shared" si="0"/>
        <v>783217743.59512937</v>
      </c>
      <c r="M39" s="2218"/>
    </row>
    <row r="40" spans="1:13">
      <c r="A40" s="2210"/>
      <c r="B40" s="2210">
        <v>6</v>
      </c>
      <c r="C40" s="2215">
        <v>6013549.9000000004</v>
      </c>
      <c r="D40" s="2215"/>
      <c r="E40" s="2215">
        <v>27267.920000000002</v>
      </c>
      <c r="F40" s="2215">
        <v>4503.0700000000006</v>
      </c>
      <c r="G40" s="2216">
        <v>6045320.8900000006</v>
      </c>
      <c r="H40" s="2217"/>
      <c r="I40" s="2218">
        <f>SUM(C$11:C40)</f>
        <v>799742768.38</v>
      </c>
      <c r="J40" s="2220">
        <f t="shared" si="1"/>
        <v>1144735.6227442529</v>
      </c>
      <c r="K40" s="2220">
        <f t="shared" si="2"/>
        <v>11656210.507614944</v>
      </c>
      <c r="L40" s="2218">
        <f t="shared" si="0"/>
        <v>788086557.87238503</v>
      </c>
      <c r="M40" s="2218"/>
    </row>
    <row r="41" spans="1:13">
      <c r="A41" s="2210"/>
      <c r="B41" s="2210">
        <v>7</v>
      </c>
      <c r="C41" s="2215">
        <v>225620.78999999992</v>
      </c>
      <c r="D41" s="2215"/>
      <c r="E41" s="2215">
        <v>12962.32</v>
      </c>
      <c r="F41" s="2215">
        <v>-11911.15</v>
      </c>
      <c r="G41" s="2216">
        <v>226671.95999999993</v>
      </c>
      <c r="H41" s="2217"/>
      <c r="I41" s="2218">
        <f>SUM(C$11:C41)</f>
        <v>799968389.16999996</v>
      </c>
      <c r="J41" s="2220">
        <f t="shared" si="1"/>
        <v>1149217.7855962645</v>
      </c>
      <c r="K41" s="2220">
        <f t="shared" si="2"/>
        <v>12805428.293211209</v>
      </c>
      <c r="L41" s="2218">
        <f t="shared" si="0"/>
        <v>787162960.87678874</v>
      </c>
      <c r="M41" s="2218"/>
    </row>
    <row r="42" spans="1:13">
      <c r="A42" s="2210"/>
      <c r="B42" s="2210">
        <v>8</v>
      </c>
      <c r="C42" s="2215">
        <v>292520.68000000005</v>
      </c>
      <c r="D42" s="2215"/>
      <c r="E42" s="2215">
        <v>-146659.68</v>
      </c>
      <c r="F42" s="2215">
        <v>-419.81999999999982</v>
      </c>
      <c r="G42" s="2216">
        <v>145441.18000000005</v>
      </c>
      <c r="H42" s="2217"/>
      <c r="I42" s="2218">
        <f>SUM(C$11:C42)</f>
        <v>800260909.8499999</v>
      </c>
      <c r="J42" s="2220">
        <f t="shared" si="1"/>
        <v>1149590.0136637932</v>
      </c>
      <c r="K42" s="2220">
        <f t="shared" si="2"/>
        <v>13955018.306875002</v>
      </c>
      <c r="L42" s="2218">
        <f t="shared" si="0"/>
        <v>786305891.54312491</v>
      </c>
      <c r="M42" s="2218"/>
    </row>
    <row r="43" spans="1:13">
      <c r="A43" s="2210"/>
      <c r="B43" s="2210">
        <v>9</v>
      </c>
      <c r="C43" s="2215">
        <v>2253449.2999999998</v>
      </c>
      <c r="D43" s="2215"/>
      <c r="E43" s="2215">
        <v>1664.07</v>
      </c>
      <c r="F43" s="2215">
        <v>13507.07</v>
      </c>
      <c r="G43" s="2216">
        <v>2268620.4399999995</v>
      </c>
      <c r="H43" s="2217"/>
      <c r="I43" s="2218">
        <f>SUM(C$11:C43)</f>
        <v>802514359.14999986</v>
      </c>
      <c r="J43" s="2220">
        <f t="shared" si="1"/>
        <v>1151419.0150862066</v>
      </c>
      <c r="K43" s="2220">
        <f t="shared" si="2"/>
        <v>15106437.321961209</v>
      </c>
      <c r="L43" s="2218">
        <f t="shared" si="0"/>
        <v>787407921.82803869</v>
      </c>
      <c r="M43" s="2218"/>
    </row>
    <row r="44" spans="1:13">
      <c r="A44" s="2210"/>
      <c r="B44" s="2210">
        <v>10</v>
      </c>
      <c r="C44" s="2215">
        <v>-169597.82000000009</v>
      </c>
      <c r="D44" s="2215"/>
      <c r="E44" s="2215">
        <v>114065.09</v>
      </c>
      <c r="F44" s="2215">
        <v>90745.720000000088</v>
      </c>
      <c r="G44" s="2216">
        <v>35212.989999999991</v>
      </c>
      <c r="H44" s="2217"/>
      <c r="I44" s="2218">
        <f>SUM(C$11:C44)</f>
        <v>802344761.3299998</v>
      </c>
      <c r="J44" s="2220">
        <f t="shared" si="1"/>
        <v>1152916.034827586</v>
      </c>
      <c r="K44" s="2220">
        <f t="shared" si="2"/>
        <v>16259353.356788795</v>
      </c>
      <c r="L44" s="2218">
        <f t="shared" si="0"/>
        <v>786085407.97321105</v>
      </c>
      <c r="M44" s="2218"/>
    </row>
    <row r="45" spans="1:13">
      <c r="A45" s="2210"/>
      <c r="B45" s="2210">
        <v>11</v>
      </c>
      <c r="C45" s="2215">
        <v>-125784.32000000015</v>
      </c>
      <c r="D45" s="2215"/>
      <c r="E45" s="2215">
        <v>86833.01</v>
      </c>
      <c r="F45" s="2215">
        <v>-1201.9299999999989</v>
      </c>
      <c r="G45" s="2216">
        <v>-40153.240000000158</v>
      </c>
      <c r="H45" s="2217"/>
      <c r="I45" s="2218">
        <f>SUM(C$11:C45)</f>
        <v>802218977.00999975</v>
      </c>
      <c r="J45" s="2220">
        <f t="shared" si="1"/>
        <v>1152703.8350143675</v>
      </c>
      <c r="K45" s="2220">
        <f t="shared" si="2"/>
        <v>17412057.191803165</v>
      </c>
      <c r="L45" s="2218">
        <f t="shared" si="0"/>
        <v>784806919.81819654</v>
      </c>
      <c r="M45" s="2218"/>
    </row>
    <row r="46" spans="1:13">
      <c r="A46" s="2210"/>
      <c r="B46" s="2210">
        <v>12</v>
      </c>
      <c r="C46" s="2215">
        <v>91950.220000000016</v>
      </c>
      <c r="D46" s="2215">
        <v>87946.400000000009</v>
      </c>
      <c r="E46" s="2215">
        <v>-2114.7600000000002</v>
      </c>
      <c r="F46" s="2215">
        <v>-15583.36</v>
      </c>
      <c r="G46" s="2216">
        <v>162198.5</v>
      </c>
      <c r="H46" s="2217"/>
      <c r="I46" s="2219">
        <f>SUM(C$11:C46)</f>
        <v>802310927.22999978</v>
      </c>
      <c r="J46" s="2220">
        <f t="shared" si="1"/>
        <v>1152679.5289080455</v>
      </c>
      <c r="K46" s="2220">
        <f t="shared" si="2"/>
        <v>18564736.720711209</v>
      </c>
      <c r="L46" s="2218">
        <f t="shared" si="0"/>
        <v>783746190.50928855</v>
      </c>
      <c r="M46" s="2221">
        <f>SUM(L34:L46)/13</f>
        <v>784113653.19373691</v>
      </c>
    </row>
    <row r="47" spans="1:13">
      <c r="A47" s="2209">
        <v>2012</v>
      </c>
      <c r="B47" s="2210">
        <v>1</v>
      </c>
      <c r="C47" s="2216">
        <v>36175.22000000003</v>
      </c>
      <c r="D47" s="2216">
        <v>5450.7599999999948</v>
      </c>
      <c r="E47" s="2216">
        <v>18068</v>
      </c>
      <c r="F47" s="2216"/>
      <c r="G47" s="2216">
        <v>59693.980000000025</v>
      </c>
      <c r="H47" s="2217"/>
      <c r="I47" s="2218">
        <f>SUM(C$11:C47)</f>
        <v>802347102.44999981</v>
      </c>
      <c r="J47" s="2220">
        <f t="shared" si="1"/>
        <v>1152771.5730459767</v>
      </c>
      <c r="K47" s="2220">
        <f t="shared" si="2"/>
        <v>19717508.293757185</v>
      </c>
      <c r="L47" s="2218">
        <f t="shared" si="0"/>
        <v>782629594.15624261</v>
      </c>
      <c r="M47" s="2218"/>
    </row>
    <row r="48" spans="1:13">
      <c r="A48" s="2210"/>
      <c r="B48" s="2210">
        <v>2</v>
      </c>
      <c r="C48" s="2216">
        <v>72991.140000000101</v>
      </c>
      <c r="D48" s="2216">
        <v>-3198.7500000000005</v>
      </c>
      <c r="E48" s="2216">
        <v>9638.2299999999977</v>
      </c>
      <c r="F48" s="2216">
        <v>7334.5300000000007</v>
      </c>
      <c r="G48" s="2216">
        <v>86765.150000000096</v>
      </c>
      <c r="H48" s="2217"/>
      <c r="I48" s="2218">
        <f>SUM(C$11:C48)</f>
        <v>802420093.58999979</v>
      </c>
      <c r="J48" s="2220">
        <f t="shared" si="1"/>
        <v>1152849.9971551721</v>
      </c>
      <c r="K48" s="2220">
        <f t="shared" si="2"/>
        <v>20870358.290912356</v>
      </c>
      <c r="L48" s="2218">
        <f t="shared" si="0"/>
        <v>781549735.29908741</v>
      </c>
      <c r="M48" s="2218"/>
    </row>
    <row r="49" spans="1:13">
      <c r="A49" s="2210"/>
      <c r="B49" s="2210">
        <v>3</v>
      </c>
      <c r="C49" s="2216">
        <v>990797.12000000011</v>
      </c>
      <c r="D49" s="2216">
        <v>-3043.53</v>
      </c>
      <c r="E49" s="2216"/>
      <c r="F49" s="2216"/>
      <c r="G49" s="2216">
        <v>987753.59000000008</v>
      </c>
      <c r="H49" s="2217"/>
      <c r="I49" s="2218">
        <f>SUM(C$11:C49)</f>
        <v>803410890.7099998</v>
      </c>
      <c r="J49" s="2220">
        <f t="shared" si="1"/>
        <v>1153614.212859195</v>
      </c>
      <c r="K49" s="2220">
        <f t="shared" si="2"/>
        <v>22023972.503771551</v>
      </c>
      <c r="L49" s="2218">
        <f t="shared" si="0"/>
        <v>781386918.20622826</v>
      </c>
      <c r="M49" s="2218"/>
    </row>
    <row r="50" spans="1:13">
      <c r="A50" s="2210"/>
      <c r="B50" s="2210">
        <v>4</v>
      </c>
      <c r="C50" s="2216">
        <v>970877.82</v>
      </c>
      <c r="D50" s="2216"/>
      <c r="E50" s="2216"/>
      <c r="F50" s="2216"/>
      <c r="G50" s="2216">
        <v>970877.82</v>
      </c>
      <c r="H50" s="2217"/>
      <c r="I50" s="2218">
        <f>SUM(C$11:C50)</f>
        <v>804381768.52999985</v>
      </c>
      <c r="J50" s="2220">
        <f t="shared" si="1"/>
        <v>1155023.4620977009</v>
      </c>
      <c r="K50" s="2220">
        <f t="shared" si="2"/>
        <v>23178995.965869252</v>
      </c>
      <c r="L50" s="2218">
        <f t="shared" si="0"/>
        <v>781202772.56413054</v>
      </c>
      <c r="M50" s="2218"/>
    </row>
    <row r="51" spans="1:13">
      <c r="A51" s="2210"/>
      <c r="B51" s="2210">
        <v>5</v>
      </c>
      <c r="C51" s="2216">
        <v>-384812.7</v>
      </c>
      <c r="D51" s="2216">
        <v>-89.579999999999472</v>
      </c>
      <c r="E51" s="2216"/>
      <c r="F51" s="2216"/>
      <c r="G51" s="2216">
        <v>-384902.28</v>
      </c>
      <c r="H51" s="2217"/>
      <c r="I51" s="2218">
        <f>SUM(C$11:C51)</f>
        <v>803996955.8299998</v>
      </c>
      <c r="J51" s="2220">
        <f t="shared" si="1"/>
        <v>1155444.4858908043</v>
      </c>
      <c r="K51" s="2220">
        <f t="shared" si="2"/>
        <v>24334440.451760057</v>
      </c>
      <c r="L51" s="2218">
        <f t="shared" si="0"/>
        <v>779662515.37823975</v>
      </c>
      <c r="M51" s="2218"/>
    </row>
    <row r="52" spans="1:13">
      <c r="A52" s="2210"/>
      <c r="B52" s="2210">
        <v>6</v>
      </c>
      <c r="C52" s="2216">
        <v>3221591.9999999991</v>
      </c>
      <c r="D52" s="2216"/>
      <c r="E52" s="2216">
        <v>6011.32</v>
      </c>
      <c r="F52" s="2216"/>
      <c r="G52" s="2216">
        <v>3227603.3199999989</v>
      </c>
      <c r="H52" s="2217"/>
      <c r="I52" s="2218">
        <f>SUM(C$11:C52)</f>
        <v>807218547.8299998</v>
      </c>
      <c r="J52" s="2220">
        <f t="shared" si="1"/>
        <v>1157482.4020545974</v>
      </c>
      <c r="K52" s="2220">
        <f t="shared" si="2"/>
        <v>25491922.853814654</v>
      </c>
      <c r="L52" s="2218">
        <f t="shared" si="0"/>
        <v>781726624.9761852</v>
      </c>
      <c r="M52" s="2218"/>
    </row>
    <row r="53" spans="1:13">
      <c r="A53" s="2210"/>
      <c r="B53" s="2210">
        <v>7</v>
      </c>
      <c r="C53" s="2216">
        <v>35015.020000000004</v>
      </c>
      <c r="D53" s="2216">
        <v>69653.289999999994</v>
      </c>
      <c r="E53" s="2216"/>
      <c r="F53" s="2216"/>
      <c r="G53" s="2216">
        <v>104668.31</v>
      </c>
      <c r="H53" s="2217"/>
      <c r="I53" s="2218">
        <f>SUM(C$11:C53)</f>
        <v>807253562.84999979</v>
      </c>
      <c r="J53" s="2220">
        <f t="shared" si="1"/>
        <v>1159821.9185919538</v>
      </c>
      <c r="K53" s="2220">
        <f t="shared" si="2"/>
        <v>26651744.772406608</v>
      </c>
      <c r="L53" s="2218">
        <f t="shared" si="0"/>
        <v>780601818.07759321</v>
      </c>
      <c r="M53" s="2218"/>
    </row>
    <row r="54" spans="1:13">
      <c r="A54" s="2210"/>
      <c r="B54" s="2210">
        <v>8</v>
      </c>
      <c r="C54" s="2216">
        <v>267305.88</v>
      </c>
      <c r="D54" s="2216">
        <v>-1446.0600000000002</v>
      </c>
      <c r="E54" s="2216">
        <v>65066.259999999995</v>
      </c>
      <c r="F54" s="2216"/>
      <c r="G54" s="2216">
        <v>330926.08000000002</v>
      </c>
      <c r="H54" s="2217"/>
      <c r="I54" s="2218">
        <f>SUM(C$11:C54)</f>
        <v>807520868.72999978</v>
      </c>
      <c r="J54" s="2220">
        <f t="shared" si="1"/>
        <v>1160039.1031465514</v>
      </c>
      <c r="K54" s="2220">
        <f t="shared" si="2"/>
        <v>27811783.875553161</v>
      </c>
      <c r="L54" s="2218">
        <f t="shared" si="0"/>
        <v>779709084.85444665</v>
      </c>
      <c r="M54" s="2218"/>
    </row>
    <row r="55" spans="1:13">
      <c r="A55" s="2210"/>
      <c r="B55" s="2210">
        <v>9</v>
      </c>
      <c r="C55" s="2216">
        <v>126156.16000000002</v>
      </c>
      <c r="D55" s="2216"/>
      <c r="E55" s="2216"/>
      <c r="F55" s="2216"/>
      <c r="G55" s="2216">
        <v>126156.16000000002</v>
      </c>
      <c r="H55" s="2217"/>
      <c r="I55" s="2218">
        <f>SUM(C$11:C55)</f>
        <v>807647024.88999975</v>
      </c>
      <c r="J55" s="2220">
        <f t="shared" si="1"/>
        <v>1160321.7626580456</v>
      </c>
      <c r="K55" s="2220">
        <f t="shared" si="2"/>
        <v>28972105.638211206</v>
      </c>
      <c r="L55" s="2218">
        <f t="shared" si="0"/>
        <v>778674919.2517885</v>
      </c>
      <c r="M55" s="2218"/>
    </row>
    <row r="56" spans="1:13">
      <c r="A56" s="2210"/>
      <c r="B56" s="2210">
        <v>10</v>
      </c>
      <c r="C56" s="2216">
        <v>376118.1999999999</v>
      </c>
      <c r="D56" s="2216"/>
      <c r="E56" s="2216"/>
      <c r="F56" s="2216"/>
      <c r="G56" s="2216">
        <v>376118.1999999999</v>
      </c>
      <c r="H56" s="2217"/>
      <c r="I56" s="2218">
        <f>SUM(C$11:C56)</f>
        <v>808023143.08999979</v>
      </c>
      <c r="J56" s="2220">
        <f t="shared" si="1"/>
        <v>1160682.5919396547</v>
      </c>
      <c r="K56" s="2220">
        <f t="shared" si="2"/>
        <v>30132788.23015086</v>
      </c>
      <c r="L56" s="2218">
        <f t="shared" si="0"/>
        <v>777890354.85984898</v>
      </c>
      <c r="M56" s="2218"/>
    </row>
    <row r="57" spans="1:13">
      <c r="A57" s="2210"/>
      <c r="B57" s="2210">
        <v>11</v>
      </c>
      <c r="C57" s="2216">
        <v>23435318.120000001</v>
      </c>
      <c r="D57" s="2216"/>
      <c r="E57" s="2216">
        <v>13477.84</v>
      </c>
      <c r="F57" s="2216">
        <v>1393.22</v>
      </c>
      <c r="G57" s="2216">
        <v>23450189.18</v>
      </c>
      <c r="H57" s="2217"/>
      <c r="I57" s="2218">
        <f>SUM(C$11:C57)</f>
        <v>831458461.2099998</v>
      </c>
      <c r="J57" s="2220">
        <f t="shared" si="1"/>
        <v>1177788.5088362065</v>
      </c>
      <c r="K57" s="2220">
        <f t="shared" si="2"/>
        <v>31310576.738987066</v>
      </c>
      <c r="L57" s="2218">
        <f t="shared" si="0"/>
        <v>800147884.47101271</v>
      </c>
      <c r="M57" s="2218"/>
    </row>
    <row r="58" spans="1:13">
      <c r="A58" s="2210"/>
      <c r="B58" s="2210">
        <v>12</v>
      </c>
      <c r="C58" s="2216">
        <v>28383674.890000004</v>
      </c>
      <c r="D58" s="2216">
        <v>3196.4700000000003</v>
      </c>
      <c r="E58" s="2216">
        <v>18110.599999999999</v>
      </c>
      <c r="F58" s="2216"/>
      <c r="G58" s="2216">
        <v>28404981.960000005</v>
      </c>
      <c r="H58" s="2217"/>
      <c r="I58" s="2219">
        <f>SUM(C$11:C58)</f>
        <v>859842136.09999979</v>
      </c>
      <c r="J58" s="2220">
        <f t="shared" si="1"/>
        <v>1215014.7969181032</v>
      </c>
      <c r="K58" s="2220">
        <f t="shared" si="2"/>
        <v>32525591.535905167</v>
      </c>
      <c r="L58" s="2218">
        <f t="shared" si="0"/>
        <v>827316544.56409466</v>
      </c>
      <c r="M58" s="2221">
        <f>SUM(L46:L58)/13</f>
        <v>785864996.70524514</v>
      </c>
    </row>
    <row r="59" spans="1:13">
      <c r="A59" s="2210">
        <v>2013</v>
      </c>
      <c r="B59" s="2210">
        <v>1</v>
      </c>
      <c r="C59" s="2222">
        <v>-59287.020000000513</v>
      </c>
      <c r="D59" s="2222"/>
      <c r="E59" s="2222">
        <v>-66494.39</v>
      </c>
      <c r="F59" s="2222"/>
      <c r="G59" s="2222">
        <v>-125781.41000000051</v>
      </c>
      <c r="H59" s="2217"/>
      <c r="I59" s="2218">
        <f>SUM(C$11:C59)</f>
        <v>859782849.0799998</v>
      </c>
      <c r="J59" s="2220">
        <f t="shared" si="1"/>
        <v>1235362.7767097696</v>
      </c>
      <c r="K59" s="2220">
        <f t="shared" si="2"/>
        <v>33760954.31261494</v>
      </c>
      <c r="L59" s="2218">
        <f t="shared" si="0"/>
        <v>826021894.76738489</v>
      </c>
      <c r="M59" s="2220"/>
    </row>
    <row r="60" spans="1:13">
      <c r="A60" s="2210"/>
      <c r="B60" s="2210">
        <v>2</v>
      </c>
      <c r="C60" s="2222">
        <v>185502.72999999992</v>
      </c>
      <c r="D60" s="2222"/>
      <c r="E60" s="2222">
        <v>3043.3399999999983</v>
      </c>
      <c r="F60" s="2222"/>
      <c r="G60" s="2222">
        <v>188546.06999999992</v>
      </c>
      <c r="H60" s="2217"/>
      <c r="I60" s="2218">
        <f>SUM(C$11:C60)</f>
        <v>859968351.80999982</v>
      </c>
      <c r="J60" s="2220">
        <f t="shared" si="1"/>
        <v>1235453.4489152296</v>
      </c>
      <c r="K60" s="2220">
        <f t="shared" si="2"/>
        <v>34996407.761530168</v>
      </c>
      <c r="L60" s="2218">
        <f t="shared" si="0"/>
        <v>824971944.04846966</v>
      </c>
      <c r="M60" s="2220"/>
    </row>
    <row r="61" spans="1:13">
      <c r="A61" s="2210"/>
      <c r="B61" s="2210">
        <v>3</v>
      </c>
      <c r="C61" s="2222">
        <v>2339450.0599999996</v>
      </c>
      <c r="D61" s="2222"/>
      <c r="E61" s="2222">
        <v>94425.87</v>
      </c>
      <c r="F61" s="2222"/>
      <c r="G61" s="2222">
        <v>2433875.9299999997</v>
      </c>
      <c r="H61" s="2217"/>
      <c r="I61" s="2218">
        <f>SUM(C$11:C61)</f>
        <v>862307801.86999977</v>
      </c>
      <c r="J61" s="2220">
        <f t="shared" si="1"/>
        <v>1237267.351781609</v>
      </c>
      <c r="K61" s="2220">
        <f t="shared" si="2"/>
        <v>36233675.113311775</v>
      </c>
      <c r="L61" s="2218">
        <f t="shared" si="0"/>
        <v>826074126.756688</v>
      </c>
      <c r="M61" s="2220"/>
    </row>
    <row r="62" spans="1:13">
      <c r="A62" s="2210"/>
      <c r="B62" s="2210">
        <v>4</v>
      </c>
      <c r="C62" s="2222">
        <v>61120.800000000032</v>
      </c>
      <c r="D62" s="2222"/>
      <c r="E62" s="2222">
        <v>11340.34</v>
      </c>
      <c r="F62" s="2222"/>
      <c r="G62" s="2222">
        <v>72461.140000000029</v>
      </c>
      <c r="H62" s="2217"/>
      <c r="I62" s="2218">
        <f>SUM(C$11:C62)</f>
        <v>862368922.66999972</v>
      </c>
      <c r="J62" s="2220">
        <f t="shared" si="1"/>
        <v>1238991.899813218</v>
      </c>
      <c r="K62" s="2220">
        <f t="shared" si="2"/>
        <v>37472667.013124995</v>
      </c>
      <c r="L62" s="2218">
        <f t="shared" si="0"/>
        <v>824896255.65687478</v>
      </c>
      <c r="M62" s="2220"/>
    </row>
    <row r="63" spans="1:13">
      <c r="A63" s="2210"/>
      <c r="B63" s="2210">
        <v>5</v>
      </c>
      <c r="C63" s="2222">
        <v>347498048.94999999</v>
      </c>
      <c r="D63" s="2222"/>
      <c r="E63" s="2222">
        <v>43707.21</v>
      </c>
      <c r="F63" s="2222"/>
      <c r="G63" s="2222">
        <v>347541756.15999997</v>
      </c>
      <c r="H63" s="2217"/>
      <c r="I63" s="2218">
        <f>SUM(C$11:C63)</f>
        <v>1209866971.6199996</v>
      </c>
      <c r="J63" s="2220">
        <f t="shared" si="1"/>
        <v>1488675.2114152294</v>
      </c>
      <c r="K63" s="2220">
        <f t="shared" si="2"/>
        <v>38961342.224540226</v>
      </c>
      <c r="L63" s="2218">
        <f t="shared" si="0"/>
        <v>1170905629.3954594</v>
      </c>
      <c r="M63" s="2220"/>
    </row>
    <row r="64" spans="1:13">
      <c r="A64" s="2210"/>
      <c r="B64" s="2210">
        <v>6</v>
      </c>
      <c r="C64" s="2222">
        <v>6595151.2699999893</v>
      </c>
      <c r="D64" s="2222"/>
      <c r="E64" s="2222">
        <v>-21113.75</v>
      </c>
      <c r="F64" s="2222"/>
      <c r="G64" s="2222">
        <v>6574037.5199999893</v>
      </c>
      <c r="H64" s="2217"/>
      <c r="I64" s="2218">
        <f>SUM(C$11:C64)</f>
        <v>1216462122.8899996</v>
      </c>
      <c r="J64" s="2220">
        <f t="shared" si="1"/>
        <v>1743052.51042385</v>
      </c>
      <c r="K64" s="2220">
        <f t="shared" si="2"/>
        <v>40704394.734964073</v>
      </c>
      <c r="L64" s="2218">
        <f t="shared" si="0"/>
        <v>1175757728.1550355</v>
      </c>
      <c r="M64" s="2220"/>
    </row>
    <row r="65" spans="1:13">
      <c r="A65" s="2210"/>
      <c r="B65" s="2210">
        <v>7</v>
      </c>
      <c r="C65" s="2222">
        <v>786452.25999999652</v>
      </c>
      <c r="D65" s="2222"/>
      <c r="E65" s="2222">
        <v>41107.699999999997</v>
      </c>
      <c r="F65" s="2222"/>
      <c r="G65" s="2222">
        <v>827559.95999999647</v>
      </c>
      <c r="H65" s="2217"/>
      <c r="I65" s="2218">
        <f>SUM(C$11:C65)</f>
        <v>1217248575.1499996</v>
      </c>
      <c r="J65" s="2220">
        <f t="shared" si="1"/>
        <v>1748355.3865229881</v>
      </c>
      <c r="K65" s="2220">
        <f t="shared" si="2"/>
        <v>42452750.121487059</v>
      </c>
      <c r="L65" s="2218">
        <f t="shared" si="0"/>
        <v>1174795825.0285125</v>
      </c>
      <c r="M65" s="2220"/>
    </row>
    <row r="66" spans="1:13">
      <c r="A66" s="2210"/>
      <c r="B66" s="2210">
        <v>8</v>
      </c>
      <c r="C66" s="2222">
        <v>557256.60999999475</v>
      </c>
      <c r="D66" s="2222"/>
      <c r="E66" s="2222">
        <v>2423.2399999999998</v>
      </c>
      <c r="F66" s="2222"/>
      <c r="G66" s="2222">
        <v>559679.84999999474</v>
      </c>
      <c r="H66" s="2217"/>
      <c r="I66" s="2218">
        <f>SUM(C$11:C66)</f>
        <v>1217805831.7599995</v>
      </c>
      <c r="J66" s="2220">
        <f t="shared" si="1"/>
        <v>1749320.6946192523</v>
      </c>
      <c r="K66" s="2220">
        <f t="shared" si="2"/>
        <v>44202070.816106312</v>
      </c>
      <c r="L66" s="2218">
        <f t="shared" si="0"/>
        <v>1173603760.9438932</v>
      </c>
      <c r="M66" s="2220"/>
    </row>
    <row r="67" spans="1:13">
      <c r="A67" s="2210"/>
      <c r="B67" s="2210">
        <v>9</v>
      </c>
      <c r="C67" s="2222">
        <v>479725.25999998843</v>
      </c>
      <c r="D67" s="2222"/>
      <c r="E67" s="2222">
        <v>9768.93</v>
      </c>
      <c r="F67" s="2222"/>
      <c r="G67" s="2222">
        <v>489494.18999998842</v>
      </c>
      <c r="H67" s="2217"/>
      <c r="I67" s="2218">
        <f>SUM(C$11:C67)</f>
        <v>1218285557.0199995</v>
      </c>
      <c r="J67" s="2220">
        <f t="shared" si="1"/>
        <v>1750065.6528591947</v>
      </c>
      <c r="K67" s="2220">
        <f t="shared" si="2"/>
        <v>45952136.468965508</v>
      </c>
      <c r="L67" s="2218">
        <f t="shared" si="0"/>
        <v>1172333420.551034</v>
      </c>
      <c r="M67" s="2220"/>
    </row>
    <row r="68" spans="1:13">
      <c r="A68" s="2210"/>
      <c r="B68" s="2210">
        <v>10</v>
      </c>
      <c r="C68" s="2222">
        <v>338600.24999999983</v>
      </c>
      <c r="D68" s="2222"/>
      <c r="E68" s="2222">
        <v>102339.83</v>
      </c>
      <c r="F68" s="2222"/>
      <c r="G68" s="2222">
        <v>440940.07999999984</v>
      </c>
      <c r="H68" s="2217"/>
      <c r="I68" s="2218">
        <f>SUM(C$11:C68)</f>
        <v>1218624157.2699995</v>
      </c>
      <c r="J68" s="2220">
        <f t="shared" si="1"/>
        <v>1750653.5303807463</v>
      </c>
      <c r="K68" s="2220">
        <f t="shared" si="2"/>
        <v>47702789.999346256</v>
      </c>
      <c r="L68" s="2218">
        <f t="shared" si="0"/>
        <v>1170921367.2706532</v>
      </c>
      <c r="M68" s="2220"/>
    </row>
    <row r="69" spans="1:13">
      <c r="A69" s="2210"/>
      <c r="B69" s="2210">
        <v>11</v>
      </c>
      <c r="C69" s="2222">
        <v>754740.09999999974</v>
      </c>
      <c r="D69" s="2222"/>
      <c r="E69" s="2222">
        <v>88.22</v>
      </c>
      <c r="F69" s="2222"/>
      <c r="G69" s="2222">
        <v>754828.31999999972</v>
      </c>
      <c r="H69" s="2217"/>
      <c r="I69" s="2218">
        <f>SUM(C$11:C69)</f>
        <v>1219378897.3699994</v>
      </c>
      <c r="J69" s="2220">
        <f t="shared" si="1"/>
        <v>1751438.976034482</v>
      </c>
      <c r="K69" s="2220">
        <f t="shared" si="2"/>
        <v>49454228.975380741</v>
      </c>
      <c r="L69" s="2218">
        <f t="shared" si="0"/>
        <v>1169924668.3946187</v>
      </c>
      <c r="M69" s="2220"/>
    </row>
    <row r="70" spans="1:13">
      <c r="A70" s="2210"/>
      <c r="B70" s="2210">
        <v>12</v>
      </c>
      <c r="C70" s="2222">
        <v>3132231.4299999997</v>
      </c>
      <c r="D70" s="2222"/>
      <c r="E70" s="2222">
        <v>503.53000000000003</v>
      </c>
      <c r="F70" s="2222"/>
      <c r="G70" s="2222">
        <v>3132734.9599999995</v>
      </c>
      <c r="H70" s="2217"/>
      <c r="I70" s="2219">
        <f>SUM(C$11:C70)</f>
        <v>1222511128.7999995</v>
      </c>
      <c r="J70" s="2220">
        <f t="shared" si="1"/>
        <v>1754231.340639367</v>
      </c>
      <c r="K70" s="2220">
        <f t="shared" si="2"/>
        <v>51208460.316020109</v>
      </c>
      <c r="L70" s="2218">
        <f t="shared" si="0"/>
        <v>1171302668.4839795</v>
      </c>
      <c r="M70" s="2221">
        <f>SUM(L58:L70)/13</f>
        <v>1039140448.7705153</v>
      </c>
    </row>
    <row r="71" spans="1:13" s="2263" customFormat="1">
      <c r="A71" s="2258">
        <v>2014</v>
      </c>
      <c r="B71" s="2259">
        <v>1</v>
      </c>
      <c r="C71" s="2222">
        <v>639665.49999999965</v>
      </c>
      <c r="D71" s="2222">
        <v>182774.96000000002</v>
      </c>
      <c r="E71" s="2222">
        <v>767.07</v>
      </c>
      <c r="F71" s="2222"/>
      <c r="G71" s="2222">
        <v>823207.52999999968</v>
      </c>
      <c r="H71" s="2226"/>
      <c r="I71" s="2260">
        <f>SUM(C$11:C71)</f>
        <v>1223150794.2999995</v>
      </c>
      <c r="J71" s="2261">
        <f t="shared" si="1"/>
        <v>1756941.0367097694</v>
      </c>
      <c r="K71" s="2261">
        <f t="shared" si="2"/>
        <v>52965401.352729879</v>
      </c>
      <c r="L71" s="2262">
        <f t="shared" si="0"/>
        <v>1170185392.9472697</v>
      </c>
      <c r="M71" s="2261"/>
    </row>
    <row r="72" spans="1:13" s="2263" customFormat="1">
      <c r="A72" s="2258"/>
      <c r="B72" s="2259">
        <v>2</v>
      </c>
      <c r="C72" s="2222">
        <v>92456.37</v>
      </c>
      <c r="D72" s="2222"/>
      <c r="E72" s="2222">
        <v>40.46</v>
      </c>
      <c r="F72" s="2222"/>
      <c r="G72" s="2222">
        <v>92496.83</v>
      </c>
      <c r="H72" s="2226"/>
      <c r="I72" s="2260">
        <f>SUM(C$11:C72)</f>
        <v>1223243250.6699994</v>
      </c>
      <c r="J72" s="2261">
        <f t="shared" si="1"/>
        <v>1757466.9863290223</v>
      </c>
      <c r="K72" s="2261">
        <f t="shared" si="2"/>
        <v>54722868.339058898</v>
      </c>
      <c r="L72" s="2262">
        <f t="shared" si="0"/>
        <v>1168520382.3309405</v>
      </c>
      <c r="M72" s="2261"/>
    </row>
    <row r="73" spans="1:13" s="2263" customFormat="1">
      <c r="A73" s="2258"/>
      <c r="B73" s="2259">
        <v>3</v>
      </c>
      <c r="C73" s="2222">
        <v>257303.03000000009</v>
      </c>
      <c r="D73" s="2222"/>
      <c r="E73" s="2222">
        <v>128.33000000000001</v>
      </c>
      <c r="F73" s="2222"/>
      <c r="G73" s="2222">
        <v>257431.36000000007</v>
      </c>
      <c r="H73" s="2226"/>
      <c r="I73" s="2260">
        <f>SUM(C$11:C73)</f>
        <v>1223500553.6999993</v>
      </c>
      <c r="J73" s="2261">
        <f t="shared" si="1"/>
        <v>1757718.2502658037</v>
      </c>
      <c r="K73" s="2261">
        <f t="shared" si="2"/>
        <v>56480586.589324705</v>
      </c>
      <c r="L73" s="2262">
        <f t="shared" si="0"/>
        <v>1167019967.1106746</v>
      </c>
      <c r="M73" s="2261"/>
    </row>
    <row r="74" spans="1:13" s="2263" customFormat="1">
      <c r="A74" s="2258"/>
      <c r="B74" s="2259">
        <v>4</v>
      </c>
      <c r="C74" s="2222">
        <v>2947367.6799999992</v>
      </c>
      <c r="D74" s="2222"/>
      <c r="E74" s="2222">
        <v>440.53999999999996</v>
      </c>
      <c r="F74" s="2222"/>
      <c r="G74" s="2222">
        <v>2947808.2199999993</v>
      </c>
      <c r="H74" s="2226"/>
      <c r="I74" s="2260">
        <f>SUM(C$11:C74)</f>
        <v>1226447921.3799994</v>
      </c>
      <c r="J74" s="2261">
        <f t="shared" si="1"/>
        <v>1760020.4562356311</v>
      </c>
      <c r="K74" s="2261">
        <f t="shared" si="2"/>
        <v>58240607.045560338</v>
      </c>
      <c r="L74" s="2262">
        <f t="shared" si="0"/>
        <v>1168207314.334439</v>
      </c>
      <c r="M74" s="2261"/>
    </row>
    <row r="75" spans="1:13" s="2263" customFormat="1">
      <c r="A75" s="2258"/>
      <c r="B75" s="2259">
        <v>5</v>
      </c>
      <c r="C75" s="2222">
        <v>122035.54000000002</v>
      </c>
      <c r="D75" s="2222"/>
      <c r="E75" s="2222">
        <v>42.37</v>
      </c>
      <c r="F75" s="2222"/>
      <c r="G75" s="2222">
        <v>122077.91000000002</v>
      </c>
      <c r="H75" s="2226"/>
      <c r="I75" s="2260">
        <f>SUM(C$11:C75)</f>
        <v>1226569956.9199994</v>
      </c>
      <c r="J75" s="2261">
        <f t="shared" si="1"/>
        <v>1762225.487284482</v>
      </c>
      <c r="K75" s="2261">
        <f t="shared" si="2"/>
        <v>60002832.532844819</v>
      </c>
      <c r="L75" s="2262">
        <f t="shared" si="0"/>
        <v>1166567124.3871546</v>
      </c>
      <c r="M75" s="2261"/>
    </row>
    <row r="76" spans="1:13" s="2263" customFormat="1">
      <c r="A76" s="2258"/>
      <c r="B76" s="2259">
        <v>6</v>
      </c>
      <c r="C76" s="2222">
        <v>284853.58000000007</v>
      </c>
      <c r="D76" s="2222">
        <v>576.34</v>
      </c>
      <c r="E76" s="2222">
        <v>5.53</v>
      </c>
      <c r="F76" s="2222"/>
      <c r="G76" s="2222">
        <v>285435.45000000007</v>
      </c>
      <c r="H76" s="2226"/>
      <c r="I76" s="2260">
        <f>SUM(C$11:C76)</f>
        <v>1226854810.4999993</v>
      </c>
      <c r="J76" s="2261">
        <f t="shared" si="1"/>
        <v>1762517.7926867807</v>
      </c>
      <c r="K76" s="2261">
        <f t="shared" si="2"/>
        <v>61765350.325531602</v>
      </c>
      <c r="L76" s="2262">
        <f t="shared" si="0"/>
        <v>1165089460.1744676</v>
      </c>
      <c r="M76" s="2261"/>
    </row>
    <row r="77" spans="1:13" s="2263" customFormat="1">
      <c r="A77" s="2258"/>
      <c r="B77" s="2259">
        <v>7</v>
      </c>
      <c r="C77" s="2222">
        <v>92267.080000000016</v>
      </c>
      <c r="D77" s="2222"/>
      <c r="E77" s="2222">
        <v>147.02000000000001</v>
      </c>
      <c r="F77" s="2222"/>
      <c r="G77" s="2222">
        <v>92414.10000000002</v>
      </c>
      <c r="H77" s="2226"/>
      <c r="I77" s="2260">
        <f>SUM(C$11:C77)</f>
        <v>1226947077.5799992</v>
      </c>
      <c r="J77" s="2261">
        <f t="shared" si="1"/>
        <v>1762788.7127011484</v>
      </c>
      <c r="K77" s="2261">
        <f t="shared" si="2"/>
        <v>63528139.038232751</v>
      </c>
      <c r="L77" s="2262">
        <f t="shared" si="0"/>
        <v>1163418938.5417664</v>
      </c>
      <c r="M77" s="2261"/>
    </row>
    <row r="78" spans="1:13" s="2263" customFormat="1">
      <c r="A78" s="2258"/>
      <c r="B78" s="2259">
        <v>8</v>
      </c>
      <c r="C78" s="2222">
        <v>18638.840000000004</v>
      </c>
      <c r="D78" s="2222"/>
      <c r="E78" s="2222">
        <v>21.47</v>
      </c>
      <c r="F78" s="2222"/>
      <c r="G78" s="2222">
        <v>18660.310000000005</v>
      </c>
      <c r="H78" s="2226"/>
      <c r="I78" s="2260">
        <f>SUM(C$11:C78)</f>
        <v>1226965716.4199991</v>
      </c>
      <c r="J78" s="2261">
        <f t="shared" si="1"/>
        <v>1762868.3864942517</v>
      </c>
      <c r="K78" s="2261">
        <f t="shared" si="2"/>
        <v>65291007.424727</v>
      </c>
      <c r="L78" s="2262">
        <f t="shared" si="0"/>
        <v>1161674708.9952722</v>
      </c>
      <c r="M78" s="2261"/>
    </row>
    <row r="79" spans="1:13" s="2263" customFormat="1">
      <c r="A79" s="2258"/>
      <c r="B79" s="2259">
        <v>9</v>
      </c>
      <c r="C79" s="2222">
        <v>-115736.94000000003</v>
      </c>
      <c r="D79" s="2222"/>
      <c r="E79" s="2222">
        <v>553.99</v>
      </c>
      <c r="F79" s="2222"/>
      <c r="G79" s="2222">
        <v>-115182.95000000003</v>
      </c>
      <c r="H79" s="2226"/>
      <c r="I79" s="2260">
        <f>SUM(C$11:C79)</f>
        <v>1226849979.4799991</v>
      </c>
      <c r="J79" s="2261">
        <f t="shared" si="1"/>
        <v>1762798.6321120679</v>
      </c>
      <c r="K79" s="2261">
        <f t="shared" si="2"/>
        <v>67053806.056839071</v>
      </c>
      <c r="L79" s="2262">
        <f t="shared" si="0"/>
        <v>1159796173.4231601</v>
      </c>
      <c r="M79" s="2261"/>
    </row>
    <row r="80" spans="1:13" s="2263" customFormat="1">
      <c r="A80" s="2258"/>
      <c r="B80" s="2259">
        <v>10</v>
      </c>
      <c r="C80" s="2222">
        <v>423269.07999999996</v>
      </c>
      <c r="D80" s="2222"/>
      <c r="E80" s="2222">
        <v>6.15</v>
      </c>
      <c r="F80" s="2222"/>
      <c r="G80" s="2222">
        <v>423275.23</v>
      </c>
      <c r="H80" s="2226"/>
      <c r="I80" s="2260">
        <f>SUM(C$11:C80)</f>
        <v>1227273248.559999</v>
      </c>
      <c r="J80" s="2261">
        <f t="shared" si="1"/>
        <v>1763019.5603735617</v>
      </c>
      <c r="K80" s="2261">
        <f t="shared" si="2"/>
        <v>68816825.617212638</v>
      </c>
      <c r="L80" s="2262">
        <f t="shared" si="0"/>
        <v>1158456422.9427865</v>
      </c>
      <c r="M80" s="2261"/>
    </row>
    <row r="81" spans="1:13" s="2263" customFormat="1">
      <c r="A81" s="2258"/>
      <c r="B81" s="2259">
        <v>11</v>
      </c>
      <c r="C81" s="2222">
        <v>282683.90000000002</v>
      </c>
      <c r="D81" s="2222">
        <v>1813531.28</v>
      </c>
      <c r="E81" s="2222">
        <v>21.26</v>
      </c>
      <c r="F81" s="2222"/>
      <c r="G81" s="2222">
        <v>2096236.44</v>
      </c>
      <c r="H81" s="2226"/>
      <c r="I81" s="2260">
        <f>SUM(C$11:C81)</f>
        <v>1227555932.4599991</v>
      </c>
      <c r="J81" s="2261">
        <f t="shared" si="1"/>
        <v>1763526.7105028722</v>
      </c>
      <c r="K81" s="2261">
        <f t="shared" si="2"/>
        <v>70580352.327715516</v>
      </c>
      <c r="L81" s="2262">
        <f t="shared" si="0"/>
        <v>1156975580.1322837</v>
      </c>
      <c r="M81" s="2261"/>
    </row>
    <row r="82" spans="1:13" s="2263" customFormat="1">
      <c r="A82" s="2258"/>
      <c r="B82" s="2259">
        <v>12</v>
      </c>
      <c r="C82" s="2222">
        <v>288801.48</v>
      </c>
      <c r="D82" s="2222">
        <v>4331.97</v>
      </c>
      <c r="E82" s="2222">
        <v>76811.7</v>
      </c>
      <c r="F82" s="2222"/>
      <c r="G82" s="2222">
        <v>369945.14999999997</v>
      </c>
      <c r="H82" s="2226"/>
      <c r="I82" s="2264">
        <f>SUM(C$11:C82)</f>
        <v>1227844733.9399991</v>
      </c>
      <c r="J82" s="2261">
        <f t="shared" si="1"/>
        <v>1763937.2603448264</v>
      </c>
      <c r="K82" s="2261">
        <f t="shared" si="2"/>
        <v>72344289.588060349</v>
      </c>
      <c r="L82" s="2262">
        <f t="shared" si="0"/>
        <v>1155500444.3519387</v>
      </c>
      <c r="M82" s="2265">
        <f>SUM(L70:L82)/13</f>
        <v>1164054967.550472</v>
      </c>
    </row>
    <row r="83" spans="1:13">
      <c r="A83" s="2223">
        <v>2015</v>
      </c>
      <c r="B83" s="2210">
        <v>1</v>
      </c>
      <c r="C83" s="2222">
        <v>101592.22999999995</v>
      </c>
      <c r="D83" s="2222">
        <v>190842.5</v>
      </c>
      <c r="E83" s="2222">
        <v>2374.87</v>
      </c>
      <c r="F83" s="2222"/>
      <c r="G83" s="2222">
        <v>294809.59999999998</v>
      </c>
      <c r="H83" s="2225"/>
      <c r="I83" s="2260">
        <f>SUM(C$11:C83)</f>
        <v>1227946326.1699991</v>
      </c>
      <c r="J83" s="2261">
        <f t="shared" ref="J83:J94" si="3">+C83*J$8*0.5+J$8*I82</f>
        <v>1764217.7155962631</v>
      </c>
      <c r="K83" s="2261">
        <f t="shared" ref="K83:K94" si="4">J83+K82</f>
        <v>74108507.303656608</v>
      </c>
      <c r="L83" s="2262">
        <f t="shared" ref="L83:L94" si="5">+I83-K83</f>
        <v>1153837818.8663425</v>
      </c>
      <c r="M83" s="2221"/>
    </row>
    <row r="84" spans="1:13">
      <c r="A84" s="2223"/>
      <c r="B84" s="2210">
        <v>2</v>
      </c>
      <c r="C84" s="2222">
        <v>262042.13999999998</v>
      </c>
      <c r="D84" s="2222">
        <v>28559.41</v>
      </c>
      <c r="E84" s="2222">
        <v>29091.260000000002</v>
      </c>
      <c r="F84" s="2222">
        <v>8182.88</v>
      </c>
      <c r="G84" s="2222">
        <v>327875.69</v>
      </c>
      <c r="H84" s="2225"/>
      <c r="I84" s="2260">
        <f>SUM(C$11:C84)</f>
        <v>1228208368.3099992</v>
      </c>
      <c r="J84" s="2261">
        <f t="shared" si="3"/>
        <v>1764478.9471839068</v>
      </c>
      <c r="K84" s="2261">
        <f t="shared" si="4"/>
        <v>75872986.250840515</v>
      </c>
      <c r="L84" s="2262">
        <f t="shared" si="5"/>
        <v>1152335382.0591588</v>
      </c>
      <c r="M84" s="2221"/>
    </row>
    <row r="85" spans="1:13">
      <c r="A85" s="2223"/>
      <c r="B85" s="2210">
        <v>3</v>
      </c>
      <c r="C85" s="2222">
        <v>56095.71</v>
      </c>
      <c r="D85" s="2222">
        <v>31274.29</v>
      </c>
      <c r="E85" s="2222">
        <v>4.24</v>
      </c>
      <c r="F85" s="2222"/>
      <c r="G85" s="2222">
        <v>87374.24</v>
      </c>
      <c r="H85" s="2225"/>
      <c r="I85" s="2260">
        <f>SUM(C$11:C85)</f>
        <v>1228264464.0199993</v>
      </c>
      <c r="J85" s="2261">
        <f t="shared" si="3"/>
        <v>1764707.4944899415</v>
      </c>
      <c r="K85" s="2261">
        <f t="shared" si="4"/>
        <v>77637693.745330453</v>
      </c>
      <c r="L85" s="2262">
        <f t="shared" si="5"/>
        <v>1150626770.2746687</v>
      </c>
      <c r="M85" s="2221"/>
    </row>
    <row r="86" spans="1:13">
      <c r="A86" s="2223"/>
      <c r="B86" s="2210">
        <v>4</v>
      </c>
      <c r="C86" s="2222">
        <v>32366</v>
      </c>
      <c r="D86" s="2222">
        <v>5086.76</v>
      </c>
      <c r="E86" s="2222">
        <v>-3.28</v>
      </c>
      <c r="F86" s="2222"/>
      <c r="G86" s="2222">
        <v>37449.480000000003</v>
      </c>
      <c r="H86" s="2225"/>
      <c r="I86" s="2260">
        <f>SUM(C$11:C86)</f>
        <v>1228296830.0199993</v>
      </c>
      <c r="J86" s="2261">
        <f t="shared" si="3"/>
        <v>1764771.0445689645</v>
      </c>
      <c r="K86" s="2261">
        <f t="shared" si="4"/>
        <v>79402464.789899424</v>
      </c>
      <c r="L86" s="2262">
        <f t="shared" si="5"/>
        <v>1148894365.2300999</v>
      </c>
      <c r="M86" s="2221"/>
    </row>
    <row r="87" spans="1:13">
      <c r="A87" s="2223"/>
      <c r="B87" s="2210">
        <v>5</v>
      </c>
      <c r="C87" s="2222">
        <v>331467191.00999999</v>
      </c>
      <c r="D87" s="2222">
        <v>5086.18</v>
      </c>
      <c r="E87" s="2222">
        <v>2201719.71</v>
      </c>
      <c r="F87" s="2222"/>
      <c r="G87" s="2222">
        <v>333673996.89999998</v>
      </c>
      <c r="H87" s="2225"/>
      <c r="I87" s="2260">
        <f>SUM(C$11:C87)</f>
        <v>1559764021.0299993</v>
      </c>
      <c r="J87" s="2261">
        <f t="shared" si="3"/>
        <v>2002917.2780531598</v>
      </c>
      <c r="K87" s="2261">
        <f t="shared" si="4"/>
        <v>81405382.067952588</v>
      </c>
      <c r="L87" s="2262">
        <f t="shared" si="5"/>
        <v>1478358638.9620466</v>
      </c>
      <c r="M87" s="2221"/>
    </row>
    <row r="88" spans="1:13">
      <c r="A88" s="2223"/>
      <c r="B88" s="2210">
        <v>6</v>
      </c>
      <c r="C88" s="2222">
        <v>1376123.2599999998</v>
      </c>
      <c r="D88" s="2222">
        <v>-30044.81</v>
      </c>
      <c r="E88" s="2222">
        <v>52642.070000000007</v>
      </c>
      <c r="F88" s="2222"/>
      <c r="G88" s="2222">
        <v>1398720.5199999998</v>
      </c>
      <c r="H88" s="2225"/>
      <c r="I88" s="2260">
        <f>SUM(C$11:C88)</f>
        <v>1561140144.2899992</v>
      </c>
      <c r="J88" s="2261">
        <f t="shared" si="3"/>
        <v>2242028.8543965509</v>
      </c>
      <c r="K88" s="2261">
        <f t="shared" si="4"/>
        <v>83647410.92234914</v>
      </c>
      <c r="L88" s="2262">
        <f t="shared" si="5"/>
        <v>1477492733.36765</v>
      </c>
      <c r="M88" s="2221"/>
    </row>
    <row r="89" spans="1:13">
      <c r="A89" s="2223"/>
      <c r="B89" s="2210">
        <v>7</v>
      </c>
      <c r="C89" s="2222">
        <v>879772.95000000007</v>
      </c>
      <c r="D89" s="2222">
        <v>5086.76</v>
      </c>
      <c r="E89" s="2222">
        <v>11627.740000000002</v>
      </c>
      <c r="F89" s="2222"/>
      <c r="G89" s="2222">
        <v>896487.45000000007</v>
      </c>
      <c r="H89" s="2225"/>
      <c r="I89" s="2260">
        <f>SUM(C$11:C89)</f>
        <v>1562019917.2399993</v>
      </c>
      <c r="J89" s="2261">
        <f t="shared" si="3"/>
        <v>2243649.4694899414</v>
      </c>
      <c r="K89" s="2261">
        <f t="shared" si="4"/>
        <v>85891060.391839087</v>
      </c>
      <c r="L89" s="2262">
        <f t="shared" si="5"/>
        <v>1476128856.8481603</v>
      </c>
      <c r="M89" s="2221"/>
    </row>
    <row r="90" spans="1:13">
      <c r="A90" s="2223"/>
      <c r="B90" s="2210">
        <v>8</v>
      </c>
      <c r="C90" s="2222">
        <v>823008.70000000007</v>
      </c>
      <c r="D90" s="2222">
        <v>-1.33</v>
      </c>
      <c r="E90" s="2222">
        <v>10505.689999999999</v>
      </c>
      <c r="F90" s="2222"/>
      <c r="G90" s="2222">
        <v>833513.06</v>
      </c>
      <c r="H90" s="2225"/>
      <c r="I90" s="2260">
        <f>SUM(C$11:C90)</f>
        <v>1562842925.9399993</v>
      </c>
      <c r="J90" s="2261">
        <f t="shared" si="3"/>
        <v>2244872.7321695392</v>
      </c>
      <c r="K90" s="2261">
        <f t="shared" si="4"/>
        <v>88135933.124008626</v>
      </c>
      <c r="L90" s="2262">
        <f t="shared" si="5"/>
        <v>1474706992.8159907</v>
      </c>
      <c r="M90" s="2221"/>
    </row>
    <row r="91" spans="1:13">
      <c r="A91" s="2223"/>
      <c r="B91" s="2210">
        <v>9</v>
      </c>
      <c r="C91" s="2222">
        <v>789098.23999996425</v>
      </c>
      <c r="D91" s="2222"/>
      <c r="E91" s="2222">
        <v>61992.14</v>
      </c>
      <c r="F91" s="2222"/>
      <c r="G91" s="2222">
        <v>851090.37999996427</v>
      </c>
      <c r="H91" s="2225"/>
      <c r="I91" s="2260">
        <f>SUM(C$11:C91)</f>
        <v>1563632024.1799994</v>
      </c>
      <c r="J91" s="2261">
        <f>+C91*J$8*0.5+J$8*I90</f>
        <v>2246030.8549712636</v>
      </c>
      <c r="K91" s="2261">
        <f t="shared" si="4"/>
        <v>90381963.978979886</v>
      </c>
      <c r="L91" s="2262">
        <f t="shared" si="5"/>
        <v>1473250060.2010195</v>
      </c>
      <c r="M91" s="2221"/>
    </row>
    <row r="92" spans="1:13">
      <c r="A92" s="2223"/>
      <c r="B92" s="2210">
        <v>10</v>
      </c>
      <c r="C92" s="2222">
        <v>757496.57999999984</v>
      </c>
      <c r="D92" s="2222">
        <v>0.46</v>
      </c>
      <c r="E92" s="2222">
        <v>-855.06999999999994</v>
      </c>
      <c r="F92" s="2222"/>
      <c r="G92" s="2222">
        <v>756641.96999999986</v>
      </c>
      <c r="H92" s="2225"/>
      <c r="I92" s="2260">
        <f>SUM(C$11:C92)</f>
        <v>1564389520.7599993</v>
      </c>
      <c r="J92" s="2261">
        <f t="shared" si="3"/>
        <v>2247141.9144683899</v>
      </c>
      <c r="K92" s="2261">
        <f t="shared" si="4"/>
        <v>92629105.893448278</v>
      </c>
      <c r="L92" s="2262">
        <f t="shared" si="5"/>
        <v>1471760414.8665509</v>
      </c>
      <c r="M92" s="2221"/>
    </row>
    <row r="93" spans="1:13">
      <c r="A93" s="2223"/>
      <c r="B93" s="2210">
        <v>11</v>
      </c>
      <c r="C93" s="2222">
        <v>159196.459999999</v>
      </c>
      <c r="D93" s="2222"/>
      <c r="E93" s="2222">
        <v>33407.71</v>
      </c>
      <c r="F93" s="2222"/>
      <c r="G93" s="2222">
        <v>192604.16999999899</v>
      </c>
      <c r="H93" s="2225"/>
      <c r="I93" s="2260">
        <f>SUM(C$11:C93)</f>
        <v>1564548717.2199993</v>
      </c>
      <c r="J93" s="2261">
        <f t="shared" si="3"/>
        <v>2247800.4583189646</v>
      </c>
      <c r="K93" s="2261">
        <f t="shared" si="4"/>
        <v>94876906.351767242</v>
      </c>
      <c r="L93" s="2262">
        <f t="shared" si="5"/>
        <v>1469671810.868232</v>
      </c>
      <c r="M93" s="2221"/>
    </row>
    <row r="94" spans="1:13">
      <c r="A94" s="2223"/>
      <c r="B94" s="2210">
        <v>12</v>
      </c>
      <c r="C94" s="2222">
        <v>2183127.1100000003</v>
      </c>
      <c r="D94" s="2222"/>
      <c r="E94" s="2222">
        <v>522.9</v>
      </c>
      <c r="F94" s="2222"/>
      <c r="G94" s="2222">
        <v>2183650.0100000002</v>
      </c>
      <c r="H94" s="2225"/>
      <c r="I94" s="2264">
        <f>SUM(C$11:C94)</f>
        <v>1566731844.3299992</v>
      </c>
      <c r="J94" s="2261">
        <f t="shared" si="3"/>
        <v>2249483.1620330452</v>
      </c>
      <c r="K94" s="2261">
        <f t="shared" si="4"/>
        <v>97126389.513800293</v>
      </c>
      <c r="L94" s="2262">
        <f t="shared" si="5"/>
        <v>1469605454.8161988</v>
      </c>
      <c r="M94" s="2265">
        <f>SUM(L82:L94)/13</f>
        <v>1350166903.3483121</v>
      </c>
    </row>
    <row r="95" spans="1:13">
      <c r="A95" s="2223">
        <v>2016</v>
      </c>
      <c r="B95" s="2210">
        <v>1</v>
      </c>
      <c r="C95" s="2224">
        <v>-1183636.0400000003</v>
      </c>
      <c r="D95" s="2224">
        <v>0</v>
      </c>
      <c r="E95" s="2224">
        <v>1308397.97</v>
      </c>
      <c r="F95" s="2224">
        <v>0</v>
      </c>
      <c r="G95" s="2224">
        <v>124761.9299999997</v>
      </c>
      <c r="H95" s="2225"/>
      <c r="I95" s="2430">
        <f>SUM(C$11:C95)</f>
        <v>1565548208.2899992</v>
      </c>
      <c r="J95" s="2220">
        <f>+C95*J$8*0.5+J$8*I94</f>
        <v>2250201.1872270103</v>
      </c>
      <c r="K95" s="2220">
        <f>J95+K94</f>
        <v>99376590.701027304</v>
      </c>
      <c r="L95" s="2218">
        <f>+I95-K95</f>
        <v>1466171617.5889719</v>
      </c>
      <c r="M95" s="2225"/>
    </row>
    <row r="96" spans="1:13">
      <c r="A96" s="2225"/>
      <c r="B96" s="2210">
        <v>2</v>
      </c>
      <c r="C96" s="2224">
        <v>970859.33000000007</v>
      </c>
      <c r="D96" s="2224">
        <v>0</v>
      </c>
      <c r="E96" s="2224">
        <v>-827973.83</v>
      </c>
      <c r="F96" s="2224">
        <v>0</v>
      </c>
      <c r="G96" s="2224">
        <v>142885.50000000012</v>
      </c>
      <c r="H96" s="2225"/>
      <c r="I96" s="2430">
        <f>SUM(C$11:C96)</f>
        <v>1566519067.6199992</v>
      </c>
      <c r="J96" s="2220">
        <f t="shared" ref="J96:J106" si="6">+C96*J$8*0.5+J$8*I95</f>
        <v>2250048.3303951137</v>
      </c>
      <c r="K96" s="2220">
        <f t="shared" ref="K96:K106" si="7">J96+K95</f>
        <v>101626639.03142242</v>
      </c>
      <c r="L96" s="2218">
        <f t="shared" ref="L96:L106" si="8">+I96-K96</f>
        <v>1464892428.5885768</v>
      </c>
      <c r="M96" s="2225"/>
    </row>
    <row r="97" spans="1:13">
      <c r="A97" s="2225"/>
      <c r="B97" s="2210">
        <v>3</v>
      </c>
      <c r="C97" s="2224">
        <v>10349995.800000001</v>
      </c>
      <c r="D97" s="2224">
        <v>0</v>
      </c>
      <c r="E97" s="2224">
        <v>5258.78</v>
      </c>
      <c r="F97" s="2224">
        <v>0</v>
      </c>
      <c r="G97" s="2224">
        <v>10355254.58</v>
      </c>
      <c r="H97" s="2225"/>
      <c r="I97" s="2430">
        <f>SUM(C$11:C97)</f>
        <v>1576869063.4199991</v>
      </c>
      <c r="J97" s="2220">
        <f t="shared" si="6"/>
        <v>2258181.1286206883</v>
      </c>
      <c r="K97" s="2220">
        <f t="shared" si="7"/>
        <v>103884820.16004311</v>
      </c>
      <c r="L97" s="2218">
        <f t="shared" si="8"/>
        <v>1472984243.2599561</v>
      </c>
      <c r="M97" s="2225"/>
    </row>
    <row r="98" spans="1:13">
      <c r="A98" s="2225"/>
      <c r="B98" s="2210">
        <v>4</v>
      </c>
      <c r="C98" s="2224">
        <v>-1132812.6899999995</v>
      </c>
      <c r="D98" s="2224">
        <v>0</v>
      </c>
      <c r="E98" s="2224">
        <v>683.17000000000007</v>
      </c>
      <c r="F98" s="2224">
        <v>0</v>
      </c>
      <c r="G98" s="2224">
        <v>-1132129.5199999996</v>
      </c>
      <c r="H98" s="2225"/>
      <c r="I98" s="2430">
        <f>SUM(C$11:C98)</f>
        <v>1575736250.7299991</v>
      </c>
      <c r="J98" s="2220">
        <f t="shared" si="6"/>
        <v>2264802.6682112054</v>
      </c>
      <c r="K98" s="2220">
        <f t="shared" si="7"/>
        <v>106149622.82825431</v>
      </c>
      <c r="L98" s="2218">
        <f t="shared" si="8"/>
        <v>1469586627.9017448</v>
      </c>
      <c r="M98" s="2225"/>
    </row>
    <row r="99" spans="1:13">
      <c r="A99" s="2225"/>
      <c r="B99" s="2210">
        <v>5</v>
      </c>
      <c r="C99" s="2224">
        <v>-66570.559999999998</v>
      </c>
      <c r="D99" s="2224">
        <v>0</v>
      </c>
      <c r="E99" s="2224">
        <v>18691.89</v>
      </c>
      <c r="F99" s="2224">
        <v>0</v>
      </c>
      <c r="G99" s="2224">
        <v>-47878.67</v>
      </c>
      <c r="H99" s="2225"/>
      <c r="I99" s="2430">
        <f>SUM(C$11:C99)</f>
        <v>1575669680.1699991</v>
      </c>
      <c r="J99" s="2220">
        <f t="shared" si="6"/>
        <v>2263941.0423132167</v>
      </c>
      <c r="K99" s="2220">
        <f t="shared" si="7"/>
        <v>108413563.87056753</v>
      </c>
      <c r="L99" s="2218">
        <f t="shared" si="8"/>
        <v>1467256116.2994316</v>
      </c>
      <c r="M99" s="2225"/>
    </row>
    <row r="100" spans="1:13">
      <c r="A100" s="2225"/>
      <c r="B100" s="2210">
        <v>6</v>
      </c>
      <c r="C100" s="2224">
        <v>223262.02999999997</v>
      </c>
      <c r="D100" s="2224">
        <v>0</v>
      </c>
      <c r="E100" s="2224">
        <v>791.75</v>
      </c>
      <c r="F100" s="2224">
        <v>0</v>
      </c>
      <c r="G100" s="2224">
        <v>224053.77999999997</v>
      </c>
      <c r="H100" s="2225"/>
      <c r="I100" s="2430">
        <f>SUM(C$11:C100)</f>
        <v>1575892942.1999991</v>
      </c>
      <c r="J100" s="2220">
        <f t="shared" si="6"/>
        <v>2264053.6080244239</v>
      </c>
      <c r="K100" s="2220">
        <f t="shared" si="7"/>
        <v>110677617.47859195</v>
      </c>
      <c r="L100" s="2218">
        <f t="shared" si="8"/>
        <v>1465215324.7214072</v>
      </c>
      <c r="M100" s="2225"/>
    </row>
    <row r="101" spans="1:13">
      <c r="A101" s="2225"/>
      <c r="B101" s="2210">
        <v>7</v>
      </c>
      <c r="C101" s="2224">
        <v>44732.240000000005</v>
      </c>
      <c r="D101" s="2224">
        <v>0</v>
      </c>
      <c r="E101" s="2224">
        <v>331.99</v>
      </c>
      <c r="F101" s="2224">
        <v>0</v>
      </c>
      <c r="G101" s="2224">
        <v>45064.23</v>
      </c>
      <c r="H101" s="2225"/>
      <c r="I101" s="2430">
        <f>SUM(C$11:C101)</f>
        <v>1575937674.4399991</v>
      </c>
      <c r="J101" s="2220">
        <f t="shared" si="6"/>
        <v>2264246.1326436768</v>
      </c>
      <c r="K101" s="2220">
        <f t="shared" si="7"/>
        <v>112941863.61123562</v>
      </c>
      <c r="L101" s="2218">
        <f t="shared" si="8"/>
        <v>1462995810.8287635</v>
      </c>
      <c r="M101" s="2225"/>
    </row>
    <row r="102" spans="1:13">
      <c r="A102" s="2225"/>
      <c r="B102" s="2210">
        <v>8</v>
      </c>
      <c r="C102" s="2224">
        <v>-18202.430000000029</v>
      </c>
      <c r="D102" s="2224">
        <v>0</v>
      </c>
      <c r="E102" s="2224">
        <v>939.08</v>
      </c>
      <c r="F102" s="2224">
        <v>0</v>
      </c>
      <c r="G102" s="2224">
        <v>-17263.350000000028</v>
      </c>
      <c r="H102" s="2225"/>
      <c r="I102" s="2430">
        <f>SUM(C$11:C102)</f>
        <v>1575919472.009999</v>
      </c>
      <c r="J102" s="2220">
        <f t="shared" si="6"/>
        <v>2264265.1914152284</v>
      </c>
      <c r="K102" s="2220">
        <f t="shared" si="7"/>
        <v>115206128.80265085</v>
      </c>
      <c r="L102" s="2218">
        <f t="shared" si="8"/>
        <v>1460713343.2073481</v>
      </c>
      <c r="M102" s="2225"/>
    </row>
    <row r="103" spans="1:13">
      <c r="A103" s="2225"/>
      <c r="B103" s="2210">
        <v>9</v>
      </c>
      <c r="C103" s="2224">
        <v>40725.879999999997</v>
      </c>
      <c r="D103" s="2224">
        <v>0</v>
      </c>
      <c r="E103" s="2224">
        <v>1203.52</v>
      </c>
      <c r="F103" s="2224">
        <v>0</v>
      </c>
      <c r="G103" s="2224">
        <v>41929.4</v>
      </c>
      <c r="H103" s="2225"/>
      <c r="I103" s="2430">
        <f>SUM(C$11:C103)</f>
        <v>1575960197.8899992</v>
      </c>
      <c r="J103" s="2220">
        <f t="shared" si="6"/>
        <v>2264281.3720545964</v>
      </c>
      <c r="K103" s="2220">
        <f t="shared" si="7"/>
        <v>117470410.17470545</v>
      </c>
      <c r="L103" s="2218">
        <f t="shared" si="8"/>
        <v>1458489787.7152936</v>
      </c>
      <c r="M103" s="2225"/>
    </row>
    <row r="104" spans="1:13">
      <c r="A104" s="2225"/>
      <c r="B104" s="2210">
        <v>10</v>
      </c>
      <c r="C104" s="2224">
        <v>-37384.25999999998</v>
      </c>
      <c r="D104" s="2224">
        <v>0</v>
      </c>
      <c r="E104" s="2224">
        <v>89.85</v>
      </c>
      <c r="F104" s="2224">
        <v>0</v>
      </c>
      <c r="G104" s="2224">
        <v>-37294.409999999982</v>
      </c>
      <c r="H104" s="2225"/>
      <c r="I104" s="2430">
        <f>SUM(C$11:C104)</f>
        <v>1575922813.6299992</v>
      </c>
      <c r="J104" s="2220">
        <f t="shared" si="6"/>
        <v>2264283.772643677</v>
      </c>
      <c r="K104" s="2220">
        <f t="shared" si="7"/>
        <v>119734693.94734912</v>
      </c>
      <c r="L104" s="2218">
        <f t="shared" si="8"/>
        <v>1456188119.6826501</v>
      </c>
      <c r="M104" s="2225"/>
    </row>
    <row r="105" spans="1:13">
      <c r="A105" s="2225"/>
      <c r="B105" s="2210">
        <v>11</v>
      </c>
      <c r="C105" s="2224">
        <v>30780.99</v>
      </c>
      <c r="D105" s="2224">
        <v>0</v>
      </c>
      <c r="E105" s="2224">
        <v>291.12</v>
      </c>
      <c r="F105" s="2224">
        <v>0</v>
      </c>
      <c r="G105" s="2224">
        <v>31072.10999999999</v>
      </c>
      <c r="H105" s="2225"/>
      <c r="I105" s="2430">
        <f>SUM(C$11:C105)</f>
        <v>1575953594.6199992</v>
      </c>
      <c r="J105" s="2220">
        <f t="shared" si="6"/>
        <v>2264279.0289152288</v>
      </c>
      <c r="K105" s="2220">
        <f t="shared" si="7"/>
        <v>121998972.97626434</v>
      </c>
      <c r="L105" s="2218">
        <f t="shared" si="8"/>
        <v>1453954621.6437349</v>
      </c>
      <c r="M105" s="2225"/>
    </row>
    <row r="106" spans="1:13">
      <c r="A106" s="2225"/>
      <c r="B106" s="2210">
        <v>12</v>
      </c>
      <c r="C106" s="2224">
        <v>24419.43</v>
      </c>
      <c r="D106" s="2224">
        <v>0</v>
      </c>
      <c r="E106" s="2224">
        <v>168.73999999999998</v>
      </c>
      <c r="F106" s="2224">
        <v>0</v>
      </c>
      <c r="G106" s="2224">
        <v>24588.17</v>
      </c>
      <c r="H106" s="2225"/>
      <c r="I106" s="2431">
        <f>SUM(C$11:C106)</f>
        <v>1575978014.0499992</v>
      </c>
      <c r="J106" s="2220">
        <f t="shared" si="6"/>
        <v>2264318.6843893668</v>
      </c>
      <c r="K106" s="2220">
        <f t="shared" si="7"/>
        <v>124263291.66065371</v>
      </c>
      <c r="L106" s="2218">
        <f t="shared" si="8"/>
        <v>1451714722.3893456</v>
      </c>
      <c r="M106" s="2221">
        <f>SUM(L94:L106)/13</f>
        <v>1463059093.741802</v>
      </c>
    </row>
    <row r="107" spans="1:13">
      <c r="A107" s="2223">
        <v>2017</v>
      </c>
      <c r="B107" s="2210">
        <v>1</v>
      </c>
      <c r="C107" s="2226"/>
      <c r="D107" s="2226"/>
      <c r="E107" s="2226"/>
      <c r="F107" s="2226"/>
      <c r="G107" s="2226"/>
      <c r="H107" s="2225"/>
      <c r="I107" s="2227">
        <f>I106</f>
        <v>1575978014.0499992</v>
      </c>
      <c r="J107" s="2220">
        <f>+C107*J$8*0.5+J$8*I106</f>
        <v>2264336.2270833324</v>
      </c>
      <c r="K107" s="2220">
        <f>J107+K106</f>
        <v>126527627.88773704</v>
      </c>
      <c r="L107" s="2218">
        <f>+I107-K107</f>
        <v>1449450386.1622622</v>
      </c>
      <c r="M107" s="2225"/>
    </row>
    <row r="108" spans="1:13">
      <c r="A108" s="2225"/>
      <c r="B108" s="2210">
        <v>2</v>
      </c>
      <c r="C108" s="2226"/>
      <c r="D108" s="2226"/>
      <c r="E108" s="2226"/>
      <c r="F108" s="2226"/>
      <c r="G108" s="2226"/>
      <c r="H108" s="2225"/>
      <c r="I108" s="2227">
        <f t="shared" ref="I108:I118" si="9">I107</f>
        <v>1575978014.0499992</v>
      </c>
      <c r="J108" s="2220">
        <f t="shared" ref="J108:J118" si="10">+C108*J$8*0.5+J$8*I107</f>
        <v>2264336.2270833324</v>
      </c>
      <c r="K108" s="2220">
        <f t="shared" ref="K108:K118" si="11">J108+K107</f>
        <v>128791964.11482036</v>
      </c>
      <c r="L108" s="2218">
        <f t="shared" ref="L108:L118" si="12">+I108-K108</f>
        <v>1447186049.9351788</v>
      </c>
      <c r="M108" s="2225"/>
    </row>
    <row r="109" spans="1:13">
      <c r="A109" s="2225"/>
      <c r="B109" s="2210">
        <v>3</v>
      </c>
      <c r="C109" s="2226"/>
      <c r="D109" s="2226"/>
      <c r="E109" s="2226"/>
      <c r="F109" s="2226"/>
      <c r="G109" s="2226"/>
      <c r="H109" s="2225"/>
      <c r="I109" s="2227">
        <f t="shared" si="9"/>
        <v>1575978014.0499992</v>
      </c>
      <c r="J109" s="2220">
        <f t="shared" si="10"/>
        <v>2264336.2270833324</v>
      </c>
      <c r="K109" s="2220">
        <f t="shared" si="11"/>
        <v>131056300.34190369</v>
      </c>
      <c r="L109" s="2218">
        <f t="shared" si="12"/>
        <v>1444921713.7080956</v>
      </c>
      <c r="M109" s="2225"/>
    </row>
    <row r="110" spans="1:13">
      <c r="A110" s="2225"/>
      <c r="B110" s="2210">
        <v>4</v>
      </c>
      <c r="C110" s="2226"/>
      <c r="D110" s="2226"/>
      <c r="E110" s="2226"/>
      <c r="F110" s="2226"/>
      <c r="G110" s="2226"/>
      <c r="H110" s="2225"/>
      <c r="I110" s="2227">
        <f t="shared" si="9"/>
        <v>1575978014.0499992</v>
      </c>
      <c r="J110" s="2220">
        <f t="shared" si="10"/>
        <v>2264336.2270833324</v>
      </c>
      <c r="K110" s="2220">
        <f t="shared" si="11"/>
        <v>133320636.56898701</v>
      </c>
      <c r="L110" s="2218">
        <f t="shared" si="12"/>
        <v>1442657377.4810123</v>
      </c>
      <c r="M110" s="2225"/>
    </row>
    <row r="111" spans="1:13">
      <c r="A111" s="2225"/>
      <c r="B111" s="2210">
        <v>5</v>
      </c>
      <c r="C111" s="2226"/>
      <c r="D111" s="2226"/>
      <c r="E111" s="2226"/>
      <c r="F111" s="2226"/>
      <c r="G111" s="2226"/>
      <c r="H111" s="2225"/>
      <c r="I111" s="2227">
        <f t="shared" si="9"/>
        <v>1575978014.0499992</v>
      </c>
      <c r="J111" s="2220">
        <f t="shared" si="10"/>
        <v>2264336.2270833324</v>
      </c>
      <c r="K111" s="2220">
        <f t="shared" si="11"/>
        <v>135584972.79607034</v>
      </c>
      <c r="L111" s="2218">
        <f t="shared" si="12"/>
        <v>1440393041.2539289</v>
      </c>
      <c r="M111" s="2225"/>
    </row>
    <row r="112" spans="1:13">
      <c r="A112" s="2225"/>
      <c r="B112" s="2210">
        <v>6</v>
      </c>
      <c r="C112" s="2226"/>
      <c r="D112" s="2226"/>
      <c r="E112" s="2226"/>
      <c r="F112" s="2226"/>
      <c r="G112" s="2226"/>
      <c r="H112" s="2225"/>
      <c r="I112" s="2227">
        <f t="shared" si="9"/>
        <v>1575978014.0499992</v>
      </c>
      <c r="J112" s="2220">
        <f t="shared" si="10"/>
        <v>2264336.2270833324</v>
      </c>
      <c r="K112" s="2220">
        <f t="shared" si="11"/>
        <v>137849309.02315366</v>
      </c>
      <c r="L112" s="2218">
        <f t="shared" si="12"/>
        <v>1438128705.0268455</v>
      </c>
      <c r="M112" s="2225"/>
    </row>
    <row r="113" spans="1:13">
      <c r="A113" s="2225"/>
      <c r="B113" s="2210">
        <v>7</v>
      </c>
      <c r="C113" s="2226"/>
      <c r="D113" s="2226"/>
      <c r="E113" s="2226"/>
      <c r="F113" s="2226"/>
      <c r="G113" s="2226"/>
      <c r="H113" s="2225"/>
      <c r="I113" s="2227">
        <f t="shared" si="9"/>
        <v>1575978014.0499992</v>
      </c>
      <c r="J113" s="2220">
        <f t="shared" si="10"/>
        <v>2264336.2270833324</v>
      </c>
      <c r="K113" s="2220">
        <f t="shared" si="11"/>
        <v>140113645.25023699</v>
      </c>
      <c r="L113" s="2218">
        <f t="shared" si="12"/>
        <v>1435864368.7997622</v>
      </c>
      <c r="M113" s="2225"/>
    </row>
    <row r="114" spans="1:13">
      <c r="A114" s="2225"/>
      <c r="B114" s="2210">
        <v>8</v>
      </c>
      <c r="C114" s="2226"/>
      <c r="D114" s="2226"/>
      <c r="E114" s="2226"/>
      <c r="F114" s="2226"/>
      <c r="G114" s="2226"/>
      <c r="H114" s="2225"/>
      <c r="I114" s="2227">
        <f t="shared" si="9"/>
        <v>1575978014.0499992</v>
      </c>
      <c r="J114" s="2220">
        <f t="shared" si="10"/>
        <v>2264336.2270833324</v>
      </c>
      <c r="K114" s="2220">
        <f t="shared" si="11"/>
        <v>142377981.47732031</v>
      </c>
      <c r="L114" s="2218">
        <f t="shared" si="12"/>
        <v>1433600032.572679</v>
      </c>
      <c r="M114" s="2225"/>
    </row>
    <row r="115" spans="1:13">
      <c r="A115" s="2225"/>
      <c r="B115" s="2210">
        <v>9</v>
      </c>
      <c r="C115" s="2226"/>
      <c r="D115" s="2226"/>
      <c r="E115" s="2226"/>
      <c r="F115" s="2226"/>
      <c r="G115" s="2226"/>
      <c r="H115" s="2225"/>
      <c r="I115" s="2227">
        <f t="shared" si="9"/>
        <v>1575978014.0499992</v>
      </c>
      <c r="J115" s="2220">
        <f t="shared" si="10"/>
        <v>2264336.2270833324</v>
      </c>
      <c r="K115" s="2220">
        <f t="shared" si="11"/>
        <v>144642317.70440364</v>
      </c>
      <c r="L115" s="2218">
        <f t="shared" si="12"/>
        <v>1431335696.3455956</v>
      </c>
      <c r="M115" s="2225"/>
    </row>
    <row r="116" spans="1:13">
      <c r="A116" s="2225"/>
      <c r="B116" s="2210">
        <v>10</v>
      </c>
      <c r="C116" s="2226"/>
      <c r="D116" s="2226"/>
      <c r="E116" s="2226"/>
      <c r="F116" s="2226"/>
      <c r="G116" s="2226"/>
      <c r="H116" s="2225"/>
      <c r="I116" s="2227">
        <f t="shared" si="9"/>
        <v>1575978014.0499992</v>
      </c>
      <c r="J116" s="2220">
        <f t="shared" si="10"/>
        <v>2264336.2270833324</v>
      </c>
      <c r="K116" s="2220">
        <f t="shared" si="11"/>
        <v>146906653.93148696</v>
      </c>
      <c r="L116" s="2218">
        <f t="shared" si="12"/>
        <v>1429071360.1185122</v>
      </c>
      <c r="M116" s="2225"/>
    </row>
    <row r="117" spans="1:13">
      <c r="A117" s="2225"/>
      <c r="B117" s="2210">
        <v>11</v>
      </c>
      <c r="C117" s="2226"/>
      <c r="D117" s="2226"/>
      <c r="E117" s="2226"/>
      <c r="F117" s="2226"/>
      <c r="G117" s="2226"/>
      <c r="H117" s="2225"/>
      <c r="I117" s="2227">
        <f t="shared" si="9"/>
        <v>1575978014.0499992</v>
      </c>
      <c r="J117" s="2220">
        <f t="shared" si="10"/>
        <v>2264336.2270833324</v>
      </c>
      <c r="K117" s="2220">
        <f t="shared" si="11"/>
        <v>149170990.15857029</v>
      </c>
      <c r="L117" s="2218">
        <f t="shared" si="12"/>
        <v>1426807023.8914289</v>
      </c>
      <c r="M117" s="2225"/>
    </row>
    <row r="118" spans="1:13">
      <c r="A118" s="2225"/>
      <c r="B118" s="2210">
        <v>12</v>
      </c>
      <c r="C118" s="2226"/>
      <c r="D118" s="2226"/>
      <c r="E118" s="2226"/>
      <c r="F118" s="2226"/>
      <c r="G118" s="2226"/>
      <c r="H118" s="2225"/>
      <c r="I118" s="2227">
        <f t="shared" si="9"/>
        <v>1575978014.0499992</v>
      </c>
      <c r="J118" s="2220">
        <f t="shared" si="10"/>
        <v>2264336.2270833324</v>
      </c>
      <c r="K118" s="2220">
        <f t="shared" si="11"/>
        <v>151435326.38565361</v>
      </c>
      <c r="L118" s="2218">
        <f t="shared" si="12"/>
        <v>1424542687.6643457</v>
      </c>
      <c r="M118" s="2221">
        <f>SUM(L106:L118)/13</f>
        <v>1438128705.0268457</v>
      </c>
    </row>
  </sheetData>
  <pageMargins left="0.65" right="0.25" top="0.65" bottom="0.65" header="0.3" footer="0.3"/>
  <pageSetup scale="10"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tabColor theme="7"/>
    <pageSetUpPr autoPageBreaks="0" fitToPage="1"/>
  </sheetPr>
  <dimension ref="A1:K107"/>
  <sheetViews>
    <sheetView workbookViewId="0">
      <selection sqref="A1:J1"/>
    </sheetView>
  </sheetViews>
  <sheetFormatPr defaultRowHeight="12.75"/>
  <cols>
    <col min="1" max="1" width="7.5703125" customWidth="1"/>
    <col min="2" max="2" width="64.140625" customWidth="1"/>
    <col min="3" max="3" width="42.140625" style="462" customWidth="1"/>
    <col min="4" max="5" width="23.7109375" style="462" customWidth="1"/>
    <col min="6" max="6" width="21.140625" style="161" customWidth="1"/>
    <col min="7" max="7" width="57.5703125" style="462" customWidth="1"/>
    <col min="8" max="8" width="23.7109375" style="462" customWidth="1"/>
    <col min="9" max="9" width="52" style="161" bestFit="1" customWidth="1"/>
    <col min="10" max="10" width="57.42578125" bestFit="1" customWidth="1"/>
    <col min="11" max="11" width="22.7109375" customWidth="1"/>
  </cols>
  <sheetData>
    <row r="1" spans="1:10" ht="31.5" customHeight="1" thickBot="1">
      <c r="A1" s="2736" t="s">
        <v>1837</v>
      </c>
      <c r="B1" s="2737"/>
      <c r="C1" s="2737"/>
      <c r="D1" s="2737"/>
      <c r="E1" s="2737"/>
      <c r="F1" s="2737"/>
      <c r="G1" s="2737"/>
      <c r="H1" s="2737"/>
      <c r="I1" s="2737"/>
      <c r="J1" s="2738"/>
    </row>
    <row r="2" spans="1:10">
      <c r="C2"/>
      <c r="F2" s="462"/>
      <c r="I2" s="462"/>
    </row>
    <row r="3" spans="1:10">
      <c r="C3"/>
      <c r="F3" s="462"/>
      <c r="I3" s="462"/>
    </row>
    <row r="4" spans="1:10" ht="15.75" thickBot="1">
      <c r="A4" s="1088" t="s">
        <v>1092</v>
      </c>
      <c r="C4"/>
      <c r="F4" s="462"/>
      <c r="I4" s="462"/>
    </row>
    <row r="5" spans="1:10" s="462" customFormat="1" ht="26.25" thickBot="1">
      <c r="A5" s="1112" t="s">
        <v>30</v>
      </c>
      <c r="B5" s="1215" t="s">
        <v>1087</v>
      </c>
      <c r="C5" s="1215" t="s">
        <v>1090</v>
      </c>
      <c r="D5" s="1105"/>
      <c r="E5" s="1105" t="s">
        <v>1109</v>
      </c>
      <c r="F5" s="1105" t="s">
        <v>26</v>
      </c>
      <c r="G5" s="1112" t="s">
        <v>1088</v>
      </c>
      <c r="H5" s="1105" t="s">
        <v>1093</v>
      </c>
      <c r="I5" s="1112" t="s">
        <v>836</v>
      </c>
      <c r="J5" s="1105" t="s">
        <v>304</v>
      </c>
    </row>
    <row r="6" spans="1:10" s="462" customFormat="1">
      <c r="A6" s="965"/>
    </row>
    <row r="7" spans="1:10">
      <c r="A7" s="333">
        <v>1</v>
      </c>
      <c r="B7" s="276" t="s">
        <v>382</v>
      </c>
      <c r="C7" s="1087" t="str">
        <f ca="1">OFFSET(INDIRECT(G7),0,-5)</f>
        <v>Preferred Cost</v>
      </c>
      <c r="D7" s="1102"/>
      <c r="E7" s="1085">
        <v>9.8000000000000004E-2</v>
      </c>
      <c r="F7" s="1084" t="s">
        <v>1089</v>
      </c>
      <c r="G7" s="1091" t="s">
        <v>1142</v>
      </c>
      <c r="H7" s="1090" t="str">
        <f ca="1">"Line "&amp;OFFSET(INDIRECT(G7),0,-7)</f>
        <v>Line 121</v>
      </c>
      <c r="I7" s="1118" t="s">
        <v>335</v>
      </c>
      <c r="J7" s="1092" t="s">
        <v>1110</v>
      </c>
    </row>
    <row r="8" spans="1:10" s="462" customFormat="1">
      <c r="A8" s="333">
        <f>A7+1</f>
        <v>2</v>
      </c>
      <c r="B8" s="334" t="s">
        <v>1091</v>
      </c>
      <c r="C8" s="1087" t="str">
        <f>'Att 7 - Trans Enhance Charge'!$C$23</f>
        <v>Increased ROE (basis points)</v>
      </c>
      <c r="D8" s="1101"/>
      <c r="E8" s="1086">
        <v>50</v>
      </c>
      <c r="F8" s="1084" t="s">
        <v>1089</v>
      </c>
      <c r="G8" s="2126" t="s">
        <v>1712</v>
      </c>
      <c r="H8" s="1093" t="str">
        <f>"Row "&amp;ROW('Att 7 - Trans Enhance Charge'!C23)</f>
        <v>Row 23</v>
      </c>
      <c r="I8" s="1118" t="s">
        <v>1143</v>
      </c>
      <c r="J8" s="1092" t="s">
        <v>1731</v>
      </c>
    </row>
    <row r="9" spans="1:10" s="1675" customFormat="1" ht="38.25">
      <c r="A9" s="2178">
        <f>A8+1</f>
        <v>3</v>
      </c>
      <c r="B9" s="1771" t="s">
        <v>909</v>
      </c>
      <c r="C9" s="2179" t="str">
        <f>'Att 3 - Revenue Credits'!B41</f>
        <v>Common pole location fixed annual revenue credit</v>
      </c>
      <c r="D9" s="2180"/>
      <c r="E9" s="2181">
        <f>12*46314</f>
        <v>555768</v>
      </c>
      <c r="F9" s="2182" t="s">
        <v>1089</v>
      </c>
      <c r="G9" s="2183" t="s">
        <v>1711</v>
      </c>
      <c r="H9" s="2184" t="str">
        <f>"Row "&amp;ROW('Att 3 - Revenue Credits'!E41)</f>
        <v>Row 41</v>
      </c>
      <c r="I9" s="2185" t="s">
        <v>1125</v>
      </c>
      <c r="J9" s="2186" t="s">
        <v>1820</v>
      </c>
    </row>
    <row r="10" spans="1:10" s="462" customFormat="1">
      <c r="A10" s="2121">
        <v>4</v>
      </c>
      <c r="B10" s="2116" t="s">
        <v>1708</v>
      </c>
      <c r="C10" s="1087" t="str">
        <f ca="1">OFFSET(INDIRECT(G10),0,-5)</f>
        <v>1/8th Rule</v>
      </c>
      <c r="D10" s="2122"/>
      <c r="E10" s="2123">
        <v>0</v>
      </c>
      <c r="F10" s="2121" t="s">
        <v>1089</v>
      </c>
      <c r="G10" s="2118" t="s">
        <v>1709</v>
      </c>
      <c r="H10" s="2124" t="str">
        <f ca="1">"Line "&amp;OFFSET(INDIRECT(G10),0,-7)</f>
        <v>Line 48</v>
      </c>
      <c r="I10" s="2099" t="s">
        <v>335</v>
      </c>
      <c r="J10" s="2125" t="s">
        <v>1710</v>
      </c>
    </row>
    <row r="11" spans="1:10" s="462" customFormat="1"/>
    <row r="12" spans="1:10">
      <c r="C12"/>
      <c r="F12" s="462"/>
      <c r="I12" s="462"/>
    </row>
    <row r="13" spans="1:10" ht="15.75" thickBot="1">
      <c r="A13" s="1089" t="s">
        <v>687</v>
      </c>
      <c r="C13"/>
      <c r="F13" s="462"/>
      <c r="I13" s="462"/>
    </row>
    <row r="14" spans="1:10" ht="25.5" customHeight="1" thickBot="1">
      <c r="A14" s="1112" t="s">
        <v>30</v>
      </c>
      <c r="B14" s="1215" t="s">
        <v>1087</v>
      </c>
      <c r="C14" s="1215" t="s">
        <v>1090</v>
      </c>
      <c r="D14" s="1112" t="str">
        <f>data_year-1&amp;" year-end balance"</f>
        <v>2015 year-end balance</v>
      </c>
      <c r="E14" s="1112" t="str">
        <f>data_year&amp;" year-end balance"</f>
        <v>2016 year-end balance</v>
      </c>
      <c r="F14" s="1105" t="s">
        <v>1086</v>
      </c>
      <c r="G14" s="1112" t="s">
        <v>1088</v>
      </c>
      <c r="H14" s="1112" t="s">
        <v>1122</v>
      </c>
      <c r="I14" s="1112" t="s">
        <v>1123</v>
      </c>
      <c r="J14" s="1112" t="s">
        <v>304</v>
      </c>
    </row>
    <row r="15" spans="1:10" s="462" customFormat="1" ht="13.5" thickBot="1">
      <c r="A15" s="2089">
        <v>0</v>
      </c>
      <c r="B15" s="2088" t="s">
        <v>1705</v>
      </c>
      <c r="C15" s="2093" t="s">
        <v>1667</v>
      </c>
      <c r="D15" s="2090" t="s">
        <v>1095</v>
      </c>
      <c r="E15" s="2090" t="s">
        <v>1084</v>
      </c>
      <c r="F15" s="2090" t="s">
        <v>1083</v>
      </c>
      <c r="G15" s="2090" t="s">
        <v>1085</v>
      </c>
      <c r="H15" s="2195" t="s">
        <v>1094</v>
      </c>
      <c r="I15" s="251"/>
      <c r="J15" s="1083"/>
    </row>
    <row r="16" spans="1:10" s="462" customFormat="1">
      <c r="A16" s="274">
        <f>A15+1</f>
        <v>1</v>
      </c>
      <c r="B16" s="1671" t="str">
        <f>'Att 2 - Other Taxes'!$B$44</f>
        <v>Total Other Taxes</v>
      </c>
      <c r="C16" s="275" t="str">
        <f>INDEX(FF1_INPUT,MATCH($F16,INDEX(FF1_INPUT,,6),0),MATCH(C$15,FF1_INPUT_columns,0))</f>
        <v>FERC 408.1  - Taxes Other than Income</v>
      </c>
      <c r="D16" s="1226">
        <f>INDEX(FF1_INPUT,MATCH($F16,INDEX(FF1_INPUT,,6),0),MATCH(data_year-1,FF1_INPUT_columns,0))</f>
        <v>185302308</v>
      </c>
      <c r="E16" s="1226">
        <f>INDEX(FF1_INPUT,MATCH($F16,INDEX(FF1_INPUT,,6),0),MATCH(data_year,FF1_INPUT_columns,0))</f>
        <v>189632535</v>
      </c>
      <c r="F16" s="1227" t="s">
        <v>1144</v>
      </c>
      <c r="G16" s="1228" t="s">
        <v>1668</v>
      </c>
      <c r="H16" s="2196">
        <f ca="1">(INDIRECT(RIGHT(G16,LEN(G16)-1))-E16)</f>
        <v>0</v>
      </c>
      <c r="I16" s="1229" t="s">
        <v>1145</v>
      </c>
      <c r="J16" s="1230" t="s">
        <v>1146</v>
      </c>
    </row>
    <row r="17" spans="1:10" s="462" customFormat="1">
      <c r="A17" s="1218">
        <f>A16+1</f>
        <v>2</v>
      </c>
      <c r="B17" s="1231" t="str">
        <f>'Att 5 - Cost Support'!C159</f>
        <v>Utility Investment Tax Credit Adj. - Net (411.4)</v>
      </c>
      <c r="C17" s="275" t="str">
        <f>INDEX(FF1_INPUT,MATCH($F17,INDEX(FF1_INPUT,,6),0),MATCH(C$15,FF1_INPUT_columns,0))</f>
        <v>FERC 411.4 - Net ITC adjustment</v>
      </c>
      <c r="D17" s="1221">
        <f>INDEX(FF1_INPUT,MATCH($F17,INDEX(FF1_INPUT,,6),0),MATCH(data_year-1,FF1_INPUT_columns,0))</f>
        <v>-4756408</v>
      </c>
      <c r="E17" s="1221">
        <f>INDEX(FF1_INPUT,MATCH($F17,INDEX(FF1_INPUT,,6),0),MATCH(data_year,FF1_INPUT_columns,0))</f>
        <v>-4341401</v>
      </c>
      <c r="F17" s="1222" t="s">
        <v>409</v>
      </c>
      <c r="G17" s="1223" t="s">
        <v>1669</v>
      </c>
      <c r="H17" s="2197">
        <f ca="1">(INDIRECT(RIGHT(G17,LEN(G17)-1))-E17)</f>
        <v>-5.9999999590218067E-2</v>
      </c>
      <c r="I17" s="1224" t="s">
        <v>1106</v>
      </c>
      <c r="J17" s="1225"/>
    </row>
    <row r="18" spans="1:10" s="462" customFormat="1">
      <c r="A18" s="2095">
        <f t="shared" ref="A18:A82" si="0">A17+1</f>
        <v>3</v>
      </c>
      <c r="B18" s="2096" t="str">
        <f>'Att 10 - Acc Amort of PIS'!D13</f>
        <v>Attachment 5 input: Total Accumulated Amortization</v>
      </c>
      <c r="C18" s="275" t="str">
        <f>INDEX(FF1_INPUT,MATCH($F18,INDEX(FF1_INPUT,,6),0),MATCH(C$15,FF1_INPUT_columns,0))</f>
        <v xml:space="preserve"> Amort of Other Utility Plant</v>
      </c>
      <c r="D18" s="1221">
        <f>INDEX(FF1_INPUT,MATCH($F18,INDEX(FF1_INPUT,,6),0),MATCH(data_year-1,FF1_INPUT_columns,0))</f>
        <v>559800280</v>
      </c>
      <c r="E18" s="1221">
        <f>INDEX(FF1_INPUT,MATCH($F18,INDEX(FF1_INPUT,,6),0),MATCH(data_year,FF1_INPUT_columns,0))</f>
        <v>550553312</v>
      </c>
      <c r="F18" s="2097" t="s">
        <v>1357</v>
      </c>
      <c r="G18" s="2098" t="s">
        <v>1818</v>
      </c>
      <c r="H18" s="2198">
        <f ca="1">(INDIRECT(RIGHT(G18,LEN(G18)-1))--E18)</f>
        <v>-0.4299999475479126</v>
      </c>
      <c r="I18" s="2099" t="s">
        <v>1706</v>
      </c>
      <c r="J18" s="2100" t="s">
        <v>1707</v>
      </c>
    </row>
    <row r="19" spans="1:10" s="462" customFormat="1">
      <c r="A19" s="1218">
        <f t="shared" si="0"/>
        <v>4</v>
      </c>
      <c r="B19" s="1232" t="s">
        <v>9</v>
      </c>
      <c r="C19" s="275" t="str">
        <f>INDEX(FF1_INPUT,MATCH($F19,INDEX(FF1_INPUT,,6),0),MATCH(C$15,FF1_INPUT_columns,0))</f>
        <v>Electric plant held for future use</v>
      </c>
      <c r="D19" s="1103">
        <f>INDEX(FF1_INPUT,MATCH($F19,INDEX(FF1_INPUT,,6),0),MATCH(data_year-1,FF1_INPUT_columns,0))</f>
        <v>23319217</v>
      </c>
      <c r="E19" s="1221">
        <f>INDEX(FF1_INPUT,MATCH($F19,INDEX(FF1_INPUT,,6),0),MATCH(data_year,FF1_INPUT_columns,0))</f>
        <v>23502790</v>
      </c>
      <c r="F19" s="1222" t="s">
        <v>332</v>
      </c>
      <c r="G19" s="1223" t="s">
        <v>1972</v>
      </c>
      <c r="H19" s="2197">
        <f ca="1">(INDIRECT(RIGHT(G19,LEN(G19)-1))-E19)</f>
        <v>0.16000000387430191</v>
      </c>
      <c r="I19" s="1224" t="s">
        <v>1117</v>
      </c>
      <c r="J19" s="1225" t="s">
        <v>1108</v>
      </c>
    </row>
    <row r="20" spans="1:10" s="462" customFormat="1">
      <c r="A20" s="1567">
        <f t="shared" si="0"/>
        <v>5</v>
      </c>
      <c r="B20" s="1568"/>
      <c r="C20" s="275"/>
      <c r="D20" s="2108"/>
      <c r="E20" s="2109"/>
      <c r="F20" s="2110"/>
      <c r="G20" s="2102"/>
      <c r="H20" s="2199"/>
      <c r="I20" s="2103"/>
      <c r="J20" s="2104"/>
    </row>
    <row r="21" spans="1:10" s="462" customFormat="1">
      <c r="A21" s="1567">
        <f t="shared" si="0"/>
        <v>6</v>
      </c>
      <c r="B21" s="275" t="str">
        <f>'Att 5 - Cost Support'!$C$41</f>
        <v>Intangible Plant In Service</v>
      </c>
      <c r="C21" s="275" t="str">
        <f t="shared" ref="C21:C31" si="1">INDEX(FF1_INPUT,MATCH($F21,INDEX(FF1_INPUT,,6),0),MATCH(C$15,FF1_INPUT_columns,0))</f>
        <v>FERC 303 - Misc intangible plant (BoY)</v>
      </c>
      <c r="D21" s="1103">
        <f t="shared" ref="D21:D31" si="2">INDEX(FF1_INPUT,MATCH($F21,INDEX(FF1_INPUT,,6),0),MATCH(data_year-1,FF1_INPUT_columns,0))</f>
        <v>880195125</v>
      </c>
      <c r="E21" s="1221">
        <f t="shared" ref="E21:E31" si="3">INDEX(FF1_INPUT,MATCH($F21,INDEX(FF1_INPUT,,6),0),MATCH(data_year,FF1_INPUT_columns,0))</f>
        <v>876732473</v>
      </c>
      <c r="F21" s="1569" t="s">
        <v>1348</v>
      </c>
      <c r="G21" s="1570" t="s">
        <v>1676</v>
      </c>
      <c r="H21" s="2200">
        <f ca="1">(INDIRECT(RIGHT(G21,LEN(G21)-1))-E21)</f>
        <v>1.4199999570846558</v>
      </c>
      <c r="I21" s="1672" t="s">
        <v>1399</v>
      </c>
      <c r="J21" s="1572" t="s">
        <v>1717</v>
      </c>
    </row>
    <row r="22" spans="1:10" s="462" customFormat="1">
      <c r="A22" s="1567">
        <f t="shared" si="0"/>
        <v>7</v>
      </c>
      <c r="B22" s="275" t="str">
        <f>'Att 5 - Cost Support'!$C$41</f>
        <v>Intangible Plant In Service</v>
      </c>
      <c r="C22" s="275" t="str">
        <f t="shared" si="1"/>
        <v>FERC 303 - Misc intangible plant (EoY)</v>
      </c>
      <c r="D22" s="1103">
        <f t="shared" si="2"/>
        <v>876732473</v>
      </c>
      <c r="E22" s="1221">
        <f t="shared" si="3"/>
        <v>884188667</v>
      </c>
      <c r="F22" s="1569" t="s">
        <v>1349</v>
      </c>
      <c r="G22" s="1570" t="s">
        <v>1675</v>
      </c>
      <c r="H22" s="2200">
        <f t="shared" ref="H22:H30" ca="1" si="4">(INDIRECT(RIGHT(G22,LEN(G22)-1))-E22)</f>
        <v>0.33000004291534424</v>
      </c>
      <c r="I22" s="1672" t="s">
        <v>1399</v>
      </c>
      <c r="J22" s="1572" t="s">
        <v>1717</v>
      </c>
    </row>
    <row r="23" spans="1:10" s="462" customFormat="1">
      <c r="A23" s="1567">
        <f t="shared" si="0"/>
        <v>8</v>
      </c>
      <c r="B23" s="275" t="str">
        <f>'Att 5 - Cost Support'!$C$62</f>
        <v>Production Plant In Service</v>
      </c>
      <c r="C23" s="275" t="str">
        <f t="shared" si="1"/>
        <v>Total production plant (BoY)</v>
      </c>
      <c r="D23" s="1103">
        <f t="shared" si="2"/>
        <v>11922598581</v>
      </c>
      <c r="E23" s="1221">
        <f t="shared" si="3"/>
        <v>12154489265</v>
      </c>
      <c r="F23" s="1569" t="s">
        <v>1352</v>
      </c>
      <c r="G23" s="1570" t="s">
        <v>1674</v>
      </c>
      <c r="H23" s="2200">
        <f t="shared" ca="1" si="4"/>
        <v>-0.22999763488769531</v>
      </c>
      <c r="I23" s="1672" t="s">
        <v>1399</v>
      </c>
      <c r="J23" s="1572" t="s">
        <v>1717</v>
      </c>
    </row>
    <row r="24" spans="1:10" s="462" customFormat="1">
      <c r="A24" s="1567">
        <f t="shared" si="0"/>
        <v>9</v>
      </c>
      <c r="B24" s="275" t="str">
        <f>'Att 5 - Cost Support'!$C$62</f>
        <v>Production Plant In Service</v>
      </c>
      <c r="C24" s="275" t="str">
        <f t="shared" si="1"/>
        <v>Total production plant (EoY)</v>
      </c>
      <c r="D24" s="1103">
        <f t="shared" si="2"/>
        <v>12154489265</v>
      </c>
      <c r="E24" s="1221">
        <f t="shared" si="3"/>
        <v>12367792103</v>
      </c>
      <c r="F24" s="1569" t="s">
        <v>1353</v>
      </c>
      <c r="G24" s="1570" t="s">
        <v>1673</v>
      </c>
      <c r="H24" s="2200">
        <f t="shared" ca="1" si="4"/>
        <v>1.0600032806396484</v>
      </c>
      <c r="I24" s="1672" t="s">
        <v>1399</v>
      </c>
      <c r="J24" s="1572" t="s">
        <v>1717</v>
      </c>
    </row>
    <row r="25" spans="1:10" s="462" customFormat="1">
      <c r="A25" s="2095">
        <f t="shared" si="0"/>
        <v>10</v>
      </c>
      <c r="B25" s="275" t="str">
        <f>'Att 5 - Cost Support'!$C$20</f>
        <v>Transmission Plant In Service</v>
      </c>
      <c r="C25" s="275" t="str">
        <f t="shared" si="1"/>
        <v>Total transmission plant (BoY)</v>
      </c>
      <c r="D25" s="1103">
        <f t="shared" si="2"/>
        <v>5387870877</v>
      </c>
      <c r="E25" s="1221">
        <f t="shared" si="3"/>
        <v>5910756444</v>
      </c>
      <c r="F25" s="2097" t="s">
        <v>1346</v>
      </c>
      <c r="G25" s="1570" t="s">
        <v>1678</v>
      </c>
      <c r="H25" s="2200">
        <f t="shared" ca="1" si="4"/>
        <v>0.36999988555908203</v>
      </c>
      <c r="I25" s="1672" t="s">
        <v>1399</v>
      </c>
      <c r="J25" s="1572" t="s">
        <v>1717</v>
      </c>
    </row>
    <row r="26" spans="1:10" s="462" customFormat="1">
      <c r="A26" s="1567">
        <f t="shared" si="0"/>
        <v>11</v>
      </c>
      <c r="B26" s="275" t="str">
        <f>'Att 5 - Cost Support'!$C$20</f>
        <v>Transmission Plant In Service</v>
      </c>
      <c r="C26" s="275" t="str">
        <f t="shared" si="1"/>
        <v>Total transmission plant (EoY)</v>
      </c>
      <c r="D26" s="1103">
        <f t="shared" si="2"/>
        <v>5910756444</v>
      </c>
      <c r="E26" s="1221">
        <f t="shared" si="3"/>
        <v>6051719907</v>
      </c>
      <c r="F26" s="1569" t="s">
        <v>1345</v>
      </c>
      <c r="G26" s="1570" t="s">
        <v>1679</v>
      </c>
      <c r="H26" s="2200">
        <f t="shared" ca="1" si="4"/>
        <v>8.0002784729003906E-2</v>
      </c>
      <c r="I26" s="1672" t="s">
        <v>1399</v>
      </c>
      <c r="J26" s="1572" t="s">
        <v>1717</v>
      </c>
    </row>
    <row r="27" spans="1:10" s="462" customFormat="1">
      <c r="A27" s="1567">
        <f t="shared" si="0"/>
        <v>12</v>
      </c>
      <c r="B27" s="275" t="str">
        <f>'Att 5 - Cost Support'!$C$36</f>
        <v>Distribution Plant In Service</v>
      </c>
      <c r="C27" s="275" t="str">
        <f t="shared" si="1"/>
        <v>Total distribution plant (BoY)</v>
      </c>
      <c r="D27" s="1103">
        <f t="shared" si="2"/>
        <v>6190391726</v>
      </c>
      <c r="E27" s="1221">
        <f t="shared" si="3"/>
        <v>6401275118</v>
      </c>
      <c r="F27" s="1569" t="s">
        <v>1347</v>
      </c>
      <c r="G27" s="1570" t="s">
        <v>1680</v>
      </c>
      <c r="H27" s="2200">
        <f t="shared" ca="1" si="4"/>
        <v>0.11999893188476563</v>
      </c>
      <c r="I27" s="1672" t="s">
        <v>1399</v>
      </c>
      <c r="J27" s="1572" t="s">
        <v>1717</v>
      </c>
    </row>
    <row r="28" spans="1:10" s="462" customFormat="1">
      <c r="A28" s="1567">
        <f t="shared" si="0"/>
        <v>13</v>
      </c>
      <c r="B28" s="275" t="str">
        <f>'Att 5 - Cost Support'!$C$36</f>
        <v>Distribution Plant In Service</v>
      </c>
      <c r="C28" s="275" t="str">
        <f t="shared" si="1"/>
        <v>Total distribution plant (EoY)</v>
      </c>
      <c r="D28" s="1103">
        <f t="shared" si="2"/>
        <v>6401275118</v>
      </c>
      <c r="E28" s="1221">
        <f t="shared" si="3"/>
        <v>6582809080</v>
      </c>
      <c r="F28" s="1569" t="s">
        <v>1354</v>
      </c>
      <c r="G28" s="1570" t="s">
        <v>1681</v>
      </c>
      <c r="H28" s="2200">
        <f t="shared" ca="1" si="4"/>
        <v>-1.4500036239624023</v>
      </c>
      <c r="I28" s="1672" t="s">
        <v>1399</v>
      </c>
      <c r="J28" s="1572" t="s">
        <v>1717</v>
      </c>
    </row>
    <row r="29" spans="1:10" s="462" customFormat="1">
      <c r="A29" s="1567">
        <f t="shared" si="0"/>
        <v>14</v>
      </c>
      <c r="B29" s="275" t="str">
        <f>'Att 5 - Cost Support'!$C$46</f>
        <v>General Plant In Service</v>
      </c>
      <c r="C29" s="275" t="str">
        <f t="shared" si="1"/>
        <v>Total general plant (BoY)</v>
      </c>
      <c r="D29" s="1103">
        <f t="shared" si="2"/>
        <v>1445031807</v>
      </c>
      <c r="E29" s="1221">
        <f t="shared" si="3"/>
        <v>1173341618</v>
      </c>
      <c r="F29" s="1569" t="s">
        <v>1350</v>
      </c>
      <c r="G29" s="1570" t="s">
        <v>1682</v>
      </c>
      <c r="H29" s="2200">
        <f t="shared" ca="1" si="4"/>
        <v>-0.82000041007995605</v>
      </c>
      <c r="I29" s="1672" t="s">
        <v>1399</v>
      </c>
      <c r="J29" s="1572" t="s">
        <v>1717</v>
      </c>
    </row>
    <row r="30" spans="1:10" s="462" customFormat="1">
      <c r="A30" s="1567">
        <f t="shared" si="0"/>
        <v>15</v>
      </c>
      <c r="B30" s="275" t="str">
        <f>'Att 5 - Cost Support'!$C$46</f>
        <v>General Plant In Service</v>
      </c>
      <c r="C30" s="275" t="str">
        <f t="shared" si="1"/>
        <v>Total general plant (EoY)</v>
      </c>
      <c r="D30" s="1103">
        <f t="shared" si="2"/>
        <v>1173341618</v>
      </c>
      <c r="E30" s="1221">
        <f t="shared" si="3"/>
        <v>1177924891</v>
      </c>
      <c r="F30" s="1569" t="s">
        <v>1351</v>
      </c>
      <c r="G30" s="1570" t="s">
        <v>1683</v>
      </c>
      <c r="H30" s="2200">
        <f t="shared" ca="1" si="4"/>
        <v>0.47000002861022949</v>
      </c>
      <c r="I30" s="1672" t="s">
        <v>1399</v>
      </c>
      <c r="J30" s="1572" t="s">
        <v>1717</v>
      </c>
    </row>
    <row r="31" spans="1:10" s="462" customFormat="1">
      <c r="A31" s="2095">
        <f t="shared" si="0"/>
        <v>16</v>
      </c>
      <c r="B31" s="275" t="str">
        <f>'Att 5 - Cost Support'!C68</f>
        <v>Total Plant In Service</v>
      </c>
      <c r="C31" s="275" t="str">
        <f t="shared" si="1"/>
        <v>Total electric plant in service (EoY)</v>
      </c>
      <c r="D31" s="1103">
        <f t="shared" si="2"/>
        <v>26518616700</v>
      </c>
      <c r="E31" s="1221">
        <f t="shared" si="3"/>
        <v>27064434648</v>
      </c>
      <c r="F31" s="2097" t="s">
        <v>1672</v>
      </c>
      <c r="G31" s="2098" t="s">
        <v>1677</v>
      </c>
      <c r="H31" s="2198" t="str">
        <f ca="1">IF(Toggle=Projection,(INDIRECT(RIGHT(G31,LEN(G31)-1))-E31),"n/m")</f>
        <v>n/m</v>
      </c>
      <c r="I31" s="1672" t="s">
        <v>1399</v>
      </c>
      <c r="J31" s="1572" t="s">
        <v>1719</v>
      </c>
    </row>
    <row r="32" spans="1:10" s="462" customFormat="1">
      <c r="A32" s="2095">
        <f t="shared" si="0"/>
        <v>17</v>
      </c>
      <c r="B32" s="275"/>
      <c r="C32" s="2113"/>
      <c r="D32" s="2108"/>
      <c r="E32" s="2111"/>
      <c r="F32" s="2112"/>
      <c r="G32" s="2105"/>
      <c r="H32" s="2201"/>
      <c r="I32" s="2114"/>
      <c r="J32" s="2107"/>
    </row>
    <row r="33" spans="1:11" s="462" customFormat="1">
      <c r="A33" s="2095">
        <f t="shared" si="0"/>
        <v>18</v>
      </c>
      <c r="B33" s="275" t="s">
        <v>1969</v>
      </c>
      <c r="C33" s="275" t="str">
        <f>INDEX(FF1_INPUT,MATCH($F33,INDEX(FF1_INPUT,,6),0),MATCH(C$15,FF1_INPUT_columns,0))</f>
        <v>Electric Plant Purchased</v>
      </c>
      <c r="D33" s="1103">
        <f>INDEX(FF1_INPUT,MATCH($F33,INDEX(FF1_INPUT,,6),0),MATCH(data_year-1,FF1_INPUT_columns,0))</f>
        <v>1460458</v>
      </c>
      <c r="E33" s="1221">
        <f>INDEX(FF1_INPUT,MATCH($F33,INDEX(FF1_INPUT,,6),0),MATCH(data_year,FF1_INPUT_columns,0))</f>
        <v>0</v>
      </c>
      <c r="F33" s="1569" t="s">
        <v>1970</v>
      </c>
      <c r="G33" s="1570" t="s">
        <v>1971</v>
      </c>
      <c r="H33" s="2743">
        <f>E33-E34-'Att 5 - Cost Support'!G65</f>
        <v>-1.9790604710578918E-9</v>
      </c>
      <c r="I33" s="1672" t="s">
        <v>1399</v>
      </c>
      <c r="J33" s="1572" t="s">
        <v>1717</v>
      </c>
    </row>
    <row r="34" spans="1:11" s="462" customFormat="1">
      <c r="A34" s="2095">
        <f t="shared" si="0"/>
        <v>19</v>
      </c>
      <c r="B34" s="275" t="str">
        <f>'Att 5 - Cost Support'!$C$65</f>
        <v>Electric Plant Sold</v>
      </c>
      <c r="C34" s="275" t="str">
        <f>INDEX(FF1_INPUT,MATCH($F34,INDEX(FF1_INPUT,,6),0),MATCH(C$15,FF1_INPUT_columns,0))</f>
        <v>Electric plant sold</v>
      </c>
      <c r="D34" s="1103">
        <f>INDEX(FF1_INPUT,MATCH($F34,INDEX(FF1_INPUT,,6),0),MATCH(data_year-1,FF1_INPUT_columns,0))</f>
        <v>-561324</v>
      </c>
      <c r="E34" s="1221">
        <f>INDEX(FF1_INPUT,MATCH($F34,INDEX(FF1_INPUT,,6),0),MATCH(data_year,FF1_INPUT_columns,0))</f>
        <v>0</v>
      </c>
      <c r="F34" s="1569" t="s">
        <v>1372</v>
      </c>
      <c r="G34" s="1570" t="s">
        <v>1671</v>
      </c>
      <c r="H34" s="2744"/>
      <c r="I34" s="1672" t="s">
        <v>1399</v>
      </c>
      <c r="J34" s="1572" t="s">
        <v>1717</v>
      </c>
    </row>
    <row r="35" spans="1:11" s="462" customFormat="1">
      <c r="A35" s="2095">
        <f t="shared" si="0"/>
        <v>20</v>
      </c>
      <c r="B35" s="275"/>
      <c r="C35" s="2113"/>
      <c r="D35" s="2108"/>
      <c r="E35" s="2109"/>
      <c r="F35" s="2110"/>
      <c r="G35" s="2102"/>
      <c r="H35" s="2199"/>
      <c r="I35" s="2103"/>
      <c r="J35" s="2104"/>
    </row>
    <row r="36" spans="1:11" s="462" customFormat="1">
      <c r="A36" s="2095">
        <f t="shared" si="0"/>
        <v>21</v>
      </c>
      <c r="B36" s="275" t="str">
        <f>'Att 5 - Cost Support'!C88</f>
        <v>Transmission Accumulated Depreciation</v>
      </c>
      <c r="C36" s="275" t="str">
        <f>INDEX(FF1_INPUT,MATCH($F36,INDEX(FF1_INPUT,,6),0),MATCH(C$15,FF1_INPUT_columns,0))</f>
        <v>Accum Dep - Transmission</v>
      </c>
      <c r="D36" s="1103">
        <f>INDEX(FF1_INPUT,MATCH($F36,INDEX(FF1_INPUT,,6),0),MATCH(data_year-1,FF1_INPUT_columns,0))</f>
        <v>1503737225</v>
      </c>
      <c r="E36" s="1221">
        <f>INDEX(FF1_INPUT,MATCH($F36,INDEX(FF1_INPUT,,6),0),MATCH(data_year,FF1_INPUT_columns,0))</f>
        <v>1592275183</v>
      </c>
      <c r="F36" s="1569" t="s">
        <v>1355</v>
      </c>
      <c r="G36" s="1570" t="s">
        <v>1684</v>
      </c>
      <c r="H36" s="2200">
        <f ca="1">(INDIRECT(RIGHT(G36,LEN(G36)-1))-E36)</f>
        <v>0.24000000953674316</v>
      </c>
      <c r="I36" s="1672" t="s">
        <v>1399</v>
      </c>
      <c r="J36" s="1572" t="s">
        <v>1717</v>
      </c>
    </row>
    <row r="37" spans="1:11" s="462" customFormat="1" ht="15" customHeight="1">
      <c r="A37" s="2095">
        <f t="shared" si="0"/>
        <v>22</v>
      </c>
      <c r="B37" s="275" t="str">
        <f>'Att 5 - Cost Support'!C104</f>
        <v>Distribution Accumulated Depreciation</v>
      </c>
      <c r="C37" s="275" t="str">
        <f>INDEX(FF1_INPUT,MATCH($F37,INDEX(FF1_INPUT,,6),0),MATCH(C$15,FF1_INPUT_columns,0))</f>
        <v>Accum Dep - Distribution</v>
      </c>
      <c r="D37" s="1103">
        <f>INDEX(FF1_INPUT,MATCH($F37,INDEX(FF1_INPUT,,6),0),MATCH(data_year-1,FF1_INPUT_columns,0))</f>
        <v>2581141819</v>
      </c>
      <c r="E37" s="1221">
        <f>INDEX(FF1_INPUT,MATCH($F37,INDEX(FF1_INPUT,,6),0),MATCH(data_year,FF1_INPUT_columns,0))</f>
        <v>2679701608</v>
      </c>
      <c r="F37" s="1569" t="s">
        <v>1356</v>
      </c>
      <c r="G37" s="1570" t="s">
        <v>1685</v>
      </c>
      <c r="H37" s="2200">
        <f ca="1">(INDIRECT(RIGHT(G37,LEN(G37)-1))-E37)</f>
        <v>-0.11999988555908203</v>
      </c>
      <c r="I37" s="1672" t="s">
        <v>1399</v>
      </c>
      <c r="J37" s="1572" t="s">
        <v>1717</v>
      </c>
    </row>
    <row r="38" spans="1:11" s="462" customFormat="1">
      <c r="A38" s="2095">
        <f t="shared" si="0"/>
        <v>23</v>
      </c>
      <c r="B38" s="275" t="str">
        <f>'Att 5 - Cost Support'!C109</f>
        <v>Accumulated Intangible Depreciation</v>
      </c>
      <c r="C38" s="2603" t="str">
        <f>INDEX(FF1_INPUT,MATCH($F38,INDEX(FF1_INPUT,,6),0),MATCH(C$15,FF1_INPUT_columns,0))</f>
        <v xml:space="preserve"> Amort of Other Utility Plant</v>
      </c>
      <c r="D38" s="1103">
        <f>INDEX(FF1_INPUT,MATCH($F38,INDEX(FF1_INPUT,,6),0),MATCH(data_year-1,FF1_INPUT_columns,0))</f>
        <v>559800280</v>
      </c>
      <c r="E38" s="1221">
        <f>INDEX(FF1_INPUT,MATCH($F38,INDEX(FF1_INPUT,,6),0),MATCH(data_year,FF1_INPUT_columns,0))</f>
        <v>550553312</v>
      </c>
      <c r="F38" s="1569" t="s">
        <v>1357</v>
      </c>
      <c r="G38" s="1570" t="s">
        <v>1670</v>
      </c>
      <c r="H38" s="2200">
        <f ca="1">(INDIRECT(RIGHT(G38,LEN(G38)-1))-E38)</f>
        <v>0</v>
      </c>
      <c r="I38" s="1672" t="s">
        <v>1399</v>
      </c>
      <c r="J38" s="1572" t="s">
        <v>1717</v>
      </c>
    </row>
    <row r="39" spans="1:11" s="462" customFormat="1">
      <c r="A39" s="2095">
        <f t="shared" si="0"/>
        <v>24</v>
      </c>
      <c r="B39" s="275" t="str">
        <f>'Att 5 - Cost Support'!C114</f>
        <v>Accumulated General Depreciation</v>
      </c>
      <c r="C39" s="275" t="str">
        <f>INDEX(FF1_INPUT,MATCH($F39,INDEX(FF1_INPUT,,6),0),MATCH(C$15,FF1_INPUT_columns,0))</f>
        <v>Accum Dep - General</v>
      </c>
      <c r="D39" s="1103">
        <f>INDEX(FF1_INPUT,MATCH($F39,INDEX(FF1_INPUT,,6),0),MATCH(data_year-1,FF1_INPUT_columns,0))</f>
        <v>418947737</v>
      </c>
      <c r="E39" s="1221">
        <f>INDEX(FF1_INPUT,MATCH($F39,INDEX(FF1_INPUT,,6),0),MATCH(data_year,FF1_INPUT_columns,0))</f>
        <v>434316474</v>
      </c>
      <c r="F39" s="1569" t="s">
        <v>1358</v>
      </c>
      <c r="G39" s="1570" t="s">
        <v>1686</v>
      </c>
      <c r="H39" s="2200">
        <f ca="1">(INDIRECT(RIGHT(G39,LEN(G39)-1))-E39)</f>
        <v>-0.49000000953674316</v>
      </c>
      <c r="I39" s="1672" t="s">
        <v>1399</v>
      </c>
      <c r="J39" s="1572" t="s">
        <v>1717</v>
      </c>
    </row>
    <row r="40" spans="1:11" s="462" customFormat="1">
      <c r="A40" s="2095">
        <f t="shared" si="0"/>
        <v>25</v>
      </c>
      <c r="B40" s="275"/>
      <c r="C40" s="2113"/>
      <c r="D40" s="2108"/>
      <c r="E40" s="2109"/>
      <c r="F40" s="2110"/>
      <c r="G40" s="2102"/>
      <c r="H40" s="1571"/>
      <c r="I40" s="2103"/>
      <c r="J40" s="2104"/>
      <c r="K40" s="2"/>
    </row>
    <row r="41" spans="1:11" s="462" customFormat="1">
      <c r="A41" s="1567">
        <f t="shared" si="0"/>
        <v>26</v>
      </c>
      <c r="B41" s="275"/>
      <c r="C41" s="275" t="str">
        <f>INDEX(FF1_INPUT,MATCH($F41,INDEX(FF1_INPUT,,6),0),MATCH(C$15,FF1_INPUT_columns,0))</f>
        <v>Accum Dep - Steam production</v>
      </c>
      <c r="D41" s="1103">
        <f>INDEX(FF1_INPUT,MATCH($F41,INDEX(FF1_INPUT,,6),0),MATCH(data_year-1,FF1_INPUT_columns,0))</f>
        <v>2886821179</v>
      </c>
      <c r="E41" s="1221">
        <f>INDEX(FF1_INPUT,MATCH($F41,INDEX(FF1_INPUT,,6),0),MATCH(data_year,FF1_INPUT_columns,0))</f>
        <v>3044271915</v>
      </c>
      <c r="F41" s="1569" t="s">
        <v>1359</v>
      </c>
      <c r="G41" s="2102"/>
      <c r="H41" s="1571"/>
      <c r="I41" s="2103"/>
      <c r="J41" s="1572" t="s">
        <v>1714</v>
      </c>
    </row>
    <row r="42" spans="1:11" s="462" customFormat="1">
      <c r="A42" s="1567">
        <f t="shared" si="0"/>
        <v>27</v>
      </c>
      <c r="B42" s="275"/>
      <c r="C42" s="275" t="str">
        <f>INDEX(FF1_INPUT,MATCH($F42,INDEX(FF1_INPUT,,6),0),MATCH(C$15,FF1_INPUT_columns,0))</f>
        <v>Accum Dep - Nuclear production</v>
      </c>
      <c r="D42" s="1103">
        <f>INDEX(FF1_INPUT,MATCH($F42,INDEX(FF1_INPUT,,6),0),MATCH(data_year-1,FF1_INPUT_columns,0))</f>
        <v>0</v>
      </c>
      <c r="E42" s="1221">
        <f>INDEX(FF1_INPUT,MATCH($F42,INDEX(FF1_INPUT,,6),0),MATCH(data_year,FF1_INPUT_columns,0))</f>
        <v>0</v>
      </c>
      <c r="F42" s="1569" t="s">
        <v>1360</v>
      </c>
      <c r="G42" s="2102"/>
      <c r="H42" s="1571"/>
      <c r="I42" s="2103"/>
      <c r="J42" s="1572" t="s">
        <v>1714</v>
      </c>
    </row>
    <row r="43" spans="1:11" s="462" customFormat="1">
      <c r="A43" s="1567">
        <f t="shared" si="0"/>
        <v>28</v>
      </c>
      <c r="B43" s="275"/>
      <c r="C43" s="275" t="str">
        <f>INDEX(FF1_INPUT,MATCH($F43,INDEX(FF1_INPUT,,6),0),MATCH(C$15,FF1_INPUT_columns,0))</f>
        <v>Accum Dep - Hydro (conventional) production</v>
      </c>
      <c r="D43" s="1103">
        <f>INDEX(FF1_INPUT,MATCH($F43,INDEX(FF1_INPUT,,6),0),MATCH(data_year-1,FF1_INPUT_columns,0))</f>
        <v>327988750</v>
      </c>
      <c r="E43" s="1221">
        <f>INDEX(FF1_INPUT,MATCH($F43,INDEX(FF1_INPUT,,6),0),MATCH(data_year,FF1_INPUT_columns,0))</f>
        <v>359720139</v>
      </c>
      <c r="F43" s="1569" t="s">
        <v>1361</v>
      </c>
      <c r="G43" s="2102"/>
      <c r="H43" s="1571"/>
      <c r="I43" s="2103"/>
      <c r="J43" s="1572" t="s">
        <v>1714</v>
      </c>
    </row>
    <row r="44" spans="1:11" s="462" customFormat="1">
      <c r="A44" s="1567">
        <f t="shared" si="0"/>
        <v>29</v>
      </c>
      <c r="B44" s="275"/>
      <c r="C44" s="275" t="str">
        <f>INDEX(FF1_INPUT,MATCH($F44,INDEX(FF1_INPUT,,6),0),MATCH(C$15,FF1_INPUT_columns,0))</f>
        <v>Accum Dep - Hydro (pumped storage) production</v>
      </c>
      <c r="D44" s="1103">
        <f>INDEX(FF1_INPUT,MATCH($F44,INDEX(FF1_INPUT,,6),0),MATCH(data_year-1,FF1_INPUT_columns,0))</f>
        <v>0</v>
      </c>
      <c r="E44" s="1221">
        <f>INDEX(FF1_INPUT,MATCH($F44,INDEX(FF1_INPUT,,6),0),MATCH(data_year,FF1_INPUT_columns,0))</f>
        <v>0</v>
      </c>
      <c r="F44" s="1569" t="s">
        <v>1362</v>
      </c>
      <c r="G44" s="2102"/>
      <c r="H44" s="1571"/>
      <c r="I44" s="2103"/>
      <c r="J44" s="1572" t="s">
        <v>1714</v>
      </c>
    </row>
    <row r="45" spans="1:11" s="462" customFormat="1">
      <c r="A45" s="1567">
        <f t="shared" si="0"/>
        <v>30</v>
      </c>
      <c r="B45" s="275"/>
      <c r="C45" s="275" t="str">
        <f>INDEX(FF1_INPUT,MATCH($F45,INDEX(FF1_INPUT,,6),0),MATCH(C$15,FF1_INPUT_columns,0))</f>
        <v>Accum Dep - Other production</v>
      </c>
      <c r="D45" s="1103">
        <f>INDEX(FF1_INPUT,MATCH($F45,INDEX(FF1_INPUT,,6),0),MATCH(data_year-1,FF1_INPUT_columns,0))</f>
        <v>847165096</v>
      </c>
      <c r="E45" s="1221">
        <f>INDEX(FF1_INPUT,MATCH($F45,INDEX(FF1_INPUT,,6),0),MATCH(data_year,FF1_INPUT_columns,0))</f>
        <v>916111993</v>
      </c>
      <c r="F45" s="1569" t="s">
        <v>1363</v>
      </c>
      <c r="G45" s="2102"/>
      <c r="H45" s="1571"/>
      <c r="I45" s="2103"/>
      <c r="J45" s="1572" t="s">
        <v>1714</v>
      </c>
    </row>
    <row r="46" spans="1:11" s="462" customFormat="1">
      <c r="A46" s="1567">
        <f t="shared" si="0"/>
        <v>31</v>
      </c>
      <c r="B46" s="275" t="str">
        <f>'Att 5 - Cost Support'!$C$130</f>
        <v>Production Accumulated Depreciation</v>
      </c>
      <c r="C46" s="275"/>
      <c r="D46" s="1575">
        <f>SUM(D41:D45)</f>
        <v>4061975025</v>
      </c>
      <c r="E46" s="1575">
        <f>SUM(E41:E45)</f>
        <v>4320104047</v>
      </c>
      <c r="F46" s="1569" t="s">
        <v>1364</v>
      </c>
      <c r="G46" s="1570" t="s">
        <v>1713</v>
      </c>
      <c r="H46" s="2094">
        <f ca="1">(INDIRECT(RIGHT(G46,LEN(G46)-1))-E46)</f>
        <v>0.46000003814697266</v>
      </c>
      <c r="I46" s="1672" t="s">
        <v>1399</v>
      </c>
      <c r="J46" s="1572" t="s">
        <v>1718</v>
      </c>
    </row>
    <row r="47" spans="1:11" s="462" customFormat="1">
      <c r="A47" s="1567">
        <f t="shared" si="0"/>
        <v>32</v>
      </c>
      <c r="B47" s="275"/>
      <c r="C47" s="2113"/>
      <c r="D47" s="2108"/>
      <c r="E47" s="2109"/>
      <c r="F47" s="2110"/>
      <c r="G47" s="2102"/>
      <c r="H47" s="1571"/>
      <c r="I47" s="2103"/>
      <c r="J47" s="2104"/>
    </row>
    <row r="48" spans="1:11">
      <c r="A48" s="1567">
        <f t="shared" si="0"/>
        <v>33</v>
      </c>
      <c r="B48" s="1231" t="str">
        <f>'Att 5 - Cost Support'!C145</f>
        <v>Construction Materials &amp; Supplies</v>
      </c>
      <c r="C48" s="275" t="str">
        <f>INDEX(FF1_INPUT,MATCH($F48,INDEX(FF1_INPUT,,6),0),MATCH(C$15,FF1_INPUT_columns,0))</f>
        <v>Materials and supplies - est construction (EoY)</v>
      </c>
      <c r="D48" s="1103">
        <f>INDEX(FF1_INPUT,MATCH($F48,INDEX(FF1_INPUT,,6),0),MATCH(data_year-1,FF1_INPUT_columns,0))</f>
        <v>134703542</v>
      </c>
      <c r="E48" s="1221">
        <f>INDEX(FF1_INPUT,MATCH($F48,INDEX(FF1_INPUT,,6),0),MATCH(data_year,FF1_INPUT_columns,0))</f>
        <v>142252190</v>
      </c>
      <c r="F48" s="1233" t="s">
        <v>408</v>
      </c>
      <c r="G48" s="1223" t="s">
        <v>1687</v>
      </c>
      <c r="H48" s="2094">
        <f t="shared" ref="H48:H53" ca="1" si="5">(INDIRECT(RIGHT(G48,LEN(G48)-1))-E48)</f>
        <v>0</v>
      </c>
      <c r="I48" s="1224" t="s">
        <v>1106</v>
      </c>
      <c r="J48" s="1225" t="s">
        <v>1107</v>
      </c>
    </row>
    <row r="49" spans="1:10">
      <c r="A49" s="1567">
        <f t="shared" si="0"/>
        <v>34</v>
      </c>
      <c r="B49" s="1231" t="str">
        <f>'Att 5 - Cost Support'!C149</f>
        <v>Transmission Materials &amp; Supplies</v>
      </c>
      <c r="C49" s="275" t="str">
        <f>INDEX(FF1_INPUT,MATCH($F49,INDEX(FF1_INPUT,,6),0),MATCH(C$15,FF1_INPUT_columns,0))</f>
        <v>Materials and supplies - transmission (EoY)</v>
      </c>
      <c r="D49" s="1103">
        <f>INDEX(FF1_INPUT,MATCH($F49,INDEX(FF1_INPUT,,6),0),MATCH(data_year-1,FF1_INPUT_columns,0))</f>
        <v>653625</v>
      </c>
      <c r="E49" s="1221">
        <f>INDEX(FF1_INPUT,MATCH($F49,INDEX(FF1_INPUT,,6),0),MATCH(data_year,FF1_INPUT_columns,0))</f>
        <v>715287</v>
      </c>
      <c r="F49" s="1233" t="s">
        <v>330</v>
      </c>
      <c r="G49" s="1223" t="s">
        <v>1688</v>
      </c>
      <c r="H49" s="2094">
        <f t="shared" ca="1" si="5"/>
        <v>0</v>
      </c>
      <c r="I49" s="1224" t="s">
        <v>1106</v>
      </c>
      <c r="J49" s="1225" t="s">
        <v>1107</v>
      </c>
    </row>
    <row r="50" spans="1:10">
      <c r="A50" s="1567">
        <f t="shared" si="0"/>
        <v>35</v>
      </c>
      <c r="B50" s="1231" t="str">
        <f>'Att 5 - Cost Support'!C141</f>
        <v>Undistributed Stores Expense</v>
      </c>
      <c r="C50" s="275" t="str">
        <f>INDEX(FF1_INPUT,MATCH($F50,INDEX(FF1_INPUT,,6),0),MATCH(C$15,FF1_INPUT_columns,0))</f>
        <v>FERC 163 - Undistributed stores expense</v>
      </c>
      <c r="D50" s="1103">
        <f>INDEX(FF1_INPUT,MATCH($F50,INDEX(FF1_INPUT,,6),0),MATCH(data_year-1,FF1_INPUT_columns,0))</f>
        <v>0</v>
      </c>
      <c r="E50" s="1221">
        <f>INDEX(FF1_INPUT,MATCH($F50,INDEX(FF1_INPUT,,6),0),MATCH(data_year,FF1_INPUT_columns,0))</f>
        <v>0</v>
      </c>
      <c r="F50" s="1233" t="s">
        <v>329</v>
      </c>
      <c r="G50" s="1223" t="s">
        <v>1689</v>
      </c>
      <c r="H50" s="2094">
        <f t="shared" ca="1" si="5"/>
        <v>0</v>
      </c>
      <c r="I50" s="1224" t="s">
        <v>1106</v>
      </c>
      <c r="J50" s="1225" t="s">
        <v>1107</v>
      </c>
    </row>
    <row r="51" spans="1:10" s="462" customFormat="1">
      <c r="A51" s="1567">
        <f t="shared" si="0"/>
        <v>36</v>
      </c>
      <c r="B51" s="2096"/>
      <c r="C51" s="275"/>
      <c r="D51" s="2108"/>
      <c r="E51" s="2111"/>
      <c r="F51" s="2106"/>
      <c r="G51" s="2105"/>
      <c r="H51" s="2117"/>
      <c r="I51" s="2106"/>
      <c r="J51" s="2107"/>
    </row>
    <row r="52" spans="1:10">
      <c r="A52" s="1567">
        <f t="shared" si="0"/>
        <v>37</v>
      </c>
      <c r="B52" s="2096" t="s">
        <v>2149</v>
      </c>
      <c r="C52" s="275" t="str">
        <f t="shared" ref="C52:C59" si="6">INDEX(FF1_INPUT,MATCH($F52,INDEX(FF1_INPUT,,6),0),MATCH(C$15,FF1_INPUT_columns,0))</f>
        <v>FERC 190 - ADIT (BoY)</v>
      </c>
      <c r="D52" s="1103">
        <f t="shared" ref="D52:D59" si="7">INDEX(FF1_INPUT,MATCH($F52,INDEX(FF1_INPUT,,6),0),MATCH(data_year-1,FF1_INPUT_columns,0))</f>
        <v>544969532</v>
      </c>
      <c r="E52" s="1673">
        <f t="shared" ref="E52:E59" si="8">INDEX(FF1_INPUT,MATCH($F52,INDEX(FF1_INPUT,,6),0),MATCH(data_year,FF1_INPUT_columns,0))</f>
        <v>606211204</v>
      </c>
      <c r="F52" s="1233" t="s">
        <v>1690</v>
      </c>
      <c r="G52" s="1223" t="s">
        <v>2177</v>
      </c>
      <c r="H52" s="2094">
        <f t="shared" ca="1" si="5"/>
        <v>0</v>
      </c>
      <c r="I52" s="1224" t="s">
        <v>1004</v>
      </c>
      <c r="J52" s="1572" t="s">
        <v>1715</v>
      </c>
    </row>
    <row r="53" spans="1:10" s="462" customFormat="1">
      <c r="A53" s="1567">
        <f t="shared" si="0"/>
        <v>38</v>
      </c>
      <c r="B53" s="2096" t="s">
        <v>2149</v>
      </c>
      <c r="C53" s="275" t="str">
        <f t="shared" si="6"/>
        <v>FERC 190 - ADIT (EoY)</v>
      </c>
      <c r="D53" s="1103">
        <f t="shared" si="7"/>
        <v>606211204</v>
      </c>
      <c r="E53" s="1673">
        <f t="shared" si="8"/>
        <v>541859343</v>
      </c>
      <c r="F53" s="2115" t="s">
        <v>333</v>
      </c>
      <c r="G53" s="2098" t="s">
        <v>2181</v>
      </c>
      <c r="H53" s="2094">
        <f t="shared" ca="1" si="5"/>
        <v>-1</v>
      </c>
      <c r="I53" s="2099" t="s">
        <v>963</v>
      </c>
      <c r="J53" s="1572" t="s">
        <v>1715</v>
      </c>
    </row>
    <row r="54" spans="1:10" s="462" customFormat="1">
      <c r="A54" s="1567">
        <f t="shared" si="0"/>
        <v>39</v>
      </c>
      <c r="B54" s="2096" t="s">
        <v>2150</v>
      </c>
      <c r="C54" s="275" t="str">
        <f t="shared" si="6"/>
        <v>FERC 281 - ADIT (BoY)</v>
      </c>
      <c r="D54" s="1103">
        <f t="shared" si="7"/>
        <v>252151842</v>
      </c>
      <c r="E54" s="1673">
        <f t="shared" si="8"/>
        <v>285986998</v>
      </c>
      <c r="F54" s="2115" t="s">
        <v>1691</v>
      </c>
      <c r="G54" s="2098" t="s">
        <v>2178</v>
      </c>
      <c r="H54" s="2094">
        <f t="shared" ref="H54:H59" ca="1" si="9">(INDIRECT(RIGHT(G54,LEN(G54)-1))--E54)</f>
        <v>0</v>
      </c>
      <c r="I54" s="1224" t="s">
        <v>1004</v>
      </c>
      <c r="J54" s="1572" t="s">
        <v>1716</v>
      </c>
    </row>
    <row r="55" spans="1:10" s="462" customFormat="1">
      <c r="A55" s="1567">
        <f t="shared" si="0"/>
        <v>40</v>
      </c>
      <c r="B55" s="2096" t="s">
        <v>2151</v>
      </c>
      <c r="C55" s="275" t="str">
        <f t="shared" si="6"/>
        <v>FERC 281 - ADIT (EoY)</v>
      </c>
      <c r="D55" s="1103">
        <f t="shared" si="7"/>
        <v>285986998</v>
      </c>
      <c r="E55" s="1673">
        <f t="shared" si="8"/>
        <v>306993377</v>
      </c>
      <c r="F55" s="2115" t="s">
        <v>1692</v>
      </c>
      <c r="G55" s="2098" t="s">
        <v>2182</v>
      </c>
      <c r="H55" s="2094">
        <f t="shared" ca="1" si="9"/>
        <v>0</v>
      </c>
      <c r="I55" s="2099" t="s">
        <v>963</v>
      </c>
      <c r="J55" s="1572" t="s">
        <v>1716</v>
      </c>
    </row>
    <row r="56" spans="1:10" s="462" customFormat="1">
      <c r="A56" s="1567">
        <f t="shared" si="0"/>
        <v>41</v>
      </c>
      <c r="B56" s="2096" t="s">
        <v>2152</v>
      </c>
      <c r="C56" s="275" t="str">
        <f t="shared" si="6"/>
        <v>FERC 282 - ADIT (BoY)</v>
      </c>
      <c r="D56" s="1103">
        <f t="shared" si="7"/>
        <v>4244780923</v>
      </c>
      <c r="E56" s="1673">
        <f t="shared" si="8"/>
        <v>4414667387</v>
      </c>
      <c r="F56" s="2115" t="s">
        <v>1693</v>
      </c>
      <c r="G56" s="2098" t="s">
        <v>2179</v>
      </c>
      <c r="H56" s="2094">
        <f t="shared" ca="1" si="9"/>
        <v>0</v>
      </c>
      <c r="I56" s="1224" t="s">
        <v>1004</v>
      </c>
      <c r="J56" s="1572" t="s">
        <v>1716</v>
      </c>
    </row>
    <row r="57" spans="1:10" s="462" customFormat="1">
      <c r="A57" s="1567">
        <f t="shared" si="0"/>
        <v>42</v>
      </c>
      <c r="B57" s="2096" t="s">
        <v>2152</v>
      </c>
      <c r="C57" s="275" t="str">
        <f t="shared" si="6"/>
        <v>FERC 282 - ADIT (EoY)</v>
      </c>
      <c r="D57" s="1103">
        <f t="shared" si="7"/>
        <v>4414667387</v>
      </c>
      <c r="E57" s="1673">
        <f t="shared" si="8"/>
        <v>4518977533</v>
      </c>
      <c r="F57" s="2115" t="s">
        <v>1694</v>
      </c>
      <c r="G57" s="2098" t="s">
        <v>2183</v>
      </c>
      <c r="H57" s="2094">
        <f t="shared" ca="1" si="9"/>
        <v>-10</v>
      </c>
      <c r="I57" s="2099" t="s">
        <v>963</v>
      </c>
      <c r="J57" s="1572" t="s">
        <v>1716</v>
      </c>
    </row>
    <row r="58" spans="1:10" s="462" customFormat="1">
      <c r="A58" s="1567">
        <f t="shared" si="0"/>
        <v>43</v>
      </c>
      <c r="B58" s="2096" t="s">
        <v>2153</v>
      </c>
      <c r="C58" s="275" t="str">
        <f t="shared" si="6"/>
        <v>FERC 283 - ADIT (BoY)</v>
      </c>
      <c r="D58" s="1103">
        <f t="shared" si="7"/>
        <v>633311644</v>
      </c>
      <c r="E58" s="1673">
        <f t="shared" si="8"/>
        <v>657526736</v>
      </c>
      <c r="F58" s="2115" t="s">
        <v>1695</v>
      </c>
      <c r="G58" s="2098" t="s">
        <v>2180</v>
      </c>
      <c r="H58" s="2094">
        <f t="shared" ca="1" si="9"/>
        <v>0</v>
      </c>
      <c r="I58" s="1224" t="s">
        <v>1004</v>
      </c>
      <c r="J58" s="1572" t="s">
        <v>1716</v>
      </c>
    </row>
    <row r="59" spans="1:10" s="462" customFormat="1">
      <c r="A59" s="1567">
        <f t="shared" si="0"/>
        <v>44</v>
      </c>
      <c r="B59" s="2096" t="s">
        <v>2153</v>
      </c>
      <c r="C59" s="275" t="str">
        <f t="shared" si="6"/>
        <v>FERC 283 - ADIT (EoY)</v>
      </c>
      <c r="D59" s="1103">
        <f t="shared" si="7"/>
        <v>657526736</v>
      </c>
      <c r="E59" s="1673">
        <f t="shared" si="8"/>
        <v>603137231</v>
      </c>
      <c r="F59" s="2115" t="s">
        <v>1696</v>
      </c>
      <c r="G59" s="2098" t="s">
        <v>2184</v>
      </c>
      <c r="H59" s="2094">
        <f t="shared" ca="1" si="9"/>
        <v>1</v>
      </c>
      <c r="I59" s="2099" t="s">
        <v>963</v>
      </c>
      <c r="J59" s="1572" t="s">
        <v>1716</v>
      </c>
    </row>
    <row r="60" spans="1:10" s="462" customFormat="1">
      <c r="A60" s="1567">
        <f t="shared" si="0"/>
        <v>45</v>
      </c>
      <c r="B60" s="2116"/>
      <c r="C60" s="275"/>
      <c r="D60" s="2108"/>
      <c r="E60" s="2120"/>
      <c r="F60" s="2106"/>
      <c r="G60" s="2105"/>
      <c r="H60" s="2101"/>
      <c r="I60" s="2106"/>
      <c r="J60" s="2107"/>
    </row>
    <row r="61" spans="1:10">
      <c r="A61" s="1567">
        <f t="shared" si="0"/>
        <v>46</v>
      </c>
      <c r="B61" s="1231" t="str">
        <f>'Att 5 - Cost Support'!C243</f>
        <v>(561) Load Dispatching</v>
      </c>
      <c r="C61" s="275" t="str">
        <f t="shared" ref="C61:C67" si="10">INDEX(FF1_INPUT,MATCH($F61,INDEX(FF1_INPUT,,6),0),MATCH(C$15,FF1_INPUT_columns,0))</f>
        <v>FERC 561 - Load Dispatch (LD)</v>
      </c>
      <c r="D61" s="1103">
        <f t="shared" ref="D61:D67" si="11">INDEX(FF1_INPUT,MATCH($F61,INDEX(FF1_INPUT,,6),0),MATCH(data_year-1,FF1_INPUT_columns,0))</f>
        <v>0</v>
      </c>
      <c r="E61" s="1221">
        <f t="shared" ref="E61:E67" si="12">INDEX(FF1_INPUT,MATCH($F61,INDEX(FF1_INPUT,,6),0),MATCH(data_year,FF1_INPUT_columns,0))</f>
        <v>0</v>
      </c>
      <c r="F61" s="1233" t="s">
        <v>640</v>
      </c>
      <c r="G61" s="1234" t="s">
        <v>2174</v>
      </c>
      <c r="H61" s="2094">
        <f t="shared" ref="H61:H80" ca="1" si="13">(INDIRECT(RIGHT(G61,LEN(G61)-1))-E61)</f>
        <v>0</v>
      </c>
      <c r="I61" s="1224" t="s">
        <v>1106</v>
      </c>
      <c r="J61" s="1225" t="s">
        <v>1116</v>
      </c>
    </row>
    <row r="62" spans="1:10" s="462" customFormat="1">
      <c r="A62" s="1567">
        <f t="shared" si="0"/>
        <v>47</v>
      </c>
      <c r="B62" s="1231" t="str">
        <f>'Att 5 - Cost Support'!C244</f>
        <v>(561.1) Load Dispatch-Reliability</v>
      </c>
      <c r="C62" s="275" t="str">
        <f t="shared" si="10"/>
        <v>FERC 561.1 - LD reliability</v>
      </c>
      <c r="D62" s="1103">
        <f t="shared" si="11"/>
        <v>0</v>
      </c>
      <c r="E62" s="1221">
        <f t="shared" si="12"/>
        <v>0</v>
      </c>
      <c r="F62" s="1233" t="s">
        <v>1112</v>
      </c>
      <c r="G62" s="1234" t="s">
        <v>2175</v>
      </c>
      <c r="H62" s="2094">
        <f t="shared" ca="1" si="13"/>
        <v>0</v>
      </c>
      <c r="I62" s="1224" t="s">
        <v>1106</v>
      </c>
      <c r="J62" s="1225" t="s">
        <v>1116</v>
      </c>
    </row>
    <row r="63" spans="1:10">
      <c r="A63" s="1567">
        <f t="shared" si="0"/>
        <v>48</v>
      </c>
      <c r="B63" s="1231" t="str">
        <f>'Att 5 - Cost Support'!C245</f>
        <v>(561.2) Load Dispatch-Monitor and Operate Transmission System</v>
      </c>
      <c r="C63" s="275" t="str">
        <f t="shared" si="10"/>
        <v>FERC 561.2 - LD monitor operate</v>
      </c>
      <c r="D63" s="1103">
        <f t="shared" si="11"/>
        <v>6818716</v>
      </c>
      <c r="E63" s="1221">
        <f t="shared" si="12"/>
        <v>7180746</v>
      </c>
      <c r="F63" s="1233" t="s">
        <v>204</v>
      </c>
      <c r="G63" s="1234" t="s">
        <v>1973</v>
      </c>
      <c r="H63" s="2094">
        <f ca="1">(INDIRECT(RIGHT(G63,LEN(G63)-1))-E63)</f>
        <v>0</v>
      </c>
      <c r="I63" s="1224" t="s">
        <v>1106</v>
      </c>
      <c r="J63" s="1225" t="s">
        <v>1116</v>
      </c>
    </row>
    <row r="64" spans="1:10">
      <c r="A64" s="1567">
        <f t="shared" si="0"/>
        <v>49</v>
      </c>
      <c r="B64" s="1231" t="str">
        <f>'Att 5 - Cost Support'!C246</f>
        <v>(561.3) Load Dispatch-Transmission Service and Scheduling</v>
      </c>
      <c r="C64" s="275" t="str">
        <f t="shared" si="10"/>
        <v>FERC 561.3 - LD service scheduling</v>
      </c>
      <c r="D64" s="1103">
        <f t="shared" si="11"/>
        <v>0</v>
      </c>
      <c r="E64" s="1221">
        <f t="shared" si="12"/>
        <v>0</v>
      </c>
      <c r="F64" s="1233" t="s">
        <v>423</v>
      </c>
      <c r="G64" s="1234" t="s">
        <v>1697</v>
      </c>
      <c r="H64" s="2094">
        <f t="shared" ca="1" si="13"/>
        <v>0</v>
      </c>
      <c r="I64" s="1224" t="s">
        <v>1106</v>
      </c>
      <c r="J64" s="1225" t="s">
        <v>1116</v>
      </c>
    </row>
    <row r="65" spans="1:10">
      <c r="A65" s="1567">
        <f t="shared" si="0"/>
        <v>50</v>
      </c>
      <c r="B65" s="1231" t="str">
        <f>'Att 5 - Cost Support'!C247</f>
        <v>(561.4) Scheduling, System Control and Dispatch Services</v>
      </c>
      <c r="C65" s="275" t="str">
        <f t="shared" si="10"/>
        <v>FERC 561.4 - Sched, sys control, dispatch</v>
      </c>
      <c r="D65" s="1103">
        <f t="shared" si="11"/>
        <v>2106756</v>
      </c>
      <c r="E65" s="1221">
        <f t="shared" si="12"/>
        <v>1818514</v>
      </c>
      <c r="F65" s="1233" t="s">
        <v>205</v>
      </c>
      <c r="G65" s="1234" t="s">
        <v>1698</v>
      </c>
      <c r="H65" s="2094">
        <f t="shared" ca="1" si="13"/>
        <v>0</v>
      </c>
      <c r="I65" s="1224" t="s">
        <v>1106</v>
      </c>
      <c r="J65" s="1225" t="s">
        <v>1116</v>
      </c>
    </row>
    <row r="66" spans="1:10">
      <c r="A66" s="1567">
        <f t="shared" si="0"/>
        <v>51</v>
      </c>
      <c r="B66" s="1231" t="str">
        <f>'Att 5 - Cost Support'!C248</f>
        <v>(561.5) Reliability, Planning and Standards Development</v>
      </c>
      <c r="C66" s="275" t="str">
        <f t="shared" si="10"/>
        <v>FERC 561.5 - Reliability, plan, standards</v>
      </c>
      <c r="D66" s="1103">
        <f t="shared" si="11"/>
        <v>1326587</v>
      </c>
      <c r="E66" s="1221">
        <f t="shared" si="12"/>
        <v>1747640</v>
      </c>
      <c r="F66" s="1233" t="s">
        <v>424</v>
      </c>
      <c r="G66" s="1234" t="s">
        <v>1974</v>
      </c>
      <c r="H66" s="2094">
        <f t="shared" ca="1" si="13"/>
        <v>0</v>
      </c>
      <c r="I66" s="1224" t="s">
        <v>1106</v>
      </c>
      <c r="J66" s="1225" t="s">
        <v>1116</v>
      </c>
    </row>
    <row r="67" spans="1:10">
      <c r="A67" s="1567">
        <f t="shared" si="0"/>
        <v>52</v>
      </c>
      <c r="B67" s="1231" t="str">
        <f>'Att 5 - Cost Support'!C251</f>
        <v xml:space="preserve">     Less: Account 565</v>
      </c>
      <c r="C67" s="275" t="str">
        <f t="shared" si="10"/>
        <v>FERC 565  - Transmission by others</v>
      </c>
      <c r="D67" s="1103">
        <f t="shared" si="11"/>
        <v>148425345</v>
      </c>
      <c r="E67" s="1221">
        <f t="shared" si="12"/>
        <v>130788907</v>
      </c>
      <c r="F67" s="1233" t="s">
        <v>32</v>
      </c>
      <c r="G67" s="1234" t="s">
        <v>2176</v>
      </c>
      <c r="H67" s="2094">
        <f t="shared" ca="1" si="13"/>
        <v>0</v>
      </c>
      <c r="I67" s="1224" t="s">
        <v>1106</v>
      </c>
      <c r="J67" s="1225" t="s">
        <v>1116</v>
      </c>
    </row>
    <row r="68" spans="1:10" s="462" customFormat="1">
      <c r="A68" s="1567">
        <f t="shared" si="0"/>
        <v>53</v>
      </c>
      <c r="B68" s="2096"/>
      <c r="C68" s="275"/>
      <c r="D68" s="2108"/>
      <c r="E68" s="2111"/>
      <c r="F68" s="2106"/>
      <c r="G68" s="2119"/>
      <c r="H68" s="2117"/>
      <c r="I68" s="2106"/>
      <c r="J68" s="2107"/>
    </row>
    <row r="69" spans="1:10">
      <c r="A69" s="1567">
        <f t="shared" si="0"/>
        <v>54</v>
      </c>
      <c r="B69" s="1231" t="str">
        <f>'Att 5 - Cost Support'!C240</f>
        <v>Transmission O&amp;M</v>
      </c>
      <c r="C69" s="275" t="str">
        <f t="shared" ref="C69:C82" si="14">INDEX(FF1_INPUT,MATCH($F69,INDEX(FF1_INPUT,,6),0),MATCH(C$15,FF1_INPUT_columns,0))</f>
        <v>Total Transmission Expenses</v>
      </c>
      <c r="D69" s="1103">
        <f t="shared" ref="D69:D82" si="15">INDEX(FF1_INPUT,MATCH($F69,INDEX(FF1_INPUT,,6),0),MATCH(data_year-1,FF1_INPUT_columns,0))</f>
        <v>215664453</v>
      </c>
      <c r="E69" s="1221">
        <f t="shared" ref="E69:E82" si="16">INDEX(FF1_INPUT,MATCH($F69,INDEX(FF1_INPUT,,6),0),MATCH(data_year,FF1_INPUT_columns,0))</f>
        <v>203261005</v>
      </c>
      <c r="F69" s="1233" t="s">
        <v>33</v>
      </c>
      <c r="G69" s="1234" t="s">
        <v>2166</v>
      </c>
      <c r="H69" s="2094">
        <f t="shared" ca="1" si="13"/>
        <v>0</v>
      </c>
      <c r="I69" s="1224" t="s">
        <v>1106</v>
      </c>
      <c r="J69" s="1225" t="s">
        <v>1116</v>
      </c>
    </row>
    <row r="70" spans="1:10">
      <c r="A70" s="1567">
        <f t="shared" si="0"/>
        <v>55</v>
      </c>
      <c r="B70" s="1231" t="str">
        <f>'Att 5 - Cost Support'!$C$196</f>
        <v>Property Insurance Account 924</v>
      </c>
      <c r="C70" s="275" t="str">
        <f t="shared" si="14"/>
        <v>FERC 924 - Property Insurance</v>
      </c>
      <c r="D70" s="1103">
        <f t="shared" si="15"/>
        <v>15938310</v>
      </c>
      <c r="E70" s="1221">
        <f t="shared" si="16"/>
        <v>14265351</v>
      </c>
      <c r="F70" s="1233" t="s">
        <v>34</v>
      </c>
      <c r="G70" s="1234" t="s">
        <v>2167</v>
      </c>
      <c r="H70" s="2094">
        <f t="shared" ca="1" si="13"/>
        <v>0</v>
      </c>
      <c r="I70" s="1224" t="s">
        <v>1106</v>
      </c>
      <c r="J70" s="1225" t="s">
        <v>1120</v>
      </c>
    </row>
    <row r="71" spans="1:10">
      <c r="A71" s="1567">
        <f t="shared" si="0"/>
        <v>56</v>
      </c>
      <c r="B71" s="1231" t="str">
        <f>'Appendix A'!$C$121</f>
        <v xml:space="preserve">    Less Regulatory Commission Exp Account 928</v>
      </c>
      <c r="C71" s="275" t="str">
        <f t="shared" si="14"/>
        <v>FERC 928 - Regulatory Commission Expenses</v>
      </c>
      <c r="D71" s="1103">
        <f t="shared" si="15"/>
        <v>22275686</v>
      </c>
      <c r="E71" s="1221">
        <f t="shared" si="16"/>
        <v>25261821</v>
      </c>
      <c r="F71" s="1233" t="s">
        <v>35</v>
      </c>
      <c r="G71" s="1234" t="s">
        <v>1699</v>
      </c>
      <c r="H71" s="2094">
        <f t="shared" ca="1" si="13"/>
        <v>0</v>
      </c>
      <c r="I71" s="1224" t="s">
        <v>335</v>
      </c>
      <c r="J71" s="1225" t="str">
        <f ca="1">"Line "&amp;OFFSET(INDIRECT(RIGHT(G71,LEN(G71)-1)),0,-7)</f>
        <v>Line 61</v>
      </c>
    </row>
    <row r="72" spans="1:10">
      <c r="A72" s="1567">
        <f t="shared" si="0"/>
        <v>57</v>
      </c>
      <c r="B72" s="1231" t="str">
        <f>'Appendix A'!$C$122</f>
        <v xml:space="preserve">    Less General Advertising Exp Account 930.1</v>
      </c>
      <c r="C72" s="275" t="str">
        <f t="shared" si="14"/>
        <v>FERC 930.1 - General Advertising Expenses</v>
      </c>
      <c r="D72" s="1103">
        <f t="shared" si="15"/>
        <v>319</v>
      </c>
      <c r="E72" s="1221">
        <f t="shared" si="16"/>
        <v>1818</v>
      </c>
      <c r="F72" s="1233" t="s">
        <v>38</v>
      </c>
      <c r="G72" s="1234" t="s">
        <v>1700</v>
      </c>
      <c r="H72" s="2094">
        <f t="shared" ca="1" si="13"/>
        <v>0</v>
      </c>
      <c r="I72" s="1224" t="s">
        <v>335</v>
      </c>
      <c r="J72" s="1225" t="str">
        <f ca="1">"Line "&amp;OFFSET(INDIRECT(RIGHT(G72,LEN(G72)-1)),0,-7)</f>
        <v>Line 62</v>
      </c>
    </row>
    <row r="73" spans="1:10">
      <c r="A73" s="1567">
        <f t="shared" si="0"/>
        <v>58</v>
      </c>
      <c r="B73" s="1231" t="str">
        <f>'Appendix A'!C117</f>
        <v>Total A&amp;G</v>
      </c>
      <c r="C73" s="275" t="str">
        <f t="shared" si="14"/>
        <v>Total A&amp;G Expenses</v>
      </c>
      <c r="D73" s="1103">
        <f t="shared" si="15"/>
        <v>134217341</v>
      </c>
      <c r="E73" s="1221">
        <f t="shared" si="16"/>
        <v>129632900</v>
      </c>
      <c r="F73" s="1233" t="s">
        <v>111</v>
      </c>
      <c r="G73" s="1234" t="s">
        <v>1701</v>
      </c>
      <c r="H73" s="2094">
        <f t="shared" ca="1" si="13"/>
        <v>0</v>
      </c>
      <c r="I73" s="1224" t="s">
        <v>335</v>
      </c>
      <c r="J73" s="1225" t="str">
        <f ca="1">"Line "&amp;OFFSET(INDIRECT(RIGHT(G73,LEN(G73)-1)),0,-7)</f>
        <v>Line 57</v>
      </c>
    </row>
    <row r="74" spans="1:10">
      <c r="A74" s="1567">
        <f t="shared" si="0"/>
        <v>59</v>
      </c>
      <c r="B74" s="1231" t="str">
        <f>'Att 5 - Cost Support'!C286</f>
        <v>Amortization of limited term electric plant (404)</v>
      </c>
      <c r="C74" s="275" t="str">
        <f t="shared" si="14"/>
        <v>Amort - Intangible, ltd term (FERC 404)</v>
      </c>
      <c r="D74" s="1103">
        <f t="shared" si="15"/>
        <v>36050777</v>
      </c>
      <c r="E74" s="1221">
        <f t="shared" si="16"/>
        <v>36791866</v>
      </c>
      <c r="F74" s="1233" t="s">
        <v>293</v>
      </c>
      <c r="G74" s="1234" t="s">
        <v>2168</v>
      </c>
      <c r="H74" s="2094">
        <f t="shared" ca="1" si="13"/>
        <v>0</v>
      </c>
      <c r="I74" s="1224" t="s">
        <v>1106</v>
      </c>
      <c r="J74" s="1225" t="s">
        <v>1121</v>
      </c>
    </row>
    <row r="75" spans="1:10">
      <c r="A75" s="1567">
        <f t="shared" si="0"/>
        <v>60</v>
      </c>
      <c r="B75" s="1231" t="str">
        <f>'Att 5 - Cost Support'!C287</f>
        <v>Amortization of other electric plant (405)</v>
      </c>
      <c r="C75" s="275" t="str">
        <f t="shared" si="14"/>
        <v>Amort exp - Intangible (FERC 405)</v>
      </c>
      <c r="D75" s="1103">
        <f t="shared" si="15"/>
        <v>0</v>
      </c>
      <c r="E75" s="1221">
        <f t="shared" si="16"/>
        <v>0</v>
      </c>
      <c r="F75" s="1233" t="s">
        <v>331</v>
      </c>
      <c r="G75" s="1234" t="s">
        <v>2169</v>
      </c>
      <c r="H75" s="2094">
        <f t="shared" ca="1" si="13"/>
        <v>0</v>
      </c>
      <c r="I75" s="1224" t="s">
        <v>1106</v>
      </c>
      <c r="J75" s="1225" t="s">
        <v>1121</v>
      </c>
    </row>
    <row r="76" spans="1:10">
      <c r="A76" s="1567">
        <f t="shared" si="0"/>
        <v>61</v>
      </c>
      <c r="B76" s="1231" t="str">
        <f>'Att 5 - Cost Support'!C276</f>
        <v>Depreciation expense (403)</v>
      </c>
      <c r="C76" s="275" t="str">
        <f t="shared" si="14"/>
        <v>Dep exp - Transmission (FERC 403)</v>
      </c>
      <c r="D76" s="1103">
        <f t="shared" si="15"/>
        <v>99238672</v>
      </c>
      <c r="E76" s="1221">
        <f t="shared" si="16"/>
        <v>104655006</v>
      </c>
      <c r="F76" s="1233" t="s">
        <v>295</v>
      </c>
      <c r="G76" s="1234" t="s">
        <v>2170</v>
      </c>
      <c r="H76" s="2094">
        <f t="shared" ca="1" si="13"/>
        <v>0</v>
      </c>
      <c r="I76" s="1224" t="s">
        <v>1106</v>
      </c>
      <c r="J76" s="1225" t="s">
        <v>1121</v>
      </c>
    </row>
    <row r="77" spans="1:10">
      <c r="A77" s="1567">
        <f t="shared" si="0"/>
        <v>62</v>
      </c>
      <c r="B77" s="1231" t="str">
        <f>'Att 5 - Cost Support'!C277</f>
        <v>Amortization of limited term electric plant (404)</v>
      </c>
      <c r="C77" s="275" t="str">
        <f t="shared" si="14"/>
        <v>Dep exp - Transmission, ltd term (FERC 404)</v>
      </c>
      <c r="D77" s="1103">
        <f t="shared" si="15"/>
        <v>0</v>
      </c>
      <c r="E77" s="1221">
        <f t="shared" si="16"/>
        <v>0</v>
      </c>
      <c r="F77" s="1233" t="s">
        <v>294</v>
      </c>
      <c r="G77" s="1234" t="s">
        <v>2171</v>
      </c>
      <c r="H77" s="2094">
        <f t="shared" ca="1" si="13"/>
        <v>0</v>
      </c>
      <c r="I77" s="1224" t="s">
        <v>1106</v>
      </c>
      <c r="J77" s="1225" t="s">
        <v>1121</v>
      </c>
    </row>
    <row r="78" spans="1:10">
      <c r="A78" s="1567">
        <f t="shared" si="0"/>
        <v>63</v>
      </c>
      <c r="B78" s="1231" t="str">
        <f>'Att 5 - Cost Support'!C281</f>
        <v>Depreciation expense (403)</v>
      </c>
      <c r="C78" s="275" t="str">
        <f t="shared" si="14"/>
        <v>Dep exp - General (FERC 403)</v>
      </c>
      <c r="D78" s="1103">
        <f t="shared" si="15"/>
        <v>39308259</v>
      </c>
      <c r="E78" s="1221">
        <f t="shared" si="16"/>
        <v>39923447</v>
      </c>
      <c r="F78" s="1233" t="s">
        <v>297</v>
      </c>
      <c r="G78" s="1234" t="s">
        <v>2172</v>
      </c>
      <c r="H78" s="2094">
        <f t="shared" ca="1" si="13"/>
        <v>0</v>
      </c>
      <c r="I78" s="1224" t="s">
        <v>1106</v>
      </c>
      <c r="J78" s="1225" t="s">
        <v>1121</v>
      </c>
    </row>
    <row r="79" spans="1:10">
      <c r="A79" s="1567">
        <f t="shared" si="0"/>
        <v>64</v>
      </c>
      <c r="B79" s="1231" t="str">
        <f>'Att 5 - Cost Support'!C282</f>
        <v>Amortization of limited term electric plant (404)</v>
      </c>
      <c r="C79" s="275" t="str">
        <f t="shared" si="14"/>
        <v>Dep exp - General, ltd term (FERC 404)</v>
      </c>
      <c r="D79" s="1103">
        <f t="shared" si="15"/>
        <v>1358159</v>
      </c>
      <c r="E79" s="1221">
        <f t="shared" si="16"/>
        <v>1480588</v>
      </c>
      <c r="F79" s="1233" t="s">
        <v>296</v>
      </c>
      <c r="G79" s="1234" t="s">
        <v>2173</v>
      </c>
      <c r="H79" s="2094">
        <f t="shared" ca="1" si="13"/>
        <v>0</v>
      </c>
      <c r="I79" s="1224" t="s">
        <v>1106</v>
      </c>
      <c r="J79" s="1225" t="s">
        <v>1121</v>
      </c>
    </row>
    <row r="80" spans="1:10">
      <c r="A80" s="1567">
        <f t="shared" si="0"/>
        <v>65</v>
      </c>
      <c r="B80" s="1231" t="str">
        <f>'Appendix A'!$C$12</f>
        <v>Transmission Wages Expense</v>
      </c>
      <c r="C80" s="275" t="str">
        <f t="shared" si="14"/>
        <v>Transmisison wages and salaries</v>
      </c>
      <c r="D80" s="1221">
        <f t="shared" si="15"/>
        <v>25137301</v>
      </c>
      <c r="E80" s="1221">
        <f t="shared" si="16"/>
        <v>27291677</v>
      </c>
      <c r="F80" s="1233" t="s">
        <v>44</v>
      </c>
      <c r="G80" s="1234" t="s">
        <v>1702</v>
      </c>
      <c r="H80" s="2094">
        <f t="shared" ca="1" si="13"/>
        <v>0</v>
      </c>
      <c r="I80" s="1224" t="s">
        <v>335</v>
      </c>
      <c r="J80" s="1225" t="str">
        <f ca="1">"Line "&amp;OFFSET(INDIRECT(RIGHT(G80,LEN(G80)-1)),0,-7)</f>
        <v>Line 1</v>
      </c>
    </row>
    <row r="81" spans="1:10">
      <c r="A81" s="1567">
        <f t="shared" si="0"/>
        <v>66</v>
      </c>
      <c r="B81" s="1231" t="str">
        <f>'Appendix A'!$C$14</f>
        <v>Total Wages Expense</v>
      </c>
      <c r="C81" s="275" t="str">
        <f t="shared" si="14"/>
        <v>Total O&amp;M salaries</v>
      </c>
      <c r="D81" s="1221">
        <f t="shared" si="15"/>
        <v>356682932</v>
      </c>
      <c r="E81" s="1221">
        <f t="shared" si="16"/>
        <v>351524131</v>
      </c>
      <c r="F81" s="1233" t="s">
        <v>46</v>
      </c>
      <c r="G81" s="1234" t="s">
        <v>1704</v>
      </c>
      <c r="H81" s="2094">
        <f ca="1">(INDIRECT(RIGHT(G81,LEN(G81)-1))-E81)</f>
        <v>0</v>
      </c>
      <c r="I81" s="1224" t="s">
        <v>335</v>
      </c>
      <c r="J81" s="1225" t="str">
        <f ca="1">"Line "&amp;OFFSET(INDIRECT(RIGHT(G81,LEN(G81)-1)),0,-7)</f>
        <v>Line 2</v>
      </c>
    </row>
    <row r="82" spans="1:10" s="462" customFormat="1">
      <c r="A82" s="1567">
        <f t="shared" si="0"/>
        <v>67</v>
      </c>
      <c r="B82" s="1231" t="str">
        <f>'Appendix A'!$C$15</f>
        <v>Less A&amp;G Wages Expense</v>
      </c>
      <c r="C82" s="275" t="str">
        <f t="shared" si="14"/>
        <v>A&amp;G wages and salaries</v>
      </c>
      <c r="D82" s="1221">
        <f t="shared" si="15"/>
        <v>37744556</v>
      </c>
      <c r="E82" s="1221">
        <f t="shared" si="16"/>
        <v>38710883</v>
      </c>
      <c r="F82" s="1233" t="s">
        <v>45</v>
      </c>
      <c r="G82" s="1234" t="s">
        <v>1703</v>
      </c>
      <c r="H82" s="2094">
        <f ca="1">(INDIRECT(RIGHT(G82,LEN(G82)-1))-E82)</f>
        <v>0</v>
      </c>
      <c r="I82" s="1224" t="s">
        <v>335</v>
      </c>
      <c r="J82" s="1225" t="str">
        <f ca="1">"Line "&amp;OFFSET(INDIRECT(RIGHT(G82,LEN(G82)-1)),0,-7)</f>
        <v>Line 3</v>
      </c>
    </row>
    <row r="83" spans="1:10">
      <c r="A83" s="112"/>
      <c r="D83" s="273"/>
      <c r="E83" s="273"/>
      <c r="G83" s="273"/>
      <c r="H83" s="273"/>
    </row>
    <row r="84" spans="1:10">
      <c r="C84" s="322"/>
      <c r="D84" s="650"/>
    </row>
    <row r="85" spans="1:10" ht="15.75" thickBot="1">
      <c r="A85" s="1089" t="s">
        <v>1124</v>
      </c>
      <c r="D85" s="273"/>
      <c r="E85" s="273"/>
      <c r="G85" s="273"/>
      <c r="H85" s="273"/>
    </row>
    <row r="86" spans="1:10" ht="13.5" thickBot="1">
      <c r="A86" s="1112" t="s">
        <v>30</v>
      </c>
      <c r="B86" s="1215" t="s">
        <v>1087</v>
      </c>
      <c r="C86" s="1216" t="s">
        <v>1836</v>
      </c>
      <c r="D86" s="1105" t="s">
        <v>1391</v>
      </c>
      <c r="E86" s="1105" t="s">
        <v>1390</v>
      </c>
      <c r="F86" s="1217" t="s">
        <v>26</v>
      </c>
      <c r="G86" s="2194"/>
      <c r="H86" s="2745" t="s">
        <v>304</v>
      </c>
      <c r="I86" s="2746"/>
      <c r="J86" s="322"/>
    </row>
    <row r="87" spans="1:10" s="462" customFormat="1">
      <c r="A87" s="251">
        <v>0</v>
      </c>
      <c r="B87" s="1160"/>
      <c r="C87" s="1082"/>
      <c r="D87" s="1757">
        <v>2015</v>
      </c>
      <c r="E87" s="1757">
        <v>2016</v>
      </c>
      <c r="F87" s="251"/>
      <c r="G87" s="251"/>
      <c r="H87" s="251"/>
      <c r="I87" s="251"/>
      <c r="J87" s="322"/>
    </row>
    <row r="88" spans="1:10" ht="25.5">
      <c r="A88" s="1769">
        <f>A87+1</f>
        <v>1</v>
      </c>
      <c r="B88" s="1770" t="s">
        <v>10</v>
      </c>
      <c r="C88" s="2193" t="s">
        <v>1827</v>
      </c>
      <c r="D88" s="2439">
        <v>0</v>
      </c>
      <c r="E88" s="2439">
        <v>0</v>
      </c>
      <c r="F88" s="2740" t="s">
        <v>965</v>
      </c>
      <c r="G88" s="2741"/>
      <c r="H88" s="2739"/>
      <c r="I88" s="2739"/>
      <c r="J88" s="322"/>
    </row>
    <row r="89" spans="1:10" s="462" customFormat="1" ht="25.5">
      <c r="A89" s="1769">
        <f t="shared" ref="A89:A101" si="17">A88+1</f>
        <v>2</v>
      </c>
      <c r="B89" s="1771" t="s">
        <v>1651</v>
      </c>
      <c r="C89" s="2193" t="s">
        <v>1828</v>
      </c>
      <c r="D89" s="2439">
        <v>1520802.88</v>
      </c>
      <c r="E89" s="2439">
        <v>1047559.3999999999</v>
      </c>
      <c r="F89" s="2740" t="s">
        <v>1980</v>
      </c>
      <c r="G89" s="2741"/>
      <c r="H89" s="2739"/>
      <c r="I89" s="2739"/>
      <c r="J89" s="322"/>
    </row>
    <row r="90" spans="1:10" ht="25.5">
      <c r="A90" s="1769">
        <f t="shared" si="17"/>
        <v>3</v>
      </c>
      <c r="B90" s="1771" t="s">
        <v>426</v>
      </c>
      <c r="C90" s="2193" t="s">
        <v>1829</v>
      </c>
      <c r="D90" s="2439">
        <v>35613529.590000004</v>
      </c>
      <c r="E90" s="2439">
        <v>27365545.559999999</v>
      </c>
      <c r="F90" s="2740" t="s">
        <v>1981</v>
      </c>
      <c r="G90" s="2741"/>
      <c r="H90" s="2739"/>
      <c r="I90" s="2739"/>
      <c r="J90" s="322"/>
    </row>
    <row r="91" spans="1:10" ht="25.5">
      <c r="A91" s="1769">
        <f t="shared" si="17"/>
        <v>4</v>
      </c>
      <c r="B91" s="1770" t="s">
        <v>380</v>
      </c>
      <c r="C91" s="2193" t="s">
        <v>1830</v>
      </c>
      <c r="D91" s="2434">
        <v>0.35</v>
      </c>
      <c r="E91" s="2434">
        <v>0.35</v>
      </c>
      <c r="F91" s="2740" t="s">
        <v>2094</v>
      </c>
      <c r="G91" s="2741"/>
      <c r="H91" s="2739"/>
      <c r="I91" s="2739"/>
      <c r="J91" s="322"/>
    </row>
    <row r="92" spans="1:10" ht="25.5">
      <c r="A92" s="1769">
        <f t="shared" si="17"/>
        <v>5</v>
      </c>
      <c r="B92" s="1770" t="s">
        <v>379</v>
      </c>
      <c r="C92" s="2193" t="s">
        <v>1831</v>
      </c>
      <c r="D92" s="2434">
        <v>4.5400000000000003E-2</v>
      </c>
      <c r="E92" s="2434">
        <v>4.5400000000000003E-2</v>
      </c>
      <c r="F92" s="2740" t="s">
        <v>2094</v>
      </c>
      <c r="G92" s="2741"/>
      <c r="H92" s="2739"/>
      <c r="I92" s="2739"/>
      <c r="J92" s="322"/>
    </row>
    <row r="93" spans="1:10" ht="12.75" customHeight="1">
      <c r="A93" s="1769">
        <f t="shared" si="17"/>
        <v>6</v>
      </c>
      <c r="B93" s="1770" t="s">
        <v>381</v>
      </c>
      <c r="C93" s="2193" t="s">
        <v>1832</v>
      </c>
      <c r="D93" s="2434">
        <v>0</v>
      </c>
      <c r="E93" s="2434">
        <v>0</v>
      </c>
      <c r="F93" s="2740" t="s">
        <v>1979</v>
      </c>
      <c r="G93" s="2741"/>
      <c r="H93" s="2739"/>
      <c r="I93" s="2739"/>
      <c r="J93" s="322"/>
    </row>
    <row r="94" spans="1:10" s="331" customFormat="1" ht="25.5" customHeight="1">
      <c r="A94" s="1769">
        <f t="shared" si="17"/>
        <v>7</v>
      </c>
      <c r="B94" s="1772" t="s">
        <v>3</v>
      </c>
      <c r="C94" s="2193" t="s">
        <v>1833</v>
      </c>
      <c r="D94" s="2439">
        <v>3579420.42</v>
      </c>
      <c r="E94" s="2439">
        <v>3584148.0300000003</v>
      </c>
      <c r="F94" s="2740" t="s">
        <v>1982</v>
      </c>
      <c r="G94" s="2741"/>
      <c r="H94" s="2739" t="s">
        <v>1975</v>
      </c>
      <c r="I94" s="2739"/>
      <c r="J94" s="322"/>
    </row>
    <row r="95" spans="1:10" s="331" customFormat="1" ht="39.75" customHeight="1">
      <c r="A95" s="2371">
        <f t="shared" si="17"/>
        <v>8</v>
      </c>
      <c r="B95" s="1772" t="s">
        <v>1415</v>
      </c>
      <c r="C95" s="2193" t="s">
        <v>1835</v>
      </c>
      <c r="D95" s="2439">
        <v>1130302</v>
      </c>
      <c r="E95" s="2439">
        <v>404456</v>
      </c>
      <c r="F95" s="2740" t="s">
        <v>1978</v>
      </c>
      <c r="G95" s="2742"/>
      <c r="H95" s="2739" t="s">
        <v>1976</v>
      </c>
      <c r="I95" s="2739"/>
      <c r="J95" s="322"/>
    </row>
    <row r="96" spans="1:10" s="331" customFormat="1" ht="53.25" customHeight="1">
      <c r="A96" s="2371">
        <f t="shared" si="17"/>
        <v>9</v>
      </c>
      <c r="B96" s="1772" t="s">
        <v>1416</v>
      </c>
      <c r="C96" s="2193" t="s">
        <v>1835</v>
      </c>
      <c r="D96" s="2439">
        <v>1077939</v>
      </c>
      <c r="E96" s="2439">
        <v>1244979</v>
      </c>
      <c r="F96" s="2740" t="s">
        <v>1978</v>
      </c>
      <c r="G96" s="2742"/>
      <c r="H96" s="2739" t="s">
        <v>1977</v>
      </c>
      <c r="I96" s="2739"/>
      <c r="J96" s="322"/>
    </row>
    <row r="97" spans="1:11" s="331" customFormat="1" ht="78" customHeight="1">
      <c r="A97" s="2371">
        <f t="shared" si="17"/>
        <v>10</v>
      </c>
      <c r="B97" s="1772" t="s">
        <v>1417</v>
      </c>
      <c r="C97" s="2193" t="s">
        <v>1835</v>
      </c>
      <c r="D97" s="2439">
        <v>47378.031998335275</v>
      </c>
      <c r="E97" s="2439">
        <v>52405.218254694781</v>
      </c>
      <c r="F97" s="2740" t="s">
        <v>1978</v>
      </c>
      <c r="G97" s="2742"/>
      <c r="H97" s="2739" t="s">
        <v>1986</v>
      </c>
      <c r="I97" s="2739"/>
      <c r="J97" s="322"/>
    </row>
    <row r="98" spans="1:11" s="331" customFormat="1" ht="39.75" customHeight="1">
      <c r="A98" s="1769">
        <f t="shared" si="17"/>
        <v>11</v>
      </c>
      <c r="B98" s="1773" t="s">
        <v>1725</v>
      </c>
      <c r="C98" s="2193" t="s">
        <v>1834</v>
      </c>
      <c r="D98" s="2433">
        <v>-500299.12999999989</v>
      </c>
      <c r="E98" s="2433">
        <v>-87239.859999999986</v>
      </c>
      <c r="F98" s="2740" t="s">
        <v>1983</v>
      </c>
      <c r="G98" s="2741"/>
      <c r="H98" s="2739" t="s">
        <v>1846</v>
      </c>
      <c r="I98" s="2739"/>
      <c r="J98" s="322"/>
      <c r="K98" s="2379"/>
    </row>
    <row r="99" spans="1:11" s="331" customFormat="1" ht="42" customHeight="1">
      <c r="A99" s="1769">
        <f t="shared" si="17"/>
        <v>12</v>
      </c>
      <c r="B99" s="1773" t="s">
        <v>1418</v>
      </c>
      <c r="C99" s="2193" t="s">
        <v>1834</v>
      </c>
      <c r="D99" s="2433">
        <v>-68676.410000000018</v>
      </c>
      <c r="E99" s="2433">
        <v>0</v>
      </c>
      <c r="F99" s="2740" t="s">
        <v>1985</v>
      </c>
      <c r="G99" s="2741"/>
      <c r="H99" s="2739" t="s">
        <v>1988</v>
      </c>
      <c r="I99" s="2739"/>
      <c r="J99" s="322"/>
      <c r="K99" s="2379"/>
    </row>
    <row r="100" spans="1:11" s="331" customFormat="1" ht="69.75" customHeight="1">
      <c r="A100" s="1769">
        <f t="shared" si="17"/>
        <v>13</v>
      </c>
      <c r="B100" s="2189" t="s">
        <v>1821</v>
      </c>
      <c r="C100" s="2193" t="s">
        <v>1838</v>
      </c>
      <c r="D100" s="2433">
        <v>738458.11</v>
      </c>
      <c r="E100" s="2433">
        <v>738458.11</v>
      </c>
      <c r="F100" s="2740" t="s">
        <v>1984</v>
      </c>
      <c r="G100" s="2741"/>
      <c r="H100" s="2739" t="s">
        <v>1987</v>
      </c>
      <c r="I100" s="2739"/>
      <c r="J100" s="322"/>
    </row>
    <row r="101" spans="1:11" s="331" customFormat="1" ht="38.25">
      <c r="A101" s="1769">
        <f t="shared" si="17"/>
        <v>14</v>
      </c>
      <c r="B101" s="1773" t="s">
        <v>1822</v>
      </c>
      <c r="C101" s="2193" t="s">
        <v>1838</v>
      </c>
      <c r="D101" s="2433">
        <v>77496564.129999995</v>
      </c>
      <c r="E101" s="2433">
        <v>75853109.290000007</v>
      </c>
      <c r="F101" s="2740" t="s">
        <v>2093</v>
      </c>
      <c r="G101" s="2741"/>
      <c r="H101" s="2739" t="s">
        <v>1845</v>
      </c>
      <c r="I101" s="2739"/>
      <c r="J101" s="322"/>
    </row>
    <row r="102" spans="1:11">
      <c r="J102" s="322"/>
    </row>
    <row r="103" spans="1:11">
      <c r="A103" s="172"/>
      <c r="J103" s="322"/>
    </row>
    <row r="105" spans="1:11">
      <c r="B105" s="326"/>
      <c r="C105" s="326"/>
      <c r="D105" s="321"/>
      <c r="E105" s="321"/>
      <c r="F105" s="324"/>
      <c r="G105" s="321"/>
      <c r="H105" s="321"/>
      <c r="I105" s="325"/>
    </row>
    <row r="106" spans="1:11">
      <c r="B106" s="326"/>
      <c r="C106" s="326"/>
      <c r="D106" s="321"/>
      <c r="E106" s="321"/>
      <c r="F106" s="324"/>
      <c r="G106" s="321"/>
      <c r="H106" s="321"/>
      <c r="I106" s="325"/>
    </row>
    <row r="107" spans="1:11">
      <c r="B107" s="326"/>
      <c r="C107" s="326"/>
      <c r="D107" s="321"/>
      <c r="E107" s="321"/>
      <c r="F107" s="324"/>
      <c r="G107" s="321"/>
      <c r="H107" s="321"/>
      <c r="I107" s="325"/>
    </row>
  </sheetData>
  <mergeCells count="31">
    <mergeCell ref="H100:I100"/>
    <mergeCell ref="H101:I101"/>
    <mergeCell ref="H86:I86"/>
    <mergeCell ref="F99:G99"/>
    <mergeCell ref="F100:G100"/>
    <mergeCell ref="F101:G101"/>
    <mergeCell ref="H88:I88"/>
    <mergeCell ref="H89:I89"/>
    <mergeCell ref="H90:I90"/>
    <mergeCell ref="H91:I91"/>
    <mergeCell ref="H92:I92"/>
    <mergeCell ref="H93:I93"/>
    <mergeCell ref="H94:I94"/>
    <mergeCell ref="H95:I95"/>
    <mergeCell ref="H96:I96"/>
    <mergeCell ref="A1:J1"/>
    <mergeCell ref="H97:I97"/>
    <mergeCell ref="H98:I98"/>
    <mergeCell ref="H99:I99"/>
    <mergeCell ref="F88:G88"/>
    <mergeCell ref="F89:G89"/>
    <mergeCell ref="F90:G90"/>
    <mergeCell ref="F91:G91"/>
    <mergeCell ref="F92:G92"/>
    <mergeCell ref="F98:G98"/>
    <mergeCell ref="F93:G93"/>
    <mergeCell ref="F94:G94"/>
    <mergeCell ref="F95:G95"/>
    <mergeCell ref="F96:G96"/>
    <mergeCell ref="F97:G97"/>
    <mergeCell ref="H33:H34"/>
  </mergeCells>
  <phoneticPr fontId="0" type="noConversion"/>
  <pageMargins left="0.25" right="0.18" top="0.71" bottom="0.5" header="0.27" footer="0.5"/>
  <pageSetup paperSize="5" scale="44" fitToHeight="0" orientation="landscape" r:id="rId1"/>
  <headerFooter alignWithMargins="0"/>
  <rowBreaks count="1" manualBreakCount="1">
    <brk id="83" max="9" man="1"/>
  </row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theme="7"/>
    <pageSetUpPr fitToPage="1"/>
  </sheetPr>
  <dimension ref="A1:R66"/>
  <sheetViews>
    <sheetView workbookViewId="0"/>
  </sheetViews>
  <sheetFormatPr defaultColWidth="9.140625" defaultRowHeight="12.75" outlineLevelCol="1"/>
  <cols>
    <col min="1" max="1" width="2.85546875" style="328" customWidth="1"/>
    <col min="2" max="2" width="14" style="328" customWidth="1"/>
    <col min="3" max="3" width="42" style="328" customWidth="1"/>
    <col min="4" max="7" width="14" style="328" customWidth="1"/>
    <col min="8" max="8" width="17" style="328" customWidth="1"/>
    <col min="9" max="9" width="15.140625" style="328" hidden="1" customWidth="1" outlineLevel="1"/>
    <col min="10" max="10" width="15.42578125" style="328" customWidth="1" collapsed="1"/>
    <col min="11" max="11" width="15.42578125" style="328" customWidth="1"/>
    <col min="12" max="16384" width="9.140625" style="328"/>
  </cols>
  <sheetData>
    <row r="1" spans="1:18" s="339" customFormat="1" ht="7.5" customHeight="1"/>
    <row r="2" spans="1:18" s="322" customFormat="1" ht="9" customHeight="1">
      <c r="A2" s="339"/>
      <c r="B2" s="119"/>
      <c r="C2" s="119"/>
      <c r="D2" s="323"/>
      <c r="E2" s="323"/>
      <c r="F2" s="340"/>
      <c r="G2" s="341"/>
    </row>
    <row r="3" spans="1:18" s="322" customFormat="1">
      <c r="A3" s="339"/>
      <c r="B3" s="814" t="s">
        <v>1104</v>
      </c>
      <c r="C3" s="814"/>
      <c r="D3" s="814"/>
      <c r="E3" s="814"/>
      <c r="F3" s="814"/>
      <c r="G3" s="814"/>
      <c r="H3" s="814"/>
      <c r="I3" s="814"/>
      <c r="J3" s="814"/>
      <c r="K3" s="814"/>
      <c r="L3" s="160"/>
      <c r="M3" s="160"/>
      <c r="N3" s="160"/>
      <c r="O3" s="160"/>
      <c r="P3" s="160"/>
      <c r="Q3" s="160"/>
      <c r="R3" s="160"/>
    </row>
    <row r="4" spans="1:18">
      <c r="K4" s="2292"/>
    </row>
    <row r="5" spans="1:18" ht="15">
      <c r="B5" s="342" t="s">
        <v>385</v>
      </c>
      <c r="C5" s="2092" t="s">
        <v>1667</v>
      </c>
      <c r="D5" s="342" t="s">
        <v>386</v>
      </c>
      <c r="E5" s="342" t="s">
        <v>387</v>
      </c>
      <c r="F5" s="342" t="s">
        <v>388</v>
      </c>
      <c r="G5" s="342" t="s">
        <v>407</v>
      </c>
      <c r="H5" s="342" t="s">
        <v>389</v>
      </c>
      <c r="I5" s="2133">
        <v>2014</v>
      </c>
      <c r="J5" s="2133">
        <v>2015</v>
      </c>
      <c r="K5" s="2133">
        <v>2016</v>
      </c>
    </row>
    <row r="6" spans="1:18" ht="15" customHeight="1">
      <c r="B6" s="1161">
        <v>1</v>
      </c>
      <c r="C6" s="2091" t="s">
        <v>2013</v>
      </c>
      <c r="D6" s="1161">
        <v>114</v>
      </c>
      <c r="E6" s="1161">
        <v>14</v>
      </c>
      <c r="F6" s="1162" t="s">
        <v>390</v>
      </c>
      <c r="G6" s="1162" t="str">
        <f t="shared" ref="G6:G41" si="0">D6&amp;"."&amp;E6&amp;F6</f>
        <v>114.14c</v>
      </c>
      <c r="H6" s="1162" t="s">
        <v>391</v>
      </c>
      <c r="I6" s="2369">
        <v>171415396</v>
      </c>
      <c r="J6" s="2087">
        <v>185302308</v>
      </c>
      <c r="K6" s="2087">
        <v>189632535</v>
      </c>
    </row>
    <row r="7" spans="1:18" ht="15" customHeight="1">
      <c r="B7" s="1161">
        <f>B6+1</f>
        <v>2</v>
      </c>
      <c r="C7" s="2091" t="s">
        <v>2014</v>
      </c>
      <c r="D7" s="1161">
        <v>114</v>
      </c>
      <c r="E7" s="1161">
        <v>19</v>
      </c>
      <c r="F7" s="1162" t="s">
        <v>390</v>
      </c>
      <c r="G7" s="1162" t="str">
        <f t="shared" si="0"/>
        <v>114.19c</v>
      </c>
      <c r="H7" s="1162" t="s">
        <v>391</v>
      </c>
      <c r="I7" s="2369">
        <v>-5019198</v>
      </c>
      <c r="J7" s="2087">
        <v>-4756408</v>
      </c>
      <c r="K7" s="2087">
        <v>-4341401</v>
      </c>
    </row>
    <row r="8" spans="1:18" ht="15" customHeight="1">
      <c r="B8" s="1161">
        <f t="shared" ref="B8:B66" si="1">B7+1</f>
        <v>3</v>
      </c>
      <c r="C8" s="2091" t="s">
        <v>2015</v>
      </c>
      <c r="D8" s="1161">
        <v>200</v>
      </c>
      <c r="E8" s="1161">
        <v>21</v>
      </c>
      <c r="F8" s="1162" t="s">
        <v>390</v>
      </c>
      <c r="G8" s="1162" t="str">
        <f t="shared" si="0"/>
        <v>200.21c</v>
      </c>
      <c r="H8" s="1162" t="s">
        <v>392</v>
      </c>
      <c r="I8" s="2369">
        <v>555584757</v>
      </c>
      <c r="J8" s="2087">
        <v>559800280</v>
      </c>
      <c r="K8" s="2087">
        <v>550553312</v>
      </c>
    </row>
    <row r="9" spans="1:18" ht="15" customHeight="1">
      <c r="B9" s="1161">
        <f t="shared" si="1"/>
        <v>4</v>
      </c>
      <c r="C9" s="2091" t="s">
        <v>2016</v>
      </c>
      <c r="D9" s="1161">
        <v>204</v>
      </c>
      <c r="E9" s="1161">
        <v>5</v>
      </c>
      <c r="F9" s="1162" t="s">
        <v>400</v>
      </c>
      <c r="G9" s="1162" t="str">
        <f t="shared" si="0"/>
        <v>204.5b</v>
      </c>
      <c r="H9" s="1162" t="s">
        <v>638</v>
      </c>
      <c r="I9" s="2369">
        <v>857285828</v>
      </c>
      <c r="J9" s="2087">
        <v>880195125</v>
      </c>
      <c r="K9" s="2087">
        <v>876732473</v>
      </c>
    </row>
    <row r="10" spans="1:18" ht="15" customHeight="1">
      <c r="B10" s="1161">
        <f t="shared" si="1"/>
        <v>5</v>
      </c>
      <c r="C10" s="2091" t="s">
        <v>2017</v>
      </c>
      <c r="D10" s="1161">
        <v>204</v>
      </c>
      <c r="E10" s="1161">
        <v>5</v>
      </c>
      <c r="F10" s="1162" t="s">
        <v>360</v>
      </c>
      <c r="G10" s="1162" t="str">
        <f t="shared" si="0"/>
        <v>204.5g</v>
      </c>
      <c r="H10" s="1162" t="s">
        <v>393</v>
      </c>
      <c r="I10" s="2369">
        <v>880195125</v>
      </c>
      <c r="J10" s="2087">
        <v>876732473</v>
      </c>
      <c r="K10" s="2087">
        <v>884188667</v>
      </c>
    </row>
    <row r="11" spans="1:18" ht="15" customHeight="1">
      <c r="B11" s="1161">
        <f t="shared" si="1"/>
        <v>6</v>
      </c>
      <c r="C11" s="2091" t="s">
        <v>2018</v>
      </c>
      <c r="D11" s="1161">
        <v>204</v>
      </c>
      <c r="E11" s="1161">
        <v>46</v>
      </c>
      <c r="F11" s="1162" t="s">
        <v>400</v>
      </c>
      <c r="G11" s="1162" t="str">
        <f t="shared" si="0"/>
        <v>204.46b</v>
      </c>
      <c r="H11" s="1162" t="s">
        <v>638</v>
      </c>
      <c r="I11" s="2369">
        <v>11049334932</v>
      </c>
      <c r="J11" s="2087">
        <v>11922598581</v>
      </c>
      <c r="K11" s="2087">
        <v>12154489265</v>
      </c>
    </row>
    <row r="12" spans="1:18" ht="15" customHeight="1">
      <c r="B12" s="1161">
        <f t="shared" si="1"/>
        <v>7</v>
      </c>
      <c r="C12" s="2091" t="s">
        <v>2019</v>
      </c>
      <c r="D12" s="1161">
        <v>204</v>
      </c>
      <c r="E12" s="1161">
        <v>46</v>
      </c>
      <c r="F12" s="1162" t="s">
        <v>360</v>
      </c>
      <c r="G12" s="1162" t="str">
        <f t="shared" si="0"/>
        <v>204.46g</v>
      </c>
      <c r="H12" s="1162" t="s">
        <v>393</v>
      </c>
      <c r="I12" s="2369">
        <v>11922598581</v>
      </c>
      <c r="J12" s="2087">
        <v>12154489265</v>
      </c>
      <c r="K12" s="2087">
        <v>12367792103</v>
      </c>
    </row>
    <row r="13" spans="1:18" ht="15" customHeight="1">
      <c r="B13" s="1161">
        <f t="shared" si="1"/>
        <v>8</v>
      </c>
      <c r="C13" s="2091" t="s">
        <v>2020</v>
      </c>
      <c r="D13" s="2085">
        <v>206</v>
      </c>
      <c r="E13" s="2085">
        <v>58</v>
      </c>
      <c r="F13" s="2086" t="s">
        <v>400</v>
      </c>
      <c r="G13" s="2086" t="str">
        <f>D13&amp;"."&amp;E13&amp;F13</f>
        <v>206.58b</v>
      </c>
      <c r="H13" s="1162" t="s">
        <v>638</v>
      </c>
      <c r="I13" s="2369">
        <v>5231106254</v>
      </c>
      <c r="J13" s="2087">
        <v>5387870877</v>
      </c>
      <c r="K13" s="2087">
        <v>5910756444</v>
      </c>
    </row>
    <row r="14" spans="1:18" ht="15" customHeight="1">
      <c r="B14" s="1161">
        <f t="shared" si="1"/>
        <v>9</v>
      </c>
      <c r="C14" s="2091" t="s">
        <v>2021</v>
      </c>
      <c r="D14" s="1161">
        <v>207</v>
      </c>
      <c r="E14" s="1161">
        <v>58</v>
      </c>
      <c r="F14" s="1162" t="s">
        <v>360</v>
      </c>
      <c r="G14" s="1162" t="str">
        <f>D14&amp;"."&amp;E14&amp;F14</f>
        <v>207.58g</v>
      </c>
      <c r="H14" s="1162" t="s">
        <v>393</v>
      </c>
      <c r="I14" s="2369">
        <v>5387870877</v>
      </c>
      <c r="J14" s="2087">
        <v>5910756444</v>
      </c>
      <c r="K14" s="2087">
        <v>6051719907</v>
      </c>
    </row>
    <row r="15" spans="1:18" ht="15" customHeight="1">
      <c r="B15" s="1161">
        <f t="shared" si="1"/>
        <v>10</v>
      </c>
      <c r="C15" s="2091" t="s">
        <v>2022</v>
      </c>
      <c r="D15" s="1161">
        <v>206</v>
      </c>
      <c r="E15" s="1161">
        <v>75</v>
      </c>
      <c r="F15" s="1162" t="s">
        <v>400</v>
      </c>
      <c r="G15" s="1162" t="str">
        <f t="shared" si="0"/>
        <v>206.75b</v>
      </c>
      <c r="H15" s="1162" t="s">
        <v>638</v>
      </c>
      <c r="I15" s="2369">
        <v>6023412371</v>
      </c>
      <c r="J15" s="2087">
        <v>6190391726</v>
      </c>
      <c r="K15" s="2087">
        <v>6401275118</v>
      </c>
    </row>
    <row r="16" spans="1:18" ht="15" customHeight="1">
      <c r="B16" s="1161">
        <f t="shared" si="1"/>
        <v>11</v>
      </c>
      <c r="C16" s="2091" t="s">
        <v>2023</v>
      </c>
      <c r="D16" s="1161">
        <v>206</v>
      </c>
      <c r="E16" s="1161">
        <v>75</v>
      </c>
      <c r="F16" s="1162" t="s">
        <v>360</v>
      </c>
      <c r="G16" s="1162" t="str">
        <f t="shared" si="0"/>
        <v>206.75g</v>
      </c>
      <c r="H16" s="1162" t="s">
        <v>393</v>
      </c>
      <c r="I16" s="2369">
        <v>6190391726</v>
      </c>
      <c r="J16" s="2087">
        <v>6401275118</v>
      </c>
      <c r="K16" s="2087">
        <v>6582809080</v>
      </c>
    </row>
    <row r="17" spans="2:11" ht="15" customHeight="1">
      <c r="B17" s="1161">
        <f t="shared" si="1"/>
        <v>12</v>
      </c>
      <c r="C17" s="2091" t="s">
        <v>2024</v>
      </c>
      <c r="D17" s="1161">
        <v>206</v>
      </c>
      <c r="E17" s="1161">
        <v>99</v>
      </c>
      <c r="F17" s="1162" t="s">
        <v>400</v>
      </c>
      <c r="G17" s="1162" t="str">
        <f t="shared" si="0"/>
        <v>206.99b</v>
      </c>
      <c r="H17" s="1162" t="s">
        <v>638</v>
      </c>
      <c r="I17" s="2369">
        <v>1417753200</v>
      </c>
      <c r="J17" s="2087">
        <v>1445031807</v>
      </c>
      <c r="K17" s="2087">
        <v>1173341618</v>
      </c>
    </row>
    <row r="18" spans="2:11" ht="15" customHeight="1">
      <c r="B18" s="1161">
        <f t="shared" si="1"/>
        <v>13</v>
      </c>
      <c r="C18" s="2091" t="s">
        <v>2025</v>
      </c>
      <c r="D18" s="1161">
        <v>207</v>
      </c>
      <c r="E18" s="1161">
        <v>99</v>
      </c>
      <c r="F18" s="1162" t="s">
        <v>360</v>
      </c>
      <c r="G18" s="1162" t="str">
        <f t="shared" si="0"/>
        <v>207.99g</v>
      </c>
      <c r="H18" s="1162" t="s">
        <v>393</v>
      </c>
      <c r="I18" s="2369">
        <v>1445031807</v>
      </c>
      <c r="J18" s="2087">
        <v>1173341618</v>
      </c>
      <c r="K18" s="2087">
        <v>1177924891</v>
      </c>
    </row>
    <row r="19" spans="2:11" ht="15" customHeight="1">
      <c r="B19" s="1161">
        <f t="shared" si="1"/>
        <v>14</v>
      </c>
      <c r="C19" s="2367" t="s">
        <v>1969</v>
      </c>
      <c r="D19" s="2366">
        <v>206</v>
      </c>
      <c r="E19" s="2366">
        <v>101</v>
      </c>
      <c r="F19" s="2368" t="s">
        <v>360</v>
      </c>
      <c r="G19" s="2368" t="str">
        <f t="shared" si="0"/>
        <v>206.101g</v>
      </c>
      <c r="H19" s="1162" t="s">
        <v>393</v>
      </c>
      <c r="I19" s="2369">
        <v>0</v>
      </c>
      <c r="J19" s="2369">
        <v>1460458</v>
      </c>
      <c r="K19" s="2087">
        <v>0</v>
      </c>
    </row>
    <row r="20" spans="2:11" ht="15" customHeight="1">
      <c r="B20" s="1161">
        <f t="shared" si="1"/>
        <v>15</v>
      </c>
      <c r="C20" s="2091" t="s">
        <v>2026</v>
      </c>
      <c r="D20" s="1645">
        <v>206</v>
      </c>
      <c r="E20" s="1645">
        <v>102</v>
      </c>
      <c r="F20" s="1646" t="s">
        <v>360</v>
      </c>
      <c r="G20" s="1646" t="str">
        <f t="shared" si="0"/>
        <v>206.102g</v>
      </c>
      <c r="H20" s="1162" t="s">
        <v>393</v>
      </c>
      <c r="I20" s="2369">
        <v>0</v>
      </c>
      <c r="J20" s="2087">
        <v>-561324</v>
      </c>
      <c r="K20" s="2087">
        <v>0</v>
      </c>
    </row>
    <row r="21" spans="2:11" ht="15" customHeight="1">
      <c r="B21" s="1161">
        <f t="shared" si="1"/>
        <v>16</v>
      </c>
      <c r="C21" s="2091" t="s">
        <v>2027</v>
      </c>
      <c r="D21" s="2085">
        <v>206</v>
      </c>
      <c r="E21" s="2085">
        <v>104</v>
      </c>
      <c r="F21" s="2086" t="s">
        <v>400</v>
      </c>
      <c r="G21" s="2086" t="str">
        <f t="shared" si="0"/>
        <v>206.104b</v>
      </c>
      <c r="H21" s="1162" t="s">
        <v>638</v>
      </c>
      <c r="I21" s="2369">
        <v>24578892585</v>
      </c>
      <c r="J21" s="2087">
        <v>25826088116</v>
      </c>
      <c r="K21" s="2087">
        <v>26518616700</v>
      </c>
    </row>
    <row r="22" spans="2:11" ht="15" customHeight="1">
      <c r="B22" s="1161">
        <f t="shared" si="1"/>
        <v>17</v>
      </c>
      <c r="C22" s="2091" t="s">
        <v>2028</v>
      </c>
      <c r="D22" s="2085">
        <v>206</v>
      </c>
      <c r="E22" s="2085">
        <v>104</v>
      </c>
      <c r="F22" s="2086" t="s">
        <v>360</v>
      </c>
      <c r="G22" s="2086" t="str">
        <f t="shared" si="0"/>
        <v>206.104g</v>
      </c>
      <c r="H22" s="1162" t="s">
        <v>393</v>
      </c>
      <c r="I22" s="2369">
        <v>25826088116</v>
      </c>
      <c r="J22" s="2087">
        <v>26518616700</v>
      </c>
      <c r="K22" s="2087">
        <v>27064434648</v>
      </c>
    </row>
    <row r="23" spans="2:11" ht="15" customHeight="1">
      <c r="B23" s="1161">
        <f t="shared" si="1"/>
        <v>18</v>
      </c>
      <c r="C23" s="2091" t="s">
        <v>2029</v>
      </c>
      <c r="D23" s="1161">
        <v>214</v>
      </c>
      <c r="E23" s="1161">
        <v>47</v>
      </c>
      <c r="F23" s="1162" t="s">
        <v>394</v>
      </c>
      <c r="G23" s="1162" t="str">
        <f t="shared" si="0"/>
        <v>214.47d</v>
      </c>
      <c r="H23" s="1162" t="s">
        <v>395</v>
      </c>
      <c r="I23" s="2369">
        <v>23319217</v>
      </c>
      <c r="J23" s="2087">
        <v>23319217</v>
      </c>
      <c r="K23" s="2087">
        <v>23502790</v>
      </c>
    </row>
    <row r="24" spans="2:11" ht="15" customHeight="1">
      <c r="B24" s="1161">
        <f t="shared" si="1"/>
        <v>19</v>
      </c>
      <c r="C24" s="2091" t="s">
        <v>2030</v>
      </c>
      <c r="D24" s="1573">
        <v>219</v>
      </c>
      <c r="E24" s="1573">
        <v>20</v>
      </c>
      <c r="F24" s="1574" t="s">
        <v>390</v>
      </c>
      <c r="G24" s="1162" t="str">
        <f t="shared" si="0"/>
        <v>219.20c</v>
      </c>
      <c r="H24" s="1162" t="s">
        <v>396</v>
      </c>
      <c r="I24" s="2369">
        <v>2822999224</v>
      </c>
      <c r="J24" s="2087">
        <v>2886821179</v>
      </c>
      <c r="K24" s="2087">
        <v>3044271915</v>
      </c>
    </row>
    <row r="25" spans="2:11" ht="15" customHeight="1">
      <c r="B25" s="1161">
        <f t="shared" si="1"/>
        <v>20</v>
      </c>
      <c r="C25" s="2091" t="s">
        <v>2031</v>
      </c>
      <c r="D25" s="1573">
        <v>219</v>
      </c>
      <c r="E25" s="1573">
        <v>21</v>
      </c>
      <c r="F25" s="1574" t="s">
        <v>390</v>
      </c>
      <c r="G25" s="1162" t="str">
        <f t="shared" si="0"/>
        <v>219.21c</v>
      </c>
      <c r="H25" s="1162" t="s">
        <v>396</v>
      </c>
      <c r="I25" s="2369">
        <v>0</v>
      </c>
      <c r="J25" s="2087">
        <v>0</v>
      </c>
      <c r="K25" s="2087">
        <v>0</v>
      </c>
    </row>
    <row r="26" spans="2:11" ht="15" customHeight="1">
      <c r="B26" s="1161">
        <f t="shared" si="1"/>
        <v>21</v>
      </c>
      <c r="C26" s="2091" t="s">
        <v>2032</v>
      </c>
      <c r="D26" s="1573">
        <v>219</v>
      </c>
      <c r="E26" s="1573">
        <v>22</v>
      </c>
      <c r="F26" s="1574" t="s">
        <v>390</v>
      </c>
      <c r="G26" s="1162" t="str">
        <f t="shared" si="0"/>
        <v>219.22c</v>
      </c>
      <c r="H26" s="1162" t="s">
        <v>396</v>
      </c>
      <c r="I26" s="2369">
        <v>302834825</v>
      </c>
      <c r="J26" s="2087">
        <v>327988750</v>
      </c>
      <c r="K26" s="2087">
        <v>359720139</v>
      </c>
    </row>
    <row r="27" spans="2:11" ht="15" customHeight="1">
      <c r="B27" s="1161">
        <f t="shared" si="1"/>
        <v>22</v>
      </c>
      <c r="C27" s="2091" t="s">
        <v>2033</v>
      </c>
      <c r="D27" s="1573">
        <v>219</v>
      </c>
      <c r="E27" s="1573">
        <v>23</v>
      </c>
      <c r="F27" s="1574" t="s">
        <v>390</v>
      </c>
      <c r="G27" s="1162" t="str">
        <f t="shared" si="0"/>
        <v>219.23c</v>
      </c>
      <c r="H27" s="1162" t="s">
        <v>396</v>
      </c>
      <c r="I27" s="2369">
        <v>0</v>
      </c>
      <c r="J27" s="2087">
        <v>0</v>
      </c>
      <c r="K27" s="2087">
        <v>0</v>
      </c>
    </row>
    <row r="28" spans="2:11" ht="15" customHeight="1">
      <c r="B28" s="1161">
        <f t="shared" si="1"/>
        <v>23</v>
      </c>
      <c r="C28" s="2091" t="s">
        <v>2034</v>
      </c>
      <c r="D28" s="1573">
        <v>219</v>
      </c>
      <c r="E28" s="1573">
        <v>24</v>
      </c>
      <c r="F28" s="1574" t="s">
        <v>390</v>
      </c>
      <c r="G28" s="1162" t="str">
        <f t="shared" si="0"/>
        <v>219.24c</v>
      </c>
      <c r="H28" s="1162" t="s">
        <v>396</v>
      </c>
      <c r="I28" s="2369">
        <v>777090296</v>
      </c>
      <c r="J28" s="2087">
        <v>847165096</v>
      </c>
      <c r="K28" s="2087">
        <v>916111993</v>
      </c>
    </row>
    <row r="29" spans="2:11" ht="15" customHeight="1">
      <c r="B29" s="1161">
        <f t="shared" si="1"/>
        <v>24</v>
      </c>
      <c r="C29" s="2091" t="s">
        <v>2035</v>
      </c>
      <c r="D29" s="1161">
        <v>219</v>
      </c>
      <c r="E29" s="1161">
        <v>25</v>
      </c>
      <c r="F29" s="1162" t="s">
        <v>390</v>
      </c>
      <c r="G29" s="1162" t="str">
        <f t="shared" si="0"/>
        <v>219.25c</v>
      </c>
      <c r="H29" s="1162" t="s">
        <v>396</v>
      </c>
      <c r="I29" s="2369">
        <v>1432003537</v>
      </c>
      <c r="J29" s="2087">
        <v>1503737225</v>
      </c>
      <c r="K29" s="2087">
        <v>1592275183</v>
      </c>
    </row>
    <row r="30" spans="2:11" ht="15" customHeight="1">
      <c r="B30" s="1161">
        <f t="shared" si="1"/>
        <v>25</v>
      </c>
      <c r="C30" s="2091" t="s">
        <v>2036</v>
      </c>
      <c r="D30" s="1161">
        <v>219</v>
      </c>
      <c r="E30" s="1161">
        <v>26</v>
      </c>
      <c r="F30" s="1162" t="s">
        <v>390</v>
      </c>
      <c r="G30" s="1162" t="str">
        <f t="shared" si="0"/>
        <v>219.26c</v>
      </c>
      <c r="H30" s="1162" t="s">
        <v>396</v>
      </c>
      <c r="I30" s="2369">
        <v>2479873031</v>
      </c>
      <c r="J30" s="2087">
        <v>2581141819</v>
      </c>
      <c r="K30" s="2087">
        <v>2679701608</v>
      </c>
    </row>
    <row r="31" spans="2:11" ht="15" customHeight="1">
      <c r="B31" s="1161">
        <f t="shared" si="1"/>
        <v>26</v>
      </c>
      <c r="C31" s="2091" t="s">
        <v>2037</v>
      </c>
      <c r="D31" s="1161">
        <v>219</v>
      </c>
      <c r="E31" s="1161">
        <v>28</v>
      </c>
      <c r="F31" s="1162" t="s">
        <v>390</v>
      </c>
      <c r="G31" s="1162" t="str">
        <f t="shared" si="0"/>
        <v>219.28c</v>
      </c>
      <c r="H31" s="1162" t="s">
        <v>396</v>
      </c>
      <c r="I31" s="2369">
        <v>580388319</v>
      </c>
      <c r="J31" s="2087">
        <v>418947737</v>
      </c>
      <c r="K31" s="2087">
        <v>434316474</v>
      </c>
    </row>
    <row r="32" spans="2:11" ht="15" customHeight="1">
      <c r="B32" s="1161">
        <f t="shared" si="1"/>
        <v>27</v>
      </c>
      <c r="C32" s="2091" t="s">
        <v>2038</v>
      </c>
      <c r="D32" s="1161">
        <v>219</v>
      </c>
      <c r="E32" s="1161">
        <v>29</v>
      </c>
      <c r="F32" s="1162" t="s">
        <v>390</v>
      </c>
      <c r="G32" s="1162" t="str">
        <f t="shared" si="0"/>
        <v>219.29c</v>
      </c>
      <c r="H32" s="1162" t="s">
        <v>396</v>
      </c>
      <c r="I32" s="2369">
        <v>8395189232</v>
      </c>
      <c r="J32" s="2087">
        <v>8565801806</v>
      </c>
      <c r="K32" s="2087">
        <v>9026397312</v>
      </c>
    </row>
    <row r="33" spans="2:11" ht="15" customHeight="1">
      <c r="B33" s="1161">
        <f t="shared" si="1"/>
        <v>28</v>
      </c>
      <c r="C33" s="2091" t="s">
        <v>2039</v>
      </c>
      <c r="D33" s="1161">
        <v>227</v>
      </c>
      <c r="E33" s="1161">
        <v>5</v>
      </c>
      <c r="F33" s="1162" t="s">
        <v>390</v>
      </c>
      <c r="G33" s="1162" t="str">
        <f t="shared" si="0"/>
        <v>227.5c</v>
      </c>
      <c r="H33" s="1162" t="s">
        <v>393</v>
      </c>
      <c r="I33" s="2369">
        <v>111221100</v>
      </c>
      <c r="J33" s="2087">
        <v>134703542</v>
      </c>
      <c r="K33" s="2087">
        <v>142252190</v>
      </c>
    </row>
    <row r="34" spans="2:11" ht="15" customHeight="1">
      <c r="B34" s="1161">
        <f t="shared" si="1"/>
        <v>29</v>
      </c>
      <c r="C34" s="2091" t="s">
        <v>2040</v>
      </c>
      <c r="D34" s="1161">
        <v>227</v>
      </c>
      <c r="E34" s="1161">
        <v>8</v>
      </c>
      <c r="F34" s="1162" t="s">
        <v>390</v>
      </c>
      <c r="G34" s="1162" t="str">
        <f t="shared" si="0"/>
        <v>227.8c</v>
      </c>
      <c r="H34" s="1162" t="s">
        <v>393</v>
      </c>
      <c r="I34" s="2369">
        <v>490752</v>
      </c>
      <c r="J34" s="2087">
        <v>653625</v>
      </c>
      <c r="K34" s="2087">
        <v>715287</v>
      </c>
    </row>
    <row r="35" spans="2:11" ht="15" customHeight="1">
      <c r="B35" s="1161">
        <f t="shared" si="1"/>
        <v>30</v>
      </c>
      <c r="C35" s="2091" t="s">
        <v>2041</v>
      </c>
      <c r="D35" s="1161">
        <v>227</v>
      </c>
      <c r="E35" s="1161">
        <v>16</v>
      </c>
      <c r="F35" s="1162" t="s">
        <v>390</v>
      </c>
      <c r="G35" s="1162" t="str">
        <f t="shared" si="0"/>
        <v>227.16c</v>
      </c>
      <c r="H35" s="1162" t="s">
        <v>393</v>
      </c>
      <c r="I35" s="2369">
        <v>0</v>
      </c>
      <c r="J35" s="2087">
        <v>0</v>
      </c>
      <c r="K35" s="2087">
        <v>0</v>
      </c>
    </row>
    <row r="36" spans="2:11" ht="15" customHeight="1">
      <c r="B36" s="1161">
        <f t="shared" si="1"/>
        <v>31</v>
      </c>
      <c r="C36" s="2091" t="s">
        <v>2042</v>
      </c>
      <c r="D36" s="1645">
        <v>234</v>
      </c>
      <c r="E36" s="1645">
        <v>18</v>
      </c>
      <c r="F36" s="1646" t="s">
        <v>400</v>
      </c>
      <c r="G36" s="1646" t="str">
        <f t="shared" si="0"/>
        <v>234.18b</v>
      </c>
      <c r="H36" s="1646" t="s">
        <v>638</v>
      </c>
      <c r="I36" s="2369">
        <v>482567288</v>
      </c>
      <c r="J36" s="2087">
        <v>544969532</v>
      </c>
      <c r="K36" s="2087">
        <v>606211204</v>
      </c>
    </row>
    <row r="37" spans="2:11" ht="15" customHeight="1">
      <c r="B37" s="1161">
        <f t="shared" si="1"/>
        <v>32</v>
      </c>
      <c r="C37" s="2091" t="s">
        <v>2043</v>
      </c>
      <c r="D37" s="1645">
        <v>234</v>
      </c>
      <c r="E37" s="1645">
        <v>18</v>
      </c>
      <c r="F37" s="1646" t="s">
        <v>390</v>
      </c>
      <c r="G37" s="1646" t="str">
        <f t="shared" si="0"/>
        <v>234.18c</v>
      </c>
      <c r="H37" s="1646" t="s">
        <v>393</v>
      </c>
      <c r="I37" s="2369">
        <v>544969532</v>
      </c>
      <c r="J37" s="2087">
        <v>606211204</v>
      </c>
      <c r="K37" s="2087">
        <v>541859343</v>
      </c>
    </row>
    <row r="38" spans="2:11" ht="15" customHeight="1">
      <c r="B38" s="1161">
        <f t="shared" si="1"/>
        <v>33</v>
      </c>
      <c r="C38" s="2091" t="s">
        <v>2044</v>
      </c>
      <c r="D38" s="1645">
        <v>272</v>
      </c>
      <c r="E38" s="1645">
        <v>17</v>
      </c>
      <c r="F38" s="1646" t="s">
        <v>400</v>
      </c>
      <c r="G38" s="1646" t="str">
        <f t="shared" si="0"/>
        <v>272.17b</v>
      </c>
      <c r="H38" s="1679" t="s">
        <v>1402</v>
      </c>
      <c r="I38" s="2369">
        <v>226880978</v>
      </c>
      <c r="J38" s="2087">
        <v>252151842</v>
      </c>
      <c r="K38" s="2087">
        <v>285986998</v>
      </c>
    </row>
    <row r="39" spans="2:11" ht="15" customHeight="1">
      <c r="B39" s="1161">
        <f t="shared" si="1"/>
        <v>34</v>
      </c>
      <c r="C39" s="2091" t="s">
        <v>2045</v>
      </c>
      <c r="D39" s="1645">
        <v>272</v>
      </c>
      <c r="E39" s="1645">
        <v>17</v>
      </c>
      <c r="F39" s="1646" t="s">
        <v>398</v>
      </c>
      <c r="G39" s="1646" t="str">
        <f t="shared" si="0"/>
        <v>272.17k</v>
      </c>
      <c r="H39" s="1162" t="s">
        <v>399</v>
      </c>
      <c r="I39" s="2369">
        <v>252151842</v>
      </c>
      <c r="J39" s="2087">
        <v>285986998</v>
      </c>
      <c r="K39" s="2087">
        <v>306993377</v>
      </c>
    </row>
    <row r="40" spans="2:11" ht="15" customHeight="1">
      <c r="B40" s="1161">
        <f t="shared" si="1"/>
        <v>35</v>
      </c>
      <c r="C40" s="2091" t="s">
        <v>2046</v>
      </c>
      <c r="D40" s="1161">
        <v>274</v>
      </c>
      <c r="E40" s="1161">
        <v>9</v>
      </c>
      <c r="F40" s="1162" t="s">
        <v>400</v>
      </c>
      <c r="G40" s="1162" t="str">
        <f t="shared" si="0"/>
        <v>274.9b</v>
      </c>
      <c r="H40" s="1679" t="s">
        <v>1402</v>
      </c>
      <c r="I40" s="2369">
        <v>3991613412</v>
      </c>
      <c r="J40" s="2087">
        <v>4244780923</v>
      </c>
      <c r="K40" s="2087">
        <v>4414667387</v>
      </c>
    </row>
    <row r="41" spans="2:11" ht="15" customHeight="1">
      <c r="B41" s="1161">
        <f t="shared" si="1"/>
        <v>36</v>
      </c>
      <c r="C41" s="2091" t="s">
        <v>2047</v>
      </c>
      <c r="D41" s="1161">
        <v>274</v>
      </c>
      <c r="E41" s="1161">
        <v>9</v>
      </c>
      <c r="F41" s="1162" t="s">
        <v>398</v>
      </c>
      <c r="G41" s="1162" t="str">
        <f t="shared" si="0"/>
        <v>274.9k</v>
      </c>
      <c r="H41" s="1162" t="s">
        <v>399</v>
      </c>
      <c r="I41" s="2369">
        <v>4244780923</v>
      </c>
      <c r="J41" s="2087">
        <v>4414667387</v>
      </c>
      <c r="K41" s="2087">
        <v>4518977533</v>
      </c>
    </row>
    <row r="42" spans="2:11" ht="15" customHeight="1">
      <c r="B42" s="1161">
        <f t="shared" si="1"/>
        <v>37</v>
      </c>
      <c r="C42" s="2091" t="s">
        <v>2048</v>
      </c>
      <c r="D42" s="1161">
        <v>276</v>
      </c>
      <c r="E42" s="1161">
        <v>19</v>
      </c>
      <c r="F42" s="1162" t="s">
        <v>400</v>
      </c>
      <c r="G42" s="1162" t="str">
        <f t="shared" ref="G42:G65" si="2">D42&amp;"."&amp;E42&amp;F42</f>
        <v>276.19b</v>
      </c>
      <c r="H42" s="1162" t="s">
        <v>1402</v>
      </c>
      <c r="I42" s="2369">
        <v>556381073</v>
      </c>
      <c r="J42" s="2087">
        <v>633311644</v>
      </c>
      <c r="K42" s="2087">
        <v>657526736</v>
      </c>
    </row>
    <row r="43" spans="2:11" ht="15" customHeight="1">
      <c r="B43" s="1161">
        <f t="shared" si="1"/>
        <v>38</v>
      </c>
      <c r="C43" s="2091" t="s">
        <v>2049</v>
      </c>
      <c r="D43" s="1161">
        <v>276</v>
      </c>
      <c r="E43" s="1161">
        <v>19</v>
      </c>
      <c r="F43" s="1162" t="s">
        <v>398</v>
      </c>
      <c r="G43" s="1162" t="str">
        <f t="shared" si="2"/>
        <v>276.19k</v>
      </c>
      <c r="H43" s="1162" t="s">
        <v>399</v>
      </c>
      <c r="I43" s="2369">
        <v>633311644</v>
      </c>
      <c r="J43" s="2087">
        <v>657526736</v>
      </c>
      <c r="K43" s="2087">
        <v>603137231</v>
      </c>
    </row>
    <row r="44" spans="2:11" ht="15" customHeight="1">
      <c r="B44" s="1161">
        <f t="shared" si="1"/>
        <v>39</v>
      </c>
      <c r="C44" s="2091" t="s">
        <v>2050</v>
      </c>
      <c r="D44" s="2085">
        <v>321</v>
      </c>
      <c r="E44" s="2085">
        <v>84</v>
      </c>
      <c r="F44" s="2086" t="s">
        <v>400</v>
      </c>
      <c r="G44" s="2086" t="str">
        <f t="shared" si="2"/>
        <v>321.84b</v>
      </c>
      <c r="H44" s="1162" t="s">
        <v>401</v>
      </c>
      <c r="I44" s="2369">
        <v>0</v>
      </c>
      <c r="J44" s="2087">
        <v>0</v>
      </c>
      <c r="K44" s="2087">
        <v>0</v>
      </c>
    </row>
    <row r="45" spans="2:11" ht="15" customHeight="1">
      <c r="B45" s="1161">
        <f t="shared" si="1"/>
        <v>40</v>
      </c>
      <c r="C45" s="2091" t="s">
        <v>2051</v>
      </c>
      <c r="D45" s="1161">
        <v>321</v>
      </c>
      <c r="E45" s="1161">
        <v>85</v>
      </c>
      <c r="F45" s="1162" t="s">
        <v>400</v>
      </c>
      <c r="G45" s="1162" t="str">
        <f t="shared" si="2"/>
        <v>321.85b</v>
      </c>
      <c r="H45" s="1162" t="s">
        <v>401</v>
      </c>
      <c r="I45" s="2369">
        <v>0</v>
      </c>
      <c r="J45" s="2087">
        <v>0</v>
      </c>
      <c r="K45" s="2087">
        <v>0</v>
      </c>
    </row>
    <row r="46" spans="2:11" ht="15" customHeight="1">
      <c r="B46" s="1161">
        <f t="shared" si="1"/>
        <v>41</v>
      </c>
      <c r="C46" s="2091" t="s">
        <v>2052</v>
      </c>
      <c r="D46" s="1161">
        <v>321</v>
      </c>
      <c r="E46" s="1161">
        <v>86</v>
      </c>
      <c r="F46" s="1162" t="s">
        <v>400</v>
      </c>
      <c r="G46" s="1162" t="str">
        <f t="shared" si="2"/>
        <v>321.86b</v>
      </c>
      <c r="H46" s="1162" t="s">
        <v>401</v>
      </c>
      <c r="I46" s="2369">
        <v>7564076</v>
      </c>
      <c r="J46" s="2087">
        <v>6818716</v>
      </c>
      <c r="K46" s="2087">
        <v>7180746</v>
      </c>
    </row>
    <row r="47" spans="2:11" ht="15" customHeight="1">
      <c r="B47" s="1161">
        <f t="shared" si="1"/>
        <v>42</v>
      </c>
      <c r="C47" s="2091" t="s">
        <v>2053</v>
      </c>
      <c r="D47" s="1161">
        <v>321</v>
      </c>
      <c r="E47" s="1161">
        <v>87</v>
      </c>
      <c r="F47" s="1162" t="s">
        <v>400</v>
      </c>
      <c r="G47" s="1162" t="str">
        <f t="shared" si="2"/>
        <v>321.87b</v>
      </c>
      <c r="H47" s="1162" t="s">
        <v>401</v>
      </c>
      <c r="I47" s="2369">
        <v>0</v>
      </c>
      <c r="J47" s="2087">
        <v>0</v>
      </c>
      <c r="K47" s="2087">
        <v>0</v>
      </c>
    </row>
    <row r="48" spans="2:11" ht="15" customHeight="1">
      <c r="B48" s="1161">
        <f t="shared" si="1"/>
        <v>43</v>
      </c>
      <c r="C48" s="2091" t="s">
        <v>2054</v>
      </c>
      <c r="D48" s="1161">
        <v>321</v>
      </c>
      <c r="E48" s="1161">
        <v>88</v>
      </c>
      <c r="F48" s="1162" t="s">
        <v>400</v>
      </c>
      <c r="G48" s="1162" t="str">
        <f t="shared" si="2"/>
        <v>321.88b</v>
      </c>
      <c r="H48" s="1162" t="s">
        <v>401</v>
      </c>
      <c r="I48" s="2369">
        <v>824276</v>
      </c>
      <c r="J48" s="2087">
        <v>2106756</v>
      </c>
      <c r="K48" s="2087">
        <v>1818514</v>
      </c>
    </row>
    <row r="49" spans="2:11" ht="15" customHeight="1">
      <c r="B49" s="1161">
        <f t="shared" si="1"/>
        <v>44</v>
      </c>
      <c r="C49" s="2091" t="s">
        <v>2055</v>
      </c>
      <c r="D49" s="1161">
        <v>321</v>
      </c>
      <c r="E49" s="1161">
        <v>89</v>
      </c>
      <c r="F49" s="1162" t="s">
        <v>400</v>
      </c>
      <c r="G49" s="1162" t="str">
        <f t="shared" si="2"/>
        <v>321.89b</v>
      </c>
      <c r="H49" s="1162" t="s">
        <v>401</v>
      </c>
      <c r="I49" s="2369">
        <v>1111085</v>
      </c>
      <c r="J49" s="2087">
        <v>1326587</v>
      </c>
      <c r="K49" s="2087">
        <v>1747640</v>
      </c>
    </row>
    <row r="50" spans="2:11" ht="15" customHeight="1">
      <c r="B50" s="1161">
        <f t="shared" si="1"/>
        <v>45</v>
      </c>
      <c r="C50" s="2091" t="s">
        <v>2056</v>
      </c>
      <c r="D50" s="1161">
        <v>321</v>
      </c>
      <c r="E50" s="1161">
        <v>92</v>
      </c>
      <c r="F50" s="1162" t="s">
        <v>400</v>
      </c>
      <c r="G50" s="1162" t="str">
        <f t="shared" si="2"/>
        <v>321.92b</v>
      </c>
      <c r="H50" s="1162" t="s">
        <v>401</v>
      </c>
      <c r="I50" s="2369">
        <v>5545389</v>
      </c>
      <c r="J50" s="2087">
        <v>7402436</v>
      </c>
      <c r="K50" s="2087">
        <v>7528820</v>
      </c>
    </row>
    <row r="51" spans="2:11" ht="15" customHeight="1">
      <c r="B51" s="1161">
        <f t="shared" si="1"/>
        <v>46</v>
      </c>
      <c r="C51" s="2091" t="s">
        <v>2057</v>
      </c>
      <c r="D51" s="1161">
        <v>321</v>
      </c>
      <c r="E51" s="1161">
        <v>96</v>
      </c>
      <c r="F51" s="1162" t="s">
        <v>400</v>
      </c>
      <c r="G51" s="1162" t="str">
        <f t="shared" si="2"/>
        <v>321.96b</v>
      </c>
      <c r="H51" s="1162" t="s">
        <v>401</v>
      </c>
      <c r="I51" s="2369">
        <v>151335724</v>
      </c>
      <c r="J51" s="2087">
        <v>148425345</v>
      </c>
      <c r="K51" s="2087">
        <v>130788907</v>
      </c>
    </row>
    <row r="52" spans="2:11" ht="15" customHeight="1">
      <c r="B52" s="1161">
        <f t="shared" si="1"/>
        <v>47</v>
      </c>
      <c r="C52" s="2091" t="s">
        <v>2058</v>
      </c>
      <c r="D52" s="1161">
        <v>321</v>
      </c>
      <c r="E52" s="1161">
        <v>112</v>
      </c>
      <c r="F52" s="1162" t="s">
        <v>400</v>
      </c>
      <c r="G52" s="1162" t="str">
        <f t="shared" si="2"/>
        <v>321.112b</v>
      </c>
      <c r="H52" s="1162" t="s">
        <v>401</v>
      </c>
      <c r="I52" s="2369">
        <v>211057529</v>
      </c>
      <c r="J52" s="2087">
        <v>215664453</v>
      </c>
      <c r="K52" s="2087">
        <v>203261005</v>
      </c>
    </row>
    <row r="53" spans="2:11" ht="15" customHeight="1">
      <c r="B53" s="1161">
        <f t="shared" si="1"/>
        <v>48</v>
      </c>
      <c r="C53" s="2091" t="s">
        <v>2059</v>
      </c>
      <c r="D53" s="1161">
        <v>323</v>
      </c>
      <c r="E53" s="1161">
        <v>185</v>
      </c>
      <c r="F53" s="1162" t="s">
        <v>400</v>
      </c>
      <c r="G53" s="1162" t="str">
        <f t="shared" si="2"/>
        <v>323.185b</v>
      </c>
      <c r="H53" s="1162" t="s">
        <v>401</v>
      </c>
      <c r="I53" s="2369">
        <v>15633179</v>
      </c>
      <c r="J53" s="2087">
        <v>15938310</v>
      </c>
      <c r="K53" s="2087">
        <v>14265351</v>
      </c>
    </row>
    <row r="54" spans="2:11" ht="15" customHeight="1">
      <c r="B54" s="1161">
        <f t="shared" si="1"/>
        <v>49</v>
      </c>
      <c r="C54" s="2091" t="s">
        <v>2060</v>
      </c>
      <c r="D54" s="1161">
        <v>323</v>
      </c>
      <c r="E54" s="1161">
        <v>189</v>
      </c>
      <c r="F54" s="1162" t="s">
        <v>400</v>
      </c>
      <c r="G54" s="1162" t="str">
        <f t="shared" si="2"/>
        <v>323.189b</v>
      </c>
      <c r="H54" s="1162" t="s">
        <v>401</v>
      </c>
      <c r="I54" s="2369">
        <v>24280590</v>
      </c>
      <c r="J54" s="2087">
        <v>22275686</v>
      </c>
      <c r="K54" s="2087">
        <v>25261821</v>
      </c>
    </row>
    <row r="55" spans="2:11" ht="15" customHeight="1">
      <c r="B55" s="1161">
        <f t="shared" si="1"/>
        <v>50</v>
      </c>
      <c r="C55" s="2091" t="s">
        <v>2061</v>
      </c>
      <c r="D55" s="1161">
        <v>323</v>
      </c>
      <c r="E55" s="1161">
        <v>191</v>
      </c>
      <c r="F55" s="1162" t="s">
        <v>400</v>
      </c>
      <c r="G55" s="1162" t="str">
        <f t="shared" si="2"/>
        <v>323.191b</v>
      </c>
      <c r="H55" s="1162" t="s">
        <v>401</v>
      </c>
      <c r="I55" s="2369">
        <v>6832</v>
      </c>
      <c r="J55" s="2087">
        <v>319</v>
      </c>
      <c r="K55" s="2087">
        <v>1818</v>
      </c>
    </row>
    <row r="56" spans="2:11" ht="15" customHeight="1">
      <c r="B56" s="1161">
        <f t="shared" si="1"/>
        <v>51</v>
      </c>
      <c r="C56" s="2091" t="s">
        <v>2062</v>
      </c>
      <c r="D56" s="1161">
        <v>323</v>
      </c>
      <c r="E56" s="1161">
        <v>197</v>
      </c>
      <c r="F56" s="1162" t="s">
        <v>400</v>
      </c>
      <c r="G56" s="1162" t="str">
        <f t="shared" si="2"/>
        <v>323.197b</v>
      </c>
      <c r="H56" s="1162" t="s">
        <v>401</v>
      </c>
      <c r="I56" s="2369">
        <v>103886947</v>
      </c>
      <c r="J56" s="2087">
        <v>134217341</v>
      </c>
      <c r="K56" s="2087">
        <v>129632900</v>
      </c>
    </row>
    <row r="57" spans="2:11" ht="15" customHeight="1">
      <c r="B57" s="1161">
        <f t="shared" si="1"/>
        <v>52</v>
      </c>
      <c r="C57" s="2091" t="s">
        <v>2063</v>
      </c>
      <c r="D57" s="1161">
        <v>335</v>
      </c>
      <c r="E57" s="1161">
        <v>1</v>
      </c>
      <c r="F57" s="1162" t="s">
        <v>400</v>
      </c>
      <c r="G57" s="1162" t="str">
        <f t="shared" si="2"/>
        <v>335.1b</v>
      </c>
      <c r="H57" s="1162" t="s">
        <v>402</v>
      </c>
      <c r="I57" s="2369">
        <v>1114980</v>
      </c>
      <c r="J57" s="2087">
        <v>1206198</v>
      </c>
      <c r="K57" s="2087">
        <v>1148762</v>
      </c>
    </row>
    <row r="58" spans="2:11" ht="15" customHeight="1">
      <c r="B58" s="1161">
        <f t="shared" si="1"/>
        <v>53</v>
      </c>
      <c r="C58" s="2091" t="s">
        <v>2064</v>
      </c>
      <c r="D58" s="1161">
        <v>336</v>
      </c>
      <c r="E58" s="1161">
        <v>1</v>
      </c>
      <c r="F58" s="1162" t="s">
        <v>394</v>
      </c>
      <c r="G58" s="1162" t="str">
        <f t="shared" si="2"/>
        <v>336.1d</v>
      </c>
      <c r="H58" s="1162" t="s">
        <v>404</v>
      </c>
      <c r="I58" s="2369">
        <v>39290397</v>
      </c>
      <c r="J58" s="2087">
        <v>36050777</v>
      </c>
      <c r="K58" s="2087">
        <v>36791866</v>
      </c>
    </row>
    <row r="59" spans="2:11" ht="15" customHeight="1">
      <c r="B59" s="1161">
        <f t="shared" si="1"/>
        <v>54</v>
      </c>
      <c r="C59" s="2091" t="s">
        <v>2065</v>
      </c>
      <c r="D59" s="1161">
        <v>336</v>
      </c>
      <c r="E59" s="1161">
        <v>1</v>
      </c>
      <c r="F59" s="1162" t="s">
        <v>359</v>
      </c>
      <c r="G59" s="1162" t="str">
        <f t="shared" si="2"/>
        <v>336.1e</v>
      </c>
      <c r="H59" s="1162" t="s">
        <v>405</v>
      </c>
      <c r="I59" s="2369">
        <v>0</v>
      </c>
      <c r="J59" s="2087">
        <v>0</v>
      </c>
      <c r="K59" s="2087">
        <v>0</v>
      </c>
    </row>
    <row r="60" spans="2:11" ht="15" customHeight="1">
      <c r="B60" s="1161">
        <f t="shared" si="1"/>
        <v>55</v>
      </c>
      <c r="C60" s="2091" t="s">
        <v>2066</v>
      </c>
      <c r="D60" s="1161">
        <v>336</v>
      </c>
      <c r="E60" s="1161">
        <v>7</v>
      </c>
      <c r="F60" s="1162" t="s">
        <v>400</v>
      </c>
      <c r="G60" s="1162" t="str">
        <f t="shared" si="2"/>
        <v>336.7b</v>
      </c>
      <c r="H60" s="1162" t="s">
        <v>403</v>
      </c>
      <c r="I60" s="2369">
        <v>92085625</v>
      </c>
      <c r="J60" s="2087">
        <v>99238672</v>
      </c>
      <c r="K60" s="2087">
        <v>104655006</v>
      </c>
    </row>
    <row r="61" spans="2:11" ht="15" customHeight="1">
      <c r="B61" s="1161">
        <f t="shared" si="1"/>
        <v>56</v>
      </c>
      <c r="C61" s="2091" t="s">
        <v>2067</v>
      </c>
      <c r="D61" s="1161">
        <v>336</v>
      </c>
      <c r="E61" s="1161">
        <v>7</v>
      </c>
      <c r="F61" s="1162" t="s">
        <v>394</v>
      </c>
      <c r="G61" s="1162" t="str">
        <f t="shared" si="2"/>
        <v>336.7d</v>
      </c>
      <c r="H61" s="1162" t="s">
        <v>404</v>
      </c>
      <c r="I61" s="2369">
        <v>0</v>
      </c>
      <c r="J61" s="2087">
        <v>0</v>
      </c>
      <c r="K61" s="2087">
        <v>0</v>
      </c>
    </row>
    <row r="62" spans="2:11" ht="15" customHeight="1">
      <c r="B62" s="1161">
        <f t="shared" si="1"/>
        <v>57</v>
      </c>
      <c r="C62" s="2091" t="s">
        <v>2068</v>
      </c>
      <c r="D62" s="1161">
        <v>336</v>
      </c>
      <c r="E62" s="1161">
        <v>10</v>
      </c>
      <c r="F62" s="1162" t="s">
        <v>400</v>
      </c>
      <c r="G62" s="1162" t="str">
        <f t="shared" si="2"/>
        <v>336.10b</v>
      </c>
      <c r="H62" s="1162" t="s">
        <v>403</v>
      </c>
      <c r="I62" s="2369">
        <v>39508869</v>
      </c>
      <c r="J62" s="2087">
        <v>39308259</v>
      </c>
      <c r="K62" s="2087">
        <v>39923447</v>
      </c>
    </row>
    <row r="63" spans="2:11" ht="15" customHeight="1">
      <c r="B63" s="1161">
        <f t="shared" si="1"/>
        <v>58</v>
      </c>
      <c r="C63" s="2091" t="s">
        <v>2069</v>
      </c>
      <c r="D63" s="1161">
        <v>336</v>
      </c>
      <c r="E63" s="1161">
        <v>10</v>
      </c>
      <c r="F63" s="1162" t="s">
        <v>394</v>
      </c>
      <c r="G63" s="1162" t="str">
        <f t="shared" si="2"/>
        <v>336.10d</v>
      </c>
      <c r="H63" s="1162" t="s">
        <v>404</v>
      </c>
      <c r="I63" s="2369">
        <v>1144615</v>
      </c>
      <c r="J63" s="2087">
        <v>1358159</v>
      </c>
      <c r="K63" s="2087">
        <v>1480588</v>
      </c>
    </row>
    <row r="64" spans="2:11" ht="15" customHeight="1">
      <c r="B64" s="1161">
        <f t="shared" si="1"/>
        <v>59</v>
      </c>
      <c r="C64" s="2091" t="s">
        <v>2070</v>
      </c>
      <c r="D64" s="1161">
        <v>354</v>
      </c>
      <c r="E64" s="1161">
        <v>21</v>
      </c>
      <c r="F64" s="1162" t="s">
        <v>400</v>
      </c>
      <c r="G64" s="1162" t="str">
        <f t="shared" si="2"/>
        <v>354.21b</v>
      </c>
      <c r="H64" s="1162" t="s">
        <v>406</v>
      </c>
      <c r="I64" s="2369">
        <v>24934991</v>
      </c>
      <c r="J64" s="2087">
        <v>25137301</v>
      </c>
      <c r="K64" s="2087">
        <v>27291677</v>
      </c>
    </row>
    <row r="65" spans="2:11" ht="15" customHeight="1">
      <c r="B65" s="1161">
        <f t="shared" si="1"/>
        <v>60</v>
      </c>
      <c r="C65" s="2091" t="s">
        <v>2071</v>
      </c>
      <c r="D65" s="1161">
        <v>354</v>
      </c>
      <c r="E65" s="1161">
        <v>27</v>
      </c>
      <c r="F65" s="1162" t="s">
        <v>400</v>
      </c>
      <c r="G65" s="1162" t="str">
        <f t="shared" si="2"/>
        <v>354.27b</v>
      </c>
      <c r="H65" s="1162" t="s">
        <v>406</v>
      </c>
      <c r="I65" s="2369">
        <v>41620401</v>
      </c>
      <c r="J65" s="2087">
        <v>37744556</v>
      </c>
      <c r="K65" s="2087">
        <v>38710883</v>
      </c>
    </row>
    <row r="66" spans="2:11" ht="15" customHeight="1">
      <c r="B66" s="1161">
        <f t="shared" si="1"/>
        <v>61</v>
      </c>
      <c r="C66" s="2091" t="s">
        <v>2072</v>
      </c>
      <c r="D66" s="1163">
        <v>354</v>
      </c>
      <c r="E66" s="1163">
        <v>28</v>
      </c>
      <c r="F66" s="1164" t="s">
        <v>400</v>
      </c>
      <c r="G66" s="1164" t="str">
        <f>D66&amp;"."&amp;E66&amp;F66</f>
        <v>354.28b</v>
      </c>
      <c r="H66" s="1164" t="s">
        <v>406</v>
      </c>
      <c r="I66" s="2369">
        <v>362793740</v>
      </c>
      <c r="J66" s="2087">
        <v>356682932</v>
      </c>
      <c r="K66" s="2087">
        <v>351524131</v>
      </c>
    </row>
  </sheetData>
  <pageMargins left="0.25" right="0.25" top="0.75" bottom="0.75" header="0.3" footer="0.3"/>
  <pageSetup scale="64" fitToHeight="0"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J228"/>
  <sheetViews>
    <sheetView workbookViewId="0"/>
  </sheetViews>
  <sheetFormatPr defaultRowHeight="12.75"/>
  <cols>
    <col min="1" max="1" width="6.5703125" customWidth="1"/>
    <col min="2" max="2" width="51" customWidth="1"/>
    <col min="3" max="3" width="2.7109375" customWidth="1"/>
    <col min="4" max="4" width="30.28515625" bestFit="1" customWidth="1"/>
    <col min="5" max="5" width="2.7109375" customWidth="1"/>
    <col min="6" max="6" width="15.7109375" customWidth="1"/>
    <col min="7" max="7" width="13.28515625" bestFit="1" customWidth="1"/>
  </cols>
  <sheetData>
    <row r="1" spans="1:6" ht="15">
      <c r="A1" s="465"/>
      <c r="B1" s="361" t="s">
        <v>365</v>
      </c>
      <c r="C1" s="465"/>
      <c r="D1" s="465"/>
      <c r="E1" s="465"/>
      <c r="F1" s="465"/>
    </row>
    <row r="2" spans="1:6" ht="15">
      <c r="A2" s="465"/>
      <c r="B2" s="361" t="s">
        <v>526</v>
      </c>
      <c r="C2" s="465"/>
      <c r="D2" s="465"/>
      <c r="E2" s="465"/>
      <c r="F2" s="465"/>
    </row>
    <row r="3" spans="1:6" ht="15">
      <c r="A3" s="465"/>
      <c r="B3" s="361" t="s">
        <v>524</v>
      </c>
      <c r="C3" s="465"/>
      <c r="D3" s="465"/>
      <c r="E3" s="465"/>
      <c r="F3" s="465"/>
    </row>
    <row r="4" spans="1:6">
      <c r="A4" s="323"/>
      <c r="B4" s="323"/>
      <c r="C4" s="323"/>
      <c r="D4" s="323"/>
      <c r="E4" s="323"/>
      <c r="F4" s="323"/>
    </row>
    <row r="5" spans="1:6">
      <c r="A5" s="323"/>
      <c r="B5" s="323"/>
      <c r="C5" s="323"/>
      <c r="D5" s="323"/>
      <c r="E5" s="323"/>
      <c r="F5" s="323"/>
    </row>
    <row r="6" spans="1:6" ht="15">
      <c r="A6" s="711" t="s">
        <v>30</v>
      </c>
      <c r="B6" s="711" t="s">
        <v>24</v>
      </c>
      <c r="C6" s="711"/>
      <c r="D6" s="711" t="s">
        <v>525</v>
      </c>
      <c r="E6" s="711"/>
      <c r="F6" s="711" t="s">
        <v>79</v>
      </c>
    </row>
    <row r="7" spans="1:6" ht="14.25">
      <c r="A7" s="359"/>
      <c r="B7" s="359"/>
      <c r="C7" s="323"/>
      <c r="D7" s="323"/>
      <c r="E7" s="323"/>
      <c r="F7" s="323"/>
    </row>
    <row r="8" spans="1:6" ht="14.25">
      <c r="A8" s="360">
        <v>1</v>
      </c>
      <c r="B8" s="359" t="s">
        <v>241</v>
      </c>
      <c r="C8" s="323"/>
      <c r="D8" s="323" t="str">
        <f>"Appendix A, Line "&amp;'Appendix A'!A261</f>
        <v>Appendix A, Line 151</v>
      </c>
      <c r="E8" s="323"/>
      <c r="F8" s="466">
        <f>'Appendix A'!H261</f>
        <v>561407049.4894855</v>
      </c>
    </row>
    <row r="9" spans="1:6" ht="14.25">
      <c r="A9" s="360"/>
      <c r="B9" s="359"/>
      <c r="C9" s="323"/>
      <c r="D9" s="323"/>
      <c r="E9" s="323"/>
      <c r="F9" s="323"/>
    </row>
    <row r="10" spans="1:6" ht="14.25">
      <c r="A10" s="360"/>
      <c r="B10" s="359" t="s">
        <v>523</v>
      </c>
      <c r="C10" s="323"/>
      <c r="D10" s="323"/>
      <c r="E10" s="323"/>
      <c r="F10" s="323"/>
    </row>
    <row r="11" spans="1:6" ht="14.25">
      <c r="A11" s="360"/>
      <c r="B11" s="359"/>
      <c r="C11" s="323"/>
      <c r="D11" s="323"/>
      <c r="E11" s="323"/>
      <c r="F11" s="323"/>
    </row>
    <row r="12" spans="1:6" ht="14.25">
      <c r="A12" s="360">
        <v>2</v>
      </c>
      <c r="B12" s="467" t="s">
        <v>845</v>
      </c>
      <c r="C12" s="323"/>
      <c r="D12" s="323" t="str">
        <f>"Attachment 3, Line "&amp;'Att 3 - Revenue Credits'!A12</f>
        <v>Attachment 3, Line 6</v>
      </c>
      <c r="E12" s="323"/>
      <c r="F12" s="466">
        <f>SUM('Att 3 - Revenue Credits'!E12)</f>
        <v>5509106.8142873514</v>
      </c>
    </row>
    <row r="13" spans="1:6" ht="14.25">
      <c r="A13" s="360">
        <v>3</v>
      </c>
      <c r="B13" s="467" t="s">
        <v>846</v>
      </c>
      <c r="C13" s="323"/>
      <c r="D13" s="323" t="str">
        <f>"Attachment 3, Line "&amp;'Att 3 - Revenue Credits'!A20</f>
        <v>Attachment 3, Line 12</v>
      </c>
      <c r="E13" s="323"/>
      <c r="F13" s="466">
        <f>SUM('Att 3 - Revenue Credits'!E20)</f>
        <v>127270990.60325469</v>
      </c>
    </row>
    <row r="14" spans="1:6" ht="14.25">
      <c r="A14" s="360">
        <v>4</v>
      </c>
      <c r="B14" s="994" t="s">
        <v>527</v>
      </c>
      <c r="C14" s="323"/>
      <c r="D14" s="926" t="str">
        <f>"Line "&amp;A12&amp;" + Line "&amp;A13</f>
        <v>Line 2 + Line 3</v>
      </c>
      <c r="E14" s="323"/>
      <c r="F14" s="993">
        <f>SUM(F12:F13)</f>
        <v>132780097.41754204</v>
      </c>
    </row>
    <row r="15" spans="1:6" ht="14.25">
      <c r="A15" s="360"/>
      <c r="B15" s="359"/>
      <c r="C15" s="323"/>
      <c r="D15" s="323"/>
      <c r="E15" s="323"/>
      <c r="F15" s="323"/>
    </row>
    <row r="16" spans="1:6" s="462" customFormat="1" ht="14.25">
      <c r="A16" s="360"/>
      <c r="B16" s="359"/>
      <c r="C16" s="323"/>
      <c r="D16" s="323"/>
      <c r="E16" s="323"/>
      <c r="F16" s="323"/>
    </row>
    <row r="17" spans="1:9" ht="14.25">
      <c r="A17" s="360">
        <v>5</v>
      </c>
      <c r="B17" s="359" t="s">
        <v>529</v>
      </c>
      <c r="C17" s="323"/>
      <c r="D17" s="323" t="s">
        <v>177</v>
      </c>
      <c r="E17" s="323"/>
      <c r="F17" s="466">
        <f>'Att 5 - Cost Support'!H259</f>
        <v>1047559.3999999999</v>
      </c>
    </row>
    <row r="18" spans="1:9" ht="14.25">
      <c r="A18" s="360"/>
      <c r="B18" s="359"/>
      <c r="C18" s="323"/>
      <c r="D18" s="323"/>
      <c r="E18" s="323"/>
      <c r="F18" s="323"/>
    </row>
    <row r="19" spans="1:9" ht="14.25">
      <c r="A19" s="360">
        <v>6</v>
      </c>
      <c r="B19" s="359" t="s">
        <v>377</v>
      </c>
      <c r="C19" s="323"/>
      <c r="D19" s="323" t="s">
        <v>378</v>
      </c>
      <c r="E19" s="323"/>
      <c r="F19" s="466">
        <f>INDEX('Att 7 - Trans Enhance Charge'!$D$30:$T$71,MATCH(IF(Toggle=Projection,data_year+1,data_year)&amp;'Att 7 - Trans Enhance Charge'!$C$31,'Att 7 - Trans Enhance Charge'!$B$30:$B$69,0),MATCH('Att 7 - Trans Enhance Charge'!$T$29,'Att 7 - Trans Enhance Charge'!$D$29:$T$29,0))</f>
        <v>4663281.0387433171</v>
      </c>
    </row>
    <row r="20" spans="1:9" ht="14.25">
      <c r="A20" s="360"/>
      <c r="B20" s="359"/>
      <c r="C20" s="323"/>
      <c r="D20" s="323"/>
      <c r="E20" s="323"/>
      <c r="F20" s="323"/>
    </row>
    <row r="21" spans="1:9" ht="14.25">
      <c r="A21" s="360">
        <v>7</v>
      </c>
      <c r="B21" s="359" t="s">
        <v>528</v>
      </c>
      <c r="C21" s="323"/>
      <c r="D21" s="323" t="s">
        <v>844</v>
      </c>
      <c r="E21" s="323"/>
      <c r="F21" s="466">
        <f>F8-F14+F17+F19</f>
        <v>434337792.51068676</v>
      </c>
    </row>
    <row r="22" spans="1:9" ht="14.25">
      <c r="A22" s="360"/>
      <c r="B22" s="359"/>
      <c r="C22" s="323"/>
      <c r="D22" s="323"/>
      <c r="E22" s="323"/>
      <c r="F22" s="323"/>
    </row>
    <row r="23" spans="1:9" ht="14.25">
      <c r="A23" s="360">
        <v>8</v>
      </c>
      <c r="B23" s="359" t="s">
        <v>642</v>
      </c>
      <c r="C23" s="323"/>
      <c r="D23" s="323" t="str">
        <f>"Appendix A, Line "&amp;'Appendix A'!A290</f>
        <v>Appendix A, Line 170</v>
      </c>
      <c r="E23" s="323"/>
      <c r="F23" s="1237">
        <f>'Appendix A'!H290</f>
        <v>13413.906183183331</v>
      </c>
      <c r="I23" s="322"/>
    </row>
    <row r="24" spans="1:9" ht="14.25">
      <c r="A24" s="360"/>
      <c r="B24" s="359"/>
      <c r="C24" s="323"/>
      <c r="D24" s="323"/>
      <c r="E24" s="323"/>
      <c r="F24" s="323"/>
    </row>
    <row r="25" spans="1:9" s="462" customFormat="1" ht="14.25">
      <c r="A25" s="360"/>
      <c r="B25" s="359"/>
      <c r="C25" s="323"/>
      <c r="D25" s="323"/>
      <c r="E25" s="323"/>
      <c r="F25" s="323"/>
    </row>
    <row r="26" spans="1:9" s="462" customFormat="1" ht="14.25">
      <c r="A26" s="360"/>
      <c r="B26" s="359" t="s">
        <v>847</v>
      </c>
      <c r="C26" s="323"/>
      <c r="D26" s="323"/>
      <c r="E26" s="323"/>
      <c r="F26" s="323"/>
    </row>
    <row r="27" spans="1:9" s="462" customFormat="1" ht="14.25">
      <c r="A27" s="360"/>
      <c r="B27" s="359"/>
      <c r="C27" s="323"/>
      <c r="D27" s="323"/>
      <c r="E27" s="323"/>
      <c r="F27" s="323"/>
    </row>
    <row r="28" spans="1:9" ht="14.25">
      <c r="A28" s="360">
        <v>9</v>
      </c>
      <c r="B28" s="467" t="s">
        <v>993</v>
      </c>
      <c r="C28" s="323"/>
      <c r="D28" s="323" t="str">
        <f>"Line "&amp;A21&amp;" / Line "&amp;A23&amp;" / 1000"</f>
        <v>Line 7 / Line 8 / 1000</v>
      </c>
      <c r="E28" s="323"/>
      <c r="F28" s="708">
        <f>F21/F23/1000</f>
        <v>32.379665295050657</v>
      </c>
    </row>
    <row r="29" spans="1:9" ht="14.25">
      <c r="A29" s="360"/>
      <c r="B29" s="467"/>
      <c r="C29" s="323"/>
      <c r="D29" s="323"/>
      <c r="E29" s="323"/>
      <c r="F29" s="468"/>
    </row>
    <row r="30" spans="1:9" ht="14.25">
      <c r="A30" s="360">
        <v>10</v>
      </c>
      <c r="B30" s="467" t="s">
        <v>843</v>
      </c>
      <c r="C30" s="323"/>
      <c r="D30" s="323" t="str">
        <f>"Line "&amp;A28&amp;" / 12 months"</f>
        <v>Line 9 / 12 months</v>
      </c>
      <c r="E30" s="323"/>
      <c r="F30" s="708">
        <f>F28/12</f>
        <v>2.6983054412542216</v>
      </c>
    </row>
    <row r="31" spans="1:9" ht="14.25">
      <c r="A31" s="360"/>
      <c r="B31" s="467"/>
      <c r="C31" s="323"/>
      <c r="D31" s="323"/>
      <c r="E31" s="323"/>
      <c r="F31" s="708"/>
    </row>
    <row r="32" spans="1:9" ht="14.25">
      <c r="A32" s="360">
        <v>11</v>
      </c>
      <c r="B32" s="467" t="s">
        <v>842</v>
      </c>
      <c r="C32" s="323"/>
      <c r="D32" s="323" t="str">
        <f>"Line "&amp;A28&amp;" / 52 weeks"</f>
        <v>Line 9 / 52 weeks</v>
      </c>
      <c r="E32" s="323"/>
      <c r="F32" s="708">
        <f>F28/52</f>
        <v>0.62268587105866646</v>
      </c>
    </row>
    <row r="33" spans="1:6" ht="14.25">
      <c r="A33" s="360"/>
      <c r="B33" s="359"/>
      <c r="C33" s="323"/>
      <c r="D33" s="323"/>
      <c r="E33" s="323"/>
      <c r="F33" s="708"/>
    </row>
    <row r="34" spans="1:6" s="462" customFormat="1" ht="14.25">
      <c r="A34" s="360"/>
      <c r="B34" s="359"/>
      <c r="C34" s="323"/>
      <c r="D34" s="323"/>
      <c r="E34" s="323"/>
      <c r="F34" s="708"/>
    </row>
    <row r="35" spans="1:6" ht="14.25">
      <c r="A35" s="360"/>
      <c r="B35" s="359" t="s">
        <v>848</v>
      </c>
      <c r="C35" s="323"/>
      <c r="D35" s="323"/>
      <c r="E35" s="323"/>
      <c r="F35" s="708"/>
    </row>
    <row r="36" spans="1:6" s="462" customFormat="1" ht="14.25">
      <c r="A36" s="360"/>
      <c r="B36" s="359"/>
      <c r="C36" s="323"/>
      <c r="D36" s="323"/>
      <c r="E36" s="323"/>
      <c r="F36" s="708"/>
    </row>
    <row r="37" spans="1:6" ht="14.25">
      <c r="A37" s="360">
        <v>12</v>
      </c>
      <c r="B37" s="467" t="s">
        <v>849</v>
      </c>
      <c r="C37" s="323"/>
      <c r="D37" s="323" t="str">
        <f>"Line "&amp;A32&amp;" / 5 days"</f>
        <v>Line 11 / 5 days</v>
      </c>
      <c r="E37" s="323"/>
      <c r="F37" s="708">
        <f>F32/5</f>
        <v>0.1245371742117333</v>
      </c>
    </row>
    <row r="38" spans="1:6" s="462" customFormat="1" ht="14.25">
      <c r="A38" s="360"/>
      <c r="B38" s="467"/>
      <c r="C38" s="323"/>
      <c r="D38" s="323"/>
      <c r="E38" s="323"/>
      <c r="F38" s="708"/>
    </row>
    <row r="39" spans="1:6" ht="14.25">
      <c r="A39" s="360">
        <v>13</v>
      </c>
      <c r="B39" s="467" t="s">
        <v>850</v>
      </c>
      <c r="C39" s="323"/>
      <c r="D39" s="323" t="str">
        <f>"Line "&amp;A32&amp;" / 7 days"</f>
        <v>Line 11 / 7 days</v>
      </c>
      <c r="E39" s="323"/>
      <c r="F39" s="708">
        <f>F32/7</f>
        <v>8.8955124436952346E-2</v>
      </c>
    </row>
    <row r="40" spans="1:6" ht="14.25">
      <c r="A40" s="360"/>
      <c r="B40" s="359"/>
      <c r="C40" s="323"/>
      <c r="D40" s="323"/>
      <c r="E40" s="323"/>
      <c r="F40" s="708"/>
    </row>
    <row r="41" spans="1:6" s="462" customFormat="1" ht="14.25">
      <c r="A41" s="360"/>
      <c r="B41" s="359"/>
      <c r="C41" s="323"/>
      <c r="D41" s="323"/>
      <c r="E41" s="2646"/>
      <c r="F41" s="708"/>
    </row>
    <row r="42" spans="1:6" ht="14.25">
      <c r="A42" s="360"/>
      <c r="B42" s="359" t="s">
        <v>851</v>
      </c>
      <c r="C42" s="323"/>
      <c r="D42" s="323"/>
      <c r="E42" s="323"/>
      <c r="F42" s="708"/>
    </row>
    <row r="43" spans="1:6" s="462" customFormat="1" ht="14.25">
      <c r="A43" s="360"/>
      <c r="B43" s="359"/>
      <c r="C43" s="323"/>
      <c r="D43" s="323"/>
      <c r="E43" s="323"/>
      <c r="F43" s="708"/>
    </row>
    <row r="44" spans="1:6" ht="14.25">
      <c r="A44" s="360">
        <v>14</v>
      </c>
      <c r="B44" s="467" t="s">
        <v>852</v>
      </c>
      <c r="C44" s="323"/>
      <c r="D44" s="323" t="str">
        <f>"Line "&amp;A37&amp;" / 16 hours * 1000"</f>
        <v>Line 12 / 16 hours * 1000</v>
      </c>
      <c r="E44" s="323"/>
      <c r="F44" s="1668">
        <f>(F37/16)*1000</f>
        <v>7.7835733882333313</v>
      </c>
    </row>
    <row r="45" spans="1:6" s="462" customFormat="1" ht="14.25">
      <c r="A45" s="360"/>
      <c r="B45" s="467"/>
      <c r="C45" s="323"/>
      <c r="D45" s="323"/>
      <c r="E45" s="323"/>
      <c r="F45" s="1668"/>
    </row>
    <row r="46" spans="1:6" ht="14.25">
      <c r="A46" s="360">
        <v>15</v>
      </c>
      <c r="B46" s="467" t="s">
        <v>853</v>
      </c>
      <c r="C46" s="323"/>
      <c r="D46" s="323" t="str">
        <f>"Line "&amp;A39&amp;" / 24 hours * 1000"</f>
        <v>Line 13 / 24 hours * 1000</v>
      </c>
      <c r="E46" s="323"/>
      <c r="F46" s="1668">
        <f>F39/24*1000</f>
        <v>3.7064635182063479</v>
      </c>
    </row>
    <row r="228" spans="10:10">
      <c r="J228">
        <v>0</v>
      </c>
    </row>
  </sheetData>
  <pageMargins left="0.7" right="0.7" top="0.75" bottom="0.75" header="0.3" footer="0.3"/>
  <pageSetup scale="84" orientation="portrait" r:id="rId1"/>
  <cellWatches>
    <cellWatch r="F28"/>
  </cellWatche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K890"/>
  <sheetViews>
    <sheetView zoomScale="85" zoomScaleNormal="85" workbookViewId="0"/>
  </sheetViews>
  <sheetFormatPr defaultRowHeight="14.25"/>
  <cols>
    <col min="1" max="2" width="10.85546875" style="1342" customWidth="1"/>
    <col min="3" max="3" width="70.5703125" style="1303" customWidth="1"/>
    <col min="4" max="4" width="18.5703125" style="436" customWidth="1"/>
    <col min="5" max="8" width="18.5703125" style="1842" customWidth="1"/>
    <col min="9" max="9" width="18.5703125" style="1843" customWidth="1"/>
    <col min="10" max="10" width="60.7109375" style="436" customWidth="1"/>
    <col min="11" max="11" width="4.5703125" style="436" customWidth="1"/>
    <col min="12" max="16384" width="9.140625" style="436"/>
  </cols>
  <sheetData>
    <row r="1" spans="1:11" ht="18">
      <c r="A1" s="1329" t="s">
        <v>365</v>
      </c>
      <c r="B1" s="1329"/>
      <c r="C1" s="1288"/>
      <c r="D1" s="1330"/>
      <c r="E1" s="1330"/>
      <c r="F1" s="1330"/>
      <c r="G1" s="1330"/>
      <c r="H1" s="1330"/>
      <c r="I1" s="1330"/>
      <c r="J1" s="1330"/>
      <c r="K1" s="1288"/>
    </row>
    <row r="2" spans="1:11" ht="15.75">
      <c r="A2" s="1331" t="s">
        <v>1722</v>
      </c>
      <c r="B2" s="1331"/>
      <c r="C2" s="1289"/>
      <c r="D2" s="1332"/>
      <c r="E2" s="1332"/>
      <c r="F2" s="1332"/>
      <c r="G2" s="1332"/>
      <c r="H2" s="1332"/>
      <c r="I2" s="1332"/>
      <c r="J2" s="1332"/>
      <c r="K2" s="1289"/>
    </row>
    <row r="3" spans="1:11">
      <c r="A3" s="1290" t="s">
        <v>985</v>
      </c>
      <c r="B3" s="1333"/>
      <c r="C3" s="1287"/>
      <c r="D3" s="827"/>
      <c r="E3" s="827"/>
      <c r="F3" s="827"/>
      <c r="G3" s="827"/>
      <c r="H3" s="827"/>
      <c r="I3" s="1287"/>
      <c r="J3" s="1290"/>
      <c r="K3" s="1287"/>
    </row>
    <row r="4" spans="1:11" s="437" customFormat="1" ht="15">
      <c r="A4" s="1291"/>
      <c r="B4" s="1291"/>
      <c r="C4" s="1296"/>
      <c r="D4" s="1293"/>
      <c r="E4" s="1774"/>
      <c r="F4" s="1774"/>
      <c r="G4" s="1774"/>
      <c r="H4" s="1334"/>
      <c r="I4" s="1774"/>
      <c r="J4" s="1334"/>
      <c r="K4" s="1295"/>
    </row>
    <row r="5" spans="1:11" s="437" customFormat="1" ht="15">
      <c r="A5" s="1291"/>
      <c r="B5" s="1291"/>
      <c r="C5" s="1296"/>
      <c r="D5" s="1293"/>
      <c r="E5" s="1334"/>
      <c r="F5" s="1334"/>
      <c r="G5" s="1334"/>
      <c r="H5" s="1334"/>
      <c r="I5" s="1334"/>
      <c r="J5" s="1334"/>
      <c r="K5" s="1296"/>
    </row>
    <row r="6" spans="1:11" s="437" customFormat="1" ht="32.25" thickBot="1">
      <c r="A6" s="2076" t="s">
        <v>8</v>
      </c>
      <c r="B6" s="2076"/>
      <c r="C6" s="2076" t="s">
        <v>24</v>
      </c>
      <c r="D6" s="2077" t="s">
        <v>525</v>
      </c>
      <c r="E6" s="2078" t="s">
        <v>966</v>
      </c>
      <c r="F6" s="2078" t="s">
        <v>967</v>
      </c>
      <c r="G6" s="2078" t="s">
        <v>103</v>
      </c>
      <c r="H6" s="2077" t="s">
        <v>72</v>
      </c>
      <c r="I6" s="2077" t="s">
        <v>73</v>
      </c>
      <c r="J6" s="2078" t="s">
        <v>541</v>
      </c>
    </row>
    <row r="7" spans="1:11" s="437" customFormat="1" ht="15.75">
      <c r="A7" s="1286"/>
      <c r="B7" s="1286"/>
      <c r="C7" s="1286" t="s">
        <v>200</v>
      </c>
      <c r="D7" s="1294" t="s">
        <v>201</v>
      </c>
      <c r="E7" s="1294"/>
      <c r="F7" s="1294"/>
      <c r="G7" s="1294" t="s">
        <v>532</v>
      </c>
      <c r="H7" s="1294" t="s">
        <v>114</v>
      </c>
      <c r="I7" s="1294" t="s">
        <v>115</v>
      </c>
      <c r="J7" s="1294" t="s">
        <v>116</v>
      </c>
    </row>
    <row r="8" spans="1:11">
      <c r="A8" s="1291"/>
      <c r="B8" s="1291"/>
      <c r="C8" s="1296"/>
      <c r="D8" s="832"/>
      <c r="E8" s="1775"/>
      <c r="F8" s="1775"/>
      <c r="G8" s="1775"/>
      <c r="H8" s="1775"/>
      <c r="I8" s="1775"/>
      <c r="J8" s="832"/>
      <c r="K8" s="1296"/>
    </row>
    <row r="9" spans="1:11">
      <c r="A9" s="1291"/>
      <c r="B9" s="1291"/>
      <c r="C9" s="1296"/>
      <c r="D9" s="832"/>
      <c r="E9" s="1775"/>
      <c r="F9" s="1775"/>
      <c r="G9" s="1775"/>
      <c r="H9" s="1775"/>
      <c r="I9" s="1775"/>
      <c r="J9" s="832"/>
      <c r="K9" s="1296"/>
    </row>
    <row r="10" spans="1:11">
      <c r="A10" s="1298">
        <v>1</v>
      </c>
      <c r="B10" s="1301"/>
      <c r="C10" s="1296" t="s">
        <v>531</v>
      </c>
      <c r="D10" s="1299" t="s">
        <v>533</v>
      </c>
      <c r="E10" s="1335">
        <f>E299</f>
        <v>-4143593907</v>
      </c>
      <c r="F10" s="1335">
        <f>F299</f>
        <v>-2899531284</v>
      </c>
      <c r="G10" s="1335">
        <f>+G299</f>
        <v>-1025162012</v>
      </c>
      <c r="H10" s="1335">
        <f>+H299</f>
        <v>15033214</v>
      </c>
      <c r="I10" s="1335">
        <f>+I299</f>
        <v>-233933825</v>
      </c>
      <c r="J10" s="1300"/>
      <c r="K10" s="1296"/>
    </row>
    <row r="11" spans="1:11">
      <c r="A11" s="1301">
        <f t="shared" ref="A11:A16" si="0">A10+1</f>
        <v>2</v>
      </c>
      <c r="B11" s="1301"/>
      <c r="C11" s="1296" t="s">
        <v>601</v>
      </c>
      <c r="D11" s="1299" t="s">
        <v>602</v>
      </c>
      <c r="E11" s="1335">
        <f>E224</f>
        <v>-285986998</v>
      </c>
      <c r="F11" s="1335">
        <f>F224</f>
        <v>-285986998</v>
      </c>
      <c r="G11" s="1335">
        <v>0</v>
      </c>
      <c r="H11" s="1335">
        <f>H224</f>
        <v>0</v>
      </c>
      <c r="I11" s="1335">
        <v>0</v>
      </c>
      <c r="J11" s="1300"/>
      <c r="K11" s="1296"/>
    </row>
    <row r="12" spans="1:11">
      <c r="A12" s="1301">
        <f t="shared" si="0"/>
        <v>3</v>
      </c>
      <c r="B12" s="1301"/>
      <c r="C12" s="1296" t="s">
        <v>59</v>
      </c>
      <c r="D12" s="1299" t="s">
        <v>534</v>
      </c>
      <c r="E12" s="1335">
        <f>E464</f>
        <v>-491700316</v>
      </c>
      <c r="F12" s="1335">
        <f>F464</f>
        <v>-481476388</v>
      </c>
      <c r="G12" s="1335">
        <f>+G464</f>
        <v>0</v>
      </c>
      <c r="H12" s="1335">
        <f>+H464</f>
        <v>-8370903</v>
      </c>
      <c r="I12" s="1335">
        <f>+I464</f>
        <v>-1853025</v>
      </c>
      <c r="J12" s="1300"/>
      <c r="K12" s="1296"/>
    </row>
    <row r="13" spans="1:11">
      <c r="A13" s="1301">
        <f t="shared" si="0"/>
        <v>4</v>
      </c>
      <c r="B13" s="1301"/>
      <c r="C13" s="1296" t="s">
        <v>58</v>
      </c>
      <c r="D13" s="1299" t="s">
        <v>535</v>
      </c>
      <c r="E13" s="1776">
        <f>E199</f>
        <v>590565251</v>
      </c>
      <c r="F13" s="1776">
        <f>F199</f>
        <v>559970912</v>
      </c>
      <c r="G13" s="1776">
        <f>G199</f>
        <v>88912</v>
      </c>
      <c r="H13" s="1776">
        <f>H199</f>
        <v>0</v>
      </c>
      <c r="I13" s="1776">
        <f>I199</f>
        <v>30505427</v>
      </c>
      <c r="J13" s="1300"/>
      <c r="K13" s="1296"/>
    </row>
    <row r="14" spans="1:11">
      <c r="A14" s="1301">
        <f t="shared" si="0"/>
        <v>5</v>
      </c>
      <c r="B14" s="1301"/>
      <c r="C14" s="1296" t="s">
        <v>539</v>
      </c>
      <c r="D14" s="1300" t="s">
        <v>607</v>
      </c>
      <c r="E14" s="1335">
        <f>SUM(E10:E13)</f>
        <v>-4330715970</v>
      </c>
      <c r="F14" s="1335">
        <f>SUM(F10:F13)</f>
        <v>-3107023758</v>
      </c>
      <c r="G14" s="1335">
        <f>SUM(G10:G13)</f>
        <v>-1025073100</v>
      </c>
      <c r="H14" s="1335">
        <f>SUM(H10:H13)</f>
        <v>6662311</v>
      </c>
      <c r="I14" s="1335">
        <f>SUM(I10:I13)</f>
        <v>-205281423</v>
      </c>
      <c r="J14" s="1300"/>
      <c r="K14" s="1302"/>
    </row>
    <row r="15" spans="1:11">
      <c r="A15" s="1301">
        <f t="shared" si="0"/>
        <v>6</v>
      </c>
      <c r="B15" s="1301"/>
      <c r="C15" s="1296" t="s">
        <v>1003</v>
      </c>
      <c r="D15" s="1299" t="s">
        <v>335</v>
      </c>
      <c r="E15" s="1775"/>
      <c r="F15" s="1775"/>
      <c r="G15" s="1777">
        <v>1</v>
      </c>
      <c r="H15" s="1777">
        <f>Allocator.net.plant</f>
        <v>0.26011327313078736</v>
      </c>
      <c r="I15" s="1777">
        <f>Allocator.wages.salary</f>
        <v>8.7245911656529326E-2</v>
      </c>
      <c r="J15" s="832"/>
      <c r="K15" s="1296"/>
    </row>
    <row r="16" spans="1:11">
      <c r="A16" s="1301">
        <f t="shared" si="0"/>
        <v>7</v>
      </c>
      <c r="B16" s="1301"/>
      <c r="C16" s="1296" t="s">
        <v>540</v>
      </c>
      <c r="D16" s="1299" t="str">
        <f>"Line "&amp;A14&amp;" * Allocator"</f>
        <v>Line 5 * Allocator</v>
      </c>
      <c r="E16" s="1778"/>
      <c r="F16" s="1778"/>
      <c r="G16" s="1335">
        <f>G14</f>
        <v>-1025073100</v>
      </c>
      <c r="H16" s="1335">
        <f>H15*H14</f>
        <v>1732955.5208252491</v>
      </c>
      <c r="I16" s="1335">
        <f>I15*I14</f>
        <v>-17909964.895784628</v>
      </c>
      <c r="J16" s="1336"/>
      <c r="K16" s="1303"/>
    </row>
    <row r="17" spans="1:11">
      <c r="A17" s="1301"/>
      <c r="B17" s="1301"/>
      <c r="C17" s="1296"/>
      <c r="D17" s="1299"/>
      <c r="E17" s="1778"/>
      <c r="F17" s="1778"/>
      <c r="G17" s="1335"/>
      <c r="H17" s="1335"/>
      <c r="I17" s="1335"/>
      <c r="J17" s="1336"/>
      <c r="K17" s="1303"/>
    </row>
    <row r="18" spans="1:11">
      <c r="A18" s="1301"/>
      <c r="B18" s="1301"/>
      <c r="C18" s="1296"/>
      <c r="D18" s="1299"/>
      <c r="E18" s="1778"/>
      <c r="F18" s="1778"/>
      <c r="G18" s="1335"/>
      <c r="H18" s="1335"/>
      <c r="I18" s="1335"/>
      <c r="J18" s="1336"/>
      <c r="K18" s="1303"/>
    </row>
    <row r="19" spans="1:11">
      <c r="A19" s="1301">
        <v>8</v>
      </c>
      <c r="B19" s="1296"/>
      <c r="C19" s="1296" t="s">
        <v>541</v>
      </c>
      <c r="D19" s="832" t="s">
        <v>1005</v>
      </c>
      <c r="E19" s="1775"/>
      <c r="F19" s="1775"/>
      <c r="G19" s="1335"/>
      <c r="H19" s="1335"/>
      <c r="I19" s="1390" t="s">
        <v>1640</v>
      </c>
      <c r="J19" s="1844">
        <f>SUM(G16:I16)</f>
        <v>-1041250109.3749593</v>
      </c>
      <c r="K19" s="1304"/>
    </row>
    <row r="20" spans="1:11">
      <c r="A20" s="1291"/>
      <c r="B20" s="1291"/>
      <c r="D20" s="832"/>
      <c r="E20" s="1775"/>
      <c r="F20" s="1775"/>
      <c r="G20" s="1775"/>
      <c r="H20" s="1775"/>
      <c r="I20" s="1775"/>
      <c r="J20" s="437"/>
      <c r="K20" s="1296"/>
    </row>
    <row r="21" spans="1:11" ht="12.75">
      <c r="A21" s="437"/>
      <c r="B21" s="437"/>
      <c r="C21" s="437"/>
      <c r="D21" s="437"/>
      <c r="E21" s="1388"/>
      <c r="F21" s="1388"/>
      <c r="G21" s="1388"/>
      <c r="H21" s="1388"/>
      <c r="I21" s="1388"/>
      <c r="J21" s="437"/>
      <c r="K21" s="437"/>
    </row>
    <row r="22" spans="1:11" ht="15">
      <c r="A22" s="1306" t="s">
        <v>14</v>
      </c>
      <c r="B22" s="1306"/>
      <c r="C22" s="1296"/>
      <c r="D22" s="832"/>
      <c r="E22" s="1775"/>
      <c r="F22" s="1775"/>
      <c r="G22" s="1775"/>
      <c r="H22" s="1775"/>
      <c r="I22" s="1780"/>
      <c r="J22" s="437"/>
      <c r="K22" s="437"/>
    </row>
    <row r="23" spans="1:11" ht="15">
      <c r="A23" s="1306" t="s">
        <v>15</v>
      </c>
      <c r="B23" s="1306"/>
      <c r="C23" s="1296"/>
      <c r="D23" s="832"/>
      <c r="E23" s="1775"/>
      <c r="F23" s="1775"/>
      <c r="G23" s="1775"/>
      <c r="H23" s="1775"/>
      <c r="I23" s="1780"/>
      <c r="J23" s="437"/>
      <c r="K23" s="437"/>
    </row>
    <row r="24" spans="1:11" ht="15">
      <c r="A24" s="1291"/>
      <c r="B24" s="1291"/>
      <c r="C24" s="1338"/>
      <c r="D24" s="1305"/>
      <c r="E24" s="1305"/>
      <c r="F24" s="1305"/>
      <c r="G24" s="1305"/>
      <c r="H24" s="1305"/>
      <c r="I24" s="1780"/>
      <c r="J24" s="437"/>
      <c r="K24" s="437"/>
    </row>
    <row r="25" spans="1:11" ht="15">
      <c r="A25" s="1306" t="s">
        <v>537</v>
      </c>
      <c r="B25" s="1306"/>
      <c r="C25" s="1296"/>
      <c r="D25" s="832"/>
      <c r="E25" s="1775"/>
      <c r="F25" s="1775"/>
      <c r="G25" s="1775"/>
      <c r="H25" s="1781"/>
      <c r="I25" s="1780"/>
      <c r="J25" s="437"/>
      <c r="K25" s="437"/>
    </row>
    <row r="26" spans="1:11" ht="15">
      <c r="A26" s="1286"/>
      <c r="B26" s="1286"/>
      <c r="C26" s="1339" t="s">
        <v>227</v>
      </c>
      <c r="D26" s="1340"/>
      <c r="E26" s="1339" t="s">
        <v>283</v>
      </c>
      <c r="F26" s="1339" t="s">
        <v>215</v>
      </c>
      <c r="G26" s="1339" t="s">
        <v>228</v>
      </c>
      <c r="H26" s="1339" t="s">
        <v>226</v>
      </c>
      <c r="I26" s="1339" t="s">
        <v>107</v>
      </c>
      <c r="J26" s="1339" t="s">
        <v>229</v>
      </c>
      <c r="K26" s="437"/>
    </row>
    <row r="27" spans="1:11" s="437" customFormat="1">
      <c r="A27" s="1291"/>
      <c r="B27" s="1291"/>
      <c r="C27" s="1303"/>
      <c r="D27" s="1303"/>
      <c r="E27" s="1388"/>
      <c r="F27" s="829" t="s">
        <v>257</v>
      </c>
      <c r="G27" s="1388"/>
      <c r="H27" s="829"/>
      <c r="I27" s="829"/>
      <c r="J27" s="1303"/>
    </row>
    <row r="28" spans="1:11" s="437" customFormat="1">
      <c r="A28" s="1303"/>
      <c r="B28" s="1303"/>
      <c r="C28" s="1303"/>
      <c r="D28" s="1303"/>
      <c r="E28" s="829" t="s">
        <v>282</v>
      </c>
      <c r="F28" s="829" t="s">
        <v>258</v>
      </c>
      <c r="G28" s="829" t="s">
        <v>57</v>
      </c>
      <c r="H28" s="829" t="s">
        <v>61</v>
      </c>
      <c r="I28" s="829" t="s">
        <v>63</v>
      </c>
      <c r="J28" s="1303"/>
    </row>
    <row r="29" spans="1:11" s="437" customFormat="1" ht="15">
      <c r="A29" s="1306" t="s">
        <v>24</v>
      </c>
      <c r="B29" s="1306"/>
      <c r="C29" s="1297" t="s">
        <v>538</v>
      </c>
      <c r="D29" s="1297"/>
      <c r="E29" s="829" t="s">
        <v>536</v>
      </c>
      <c r="F29" s="829" t="s">
        <v>62</v>
      </c>
      <c r="G29" s="829" t="s">
        <v>62</v>
      </c>
      <c r="H29" s="829" t="s">
        <v>62</v>
      </c>
      <c r="I29" s="829" t="s">
        <v>62</v>
      </c>
      <c r="J29" s="1341" t="s">
        <v>208</v>
      </c>
    </row>
    <row r="30" spans="1:11">
      <c r="D30" s="1303"/>
      <c r="E30" s="1388"/>
      <c r="F30" s="1388"/>
      <c r="G30" s="1388"/>
      <c r="H30" s="1388"/>
      <c r="I30" s="1388"/>
      <c r="J30" s="1303"/>
      <c r="K30" s="437"/>
    </row>
    <row r="31" spans="1:11" ht="15">
      <c r="A31" s="2357" t="s">
        <v>254</v>
      </c>
      <c r="B31" s="2344"/>
      <c r="C31" s="2344"/>
      <c r="D31" s="2345"/>
      <c r="E31" s="2318"/>
      <c r="F31" s="2318"/>
      <c r="G31" s="2318"/>
      <c r="H31" s="2318"/>
      <c r="I31" s="2318"/>
      <c r="J31" s="2346"/>
      <c r="K31" s="437"/>
    </row>
    <row r="32" spans="1:11" ht="12.75">
      <c r="A32" s="2327" t="s">
        <v>347</v>
      </c>
      <c r="B32" s="2358"/>
      <c r="C32" s="2308"/>
      <c r="D32" s="2301"/>
      <c r="E32" s="2347"/>
      <c r="F32" s="2347"/>
      <c r="G32" s="2347"/>
      <c r="H32" s="2347"/>
      <c r="I32" s="2347"/>
      <c r="J32" s="2348"/>
    </row>
    <row r="33" spans="1:10" ht="12.75">
      <c r="A33" s="2303">
        <v>137426</v>
      </c>
      <c r="B33" s="2304">
        <v>720.5</v>
      </c>
      <c r="C33" s="2349" t="s">
        <v>1420</v>
      </c>
      <c r="D33" s="2301"/>
      <c r="E33" s="2350">
        <v>0</v>
      </c>
      <c r="F33" s="2350">
        <v>0</v>
      </c>
      <c r="G33" s="2350">
        <v>0</v>
      </c>
      <c r="H33" s="2350">
        <v>0</v>
      </c>
      <c r="I33" s="2350">
        <v>0</v>
      </c>
      <c r="J33" s="2296" t="s">
        <v>1155</v>
      </c>
    </row>
    <row r="34" spans="1:10" ht="25.5">
      <c r="A34" s="2303">
        <v>137414</v>
      </c>
      <c r="B34" s="2304">
        <v>505.4</v>
      </c>
      <c r="C34" s="2349" t="s">
        <v>1421</v>
      </c>
      <c r="D34" s="2301"/>
      <c r="E34" s="2350">
        <v>0</v>
      </c>
      <c r="F34" s="2350">
        <v>0</v>
      </c>
      <c r="G34" s="2350">
        <v>0</v>
      </c>
      <c r="H34" s="2350">
        <v>0</v>
      </c>
      <c r="I34" s="2350">
        <v>0</v>
      </c>
      <c r="J34" s="2296" t="s">
        <v>1153</v>
      </c>
    </row>
    <row r="35" spans="1:10" ht="25.5">
      <c r="A35" s="2303">
        <v>137415</v>
      </c>
      <c r="B35" s="2304">
        <v>505.6</v>
      </c>
      <c r="C35" s="2349" t="s">
        <v>1422</v>
      </c>
      <c r="D35" s="2301"/>
      <c r="E35" s="2350">
        <v>0</v>
      </c>
      <c r="F35" s="2350">
        <v>0</v>
      </c>
      <c r="G35" s="2350">
        <v>0</v>
      </c>
      <c r="H35" s="2350">
        <v>0</v>
      </c>
      <c r="I35" s="2350">
        <v>0</v>
      </c>
      <c r="J35" s="2296" t="s">
        <v>1157</v>
      </c>
    </row>
    <row r="36" spans="1:10" ht="25.5">
      <c r="A36" s="2303">
        <v>287220</v>
      </c>
      <c r="B36" s="2304">
        <v>720.56</v>
      </c>
      <c r="C36" s="2349" t="s">
        <v>1735</v>
      </c>
      <c r="D36" s="2301"/>
      <c r="E36" s="2350">
        <v>42004416</v>
      </c>
      <c r="F36" s="2350">
        <v>42004416</v>
      </c>
      <c r="G36" s="2350">
        <v>0</v>
      </c>
      <c r="H36" s="2350">
        <v>0</v>
      </c>
      <c r="I36" s="2350">
        <v>0</v>
      </c>
      <c r="J36" s="1789" t="s">
        <v>1736</v>
      </c>
    </row>
    <row r="37" spans="1:10" ht="25.5">
      <c r="A37" s="2303">
        <v>287300</v>
      </c>
      <c r="B37" s="2304">
        <v>920.18200000000002</v>
      </c>
      <c r="C37" s="2349" t="s">
        <v>1737</v>
      </c>
      <c r="D37" s="2301"/>
      <c r="E37" s="2350">
        <v>3220027</v>
      </c>
      <c r="F37" s="2350">
        <v>0</v>
      </c>
      <c r="G37" s="2350">
        <v>0</v>
      </c>
      <c r="H37" s="2350">
        <v>0</v>
      </c>
      <c r="I37" s="2350">
        <v>3220027</v>
      </c>
      <c r="J37" s="2296" t="s">
        <v>1738</v>
      </c>
    </row>
    <row r="38" spans="1:10" ht="38.25">
      <c r="A38" s="2303">
        <v>287323</v>
      </c>
      <c r="B38" s="2304">
        <v>505.4</v>
      </c>
      <c r="C38" s="2349" t="s">
        <v>1957</v>
      </c>
      <c r="D38" s="2301"/>
      <c r="E38" s="2350">
        <v>3921</v>
      </c>
      <c r="F38" s="2350">
        <v>0</v>
      </c>
      <c r="G38" s="2350">
        <v>0</v>
      </c>
      <c r="H38" s="2350">
        <v>0</v>
      </c>
      <c r="I38" s="2350">
        <v>3921</v>
      </c>
      <c r="J38" s="2297" t="s">
        <v>1956</v>
      </c>
    </row>
    <row r="39" spans="1:10" ht="12.75">
      <c r="A39" s="2303">
        <v>287324</v>
      </c>
      <c r="B39" s="2304">
        <v>720.2</v>
      </c>
      <c r="C39" s="2349" t="s">
        <v>1423</v>
      </c>
      <c r="D39" s="2301"/>
      <c r="E39" s="2350">
        <v>3670279</v>
      </c>
      <c r="F39" s="2350">
        <v>0</v>
      </c>
      <c r="G39" s="2350">
        <v>0</v>
      </c>
      <c r="H39" s="2350">
        <v>0</v>
      </c>
      <c r="I39" s="2350">
        <v>3670279</v>
      </c>
      <c r="J39" s="2296" t="s">
        <v>1154</v>
      </c>
    </row>
    <row r="40" spans="1:10" ht="39.75" customHeight="1">
      <c r="A40" s="2303">
        <v>287326</v>
      </c>
      <c r="B40" s="2304">
        <v>720.5</v>
      </c>
      <c r="C40" s="2349" t="s">
        <v>1955</v>
      </c>
      <c r="D40" s="2301"/>
      <c r="E40" s="2350">
        <v>442834</v>
      </c>
      <c r="F40" s="2350">
        <v>0</v>
      </c>
      <c r="G40" s="2350">
        <v>0</v>
      </c>
      <c r="H40" s="2350">
        <v>0</v>
      </c>
      <c r="I40" s="2350">
        <v>442834</v>
      </c>
      <c r="J40" s="2297" t="s">
        <v>1954</v>
      </c>
    </row>
    <row r="41" spans="1:10" ht="38.25">
      <c r="A41" s="2303">
        <v>287327</v>
      </c>
      <c r="B41" s="2304">
        <v>720.3</v>
      </c>
      <c r="C41" s="2349" t="s">
        <v>1424</v>
      </c>
      <c r="D41" s="2301"/>
      <c r="E41" s="2350">
        <v>831362</v>
      </c>
      <c r="F41" s="2350">
        <v>831362</v>
      </c>
      <c r="G41" s="2350">
        <v>0</v>
      </c>
      <c r="H41" s="2350">
        <v>0</v>
      </c>
      <c r="I41" s="2350">
        <v>0</v>
      </c>
      <c r="J41" s="2296" t="s">
        <v>1156</v>
      </c>
    </row>
    <row r="42" spans="1:10" ht="25.5" customHeight="1">
      <c r="A42" s="2303">
        <v>287332</v>
      </c>
      <c r="B42" s="2304">
        <v>505.6</v>
      </c>
      <c r="C42" s="2349" t="s">
        <v>1953</v>
      </c>
      <c r="D42" s="2301"/>
      <c r="E42" s="2350">
        <v>9948038</v>
      </c>
      <c r="F42" s="2350">
        <v>0</v>
      </c>
      <c r="G42" s="2350">
        <v>0</v>
      </c>
      <c r="H42" s="2350">
        <v>0</v>
      </c>
      <c r="I42" s="2350">
        <v>9948038</v>
      </c>
      <c r="J42" s="2297" t="s">
        <v>1952</v>
      </c>
    </row>
    <row r="43" spans="1:10" ht="38.25">
      <c r="A43" s="2303">
        <v>287373</v>
      </c>
      <c r="B43" s="2304">
        <v>910.58</v>
      </c>
      <c r="C43" s="2349" t="s">
        <v>1425</v>
      </c>
      <c r="D43" s="2301"/>
      <c r="E43" s="2350">
        <v>1178955</v>
      </c>
      <c r="F43" s="2350">
        <v>0</v>
      </c>
      <c r="G43" s="2350">
        <v>0</v>
      </c>
      <c r="H43" s="2350">
        <v>0</v>
      </c>
      <c r="I43" s="2350">
        <v>1178955</v>
      </c>
      <c r="J43" s="2296" t="s">
        <v>1209</v>
      </c>
    </row>
    <row r="44" spans="1:10" ht="25.5">
      <c r="A44" s="2303">
        <v>287399</v>
      </c>
      <c r="B44" s="2304">
        <v>920.15</v>
      </c>
      <c r="C44" s="2349" t="s">
        <v>1426</v>
      </c>
      <c r="D44" s="2301"/>
      <c r="E44" s="2350">
        <v>12011447</v>
      </c>
      <c r="F44" s="2350">
        <v>0</v>
      </c>
      <c r="G44" s="2350">
        <v>0</v>
      </c>
      <c r="H44" s="2350">
        <v>0</v>
      </c>
      <c r="I44" s="2350">
        <v>12011447</v>
      </c>
      <c r="J44" s="2296" t="s">
        <v>1212</v>
      </c>
    </row>
    <row r="45" spans="1:10" ht="25.5">
      <c r="A45" s="2303">
        <v>287413</v>
      </c>
      <c r="B45" s="2304">
        <v>720.55</v>
      </c>
      <c r="C45" s="2349" t="s">
        <v>556</v>
      </c>
      <c r="D45" s="2301"/>
      <c r="E45" s="2350">
        <v>0</v>
      </c>
      <c r="F45" s="2350">
        <v>0</v>
      </c>
      <c r="G45" s="2350">
        <v>0</v>
      </c>
      <c r="H45" s="2350">
        <v>0</v>
      </c>
      <c r="I45" s="2350">
        <v>0</v>
      </c>
      <c r="J45" s="2296" t="s">
        <v>1158</v>
      </c>
    </row>
    <row r="46" spans="1:10" ht="51.75" customHeight="1">
      <c r="A46" s="2303">
        <v>287447</v>
      </c>
      <c r="B46" s="2304">
        <v>720.83</v>
      </c>
      <c r="C46" s="2349" t="s">
        <v>1427</v>
      </c>
      <c r="D46" s="2301"/>
      <c r="E46" s="2350">
        <v>4474803</v>
      </c>
      <c r="F46" s="2350">
        <v>0</v>
      </c>
      <c r="G46" s="2350">
        <v>0</v>
      </c>
      <c r="H46" s="2350">
        <v>0</v>
      </c>
      <c r="I46" s="2350">
        <v>4474803</v>
      </c>
      <c r="J46" s="2296" t="s">
        <v>1217</v>
      </c>
    </row>
    <row r="47" spans="1:10" ht="12.75">
      <c r="A47" s="2303">
        <v>287460</v>
      </c>
      <c r="B47" s="2304">
        <v>720.8</v>
      </c>
      <c r="C47" s="2305" t="s">
        <v>557</v>
      </c>
      <c r="D47" s="2301"/>
      <c r="E47" s="2350">
        <v>70991353</v>
      </c>
      <c r="F47" s="2350">
        <v>70991353</v>
      </c>
      <c r="G47" s="2350">
        <v>0</v>
      </c>
      <c r="H47" s="2350">
        <v>0</v>
      </c>
      <c r="I47" s="2350">
        <v>0</v>
      </c>
      <c r="J47" s="2296" t="s">
        <v>1159</v>
      </c>
    </row>
    <row r="48" spans="1:10" ht="25.5">
      <c r="A48" s="2303">
        <v>287461</v>
      </c>
      <c r="B48" s="2304">
        <v>720.81</v>
      </c>
      <c r="C48" s="2349" t="s">
        <v>558</v>
      </c>
      <c r="D48" s="2301"/>
      <c r="E48" s="2350">
        <v>22957226</v>
      </c>
      <c r="F48" s="2350">
        <v>22957226</v>
      </c>
      <c r="G48" s="2350">
        <v>0</v>
      </c>
      <c r="H48" s="2350">
        <v>0</v>
      </c>
      <c r="I48" s="2350">
        <v>0</v>
      </c>
      <c r="J48" s="2296" t="s">
        <v>1160</v>
      </c>
    </row>
    <row r="49" spans="1:10" ht="25.5">
      <c r="A49" s="2303">
        <v>287462</v>
      </c>
      <c r="B49" s="2304">
        <v>720.82</v>
      </c>
      <c r="C49" s="2349" t="s">
        <v>559</v>
      </c>
      <c r="D49" s="2301"/>
      <c r="E49" s="2350">
        <v>22496865</v>
      </c>
      <c r="F49" s="2350">
        <v>22496865</v>
      </c>
      <c r="G49" s="2350">
        <v>0</v>
      </c>
      <c r="H49" s="2350">
        <v>0</v>
      </c>
      <c r="I49" s="2350">
        <v>0</v>
      </c>
      <c r="J49" s="2296" t="s">
        <v>1161</v>
      </c>
    </row>
    <row r="50" spans="1:10" ht="12.75">
      <c r="A50" s="2303"/>
      <c r="B50" s="2304"/>
      <c r="C50" s="2308"/>
      <c r="D50" s="2301"/>
      <c r="E50" s="2351">
        <v>0</v>
      </c>
      <c r="F50" s="2351">
        <v>0</v>
      </c>
      <c r="G50" s="2351">
        <v>0</v>
      </c>
      <c r="H50" s="2174">
        <v>0</v>
      </c>
      <c r="I50" s="2351">
        <v>0</v>
      </c>
      <c r="J50" s="2296"/>
    </row>
    <row r="51" spans="1:10" ht="12.75">
      <c r="A51" s="2327" t="s">
        <v>437</v>
      </c>
      <c r="B51" s="2358"/>
      <c r="C51" s="2308"/>
      <c r="D51" s="2301"/>
      <c r="E51" s="2306">
        <v>0</v>
      </c>
      <c r="F51" s="2306">
        <v>0</v>
      </c>
      <c r="G51" s="2306">
        <v>0</v>
      </c>
      <c r="H51" s="2306">
        <v>0</v>
      </c>
      <c r="I51" s="2306">
        <v>0</v>
      </c>
      <c r="J51" s="2296"/>
    </row>
    <row r="52" spans="1:10" ht="38.25">
      <c r="A52" s="2303">
        <v>137238</v>
      </c>
      <c r="B52" s="2304" t="str">
        <f>'Att 1 - ADIT'!A31&amp;" "</f>
        <v xml:space="preserve">Account 190 </v>
      </c>
      <c r="C52" s="2349" t="s">
        <v>560</v>
      </c>
      <c r="D52" s="2301"/>
      <c r="E52" s="2306">
        <v>0</v>
      </c>
      <c r="F52" s="2350">
        <v>0</v>
      </c>
      <c r="G52" s="2350">
        <v>0</v>
      </c>
      <c r="H52" s="2350">
        <v>0</v>
      </c>
      <c r="I52" s="2350">
        <v>0</v>
      </c>
      <c r="J52" s="2296" t="s">
        <v>1162</v>
      </c>
    </row>
    <row r="53" spans="1:10" ht="25.5">
      <c r="A53" s="2303">
        <v>137233</v>
      </c>
      <c r="B53" s="2304">
        <v>415.83800000000002</v>
      </c>
      <c r="C53" s="2349" t="s">
        <v>1428</v>
      </c>
      <c r="D53" s="2301"/>
      <c r="E53" s="2306">
        <v>0</v>
      </c>
      <c r="F53" s="2350">
        <v>0</v>
      </c>
      <c r="G53" s="2350">
        <v>0</v>
      </c>
      <c r="H53" s="2350">
        <v>0</v>
      </c>
      <c r="I53" s="2350">
        <v>0</v>
      </c>
      <c r="J53" s="2296" t="s">
        <v>1189</v>
      </c>
    </row>
    <row r="54" spans="1:10" ht="38.25">
      <c r="A54" s="2303">
        <v>287336</v>
      </c>
      <c r="B54" s="2304">
        <v>730.12</v>
      </c>
      <c r="C54" s="2308" t="s">
        <v>1429</v>
      </c>
      <c r="D54" s="2301"/>
      <c r="E54" s="2306">
        <v>51737911</v>
      </c>
      <c r="F54" s="2350">
        <v>51737911</v>
      </c>
      <c r="G54" s="2350">
        <v>0</v>
      </c>
      <c r="H54" s="2350">
        <v>0</v>
      </c>
      <c r="I54" s="2350">
        <v>0</v>
      </c>
      <c r="J54" s="2296" t="s">
        <v>1162</v>
      </c>
    </row>
    <row r="55" spans="1:10" ht="25.5">
      <c r="A55" s="2303">
        <v>287249</v>
      </c>
      <c r="B55" s="2304">
        <v>415.839</v>
      </c>
      <c r="C55" s="2308" t="s">
        <v>1430</v>
      </c>
      <c r="D55" s="2301"/>
      <c r="E55" s="2306">
        <v>41823354</v>
      </c>
      <c r="F55" s="2350">
        <v>41823354</v>
      </c>
      <c r="G55" s="2350">
        <v>0</v>
      </c>
      <c r="H55" s="2350">
        <v>0</v>
      </c>
      <c r="I55" s="2350">
        <v>0</v>
      </c>
      <c r="J55" s="2296" t="s">
        <v>1190</v>
      </c>
    </row>
    <row r="56" spans="1:10" ht="12.75">
      <c r="A56" s="2327" t="s">
        <v>561</v>
      </c>
      <c r="B56" s="2358"/>
      <c r="C56" s="2308"/>
      <c r="D56" s="2301"/>
      <c r="E56" s="2306">
        <v>0</v>
      </c>
      <c r="F56" s="2306">
        <v>0</v>
      </c>
      <c r="G56" s="2306">
        <v>0</v>
      </c>
      <c r="H56" s="2306">
        <v>0</v>
      </c>
      <c r="I56" s="2306">
        <v>0</v>
      </c>
      <c r="J56" s="2296"/>
    </row>
    <row r="57" spans="1:10" ht="12.75">
      <c r="A57" s="2303">
        <v>137203</v>
      </c>
      <c r="B57" s="2304">
        <v>705.51400000000001</v>
      </c>
      <c r="C57" s="2349" t="s">
        <v>1431</v>
      </c>
      <c r="D57" s="2301"/>
      <c r="E57" s="2306">
        <v>0</v>
      </c>
      <c r="F57" s="2350">
        <v>0</v>
      </c>
      <c r="G57" s="2306">
        <v>0</v>
      </c>
      <c r="H57" s="2306">
        <v>0</v>
      </c>
      <c r="I57" s="2306">
        <v>0</v>
      </c>
      <c r="J57" s="2299" t="s">
        <v>1809</v>
      </c>
    </row>
    <row r="58" spans="1:10" ht="25.5">
      <c r="A58" s="2303">
        <v>137205</v>
      </c>
      <c r="B58" s="2304">
        <v>705.51800000000003</v>
      </c>
      <c r="C58" s="2349" t="s">
        <v>1432</v>
      </c>
      <c r="D58" s="2301"/>
      <c r="E58" s="2306">
        <v>0</v>
      </c>
      <c r="F58" s="2350">
        <v>0</v>
      </c>
      <c r="G58" s="2306">
        <v>0</v>
      </c>
      <c r="H58" s="2306">
        <v>0</v>
      </c>
      <c r="I58" s="2306">
        <v>0</v>
      </c>
      <c r="J58" s="2299" t="s">
        <v>1810</v>
      </c>
    </row>
    <row r="59" spans="1:10" ht="12.75">
      <c r="A59" s="2303">
        <v>137213</v>
      </c>
      <c r="B59" s="2304">
        <v>705.52499999999998</v>
      </c>
      <c r="C59" s="2349" t="s">
        <v>1739</v>
      </c>
      <c r="D59" s="2301"/>
      <c r="E59" s="2306">
        <v>0</v>
      </c>
      <c r="F59" s="2350">
        <v>0</v>
      </c>
      <c r="G59" s="2306">
        <v>0</v>
      </c>
      <c r="H59" s="2306">
        <v>0</v>
      </c>
      <c r="I59" s="2306">
        <v>0</v>
      </c>
      <c r="J59" s="2299" t="s">
        <v>1814</v>
      </c>
    </row>
    <row r="60" spans="1:10" ht="12.75">
      <c r="A60" s="2303">
        <v>137214</v>
      </c>
      <c r="B60" s="2304">
        <v>705.52200000000005</v>
      </c>
      <c r="C60" s="2349" t="s">
        <v>1433</v>
      </c>
      <c r="D60" s="2301"/>
      <c r="E60" s="2306">
        <v>0</v>
      </c>
      <c r="F60" s="2350">
        <v>0</v>
      </c>
      <c r="G60" s="2306">
        <v>0</v>
      </c>
      <c r="H60" s="2306">
        <v>0</v>
      </c>
      <c r="I60" s="2306">
        <v>0</v>
      </c>
      <c r="J60" s="2299" t="s">
        <v>1815</v>
      </c>
    </row>
    <row r="61" spans="1:10" ht="12.75">
      <c r="A61" s="2303">
        <v>137215</v>
      </c>
      <c r="B61" s="2304">
        <v>705.52300000000002</v>
      </c>
      <c r="C61" s="2349" t="s">
        <v>1434</v>
      </c>
      <c r="D61" s="2301"/>
      <c r="E61" s="2306">
        <v>0</v>
      </c>
      <c r="F61" s="2350">
        <v>0</v>
      </c>
      <c r="G61" s="2306">
        <v>0</v>
      </c>
      <c r="H61" s="2306">
        <v>0</v>
      </c>
      <c r="I61" s="2306">
        <v>0</v>
      </c>
      <c r="J61" s="2299" t="s">
        <v>1816</v>
      </c>
    </row>
    <row r="62" spans="1:10" ht="25.5">
      <c r="A62" s="2303">
        <v>137221</v>
      </c>
      <c r="B62" s="2304">
        <v>705.52599999999995</v>
      </c>
      <c r="C62" s="2349" t="s">
        <v>1435</v>
      </c>
      <c r="D62" s="2301"/>
      <c r="E62" s="2306">
        <v>0</v>
      </c>
      <c r="F62" s="2350">
        <v>0</v>
      </c>
      <c r="G62" s="2306">
        <v>0</v>
      </c>
      <c r="H62" s="2306">
        <v>0</v>
      </c>
      <c r="I62" s="2306">
        <v>0</v>
      </c>
      <c r="J62" s="2299" t="s">
        <v>1813</v>
      </c>
    </row>
    <row r="63" spans="1:10" ht="25.5">
      <c r="A63" s="2303">
        <v>137224</v>
      </c>
      <c r="B63" s="2304">
        <v>705.53</v>
      </c>
      <c r="C63" s="2349" t="s">
        <v>1436</v>
      </c>
      <c r="D63" s="2301"/>
      <c r="E63" s="2306">
        <v>0</v>
      </c>
      <c r="F63" s="2350">
        <v>0</v>
      </c>
      <c r="G63" s="2306">
        <v>0</v>
      </c>
      <c r="H63" s="2306">
        <v>0</v>
      </c>
      <c r="I63" s="2306">
        <v>0</v>
      </c>
      <c r="J63" s="2299" t="s">
        <v>1812</v>
      </c>
    </row>
    <row r="64" spans="1:10" ht="40.5" customHeight="1">
      <c r="A64" s="2303">
        <v>137228</v>
      </c>
      <c r="B64" s="2304">
        <v>705.53599999999994</v>
      </c>
      <c r="C64" s="2349" t="s">
        <v>1437</v>
      </c>
      <c r="D64" s="2301"/>
      <c r="E64" s="2306">
        <v>0</v>
      </c>
      <c r="F64" s="2350">
        <v>0</v>
      </c>
      <c r="G64" s="2306">
        <v>0</v>
      </c>
      <c r="H64" s="2306">
        <v>0</v>
      </c>
      <c r="I64" s="2306">
        <v>0</v>
      </c>
      <c r="J64" s="2299" t="s">
        <v>1962</v>
      </c>
    </row>
    <row r="65" spans="1:10" ht="25.5">
      <c r="A65" s="2303">
        <v>137229</v>
      </c>
      <c r="B65" s="2304">
        <v>705.53700000000003</v>
      </c>
      <c r="C65" s="2349" t="s">
        <v>1438</v>
      </c>
      <c r="D65" s="2301"/>
      <c r="E65" s="2306">
        <v>0</v>
      </c>
      <c r="F65" s="2350">
        <v>0</v>
      </c>
      <c r="G65" s="2306">
        <v>0</v>
      </c>
      <c r="H65" s="2306">
        <v>0</v>
      </c>
      <c r="I65" s="2306">
        <v>0</v>
      </c>
      <c r="J65" s="2299" t="s">
        <v>1811</v>
      </c>
    </row>
    <row r="66" spans="1:10" ht="51">
      <c r="A66" s="2303">
        <v>137232</v>
      </c>
      <c r="B66" s="2304">
        <v>415.7</v>
      </c>
      <c r="C66" s="2349" t="s">
        <v>1439</v>
      </c>
      <c r="D66" s="2301"/>
      <c r="E66" s="2306">
        <v>0</v>
      </c>
      <c r="F66" s="2350">
        <v>0</v>
      </c>
      <c r="G66" s="2306">
        <v>0</v>
      </c>
      <c r="H66" s="2306">
        <v>0</v>
      </c>
      <c r="I66" s="2306">
        <v>0</v>
      </c>
      <c r="J66" s="2299" t="s">
        <v>1175</v>
      </c>
    </row>
    <row r="67" spans="1:10" ht="51">
      <c r="A67" s="2303">
        <v>137234</v>
      </c>
      <c r="B67" s="2304">
        <v>425.38099999999997</v>
      </c>
      <c r="C67" s="2349" t="s">
        <v>1440</v>
      </c>
      <c r="D67" s="2301"/>
      <c r="E67" s="2306">
        <v>0</v>
      </c>
      <c r="F67" s="2350">
        <v>0</v>
      </c>
      <c r="G67" s="2306">
        <v>0</v>
      </c>
      <c r="H67" s="2306">
        <v>0</v>
      </c>
      <c r="I67" s="2306">
        <v>0</v>
      </c>
      <c r="J67" s="2299" t="s">
        <v>1801</v>
      </c>
    </row>
    <row r="68" spans="1:10" ht="51">
      <c r="A68" s="2303">
        <v>137237</v>
      </c>
      <c r="B68" s="2304">
        <v>715.72</v>
      </c>
      <c r="C68" s="2349" t="s">
        <v>1441</v>
      </c>
      <c r="D68" s="2301"/>
      <c r="E68" s="2306">
        <v>0</v>
      </c>
      <c r="F68" s="2350">
        <v>0</v>
      </c>
      <c r="G68" s="2306">
        <v>0</v>
      </c>
      <c r="H68" s="2306">
        <v>0</v>
      </c>
      <c r="I68" s="2306">
        <v>0</v>
      </c>
      <c r="J68" s="2299" t="s">
        <v>1802</v>
      </c>
    </row>
    <row r="69" spans="1:10" ht="40.5" customHeight="1">
      <c r="A69" s="2303">
        <v>137241</v>
      </c>
      <c r="B69" s="2304">
        <v>705.24099999999999</v>
      </c>
      <c r="C69" s="2349" t="s">
        <v>1442</v>
      </c>
      <c r="D69" s="2301"/>
      <c r="E69" s="2306">
        <v>0</v>
      </c>
      <c r="F69" s="2350">
        <v>0</v>
      </c>
      <c r="G69" s="2306">
        <v>0</v>
      </c>
      <c r="H69" s="2306">
        <v>0</v>
      </c>
      <c r="I69" s="2306">
        <v>0</v>
      </c>
      <c r="J69" s="2299" t="s">
        <v>1963</v>
      </c>
    </row>
    <row r="70" spans="1:10" ht="39" customHeight="1">
      <c r="A70" s="2303">
        <v>137300</v>
      </c>
      <c r="B70" s="2304">
        <v>610.14400000000001</v>
      </c>
      <c r="C70" s="2349" t="s">
        <v>1443</v>
      </c>
      <c r="D70" s="2301"/>
      <c r="E70" s="2306">
        <v>0</v>
      </c>
      <c r="F70" s="2350">
        <v>0</v>
      </c>
      <c r="G70" s="2306">
        <v>0</v>
      </c>
      <c r="H70" s="2306">
        <v>0</v>
      </c>
      <c r="I70" s="2306">
        <v>0</v>
      </c>
      <c r="J70" s="2299" t="s">
        <v>1444</v>
      </c>
    </row>
    <row r="71" spans="1:10" ht="38.25">
      <c r="A71" s="2303">
        <v>137416</v>
      </c>
      <c r="B71" s="2304">
        <v>610.14200000000005</v>
      </c>
      <c r="C71" s="2349" t="s">
        <v>1445</v>
      </c>
      <c r="D71" s="2301"/>
      <c r="E71" s="2306">
        <v>0</v>
      </c>
      <c r="F71" s="2350">
        <v>0</v>
      </c>
      <c r="G71" s="2306">
        <v>0</v>
      </c>
      <c r="H71" s="2306">
        <v>0</v>
      </c>
      <c r="I71" s="2306">
        <v>0</v>
      </c>
      <c r="J71" s="2296" t="s">
        <v>1183</v>
      </c>
    </row>
    <row r="72" spans="1:10" ht="38.25">
      <c r="A72" s="2303">
        <v>137417</v>
      </c>
      <c r="B72" s="2304">
        <v>610.14300000000003</v>
      </c>
      <c r="C72" s="2349" t="s">
        <v>1446</v>
      </c>
      <c r="D72" s="2301"/>
      <c r="E72" s="2306">
        <v>0</v>
      </c>
      <c r="F72" s="2350">
        <v>0</v>
      </c>
      <c r="G72" s="2306">
        <v>0</v>
      </c>
      <c r="H72" s="2306">
        <v>0</v>
      </c>
      <c r="I72" s="2306">
        <v>0</v>
      </c>
      <c r="J72" s="2296" t="s">
        <v>1183</v>
      </c>
    </row>
    <row r="73" spans="1:10" ht="52.5" customHeight="1">
      <c r="A73" s="2303">
        <v>137418</v>
      </c>
      <c r="B73" s="2304">
        <v>705.26499999999999</v>
      </c>
      <c r="C73" s="2349" t="s">
        <v>1447</v>
      </c>
      <c r="D73" s="2301"/>
      <c r="E73" s="2306">
        <v>0</v>
      </c>
      <c r="F73" s="2350">
        <v>0</v>
      </c>
      <c r="G73" s="2306">
        <v>0</v>
      </c>
      <c r="H73" s="2306">
        <v>0</v>
      </c>
      <c r="I73" s="2306">
        <v>0</v>
      </c>
      <c r="J73" s="2296" t="s">
        <v>1172</v>
      </c>
    </row>
    <row r="74" spans="1:10" ht="39.75" customHeight="1">
      <c r="A74" s="2303">
        <v>137419</v>
      </c>
      <c r="B74" s="2304">
        <v>705.27</v>
      </c>
      <c r="C74" s="2349" t="s">
        <v>1448</v>
      </c>
      <c r="D74" s="2301"/>
      <c r="E74" s="2306">
        <v>0</v>
      </c>
      <c r="F74" s="2350">
        <v>0</v>
      </c>
      <c r="G74" s="2306">
        <v>0</v>
      </c>
      <c r="H74" s="2306">
        <v>0</v>
      </c>
      <c r="I74" s="2306">
        <v>0</v>
      </c>
      <c r="J74" s="2296" t="s">
        <v>1184</v>
      </c>
    </row>
    <row r="75" spans="1:10" ht="40.5" customHeight="1">
      <c r="A75" s="2303">
        <v>137420</v>
      </c>
      <c r="B75" s="2304">
        <v>705.27099999999996</v>
      </c>
      <c r="C75" s="2349" t="s">
        <v>1449</v>
      </c>
      <c r="D75" s="2301"/>
      <c r="E75" s="2306">
        <v>0</v>
      </c>
      <c r="F75" s="2350">
        <v>0</v>
      </c>
      <c r="G75" s="2306">
        <v>0</v>
      </c>
      <c r="H75" s="2306">
        <v>0</v>
      </c>
      <c r="I75" s="2306">
        <v>0</v>
      </c>
      <c r="J75" s="2296" t="s">
        <v>1184</v>
      </c>
    </row>
    <row r="76" spans="1:10" ht="40.5" customHeight="1">
      <c r="A76" s="2303">
        <v>137421</v>
      </c>
      <c r="B76" s="2304">
        <v>705.27200000000005</v>
      </c>
      <c r="C76" s="2349" t="s">
        <v>1450</v>
      </c>
      <c r="D76" s="2301"/>
      <c r="E76" s="2306">
        <v>0</v>
      </c>
      <c r="F76" s="2350">
        <v>0</v>
      </c>
      <c r="G76" s="2306">
        <v>0</v>
      </c>
      <c r="H76" s="2306">
        <v>0</v>
      </c>
      <c r="I76" s="2306">
        <v>0</v>
      </c>
      <c r="J76" s="2296" t="s">
        <v>1184</v>
      </c>
    </row>
    <row r="77" spans="1:10" ht="40.5" customHeight="1">
      <c r="A77" s="2303">
        <v>137422</v>
      </c>
      <c r="B77" s="2304">
        <v>705.27300000000002</v>
      </c>
      <c r="C77" s="2349" t="s">
        <v>1451</v>
      </c>
      <c r="D77" s="2301"/>
      <c r="E77" s="2306">
        <v>0</v>
      </c>
      <c r="F77" s="2350">
        <v>0</v>
      </c>
      <c r="G77" s="2306">
        <v>0</v>
      </c>
      <c r="H77" s="2306">
        <v>0</v>
      </c>
      <c r="I77" s="2306">
        <v>0</v>
      </c>
      <c r="J77" s="2296" t="s">
        <v>1184</v>
      </c>
    </row>
    <row r="78" spans="1:10" ht="38.25" customHeight="1">
      <c r="A78" s="2303">
        <v>137423</v>
      </c>
      <c r="B78" s="2304">
        <v>705.274</v>
      </c>
      <c r="C78" s="2349" t="s">
        <v>1452</v>
      </c>
      <c r="D78" s="2301"/>
      <c r="E78" s="2306">
        <v>0</v>
      </c>
      <c r="F78" s="2350">
        <v>0</v>
      </c>
      <c r="G78" s="2306">
        <v>0</v>
      </c>
      <c r="H78" s="2306">
        <v>0</v>
      </c>
      <c r="I78" s="2306">
        <v>0</v>
      </c>
      <c r="J78" s="2296" t="s">
        <v>1184</v>
      </c>
    </row>
    <row r="79" spans="1:10" ht="39.75" customHeight="1">
      <c r="A79" s="2303">
        <v>137424</v>
      </c>
      <c r="B79" s="2304">
        <v>705.27499999999998</v>
      </c>
      <c r="C79" s="2349" t="s">
        <v>1453</v>
      </c>
      <c r="D79" s="2301"/>
      <c r="E79" s="2306">
        <v>0</v>
      </c>
      <c r="F79" s="2350">
        <v>0</v>
      </c>
      <c r="G79" s="2306">
        <v>0</v>
      </c>
      <c r="H79" s="2306">
        <v>0</v>
      </c>
      <c r="I79" s="2306">
        <v>0</v>
      </c>
      <c r="J79" s="2296" t="s">
        <v>1184</v>
      </c>
    </row>
    <row r="80" spans="1:10" ht="25.5">
      <c r="A80" s="2303">
        <v>137425</v>
      </c>
      <c r="B80" s="2304">
        <v>705.6</v>
      </c>
      <c r="C80" s="2349" t="s">
        <v>1454</v>
      </c>
      <c r="D80" s="2301"/>
      <c r="E80" s="2306">
        <v>0</v>
      </c>
      <c r="F80" s="2350">
        <v>0</v>
      </c>
      <c r="G80" s="2306">
        <v>0</v>
      </c>
      <c r="H80" s="2306">
        <v>0</v>
      </c>
      <c r="I80" s="2306">
        <v>0</v>
      </c>
      <c r="J80" s="2296" t="s">
        <v>1163</v>
      </c>
    </row>
    <row r="81" spans="1:10" ht="51" customHeight="1">
      <c r="A81" s="2303">
        <v>287213</v>
      </c>
      <c r="B81" s="2304">
        <v>425.38099999999997</v>
      </c>
      <c r="C81" s="2349" t="s">
        <v>1951</v>
      </c>
      <c r="D81" s="2301"/>
      <c r="E81" s="2306">
        <v>1382645</v>
      </c>
      <c r="F81" s="2350">
        <v>1382645</v>
      </c>
      <c r="G81" s="2306">
        <v>0</v>
      </c>
      <c r="H81" s="2306">
        <v>0</v>
      </c>
      <c r="I81" s="2306">
        <v>0</v>
      </c>
      <c r="J81" s="2299" t="s">
        <v>1801</v>
      </c>
    </row>
    <row r="82" spans="1:10" ht="90.75" customHeight="1">
      <c r="A82" s="2303">
        <v>287225</v>
      </c>
      <c r="B82" s="2304">
        <v>605.10299999999995</v>
      </c>
      <c r="C82" s="2349" t="s">
        <v>1455</v>
      </c>
      <c r="D82" s="2301"/>
      <c r="E82" s="2306">
        <v>-101882</v>
      </c>
      <c r="F82" s="2350">
        <v>-101882</v>
      </c>
      <c r="G82" s="2306">
        <v>0</v>
      </c>
      <c r="H82" s="2306">
        <v>0</v>
      </c>
      <c r="I82" s="2306">
        <v>0</v>
      </c>
      <c r="J82" s="2299" t="s">
        <v>1456</v>
      </c>
    </row>
    <row r="83" spans="1:10" ht="15.75" customHeight="1">
      <c r="A83" s="2303">
        <v>287227</v>
      </c>
      <c r="B83" s="2304">
        <v>705.53099999999995</v>
      </c>
      <c r="C83" s="2349" t="s">
        <v>1950</v>
      </c>
      <c r="D83" s="2301"/>
      <c r="E83" s="2306">
        <v>5250566</v>
      </c>
      <c r="F83" s="2350">
        <v>5250566</v>
      </c>
      <c r="G83" s="2306">
        <v>0</v>
      </c>
      <c r="H83" s="2306">
        <v>0</v>
      </c>
      <c r="I83" s="2306">
        <v>0</v>
      </c>
      <c r="J83" s="2299" t="s">
        <v>1958</v>
      </c>
    </row>
    <row r="84" spans="1:10" ht="15.75" customHeight="1">
      <c r="A84" s="2303">
        <v>287229</v>
      </c>
      <c r="B84" s="2304">
        <v>705.52700000000004</v>
      </c>
      <c r="C84" s="2349" t="s">
        <v>1949</v>
      </c>
      <c r="D84" s="2301"/>
      <c r="E84" s="2306">
        <v>580673</v>
      </c>
      <c r="F84" s="2350">
        <v>580673</v>
      </c>
      <c r="G84" s="2306">
        <v>0</v>
      </c>
      <c r="H84" s="2306">
        <v>0</v>
      </c>
      <c r="I84" s="2306">
        <v>0</v>
      </c>
      <c r="J84" s="2299" t="s">
        <v>1959</v>
      </c>
    </row>
    <row r="85" spans="1:10" ht="13.5" customHeight="1">
      <c r="A85" s="2303">
        <v>287231</v>
      </c>
      <c r="B85" s="2304">
        <v>705.51900000000001</v>
      </c>
      <c r="C85" s="2349" t="s">
        <v>1948</v>
      </c>
      <c r="D85" s="2301"/>
      <c r="E85" s="2306">
        <v>50161</v>
      </c>
      <c r="F85" s="2350">
        <v>50161</v>
      </c>
      <c r="G85" s="2306">
        <v>0</v>
      </c>
      <c r="H85" s="2306">
        <v>0</v>
      </c>
      <c r="I85" s="2306">
        <v>0</v>
      </c>
      <c r="J85" s="2299" t="s">
        <v>1947</v>
      </c>
    </row>
    <row r="86" spans="1:10" ht="38.25" customHeight="1">
      <c r="A86" s="2303">
        <v>287233</v>
      </c>
      <c r="B86" s="2304">
        <v>705.51499999999999</v>
      </c>
      <c r="C86" s="2349" t="s">
        <v>1740</v>
      </c>
      <c r="D86" s="2301"/>
      <c r="E86" s="2306">
        <v>4477257</v>
      </c>
      <c r="F86" s="2350">
        <v>4477257</v>
      </c>
      <c r="G86" s="2306">
        <v>0</v>
      </c>
      <c r="H86" s="2306">
        <v>0</v>
      </c>
      <c r="I86" s="2306">
        <v>0</v>
      </c>
      <c r="J86" s="2299" t="s">
        <v>1741</v>
      </c>
    </row>
    <row r="87" spans="1:10" ht="51">
      <c r="A87" s="2303">
        <v>287237</v>
      </c>
      <c r="B87" s="2304">
        <v>705.755</v>
      </c>
      <c r="C87" s="2349" t="s">
        <v>1457</v>
      </c>
      <c r="D87" s="2301"/>
      <c r="E87" s="2306">
        <v>0</v>
      </c>
      <c r="F87" s="2350">
        <v>0</v>
      </c>
      <c r="G87" s="2306">
        <v>0</v>
      </c>
      <c r="H87" s="2306">
        <v>0</v>
      </c>
      <c r="I87" s="2306">
        <v>0</v>
      </c>
      <c r="J87" s="2299" t="s">
        <v>1803</v>
      </c>
    </row>
    <row r="88" spans="1:10" ht="27" customHeight="1">
      <c r="A88" s="2303">
        <v>287238</v>
      </c>
      <c r="B88" s="2304">
        <v>705.42</v>
      </c>
      <c r="C88" s="2349" t="s">
        <v>1946</v>
      </c>
      <c r="D88" s="2301"/>
      <c r="E88" s="2306">
        <v>272633</v>
      </c>
      <c r="F88" s="2350">
        <v>272633</v>
      </c>
      <c r="G88" s="2306">
        <v>0</v>
      </c>
      <c r="H88" s="2306">
        <v>0</v>
      </c>
      <c r="I88" s="2306">
        <v>0</v>
      </c>
      <c r="J88" s="2299" t="s">
        <v>1964</v>
      </c>
    </row>
    <row r="89" spans="1:10" ht="25.5">
      <c r="A89" s="2303">
        <v>287239</v>
      </c>
      <c r="B89" s="2304">
        <v>705.6</v>
      </c>
      <c r="C89" s="2349" t="s">
        <v>1454</v>
      </c>
      <c r="D89" s="2301"/>
      <c r="E89" s="2306">
        <v>0</v>
      </c>
      <c r="F89" s="2350">
        <v>0</v>
      </c>
      <c r="G89" s="2306">
        <v>0</v>
      </c>
      <c r="H89" s="2306">
        <v>0</v>
      </c>
      <c r="I89" s="2306">
        <v>0</v>
      </c>
      <c r="J89" s="2296" t="s">
        <v>1163</v>
      </c>
    </row>
    <row r="90" spans="1:10" ht="25.5">
      <c r="A90" s="2303">
        <v>287253</v>
      </c>
      <c r="B90" s="2304">
        <v>705.4</v>
      </c>
      <c r="C90" s="2349" t="s">
        <v>1742</v>
      </c>
      <c r="D90" s="2301"/>
      <c r="E90" s="2306">
        <v>1981034</v>
      </c>
      <c r="F90" s="2350">
        <v>1981034</v>
      </c>
      <c r="G90" s="2306">
        <v>0</v>
      </c>
      <c r="H90" s="2306">
        <v>0</v>
      </c>
      <c r="I90" s="2306">
        <v>0</v>
      </c>
      <c r="J90" s="2296" t="s">
        <v>1164</v>
      </c>
    </row>
    <row r="91" spans="1:10" ht="25.5" customHeight="1">
      <c r="A91" s="2303">
        <v>287255</v>
      </c>
      <c r="B91" s="2304">
        <v>705.45100000000002</v>
      </c>
      <c r="C91" s="2308" t="s">
        <v>1458</v>
      </c>
      <c r="D91" s="2301"/>
      <c r="E91" s="2306">
        <v>0</v>
      </c>
      <c r="F91" s="2350">
        <v>0</v>
      </c>
      <c r="G91" s="2306">
        <v>0</v>
      </c>
      <c r="H91" s="2306">
        <v>0</v>
      </c>
      <c r="I91" s="2306">
        <v>0</v>
      </c>
      <c r="J91" s="2296" t="s">
        <v>1165</v>
      </c>
    </row>
    <row r="92" spans="1:10" ht="38.25">
      <c r="A92" s="2303">
        <v>287257</v>
      </c>
      <c r="B92" s="2304">
        <v>705.45299999999997</v>
      </c>
      <c r="C92" s="2308" t="s">
        <v>1459</v>
      </c>
      <c r="D92" s="2301"/>
      <c r="E92" s="2306">
        <v>187733</v>
      </c>
      <c r="F92" s="2350">
        <v>187733</v>
      </c>
      <c r="G92" s="2306">
        <v>0</v>
      </c>
      <c r="H92" s="2306">
        <v>0</v>
      </c>
      <c r="I92" s="2306">
        <v>0</v>
      </c>
      <c r="J92" s="2296" t="s">
        <v>1166</v>
      </c>
    </row>
    <row r="93" spans="1:10" ht="25.5">
      <c r="A93" s="2303">
        <v>287258</v>
      </c>
      <c r="B93" s="2304">
        <v>705.45399999999995</v>
      </c>
      <c r="C93" s="2308" t="s">
        <v>1460</v>
      </c>
      <c r="D93" s="2301"/>
      <c r="E93" s="2306">
        <v>1627276</v>
      </c>
      <c r="F93" s="2350">
        <v>1627276</v>
      </c>
      <c r="G93" s="2306">
        <v>0</v>
      </c>
      <c r="H93" s="2306">
        <v>0</v>
      </c>
      <c r="I93" s="2306">
        <v>0</v>
      </c>
      <c r="J93" s="2296" t="s">
        <v>1167</v>
      </c>
    </row>
    <row r="94" spans="1:10" ht="25.5">
      <c r="A94" s="2303">
        <v>287262</v>
      </c>
      <c r="B94" s="2304">
        <v>100.1</v>
      </c>
      <c r="C94" s="2308" t="s">
        <v>1461</v>
      </c>
      <c r="D94" s="2301"/>
      <c r="E94" s="2306">
        <v>3782270</v>
      </c>
      <c r="F94" s="2350">
        <v>3782270</v>
      </c>
      <c r="G94" s="2306">
        <v>0</v>
      </c>
      <c r="H94" s="2306">
        <v>0</v>
      </c>
      <c r="I94" s="2306">
        <v>0</v>
      </c>
      <c r="J94" s="2296" t="s">
        <v>1169</v>
      </c>
    </row>
    <row r="95" spans="1:10" ht="27.75" customHeight="1">
      <c r="A95" s="2303">
        <v>287268</v>
      </c>
      <c r="B95" s="2304">
        <v>415.70600000000002</v>
      </c>
      <c r="C95" s="2349" t="s">
        <v>1945</v>
      </c>
      <c r="D95" s="2301"/>
      <c r="E95" s="2306">
        <v>367689</v>
      </c>
      <c r="F95" s="2350">
        <v>367689</v>
      </c>
      <c r="G95" s="2306">
        <v>0</v>
      </c>
      <c r="H95" s="2306">
        <v>0</v>
      </c>
      <c r="I95" s="2306">
        <v>0</v>
      </c>
      <c r="J95" s="2297" t="s">
        <v>1944</v>
      </c>
    </row>
    <row r="96" spans="1:10" ht="15.75" customHeight="1">
      <c r="A96" s="2303">
        <v>287274</v>
      </c>
      <c r="B96" s="2304">
        <v>705.26099999999997</v>
      </c>
      <c r="C96" s="2349" t="s">
        <v>1943</v>
      </c>
      <c r="D96" s="2301"/>
      <c r="E96" s="2306">
        <v>12666</v>
      </c>
      <c r="F96" s="2350">
        <v>12666</v>
      </c>
      <c r="G96" s="2306">
        <v>0</v>
      </c>
      <c r="H96" s="2306">
        <v>0</v>
      </c>
      <c r="I96" s="2306">
        <v>0</v>
      </c>
      <c r="J96" s="2297" t="s">
        <v>1942</v>
      </c>
    </row>
    <row r="97" spans="1:11" ht="25.5">
      <c r="A97" s="2303">
        <v>287284</v>
      </c>
      <c r="B97" s="2304">
        <v>610.14700000000005</v>
      </c>
      <c r="C97" s="2308" t="s">
        <v>1462</v>
      </c>
      <c r="D97" s="2301"/>
      <c r="E97" s="2306">
        <v>27902</v>
      </c>
      <c r="F97" s="2350">
        <v>27902</v>
      </c>
      <c r="G97" s="2306">
        <v>0</v>
      </c>
      <c r="H97" s="2306">
        <v>0</v>
      </c>
      <c r="I97" s="2306">
        <v>0</v>
      </c>
      <c r="J97" s="2296" t="s">
        <v>1170</v>
      </c>
    </row>
    <row r="98" spans="1:11" ht="25.5">
      <c r="A98" s="2303">
        <v>287288</v>
      </c>
      <c r="B98" s="2304">
        <v>415.80399999999997</v>
      </c>
      <c r="C98" s="2308" t="s">
        <v>1463</v>
      </c>
      <c r="D98" s="2301"/>
      <c r="E98" s="2306">
        <v>0</v>
      </c>
      <c r="F98" s="2350">
        <v>0</v>
      </c>
      <c r="G98" s="2306">
        <v>0</v>
      </c>
      <c r="H98" s="2306">
        <v>0</v>
      </c>
      <c r="I98" s="2306">
        <v>0</v>
      </c>
      <c r="J98" s="2296" t="s">
        <v>1171</v>
      </c>
    </row>
    <row r="99" spans="1:11" ht="51">
      <c r="A99" s="2303">
        <v>287299</v>
      </c>
      <c r="B99" s="2304">
        <v>705.26499999999999</v>
      </c>
      <c r="C99" s="2349" t="s">
        <v>1447</v>
      </c>
      <c r="D99" s="2301"/>
      <c r="E99" s="2306">
        <v>888964</v>
      </c>
      <c r="F99" s="2350">
        <v>888964</v>
      </c>
      <c r="G99" s="2306">
        <v>0</v>
      </c>
      <c r="H99" s="2306">
        <v>0</v>
      </c>
      <c r="I99" s="2306">
        <v>0</v>
      </c>
      <c r="J99" s="2297" t="s">
        <v>1941</v>
      </c>
    </row>
    <row r="100" spans="1:11" ht="38.25">
      <c r="A100" s="2303">
        <v>287304</v>
      </c>
      <c r="B100" s="2304">
        <v>610.14599999999996</v>
      </c>
      <c r="C100" s="2308" t="s">
        <v>1464</v>
      </c>
      <c r="D100" s="2301"/>
      <c r="E100" s="2306">
        <v>-27906</v>
      </c>
      <c r="F100" s="2350">
        <v>-27906</v>
      </c>
      <c r="G100" s="2306">
        <v>0</v>
      </c>
      <c r="H100" s="2306">
        <v>0</v>
      </c>
      <c r="I100" s="2306">
        <v>0</v>
      </c>
      <c r="J100" s="2296" t="s">
        <v>1173</v>
      </c>
      <c r="K100" s="2302" t="s">
        <v>225</v>
      </c>
    </row>
    <row r="101" spans="1:11" ht="25.5">
      <c r="A101" s="2303">
        <v>287312</v>
      </c>
      <c r="B101" s="2304">
        <v>105.4</v>
      </c>
      <c r="C101" s="2308" t="s">
        <v>1465</v>
      </c>
      <c r="D101" s="2301"/>
      <c r="E101" s="2306">
        <v>1507576</v>
      </c>
      <c r="F101" s="2350">
        <v>1507576</v>
      </c>
      <c r="G101" s="2306">
        <v>0</v>
      </c>
      <c r="H101" s="2306">
        <v>0</v>
      </c>
      <c r="I101" s="2306">
        <v>0</v>
      </c>
      <c r="J101" s="2296" t="s">
        <v>1174</v>
      </c>
    </row>
    <row r="102" spans="1:11" ht="64.5" customHeight="1">
      <c r="A102" s="2303">
        <v>287316</v>
      </c>
      <c r="B102" s="2304">
        <v>715.72</v>
      </c>
      <c r="C102" s="2349" t="s">
        <v>1940</v>
      </c>
      <c r="D102" s="2301"/>
      <c r="E102" s="2306">
        <v>20735</v>
      </c>
      <c r="F102" s="2350">
        <v>20735</v>
      </c>
      <c r="G102" s="2306">
        <v>0</v>
      </c>
      <c r="H102" s="2306">
        <v>0</v>
      </c>
      <c r="I102" s="2306">
        <v>0</v>
      </c>
      <c r="J102" s="2297" t="s">
        <v>1939</v>
      </c>
    </row>
    <row r="103" spans="1:11" ht="51">
      <c r="A103" s="2303">
        <v>287320</v>
      </c>
      <c r="B103" s="2304">
        <v>910.56</v>
      </c>
      <c r="C103" s="2308" t="s">
        <v>1466</v>
      </c>
      <c r="D103" s="2301"/>
      <c r="E103" s="2306">
        <v>0</v>
      </c>
      <c r="F103" s="2350">
        <v>0</v>
      </c>
      <c r="G103" s="2306">
        <v>0</v>
      </c>
      <c r="H103" s="2306">
        <v>0</v>
      </c>
      <c r="I103" s="2306">
        <v>0</v>
      </c>
      <c r="J103" s="2296" t="s">
        <v>1176</v>
      </c>
    </row>
    <row r="104" spans="1:11" ht="38.25">
      <c r="A104" s="2303">
        <v>287374</v>
      </c>
      <c r="B104" s="2304">
        <v>100.105</v>
      </c>
      <c r="C104" s="2308" t="s">
        <v>1177</v>
      </c>
      <c r="D104" s="2301"/>
      <c r="E104" s="2306">
        <v>367431</v>
      </c>
      <c r="F104" s="2350">
        <v>367431</v>
      </c>
      <c r="G104" s="2306">
        <v>0</v>
      </c>
      <c r="H104" s="2306">
        <v>0</v>
      </c>
      <c r="I104" s="2306">
        <v>0</v>
      </c>
      <c r="J104" s="2296" t="s">
        <v>1178</v>
      </c>
    </row>
    <row r="105" spans="1:11" ht="40.5" customHeight="1">
      <c r="A105" s="2303">
        <v>287438</v>
      </c>
      <c r="B105" s="2304">
        <v>415.8</v>
      </c>
      <c r="C105" s="2308" t="s">
        <v>1467</v>
      </c>
      <c r="D105" s="2301"/>
      <c r="E105" s="2306">
        <v>0</v>
      </c>
      <c r="F105" s="2350">
        <v>0</v>
      </c>
      <c r="G105" s="2306">
        <v>0</v>
      </c>
      <c r="H105" s="2306">
        <v>0</v>
      </c>
      <c r="I105" s="2306">
        <v>0</v>
      </c>
      <c r="J105" s="2296" t="s">
        <v>1179</v>
      </c>
    </row>
    <row r="106" spans="1:11" ht="39" customHeight="1">
      <c r="A106" s="2303">
        <v>287439</v>
      </c>
      <c r="B106" s="2304">
        <v>415.80500000000001</v>
      </c>
      <c r="C106" s="2308" t="s">
        <v>1468</v>
      </c>
      <c r="D106" s="2301"/>
      <c r="E106" s="2306">
        <v>0</v>
      </c>
      <c r="F106" s="2350">
        <v>0</v>
      </c>
      <c r="G106" s="2306">
        <v>0</v>
      </c>
      <c r="H106" s="2306">
        <v>0</v>
      </c>
      <c r="I106" s="2306">
        <v>0</v>
      </c>
      <c r="J106" s="2296" t="s">
        <v>1180</v>
      </c>
    </row>
    <row r="107" spans="1:11" ht="38.25">
      <c r="A107" s="2303">
        <v>287440</v>
      </c>
      <c r="B107" s="2304">
        <v>415.80599999999998</v>
      </c>
      <c r="C107" s="2308" t="s">
        <v>1469</v>
      </c>
      <c r="D107" s="2301"/>
      <c r="E107" s="2306">
        <v>0</v>
      </c>
      <c r="F107" s="2350">
        <v>0</v>
      </c>
      <c r="G107" s="2306">
        <v>0</v>
      </c>
      <c r="H107" s="2306">
        <v>0</v>
      </c>
      <c r="I107" s="2306">
        <v>0</v>
      </c>
      <c r="J107" s="2296" t="s">
        <v>1181</v>
      </c>
    </row>
    <row r="108" spans="1:11" ht="53.25" customHeight="1">
      <c r="A108" s="2303">
        <v>287441</v>
      </c>
      <c r="B108" s="2304">
        <v>605.1</v>
      </c>
      <c r="C108" s="2308" t="s">
        <v>1470</v>
      </c>
      <c r="D108" s="2301"/>
      <c r="E108" s="2306">
        <v>2111845</v>
      </c>
      <c r="F108" s="2350">
        <v>2111845</v>
      </c>
      <c r="G108" s="2306">
        <v>0</v>
      </c>
      <c r="H108" s="2306">
        <v>0</v>
      </c>
      <c r="I108" s="2306">
        <v>0</v>
      </c>
      <c r="J108" s="2296" t="s">
        <v>1743</v>
      </c>
    </row>
    <row r="109" spans="1:11" ht="38.25">
      <c r="A109" s="2303">
        <v>287442</v>
      </c>
      <c r="B109" s="2304">
        <v>610.13499999999999</v>
      </c>
      <c r="C109" s="2308" t="s">
        <v>562</v>
      </c>
      <c r="D109" s="2301"/>
      <c r="E109" s="2306">
        <v>0</v>
      </c>
      <c r="F109" s="2350">
        <v>0</v>
      </c>
      <c r="G109" s="2306">
        <v>0</v>
      </c>
      <c r="H109" s="2306">
        <v>0</v>
      </c>
      <c r="I109" s="2306">
        <v>0</v>
      </c>
      <c r="J109" s="2296" t="s">
        <v>1182</v>
      </c>
    </row>
    <row r="110" spans="1:11" ht="38.25">
      <c r="A110" s="2303">
        <v>287445</v>
      </c>
      <c r="B110" s="2304">
        <v>610.14200000000005</v>
      </c>
      <c r="C110" s="2349" t="s">
        <v>1938</v>
      </c>
      <c r="D110" s="2301"/>
      <c r="E110" s="2306">
        <v>480062</v>
      </c>
      <c r="F110" s="2350">
        <v>480062</v>
      </c>
      <c r="G110" s="2306">
        <v>0</v>
      </c>
      <c r="H110" s="2306">
        <v>0</v>
      </c>
      <c r="I110" s="2306">
        <v>0</v>
      </c>
      <c r="J110" s="2297" t="s">
        <v>1937</v>
      </c>
    </row>
    <row r="111" spans="1:11" ht="38.25">
      <c r="A111" s="2303">
        <v>287453</v>
      </c>
      <c r="B111" s="2304">
        <v>610.14300000000003</v>
      </c>
      <c r="C111" s="2349" t="s">
        <v>1446</v>
      </c>
      <c r="D111" s="2301"/>
      <c r="E111" s="2306">
        <v>612722</v>
      </c>
      <c r="F111" s="2350">
        <v>612722</v>
      </c>
      <c r="G111" s="2306">
        <v>0</v>
      </c>
      <c r="H111" s="2306">
        <v>0</v>
      </c>
      <c r="I111" s="2306">
        <v>0</v>
      </c>
      <c r="J111" s="2297" t="s">
        <v>1937</v>
      </c>
    </row>
    <row r="112" spans="1:11" ht="41.25" customHeight="1">
      <c r="A112" s="2303">
        <v>287473</v>
      </c>
      <c r="B112" s="2304">
        <v>705.27</v>
      </c>
      <c r="C112" s="2349" t="s">
        <v>1936</v>
      </c>
      <c r="D112" s="2301"/>
      <c r="E112" s="2306">
        <v>1137852</v>
      </c>
      <c r="F112" s="2350">
        <v>1137852</v>
      </c>
      <c r="G112" s="2306">
        <v>0</v>
      </c>
      <c r="H112" s="2306">
        <v>0</v>
      </c>
      <c r="I112" s="2306">
        <v>0</v>
      </c>
      <c r="J112" s="2297" t="s">
        <v>1931</v>
      </c>
    </row>
    <row r="113" spans="1:10" ht="41.25" customHeight="1">
      <c r="A113" s="2303">
        <v>287474</v>
      </c>
      <c r="B113" s="2304">
        <v>705.27099999999996</v>
      </c>
      <c r="C113" s="2349" t="s">
        <v>1935</v>
      </c>
      <c r="D113" s="2301"/>
      <c r="E113" s="2306">
        <v>78540</v>
      </c>
      <c r="F113" s="2350">
        <v>78540</v>
      </c>
      <c r="G113" s="2306">
        <v>0</v>
      </c>
      <c r="H113" s="2306">
        <v>0</v>
      </c>
      <c r="I113" s="2306">
        <v>0</v>
      </c>
      <c r="J113" s="2297" t="s">
        <v>1931</v>
      </c>
    </row>
    <row r="114" spans="1:10" ht="41.25" customHeight="1">
      <c r="A114" s="2303">
        <v>287475</v>
      </c>
      <c r="B114" s="2304">
        <v>705.27200000000005</v>
      </c>
      <c r="C114" s="2349" t="s">
        <v>1934</v>
      </c>
      <c r="D114" s="2301"/>
      <c r="E114" s="2306">
        <v>68469</v>
      </c>
      <c r="F114" s="2350">
        <v>68469</v>
      </c>
      <c r="G114" s="2306">
        <v>0</v>
      </c>
      <c r="H114" s="2306">
        <v>0</v>
      </c>
      <c r="I114" s="2306">
        <v>0</v>
      </c>
      <c r="J114" s="2297" t="s">
        <v>1931</v>
      </c>
    </row>
    <row r="115" spans="1:10" ht="39.75" customHeight="1">
      <c r="A115" s="2303">
        <v>287476</v>
      </c>
      <c r="B115" s="2304">
        <v>705.27300000000002</v>
      </c>
      <c r="C115" s="2349" t="s">
        <v>1933</v>
      </c>
      <c r="D115" s="2301"/>
      <c r="E115" s="2306">
        <v>1741740</v>
      </c>
      <c r="F115" s="2350">
        <v>1741740</v>
      </c>
      <c r="G115" s="2306">
        <v>0</v>
      </c>
      <c r="H115" s="2306">
        <v>0</v>
      </c>
      <c r="I115" s="2306">
        <v>0</v>
      </c>
      <c r="J115" s="2297" t="s">
        <v>1931</v>
      </c>
    </row>
    <row r="116" spans="1:10" ht="41.25" customHeight="1">
      <c r="A116" s="2303">
        <v>287477</v>
      </c>
      <c r="B116" s="2304">
        <v>705.274</v>
      </c>
      <c r="C116" s="2349" t="s">
        <v>1932</v>
      </c>
      <c r="D116" s="2301"/>
      <c r="E116" s="2306">
        <v>59702</v>
      </c>
      <c r="F116" s="2350">
        <v>59702</v>
      </c>
      <c r="G116" s="2306">
        <v>0</v>
      </c>
      <c r="H116" s="2306">
        <v>0</v>
      </c>
      <c r="I116" s="2306">
        <v>0</v>
      </c>
      <c r="J116" s="2297" t="s">
        <v>1931</v>
      </c>
    </row>
    <row r="117" spans="1:10" ht="41.25" customHeight="1">
      <c r="A117" s="2303">
        <v>287478</v>
      </c>
      <c r="B117" s="2304">
        <v>705.27499999999998</v>
      </c>
      <c r="C117" s="2349" t="s">
        <v>1930</v>
      </c>
      <c r="D117" s="2301"/>
      <c r="E117" s="2306">
        <v>183700</v>
      </c>
      <c r="F117" s="2350">
        <v>183700</v>
      </c>
      <c r="G117" s="2306">
        <v>0</v>
      </c>
      <c r="H117" s="2306">
        <v>0</v>
      </c>
      <c r="I117" s="2306">
        <v>0</v>
      </c>
      <c r="J117" s="2297" t="s">
        <v>1184</v>
      </c>
    </row>
    <row r="118" spans="1:10" ht="38.25">
      <c r="A118" s="2303">
        <v>287486</v>
      </c>
      <c r="B118" s="2304">
        <v>415.92599999999999</v>
      </c>
      <c r="C118" s="2349" t="s">
        <v>1744</v>
      </c>
      <c r="D118" s="2301"/>
      <c r="E118" s="2306">
        <v>703968</v>
      </c>
      <c r="F118" s="2350">
        <v>703968</v>
      </c>
      <c r="G118" s="2306">
        <v>0</v>
      </c>
      <c r="H118" s="2306">
        <v>0</v>
      </c>
      <c r="I118" s="2306">
        <v>0</v>
      </c>
      <c r="J118" s="2297" t="s">
        <v>1745</v>
      </c>
    </row>
    <row r="119" spans="1:10" ht="38.25">
      <c r="A119" s="2303">
        <v>287487</v>
      </c>
      <c r="B119" s="2304">
        <v>415.92700000000002</v>
      </c>
      <c r="C119" s="2308" t="s">
        <v>1744</v>
      </c>
      <c r="D119" s="2301"/>
      <c r="E119" s="2306">
        <v>101835</v>
      </c>
      <c r="F119" s="2350">
        <v>101835</v>
      </c>
      <c r="G119" s="2306">
        <v>0</v>
      </c>
      <c r="H119" s="2306">
        <v>0</v>
      </c>
      <c r="I119" s="2306">
        <v>0</v>
      </c>
      <c r="J119" s="2296" t="s">
        <v>1746</v>
      </c>
    </row>
    <row r="120" spans="1:10" ht="12.75">
      <c r="A120" s="2327" t="s">
        <v>1471</v>
      </c>
      <c r="B120" s="2304"/>
      <c r="C120" s="2308"/>
      <c r="D120" s="2301"/>
      <c r="E120" s="2306">
        <v>0</v>
      </c>
      <c r="F120" s="2350">
        <v>0</v>
      </c>
      <c r="G120" s="2306">
        <v>0</v>
      </c>
      <c r="H120" s="2306">
        <v>0</v>
      </c>
      <c r="I120" s="2306">
        <v>0</v>
      </c>
      <c r="J120" s="2296"/>
    </row>
    <row r="121" spans="1:10" ht="12.75">
      <c r="A121" s="2303">
        <v>137402</v>
      </c>
      <c r="B121" s="2359" t="s">
        <v>1472</v>
      </c>
      <c r="C121" s="2308"/>
      <c r="D121" s="2301"/>
      <c r="E121" s="2306">
        <v>0</v>
      </c>
      <c r="F121" s="2350">
        <v>0</v>
      </c>
      <c r="G121" s="2306">
        <v>0</v>
      </c>
      <c r="H121" s="2306">
        <v>0</v>
      </c>
      <c r="I121" s="2306">
        <v>0</v>
      </c>
      <c r="J121" s="2296" t="s">
        <v>1928</v>
      </c>
    </row>
    <row r="122" spans="1:10" ht="25.5">
      <c r="A122" s="2303">
        <v>137403</v>
      </c>
      <c r="B122" s="2359" t="s">
        <v>1473</v>
      </c>
      <c r="C122" s="2308"/>
      <c r="D122" s="2301"/>
      <c r="E122" s="2306">
        <v>0</v>
      </c>
      <c r="F122" s="2350">
        <v>0</v>
      </c>
      <c r="G122" s="2306">
        <v>0</v>
      </c>
      <c r="H122" s="2306">
        <v>0</v>
      </c>
      <c r="I122" s="2306">
        <v>0</v>
      </c>
      <c r="J122" s="2296" t="s">
        <v>1927</v>
      </c>
    </row>
    <row r="123" spans="1:10" ht="12.75">
      <c r="A123" s="2303">
        <v>287280</v>
      </c>
      <c r="B123" s="2359" t="s">
        <v>1474</v>
      </c>
      <c r="C123" s="2308"/>
      <c r="D123" s="2301"/>
      <c r="E123" s="2306">
        <v>324818</v>
      </c>
      <c r="F123" s="2350">
        <v>324818</v>
      </c>
      <c r="G123" s="2306">
        <v>0</v>
      </c>
      <c r="H123" s="2306">
        <v>0</v>
      </c>
      <c r="I123" s="2306">
        <v>0</v>
      </c>
      <c r="J123" s="2296" t="s">
        <v>1929</v>
      </c>
    </row>
    <row r="124" spans="1:10" ht="12.75">
      <c r="A124" s="2303">
        <v>287437</v>
      </c>
      <c r="B124" s="2359" t="s">
        <v>1475</v>
      </c>
      <c r="C124" s="2308"/>
      <c r="D124" s="2301"/>
      <c r="E124" s="2306">
        <v>79821041</v>
      </c>
      <c r="F124" s="2350">
        <v>79821041</v>
      </c>
      <c r="G124" s="2306">
        <v>0</v>
      </c>
      <c r="H124" s="2306">
        <v>0</v>
      </c>
      <c r="I124" s="2306">
        <v>0</v>
      </c>
      <c r="J124" s="2296" t="s">
        <v>1928</v>
      </c>
    </row>
    <row r="125" spans="1:10" ht="25.5">
      <c r="A125" s="2303">
        <v>287449</v>
      </c>
      <c r="B125" s="2359" t="s">
        <v>1476</v>
      </c>
      <c r="C125" s="2308"/>
      <c r="D125" s="2301"/>
      <c r="E125" s="2306">
        <v>-28051051</v>
      </c>
      <c r="F125" s="2350">
        <v>-28051051</v>
      </c>
      <c r="G125" s="2306">
        <v>0</v>
      </c>
      <c r="H125" s="2306">
        <v>0</v>
      </c>
      <c r="I125" s="2306">
        <v>0</v>
      </c>
      <c r="J125" s="2296" t="s">
        <v>1927</v>
      </c>
    </row>
    <row r="126" spans="1:10" ht="25.5">
      <c r="A126" s="2303">
        <v>287371</v>
      </c>
      <c r="B126" s="2359" t="s">
        <v>1477</v>
      </c>
      <c r="C126" s="2308"/>
      <c r="D126" s="2301"/>
      <c r="E126" s="2306">
        <v>2104918</v>
      </c>
      <c r="F126" s="2350">
        <v>2104918</v>
      </c>
      <c r="G126" s="2306">
        <v>0</v>
      </c>
      <c r="H126" s="2306">
        <v>0</v>
      </c>
      <c r="I126" s="2306">
        <v>0</v>
      </c>
      <c r="J126" s="2299" t="s">
        <v>1653</v>
      </c>
    </row>
    <row r="127" spans="1:10" ht="12.75">
      <c r="A127" s="2303">
        <v>287491</v>
      </c>
      <c r="B127" s="2359" t="s">
        <v>1478</v>
      </c>
      <c r="C127" s="2308"/>
      <c r="D127" s="2301"/>
      <c r="E127" s="2306">
        <v>2136632</v>
      </c>
      <c r="F127" s="2350">
        <v>2136632</v>
      </c>
      <c r="G127" s="2306">
        <v>0</v>
      </c>
      <c r="H127" s="2306">
        <v>0</v>
      </c>
      <c r="I127" s="2306">
        <v>0</v>
      </c>
      <c r="J127" s="2296" t="s">
        <v>1926</v>
      </c>
    </row>
    <row r="128" spans="1:10" ht="25.5">
      <c r="A128" s="2303">
        <v>287497</v>
      </c>
      <c r="B128" s="2359" t="s">
        <v>1479</v>
      </c>
      <c r="C128" s="2308"/>
      <c r="D128" s="2301"/>
      <c r="E128" s="2306">
        <v>837770</v>
      </c>
      <c r="F128" s="2350">
        <v>837770</v>
      </c>
      <c r="G128" s="2306">
        <v>0</v>
      </c>
      <c r="H128" s="2306">
        <v>0</v>
      </c>
      <c r="I128" s="2306">
        <v>0</v>
      </c>
      <c r="J128" s="2299" t="s">
        <v>1654</v>
      </c>
    </row>
    <row r="129" spans="1:10" ht="12.75">
      <c r="A129" s="2303">
        <v>287494</v>
      </c>
      <c r="B129" s="2359" t="s">
        <v>1480</v>
      </c>
      <c r="C129" s="2308"/>
      <c r="D129" s="2301"/>
      <c r="E129" s="2306">
        <v>11092612</v>
      </c>
      <c r="F129" s="2350">
        <v>11092612</v>
      </c>
      <c r="G129" s="2306">
        <v>0</v>
      </c>
      <c r="H129" s="2306">
        <v>0</v>
      </c>
      <c r="I129" s="2306">
        <v>0</v>
      </c>
      <c r="J129" s="2296" t="s">
        <v>1925</v>
      </c>
    </row>
    <row r="130" spans="1:10" ht="12.75">
      <c r="A130" s="2303">
        <v>287269</v>
      </c>
      <c r="B130" s="2359" t="s">
        <v>1481</v>
      </c>
      <c r="C130" s="2308"/>
      <c r="D130" s="2301"/>
      <c r="E130" s="2306">
        <v>185148</v>
      </c>
      <c r="F130" s="2350">
        <v>185148</v>
      </c>
      <c r="G130" s="2306">
        <v>0</v>
      </c>
      <c r="H130" s="2306">
        <v>0</v>
      </c>
      <c r="I130" s="2306">
        <v>0</v>
      </c>
      <c r="J130" s="2296" t="s">
        <v>1924</v>
      </c>
    </row>
    <row r="131" spans="1:10" ht="12.75">
      <c r="A131" s="2303">
        <v>287275</v>
      </c>
      <c r="B131" s="2359" t="s">
        <v>1482</v>
      </c>
      <c r="C131" s="2308"/>
      <c r="D131" s="2301"/>
      <c r="E131" s="2306">
        <v>0</v>
      </c>
      <c r="F131" s="2350">
        <v>0</v>
      </c>
      <c r="G131" s="2306">
        <v>0</v>
      </c>
      <c r="H131" s="2306">
        <v>0</v>
      </c>
      <c r="I131" s="2306">
        <v>0</v>
      </c>
      <c r="J131" s="2296" t="s">
        <v>1923</v>
      </c>
    </row>
    <row r="132" spans="1:10" ht="12.75">
      <c r="A132" s="2303">
        <v>287281</v>
      </c>
      <c r="B132" s="2359" t="s">
        <v>1483</v>
      </c>
      <c r="C132" s="2308"/>
      <c r="D132" s="2301"/>
      <c r="E132" s="2306">
        <v>320577</v>
      </c>
      <c r="F132" s="2350">
        <v>320577</v>
      </c>
      <c r="G132" s="2306">
        <v>0</v>
      </c>
      <c r="H132" s="2306">
        <v>0</v>
      </c>
      <c r="I132" s="2306">
        <v>0</v>
      </c>
      <c r="J132" s="2296" t="s">
        <v>1922</v>
      </c>
    </row>
    <row r="133" spans="1:10" ht="12.75">
      <c r="A133" s="2303"/>
      <c r="B133" s="2304"/>
      <c r="C133" s="2308"/>
      <c r="D133" s="2301"/>
      <c r="E133" s="2306">
        <v>0</v>
      </c>
      <c r="F133" s="2306">
        <v>0</v>
      </c>
      <c r="G133" s="2306">
        <v>0</v>
      </c>
      <c r="H133" s="2306">
        <v>0</v>
      </c>
      <c r="I133" s="2306">
        <v>0</v>
      </c>
      <c r="J133" s="2296"/>
    </row>
    <row r="134" spans="1:10" ht="12.75">
      <c r="A134" s="2327" t="s">
        <v>1484</v>
      </c>
      <c r="B134" s="2304"/>
      <c r="C134" s="2308"/>
      <c r="D134" s="2301"/>
      <c r="E134" s="2306">
        <v>0</v>
      </c>
      <c r="F134" s="2306">
        <v>0</v>
      </c>
      <c r="G134" s="2306">
        <v>0</v>
      </c>
      <c r="H134" s="2306">
        <v>0</v>
      </c>
      <c r="I134" s="2306">
        <v>0</v>
      </c>
      <c r="J134" s="2296"/>
    </row>
    <row r="135" spans="1:10" ht="25.5">
      <c r="A135" s="2303">
        <v>137510</v>
      </c>
      <c r="B135" s="2359">
        <v>415.815</v>
      </c>
      <c r="C135" s="2308" t="s">
        <v>1747</v>
      </c>
      <c r="D135" s="2301"/>
      <c r="E135" s="2306">
        <v>0</v>
      </c>
      <c r="F135" s="2350">
        <v>0</v>
      </c>
      <c r="G135" s="2306">
        <v>0</v>
      </c>
      <c r="H135" s="2306">
        <v>0</v>
      </c>
      <c r="I135" s="2306">
        <v>0</v>
      </c>
      <c r="J135" s="2296" t="s">
        <v>1748</v>
      </c>
    </row>
    <row r="136" spans="1:10" ht="25.5">
      <c r="A136" s="2303">
        <v>287970</v>
      </c>
      <c r="B136" s="2359">
        <v>415.815</v>
      </c>
      <c r="C136" s="2349" t="s">
        <v>1921</v>
      </c>
      <c r="D136" s="2301"/>
      <c r="E136" s="2306">
        <v>-10338412</v>
      </c>
      <c r="F136" s="2350">
        <v>-10338412</v>
      </c>
      <c r="G136" s="2306">
        <v>0</v>
      </c>
      <c r="H136" s="2306">
        <v>0</v>
      </c>
      <c r="I136" s="2306">
        <v>0</v>
      </c>
      <c r="J136" s="2296" t="s">
        <v>1748</v>
      </c>
    </row>
    <row r="137" spans="1:10" ht="12.75">
      <c r="A137" s="2303">
        <v>287498</v>
      </c>
      <c r="B137" s="2359">
        <v>425.14</v>
      </c>
      <c r="C137" s="2308" t="s">
        <v>1485</v>
      </c>
      <c r="D137" s="2301"/>
      <c r="E137" s="2306">
        <v>46142255</v>
      </c>
      <c r="F137" s="2350">
        <v>46142255</v>
      </c>
      <c r="G137" s="2306">
        <v>0</v>
      </c>
      <c r="H137" s="2306">
        <v>0</v>
      </c>
      <c r="I137" s="2306">
        <v>0</v>
      </c>
      <c r="J137" s="2296" t="s">
        <v>1220</v>
      </c>
    </row>
    <row r="138" spans="1:10" ht="25.5">
      <c r="A138" s="2303">
        <v>287341</v>
      </c>
      <c r="B138" s="2359">
        <v>910.53</v>
      </c>
      <c r="C138" s="2308" t="s">
        <v>1486</v>
      </c>
      <c r="D138" s="2301"/>
      <c r="E138" s="2306">
        <v>20414768</v>
      </c>
      <c r="F138" s="2350">
        <v>20414768</v>
      </c>
      <c r="G138" s="2306">
        <v>0</v>
      </c>
      <c r="H138" s="2306">
        <v>0</v>
      </c>
      <c r="I138" s="2306">
        <v>0</v>
      </c>
      <c r="J138" s="2296" t="s">
        <v>1201</v>
      </c>
    </row>
    <row r="139" spans="1:10" s="437" customFormat="1" ht="12.75">
      <c r="A139" s="2303"/>
      <c r="B139" s="2359"/>
      <c r="C139" s="2308"/>
      <c r="D139" s="2301"/>
      <c r="E139" s="2306">
        <v>0</v>
      </c>
      <c r="F139" s="2306">
        <v>0</v>
      </c>
      <c r="G139" s="2306">
        <v>0</v>
      </c>
      <c r="H139" s="2306">
        <v>0</v>
      </c>
      <c r="I139" s="2306">
        <v>0</v>
      </c>
      <c r="J139" s="2296"/>
    </row>
    <row r="140" spans="1:10" ht="12.75">
      <c r="A140" s="2327" t="s">
        <v>1487</v>
      </c>
      <c r="B140" s="2304"/>
      <c r="C140" s="2308"/>
      <c r="D140" s="2301"/>
      <c r="E140" s="2306">
        <v>0</v>
      </c>
      <c r="F140" s="2306">
        <v>0</v>
      </c>
      <c r="G140" s="2306">
        <v>0</v>
      </c>
      <c r="H140" s="2306">
        <v>0</v>
      </c>
      <c r="I140" s="2306">
        <v>0</v>
      </c>
      <c r="J140" s="2296"/>
    </row>
    <row r="141" spans="1:10" ht="25.5">
      <c r="A141" s="2303">
        <v>287339</v>
      </c>
      <c r="B141" s="2359">
        <v>105.4</v>
      </c>
      <c r="C141" s="2308" t="s">
        <v>566</v>
      </c>
      <c r="D141" s="2301"/>
      <c r="E141" s="2306">
        <v>80689134</v>
      </c>
      <c r="F141" s="2350">
        <v>80689134</v>
      </c>
      <c r="G141" s="2306">
        <v>0</v>
      </c>
      <c r="H141" s="2306">
        <v>0</v>
      </c>
      <c r="I141" s="2306">
        <v>0</v>
      </c>
      <c r="J141" s="2296" t="s">
        <v>1199</v>
      </c>
    </row>
    <row r="142" spans="1:10" ht="12.75">
      <c r="A142" s="2303"/>
      <c r="B142" s="2304"/>
      <c r="C142" s="2308"/>
      <c r="D142" s="2301"/>
      <c r="E142" s="2306">
        <v>0</v>
      </c>
      <c r="F142" s="2306">
        <v>0</v>
      </c>
      <c r="G142" s="2306">
        <v>0</v>
      </c>
      <c r="H142" s="2306">
        <v>0</v>
      </c>
      <c r="I142" s="2306">
        <v>0</v>
      </c>
      <c r="J142" s="2296"/>
    </row>
    <row r="143" spans="1:10" ht="12.75">
      <c r="A143" s="2327" t="s">
        <v>563</v>
      </c>
      <c r="B143" s="2358"/>
      <c r="C143" s="2308"/>
      <c r="D143" s="2301"/>
      <c r="E143" s="2306">
        <v>0</v>
      </c>
      <c r="F143" s="2306">
        <v>0</v>
      </c>
      <c r="G143" s="2306">
        <v>0</v>
      </c>
      <c r="H143" s="2306">
        <v>0</v>
      </c>
      <c r="I143" s="2306">
        <v>0</v>
      </c>
      <c r="J143" s="2296"/>
    </row>
    <row r="144" spans="1:10" ht="25.5">
      <c r="A144" s="2303">
        <v>137235</v>
      </c>
      <c r="B144" s="2304">
        <v>505.125</v>
      </c>
      <c r="C144" s="2308" t="s">
        <v>570</v>
      </c>
      <c r="D144" s="2301"/>
      <c r="E144" s="2306">
        <v>0</v>
      </c>
      <c r="F144" s="2350">
        <v>0</v>
      </c>
      <c r="G144" s="2306">
        <v>0</v>
      </c>
      <c r="H144" s="2306">
        <v>0</v>
      </c>
      <c r="I144" s="2306">
        <v>0</v>
      </c>
      <c r="J144" s="2296" t="s">
        <v>1215</v>
      </c>
    </row>
    <row r="145" spans="1:10" ht="25.5">
      <c r="A145" s="2303">
        <v>137400</v>
      </c>
      <c r="B145" s="2304" t="s">
        <v>564</v>
      </c>
      <c r="C145" s="2308" t="s">
        <v>1488</v>
      </c>
      <c r="D145" s="2301"/>
      <c r="E145" s="2306">
        <v>0</v>
      </c>
      <c r="F145" s="2350">
        <v>0</v>
      </c>
      <c r="G145" s="2306">
        <v>0</v>
      </c>
      <c r="H145" s="2306">
        <v>0</v>
      </c>
      <c r="I145" s="2306">
        <v>0</v>
      </c>
      <c r="J145" s="2296" t="s">
        <v>1191</v>
      </c>
    </row>
    <row r="146" spans="1:10" ht="25.5">
      <c r="A146" s="2303">
        <v>137404</v>
      </c>
      <c r="B146" s="2304">
        <v>105.154</v>
      </c>
      <c r="C146" s="2308" t="s">
        <v>1489</v>
      </c>
      <c r="D146" s="2301"/>
      <c r="E146" s="2306">
        <v>0</v>
      </c>
      <c r="F146" s="2350">
        <v>0</v>
      </c>
      <c r="G146" s="2306">
        <v>0</v>
      </c>
      <c r="H146" s="2306">
        <v>0</v>
      </c>
      <c r="I146" s="2306">
        <v>0</v>
      </c>
      <c r="J146" s="2296" t="s">
        <v>1920</v>
      </c>
    </row>
    <row r="147" spans="1:10" ht="25.5">
      <c r="A147" s="2303">
        <v>137405</v>
      </c>
      <c r="B147" s="2304">
        <v>205.02500000000001</v>
      </c>
      <c r="C147" s="2308" t="s">
        <v>1490</v>
      </c>
      <c r="D147" s="2301"/>
      <c r="E147" s="2306">
        <v>0</v>
      </c>
      <c r="F147" s="2350">
        <v>0</v>
      </c>
      <c r="G147" s="2306">
        <v>0</v>
      </c>
      <c r="H147" s="2306">
        <v>0</v>
      </c>
      <c r="I147" s="2306">
        <v>0</v>
      </c>
      <c r="J147" s="2296" t="s">
        <v>1219</v>
      </c>
    </row>
    <row r="148" spans="1:10" ht="25.5">
      <c r="A148" s="2303">
        <v>137406</v>
      </c>
      <c r="B148" s="2304">
        <v>205.2</v>
      </c>
      <c r="C148" s="2308" t="s">
        <v>1491</v>
      </c>
      <c r="D148" s="2301"/>
      <c r="E148" s="2306">
        <v>0</v>
      </c>
      <c r="F148" s="2350">
        <v>0</v>
      </c>
      <c r="G148" s="2306">
        <v>0</v>
      </c>
      <c r="H148" s="2306">
        <v>0</v>
      </c>
      <c r="I148" s="2306">
        <v>0</v>
      </c>
      <c r="J148" s="2296" t="s">
        <v>1213</v>
      </c>
    </row>
    <row r="149" spans="1:10" ht="25.5">
      <c r="A149" s="2303">
        <v>137408</v>
      </c>
      <c r="B149" s="2304">
        <v>220.1</v>
      </c>
      <c r="C149" s="2308" t="s">
        <v>1492</v>
      </c>
      <c r="D149" s="2301"/>
      <c r="E149" s="2306">
        <v>0</v>
      </c>
      <c r="F149" s="2350">
        <v>0</v>
      </c>
      <c r="G149" s="2306">
        <v>0</v>
      </c>
      <c r="H149" s="2306">
        <v>0</v>
      </c>
      <c r="I149" s="2306">
        <v>0</v>
      </c>
      <c r="J149" s="2296" t="s">
        <v>1200</v>
      </c>
    </row>
    <row r="150" spans="1:10" ht="25.5">
      <c r="A150" s="2303">
        <v>137409</v>
      </c>
      <c r="B150" s="2304">
        <v>425.32</v>
      </c>
      <c r="C150" s="2308" t="s">
        <v>1493</v>
      </c>
      <c r="D150" s="2301"/>
      <c r="E150" s="2306">
        <v>0</v>
      </c>
      <c r="F150" s="2350">
        <v>0</v>
      </c>
      <c r="G150" s="2306">
        <v>0</v>
      </c>
      <c r="H150" s="2306">
        <v>0</v>
      </c>
      <c r="I150" s="2306">
        <v>0</v>
      </c>
      <c r="J150" s="2296" t="s">
        <v>1210</v>
      </c>
    </row>
    <row r="151" spans="1:10" ht="25.5" customHeight="1">
      <c r="A151" s="2303">
        <v>137410</v>
      </c>
      <c r="B151" s="2304">
        <v>505.1</v>
      </c>
      <c r="C151" s="2308" t="s">
        <v>1494</v>
      </c>
      <c r="D151" s="2301"/>
      <c r="E151" s="2306">
        <v>0</v>
      </c>
      <c r="F151" s="2350">
        <v>0</v>
      </c>
      <c r="G151" s="2306">
        <v>0</v>
      </c>
      <c r="H151" s="2306">
        <v>0</v>
      </c>
      <c r="I151" s="2306">
        <v>0</v>
      </c>
      <c r="J151" s="2296" t="s">
        <v>1205</v>
      </c>
    </row>
    <row r="152" spans="1:10" ht="12.75">
      <c r="A152" s="2303">
        <v>137412</v>
      </c>
      <c r="B152" s="2304">
        <v>505.15</v>
      </c>
      <c r="C152" s="2308" t="s">
        <v>1495</v>
      </c>
      <c r="D152" s="2301"/>
      <c r="E152" s="2306">
        <v>0</v>
      </c>
      <c r="F152" s="2350">
        <v>0</v>
      </c>
      <c r="G152" s="2306">
        <v>0</v>
      </c>
      <c r="H152" s="2306">
        <v>0</v>
      </c>
      <c r="I152" s="2306">
        <v>0</v>
      </c>
      <c r="J152" s="2296" t="s">
        <v>1919</v>
      </c>
    </row>
    <row r="153" spans="1:10" ht="25.5">
      <c r="A153" s="2303">
        <v>137413</v>
      </c>
      <c r="B153" s="2304">
        <v>505.16</v>
      </c>
      <c r="C153" s="2308" t="s">
        <v>1496</v>
      </c>
      <c r="D153" s="2301"/>
      <c r="E153" s="2306">
        <v>0</v>
      </c>
      <c r="F153" s="2350">
        <v>0</v>
      </c>
      <c r="G153" s="2306">
        <v>0</v>
      </c>
      <c r="H153" s="2306">
        <v>0</v>
      </c>
      <c r="I153" s="2306">
        <v>0</v>
      </c>
      <c r="J153" s="2296" t="s">
        <v>1216</v>
      </c>
    </row>
    <row r="154" spans="1:10" ht="12.75">
      <c r="A154" s="2303">
        <v>137807</v>
      </c>
      <c r="B154" s="2304" t="s">
        <v>564</v>
      </c>
      <c r="C154" s="2308" t="s">
        <v>1497</v>
      </c>
      <c r="D154" s="2301"/>
      <c r="E154" s="2306">
        <v>0</v>
      </c>
      <c r="F154" s="2350">
        <v>0</v>
      </c>
      <c r="G154" s="2306">
        <v>0</v>
      </c>
      <c r="H154" s="2306">
        <v>0</v>
      </c>
      <c r="I154" s="2306">
        <v>0</v>
      </c>
      <c r="J154" s="2296" t="s">
        <v>1185</v>
      </c>
    </row>
    <row r="155" spans="1:10" ht="12.75">
      <c r="A155" s="2303">
        <v>137817</v>
      </c>
      <c r="B155" s="2304" t="s">
        <v>564</v>
      </c>
      <c r="C155" s="2308" t="s">
        <v>1498</v>
      </c>
      <c r="D155" s="2301"/>
      <c r="E155" s="2306">
        <v>0</v>
      </c>
      <c r="F155" s="2350">
        <v>0</v>
      </c>
      <c r="G155" s="2306">
        <v>0</v>
      </c>
      <c r="H155" s="2306">
        <v>0</v>
      </c>
      <c r="I155" s="2306">
        <v>0</v>
      </c>
      <c r="J155" s="2297" t="s">
        <v>1499</v>
      </c>
    </row>
    <row r="156" spans="1:10" ht="12.75">
      <c r="A156" s="2303">
        <v>137827</v>
      </c>
      <c r="B156" s="2304" t="s">
        <v>564</v>
      </c>
      <c r="C156" s="2308" t="s">
        <v>1500</v>
      </c>
      <c r="D156" s="2301"/>
      <c r="E156" s="2306">
        <v>0</v>
      </c>
      <c r="F156" s="2350">
        <v>0</v>
      </c>
      <c r="G156" s="2306">
        <v>0</v>
      </c>
      <c r="H156" s="2306">
        <v>0</v>
      </c>
      <c r="I156" s="2306">
        <v>0</v>
      </c>
      <c r="J156" s="2296" t="s">
        <v>1186</v>
      </c>
    </row>
    <row r="157" spans="1:10" ht="12.75">
      <c r="A157" s="2303">
        <v>287210</v>
      </c>
      <c r="B157" s="2304">
        <v>505.11500000000001</v>
      </c>
      <c r="C157" s="2349" t="s">
        <v>1918</v>
      </c>
      <c r="D157" s="2301"/>
      <c r="E157" s="2306">
        <v>95248</v>
      </c>
      <c r="F157" s="2350">
        <v>95248</v>
      </c>
      <c r="G157" s="2306">
        <v>0</v>
      </c>
      <c r="H157" s="2306">
        <v>0</v>
      </c>
      <c r="I157" s="2306">
        <v>0</v>
      </c>
      <c r="J157" s="2297" t="s">
        <v>1917</v>
      </c>
    </row>
    <row r="158" spans="1:10" ht="12.75">
      <c r="A158" s="2303">
        <v>287211</v>
      </c>
      <c r="B158" s="2304">
        <v>425.226</v>
      </c>
      <c r="C158" s="2349" t="s">
        <v>1916</v>
      </c>
      <c r="D158" s="2301"/>
      <c r="E158" s="2306">
        <v>36370</v>
      </c>
      <c r="F158" s="2350">
        <v>36370</v>
      </c>
      <c r="G158" s="2306">
        <v>0</v>
      </c>
      <c r="H158" s="2306">
        <v>0</v>
      </c>
      <c r="I158" s="2306">
        <v>0</v>
      </c>
      <c r="J158" s="2297" t="s">
        <v>1915</v>
      </c>
    </row>
    <row r="159" spans="1:10" ht="12.75">
      <c r="A159" s="2303">
        <v>287214</v>
      </c>
      <c r="B159" s="2304">
        <v>910.245</v>
      </c>
      <c r="C159" s="2349" t="s">
        <v>1914</v>
      </c>
      <c r="D159" s="2301"/>
      <c r="E159" s="2306">
        <v>1916350</v>
      </c>
      <c r="F159" s="2350">
        <v>1916350</v>
      </c>
      <c r="G159" s="2306">
        <v>0</v>
      </c>
      <c r="H159" s="2306">
        <v>0</v>
      </c>
      <c r="I159" s="2306">
        <v>0</v>
      </c>
      <c r="J159" s="2297" t="s">
        <v>1913</v>
      </c>
    </row>
    <row r="160" spans="1:10" ht="12.75" customHeight="1">
      <c r="A160" s="2303">
        <v>287216</v>
      </c>
      <c r="B160" s="2304">
        <v>605.71500000000003</v>
      </c>
      <c r="C160" s="2349" t="s">
        <v>1912</v>
      </c>
      <c r="D160" s="2301"/>
      <c r="E160" s="2306">
        <v>2172294</v>
      </c>
      <c r="F160" s="2350">
        <v>2172294</v>
      </c>
      <c r="G160" s="2306">
        <v>0</v>
      </c>
      <c r="H160" s="2306">
        <v>0</v>
      </c>
      <c r="I160" s="2306">
        <v>0</v>
      </c>
      <c r="J160" s="2297" t="s">
        <v>1911</v>
      </c>
    </row>
    <row r="161" spans="1:10" ht="12.75">
      <c r="A161" s="2303">
        <v>287217</v>
      </c>
      <c r="B161" s="2304">
        <v>910.93700000000001</v>
      </c>
      <c r="C161" s="2349" t="s">
        <v>1910</v>
      </c>
      <c r="D161" s="2301"/>
      <c r="E161" s="2306">
        <v>29926</v>
      </c>
      <c r="F161" s="2350">
        <v>0</v>
      </c>
      <c r="G161" s="2306">
        <v>0</v>
      </c>
      <c r="H161" s="2306">
        <v>0</v>
      </c>
      <c r="I161" s="2306">
        <v>29926</v>
      </c>
      <c r="J161" s="2297" t="s">
        <v>1909</v>
      </c>
    </row>
    <row r="162" spans="1:10" ht="28.5" customHeight="1">
      <c r="A162" s="2303">
        <v>287218</v>
      </c>
      <c r="B162" s="2304">
        <v>715.80499999999995</v>
      </c>
      <c r="C162" s="2349" t="s">
        <v>1908</v>
      </c>
      <c r="D162" s="2301"/>
      <c r="E162" s="2306">
        <v>1558982</v>
      </c>
      <c r="F162" s="2350">
        <v>1558982</v>
      </c>
      <c r="G162" s="2306">
        <v>0</v>
      </c>
      <c r="H162" s="2306">
        <v>0</v>
      </c>
      <c r="I162" s="2306">
        <v>0</v>
      </c>
      <c r="J162" s="2297" t="s">
        <v>1895</v>
      </c>
    </row>
    <row r="163" spans="1:10" ht="27" customHeight="1">
      <c r="A163" s="2303">
        <v>287219</v>
      </c>
      <c r="B163" s="2304">
        <v>715.81</v>
      </c>
      <c r="C163" s="2349" t="s">
        <v>1907</v>
      </c>
      <c r="D163" s="2301"/>
      <c r="E163" s="2306">
        <v>505903</v>
      </c>
      <c r="F163" s="2350">
        <v>505903</v>
      </c>
      <c r="G163" s="2306">
        <v>0</v>
      </c>
      <c r="H163" s="2306">
        <v>0</v>
      </c>
      <c r="I163" s="2306">
        <v>0</v>
      </c>
      <c r="J163" s="2297" t="s">
        <v>1897</v>
      </c>
    </row>
    <row r="164" spans="1:10" ht="25.5">
      <c r="A164" s="2303">
        <v>287240</v>
      </c>
      <c r="B164" s="2304">
        <v>605.30100000000004</v>
      </c>
      <c r="C164" s="2308" t="s">
        <v>1501</v>
      </c>
      <c r="D164" s="2301"/>
      <c r="E164" s="2306">
        <v>8705238</v>
      </c>
      <c r="F164" s="2350">
        <v>8705238</v>
      </c>
      <c r="G164" s="2306">
        <v>0</v>
      </c>
      <c r="H164" s="2306">
        <v>0</v>
      </c>
      <c r="I164" s="2306">
        <v>0</v>
      </c>
      <c r="J164" s="2297" t="s">
        <v>1187</v>
      </c>
    </row>
    <row r="165" spans="1:10" ht="25.5">
      <c r="A165" s="2303">
        <v>287241</v>
      </c>
      <c r="B165" s="2304">
        <v>605.30200000000002</v>
      </c>
      <c r="C165" s="2308" t="s">
        <v>1502</v>
      </c>
      <c r="D165" s="2301"/>
      <c r="E165" s="2306">
        <v>1124314</v>
      </c>
      <c r="F165" s="2350">
        <v>1124314</v>
      </c>
      <c r="G165" s="2306">
        <v>0</v>
      </c>
      <c r="H165" s="2306">
        <v>0</v>
      </c>
      <c r="I165" s="2306">
        <v>0</v>
      </c>
      <c r="J165" s="2296" t="s">
        <v>1188</v>
      </c>
    </row>
    <row r="166" spans="1:10" ht="25.5">
      <c r="A166" s="2303">
        <v>287270</v>
      </c>
      <c r="B166" s="2304" t="s">
        <v>564</v>
      </c>
      <c r="C166" s="2349" t="s">
        <v>1906</v>
      </c>
      <c r="D166" s="2301"/>
      <c r="E166" s="2306">
        <v>-9734227</v>
      </c>
      <c r="F166" s="2350">
        <v>-9734227</v>
      </c>
      <c r="G166" s="2306">
        <v>0</v>
      </c>
      <c r="H166" s="2306">
        <v>0</v>
      </c>
      <c r="I166" s="2306">
        <v>0</v>
      </c>
      <c r="J166" s="2297" t="s">
        <v>1905</v>
      </c>
    </row>
    <row r="167" spans="1:10" ht="51">
      <c r="A167" s="2303">
        <v>287289</v>
      </c>
      <c r="B167" s="2304">
        <v>425.13</v>
      </c>
      <c r="C167" s="2308" t="s">
        <v>1503</v>
      </c>
      <c r="D167" s="2301"/>
      <c r="E167" s="2306">
        <v>7549</v>
      </c>
      <c r="F167" s="2350">
        <v>7549</v>
      </c>
      <c r="G167" s="2306">
        <v>0</v>
      </c>
      <c r="H167" s="2306">
        <v>0</v>
      </c>
      <c r="I167" s="2306">
        <v>0</v>
      </c>
      <c r="J167" s="2296" t="s">
        <v>1192</v>
      </c>
    </row>
    <row r="168" spans="1:10" ht="25.5">
      <c r="A168" s="2303">
        <v>287290</v>
      </c>
      <c r="B168" s="2304">
        <v>425.15</v>
      </c>
      <c r="C168" s="2308" t="s">
        <v>1504</v>
      </c>
      <c r="D168" s="2301"/>
      <c r="E168" s="2306">
        <v>371174</v>
      </c>
      <c r="F168" s="2350">
        <v>371174</v>
      </c>
      <c r="G168" s="2306">
        <v>0</v>
      </c>
      <c r="H168" s="2306">
        <v>0</v>
      </c>
      <c r="I168" s="2306">
        <v>0</v>
      </c>
      <c r="J168" s="2296" t="s">
        <v>1193</v>
      </c>
    </row>
    <row r="169" spans="1:10" ht="63.75">
      <c r="A169" s="2303">
        <v>287297</v>
      </c>
      <c r="B169" s="2304">
        <v>505.15499999999997</v>
      </c>
      <c r="C169" s="2308" t="s">
        <v>565</v>
      </c>
      <c r="D169" s="2301"/>
      <c r="E169" s="2306">
        <v>43443</v>
      </c>
      <c r="F169" s="2350">
        <v>43443</v>
      </c>
      <c r="G169" s="2306">
        <v>0</v>
      </c>
      <c r="H169" s="2306">
        <v>0</v>
      </c>
      <c r="I169" s="2306">
        <v>0</v>
      </c>
      <c r="J169" s="2296" t="s">
        <v>1194</v>
      </c>
    </row>
    <row r="170" spans="1:10" ht="25.5">
      <c r="A170" s="2303">
        <v>287298</v>
      </c>
      <c r="B170" s="2304">
        <v>205.21</v>
      </c>
      <c r="C170" s="2308" t="s">
        <v>1505</v>
      </c>
      <c r="D170" s="2301"/>
      <c r="E170" s="2306">
        <v>774200</v>
      </c>
      <c r="F170" s="2350">
        <v>774200</v>
      </c>
      <c r="G170" s="2306">
        <v>0</v>
      </c>
      <c r="H170" s="2306">
        <v>0</v>
      </c>
      <c r="I170" s="2306">
        <v>0</v>
      </c>
      <c r="J170" s="2297" t="s">
        <v>1804</v>
      </c>
    </row>
    <row r="171" spans="1:10" ht="12.75" customHeight="1">
      <c r="A171" s="2303">
        <v>287321</v>
      </c>
      <c r="B171" s="2304">
        <v>100.1</v>
      </c>
      <c r="C171" s="2308" t="s">
        <v>1195</v>
      </c>
      <c r="D171" s="2301"/>
      <c r="E171" s="2306">
        <v>7021449</v>
      </c>
      <c r="F171" s="2350">
        <v>7021449</v>
      </c>
      <c r="G171" s="2306">
        <v>0</v>
      </c>
      <c r="H171" s="2306">
        <v>0</v>
      </c>
      <c r="I171" s="2306">
        <v>0</v>
      </c>
      <c r="J171" s="2296" t="s">
        <v>1196</v>
      </c>
    </row>
    <row r="172" spans="1:10" ht="27" customHeight="1">
      <c r="A172" s="2303">
        <v>287337</v>
      </c>
      <c r="B172" s="2304">
        <v>715.10500000000002</v>
      </c>
      <c r="C172" s="2308" t="s">
        <v>1506</v>
      </c>
      <c r="D172" s="2301"/>
      <c r="E172" s="2306">
        <v>211623</v>
      </c>
      <c r="F172" s="2350">
        <v>211623</v>
      </c>
      <c r="G172" s="2306">
        <v>0</v>
      </c>
      <c r="H172" s="2306">
        <v>0</v>
      </c>
      <c r="I172" s="2306">
        <v>0</v>
      </c>
      <c r="J172" s="2296" t="s">
        <v>1197</v>
      </c>
    </row>
    <row r="173" spans="1:10" ht="51">
      <c r="A173" s="2303">
        <v>287338</v>
      </c>
      <c r="B173" s="2304">
        <v>415.11</v>
      </c>
      <c r="C173" s="2308" t="s">
        <v>1507</v>
      </c>
      <c r="D173" s="2301"/>
      <c r="E173" s="2306">
        <v>88912</v>
      </c>
      <c r="F173" s="2350">
        <v>0</v>
      </c>
      <c r="G173" s="2306">
        <v>88912</v>
      </c>
      <c r="H173" s="2306">
        <v>0</v>
      </c>
      <c r="I173" s="2306">
        <v>0</v>
      </c>
      <c r="J173" s="2296" t="s">
        <v>1198</v>
      </c>
    </row>
    <row r="174" spans="1:10" ht="25.5">
      <c r="A174" s="2303">
        <v>287340</v>
      </c>
      <c r="B174" s="2304">
        <v>220.1</v>
      </c>
      <c r="C174" s="2349" t="s">
        <v>1904</v>
      </c>
      <c r="D174" s="2301"/>
      <c r="E174" s="2306">
        <v>2963607</v>
      </c>
      <c r="F174" s="2350">
        <v>2963607</v>
      </c>
      <c r="G174" s="2306">
        <v>0</v>
      </c>
      <c r="H174" s="2306">
        <v>0</v>
      </c>
      <c r="I174" s="2306">
        <v>0</v>
      </c>
      <c r="J174" s="2297" t="s">
        <v>1903</v>
      </c>
    </row>
    <row r="175" spans="1:10" ht="25.5">
      <c r="A175" s="2303">
        <v>287343</v>
      </c>
      <c r="B175" s="2304">
        <v>415.12</v>
      </c>
      <c r="C175" s="2308" t="s">
        <v>1508</v>
      </c>
      <c r="D175" s="2301"/>
      <c r="E175" s="2306">
        <v>0</v>
      </c>
      <c r="F175" s="2350">
        <v>0</v>
      </c>
      <c r="G175" s="2306">
        <v>0</v>
      </c>
      <c r="H175" s="2306">
        <v>0</v>
      </c>
      <c r="I175" s="2306">
        <v>0</v>
      </c>
      <c r="J175" s="2296" t="s">
        <v>1202</v>
      </c>
    </row>
    <row r="176" spans="1:10" ht="38.25">
      <c r="A176" s="2303">
        <v>287344</v>
      </c>
      <c r="B176" s="2304">
        <v>715.8</v>
      </c>
      <c r="C176" s="2308" t="s">
        <v>567</v>
      </c>
      <c r="D176" s="2301"/>
      <c r="E176" s="2306">
        <v>0</v>
      </c>
      <c r="F176" s="2350">
        <v>0</v>
      </c>
      <c r="G176" s="2306">
        <v>0</v>
      </c>
      <c r="H176" s="2306">
        <v>0</v>
      </c>
      <c r="I176" s="2306">
        <v>0</v>
      </c>
      <c r="J176" s="2296" t="s">
        <v>1203</v>
      </c>
    </row>
    <row r="177" spans="1:10" ht="25.5">
      <c r="A177" s="2303">
        <v>287345</v>
      </c>
      <c r="B177" s="2304">
        <v>145.03</v>
      </c>
      <c r="C177" s="2308" t="s">
        <v>1509</v>
      </c>
      <c r="D177" s="2301"/>
      <c r="E177" s="2306">
        <v>0</v>
      </c>
      <c r="F177" s="2350">
        <v>0</v>
      </c>
      <c r="G177" s="2306">
        <v>0</v>
      </c>
      <c r="H177" s="2306">
        <v>0</v>
      </c>
      <c r="I177" s="2306">
        <v>0</v>
      </c>
      <c r="J177" s="2296" t="s">
        <v>1204</v>
      </c>
    </row>
    <row r="178" spans="1:10" ht="25.5" customHeight="1">
      <c r="A178" s="2303">
        <v>287349</v>
      </c>
      <c r="B178" s="2304">
        <v>505.1</v>
      </c>
      <c r="C178" s="2349" t="s">
        <v>1494</v>
      </c>
      <c r="D178" s="2301"/>
      <c r="E178" s="2306">
        <v>245130</v>
      </c>
      <c r="F178" s="2350">
        <v>245130</v>
      </c>
      <c r="G178" s="2306">
        <v>0</v>
      </c>
      <c r="H178" s="2306">
        <v>0</v>
      </c>
      <c r="I178" s="2306">
        <v>0</v>
      </c>
      <c r="J178" s="2297" t="s">
        <v>1205</v>
      </c>
    </row>
    <row r="179" spans="1:10" ht="12.75">
      <c r="A179" s="2303">
        <v>287354</v>
      </c>
      <c r="B179" s="2304">
        <v>505.15</v>
      </c>
      <c r="C179" s="2349" t="s">
        <v>1495</v>
      </c>
      <c r="D179" s="2301"/>
      <c r="E179" s="2306">
        <v>2196563</v>
      </c>
      <c r="F179" s="2350">
        <v>2196563</v>
      </c>
      <c r="G179" s="2306">
        <v>0</v>
      </c>
      <c r="H179" s="2306">
        <v>0</v>
      </c>
      <c r="I179" s="2306">
        <v>0</v>
      </c>
      <c r="J179" s="2297" t="s">
        <v>1206</v>
      </c>
    </row>
    <row r="180" spans="1:10" ht="25.5">
      <c r="A180" s="2303">
        <v>287357</v>
      </c>
      <c r="B180" s="2304">
        <v>425.2</v>
      </c>
      <c r="C180" s="2308" t="s">
        <v>1510</v>
      </c>
      <c r="D180" s="2301"/>
      <c r="E180" s="2306">
        <v>0</v>
      </c>
      <c r="F180" s="2350">
        <v>0</v>
      </c>
      <c r="G180" s="2306">
        <v>0</v>
      </c>
      <c r="H180" s="2306">
        <v>0</v>
      </c>
      <c r="I180" s="2306">
        <v>0</v>
      </c>
      <c r="J180" s="2296" t="s">
        <v>1207</v>
      </c>
    </row>
    <row r="181" spans="1:10" ht="12.75">
      <c r="A181" s="2303">
        <v>287370</v>
      </c>
      <c r="B181" s="2304">
        <v>425.21499999999997</v>
      </c>
      <c r="C181" s="2308" t="s">
        <v>1511</v>
      </c>
      <c r="D181" s="2301"/>
      <c r="E181" s="2306">
        <v>1087114</v>
      </c>
      <c r="F181" s="2350">
        <v>1087114</v>
      </c>
      <c r="G181" s="2306">
        <v>0</v>
      </c>
      <c r="H181" s="2306">
        <v>0</v>
      </c>
      <c r="I181" s="2306">
        <v>0</v>
      </c>
      <c r="J181" s="2296" t="s">
        <v>1208</v>
      </c>
    </row>
    <row r="182" spans="1:10" ht="26.25" customHeight="1">
      <c r="A182" s="2303">
        <v>287391</v>
      </c>
      <c r="B182" s="2304">
        <v>425.32</v>
      </c>
      <c r="C182" s="2349" t="s">
        <v>1493</v>
      </c>
      <c r="D182" s="2301"/>
      <c r="E182" s="2306">
        <v>9535235</v>
      </c>
      <c r="F182" s="2350">
        <v>9535235</v>
      </c>
      <c r="G182" s="2306">
        <v>0</v>
      </c>
      <c r="H182" s="2306">
        <v>0</v>
      </c>
      <c r="I182" s="2306">
        <v>0</v>
      </c>
      <c r="J182" s="2297" t="s">
        <v>1902</v>
      </c>
    </row>
    <row r="183" spans="1:10" ht="25.5">
      <c r="A183" s="2303">
        <v>287392</v>
      </c>
      <c r="B183" s="2304">
        <v>425.12</v>
      </c>
      <c r="C183" s="2308" t="s">
        <v>568</v>
      </c>
      <c r="D183" s="2301"/>
      <c r="E183" s="2306">
        <v>6355113</v>
      </c>
      <c r="F183" s="2350">
        <v>6355113</v>
      </c>
      <c r="G183" s="2306">
        <v>0</v>
      </c>
      <c r="H183" s="2306">
        <v>0</v>
      </c>
      <c r="I183" s="2306">
        <v>0</v>
      </c>
      <c r="J183" s="2296" t="s">
        <v>1211</v>
      </c>
    </row>
    <row r="184" spans="1:10" ht="25.5" customHeight="1">
      <c r="A184" s="2303">
        <v>287393</v>
      </c>
      <c r="B184" s="2304">
        <v>425.11</v>
      </c>
      <c r="C184" s="2308" t="s">
        <v>1749</v>
      </c>
      <c r="D184" s="2301"/>
      <c r="E184" s="2306">
        <v>344187</v>
      </c>
      <c r="F184" s="2350">
        <v>344187</v>
      </c>
      <c r="G184" s="2306">
        <v>0</v>
      </c>
      <c r="H184" s="2306">
        <v>0</v>
      </c>
      <c r="I184" s="2306">
        <v>0</v>
      </c>
      <c r="J184" s="2296" t="s">
        <v>1750</v>
      </c>
    </row>
    <row r="185" spans="1:10" ht="25.5">
      <c r="A185" s="2303">
        <v>287415</v>
      </c>
      <c r="B185" s="2304">
        <v>205.2</v>
      </c>
      <c r="C185" s="2349" t="s">
        <v>1491</v>
      </c>
      <c r="D185" s="2301"/>
      <c r="E185" s="2306">
        <v>1115470</v>
      </c>
      <c r="F185" s="2350">
        <v>1115470</v>
      </c>
      <c r="G185" s="2306">
        <v>0</v>
      </c>
      <c r="H185" s="2306">
        <v>0</v>
      </c>
      <c r="I185" s="2306">
        <v>0</v>
      </c>
      <c r="J185" s="2297" t="s">
        <v>1213</v>
      </c>
    </row>
    <row r="186" spans="1:10" ht="25.5">
      <c r="A186" s="2303">
        <v>287417</v>
      </c>
      <c r="B186" s="2304">
        <v>605.71</v>
      </c>
      <c r="C186" s="2308" t="s">
        <v>569</v>
      </c>
      <c r="D186" s="2301"/>
      <c r="E186" s="2306">
        <v>3717365</v>
      </c>
      <c r="F186" s="2350">
        <v>3717365</v>
      </c>
      <c r="G186" s="2306">
        <v>0</v>
      </c>
      <c r="H186" s="2306">
        <v>0</v>
      </c>
      <c r="I186" s="2306">
        <v>0</v>
      </c>
      <c r="J186" s="2296" t="s">
        <v>1214</v>
      </c>
    </row>
    <row r="187" spans="1:10" ht="25.5">
      <c r="A187" s="2303">
        <v>287430</v>
      </c>
      <c r="B187" s="2304">
        <v>505.125</v>
      </c>
      <c r="C187" s="2349" t="s">
        <v>570</v>
      </c>
      <c r="D187" s="2301"/>
      <c r="E187" s="2306">
        <v>639167</v>
      </c>
      <c r="F187" s="2350">
        <v>639167</v>
      </c>
      <c r="G187" s="2306">
        <v>0</v>
      </c>
      <c r="H187" s="2306">
        <v>0</v>
      </c>
      <c r="I187" s="2306">
        <v>0</v>
      </c>
      <c r="J187" s="2297" t="s">
        <v>1901</v>
      </c>
    </row>
    <row r="188" spans="1:10" ht="25.5" customHeight="1">
      <c r="A188" s="2303">
        <v>287479</v>
      </c>
      <c r="B188" s="2304">
        <v>105.221</v>
      </c>
      <c r="C188" s="2308" t="s">
        <v>1512</v>
      </c>
      <c r="D188" s="2301"/>
      <c r="E188" s="2306">
        <v>37185543</v>
      </c>
      <c r="F188" s="2350">
        <v>37185543</v>
      </c>
      <c r="G188" s="2306">
        <v>0</v>
      </c>
      <c r="H188" s="2306">
        <v>0</v>
      </c>
      <c r="I188" s="2306">
        <v>0</v>
      </c>
      <c r="J188" s="2296" t="s">
        <v>1218</v>
      </c>
    </row>
    <row r="189" spans="1:10" ht="25.5" customHeight="1">
      <c r="A189" s="2303">
        <v>287482</v>
      </c>
      <c r="B189" s="2304">
        <v>205.02500000000001</v>
      </c>
      <c r="C189" s="2349" t="s">
        <v>1490</v>
      </c>
      <c r="D189" s="2301"/>
      <c r="E189" s="2306">
        <v>1144547</v>
      </c>
      <c r="F189" s="2350">
        <v>1144547</v>
      </c>
      <c r="G189" s="2306">
        <v>0</v>
      </c>
      <c r="H189" s="2306">
        <v>0</v>
      </c>
      <c r="I189" s="2306">
        <v>0</v>
      </c>
      <c r="J189" s="2297" t="s">
        <v>1219</v>
      </c>
    </row>
    <row r="190" spans="1:10" ht="38.25">
      <c r="A190" s="2303">
        <v>287489</v>
      </c>
      <c r="B190" s="2304">
        <v>910.51499999999999</v>
      </c>
      <c r="C190" s="2308" t="s">
        <v>1513</v>
      </c>
      <c r="D190" s="2301"/>
      <c r="E190" s="2306">
        <v>166367</v>
      </c>
      <c r="F190" s="2350">
        <v>166367</v>
      </c>
      <c r="G190" s="2306">
        <v>0</v>
      </c>
      <c r="H190" s="2306">
        <v>0</v>
      </c>
      <c r="I190" s="2306">
        <v>0</v>
      </c>
      <c r="J190" s="2299" t="s">
        <v>1655</v>
      </c>
    </row>
    <row r="191" spans="1:10" ht="12.75">
      <c r="A191" s="2303">
        <v>287807</v>
      </c>
      <c r="B191" s="2304" t="s">
        <v>564</v>
      </c>
      <c r="C191" s="2308" t="s">
        <v>1514</v>
      </c>
      <c r="D191" s="2301"/>
      <c r="E191" s="2306">
        <v>418227</v>
      </c>
      <c r="F191" s="2350">
        <v>418227</v>
      </c>
      <c r="G191" s="2306">
        <v>0</v>
      </c>
      <c r="H191" s="2306">
        <v>0</v>
      </c>
      <c r="I191" s="2306">
        <v>0</v>
      </c>
      <c r="J191" s="2296" t="s">
        <v>1221</v>
      </c>
    </row>
    <row r="192" spans="1:10" ht="12.75">
      <c r="A192" s="2303">
        <v>287817</v>
      </c>
      <c r="B192" s="2304" t="s">
        <v>564</v>
      </c>
      <c r="C192" s="2308" t="s">
        <v>1515</v>
      </c>
      <c r="D192" s="2301"/>
      <c r="E192" s="2306">
        <v>624675</v>
      </c>
      <c r="F192" s="2350">
        <v>624675</v>
      </c>
      <c r="G192" s="2306">
        <v>0</v>
      </c>
      <c r="H192" s="2306">
        <v>0</v>
      </c>
      <c r="I192" s="2306">
        <v>0</v>
      </c>
      <c r="J192" s="2296" t="s">
        <v>1222</v>
      </c>
    </row>
    <row r="193" spans="1:11" ht="12.75">
      <c r="A193" s="2303">
        <v>287827</v>
      </c>
      <c r="B193" s="2304" t="s">
        <v>564</v>
      </c>
      <c r="C193" s="2308" t="s">
        <v>1516</v>
      </c>
      <c r="D193" s="2301"/>
      <c r="E193" s="2306">
        <v>54251</v>
      </c>
      <c r="F193" s="2350">
        <v>54251</v>
      </c>
      <c r="G193" s="2306">
        <v>0</v>
      </c>
      <c r="H193" s="2306">
        <v>0</v>
      </c>
      <c r="I193" s="2306">
        <v>0</v>
      </c>
      <c r="J193" s="2296" t="s">
        <v>1223</v>
      </c>
    </row>
    <row r="194" spans="1:11" ht="12.75">
      <c r="A194" s="2303">
        <v>287837</v>
      </c>
      <c r="B194" s="2304" t="s">
        <v>564</v>
      </c>
      <c r="C194" s="2308" t="s">
        <v>1517</v>
      </c>
      <c r="D194" s="2301"/>
      <c r="E194" s="2306">
        <v>81030</v>
      </c>
      <c r="F194" s="2350">
        <v>81030</v>
      </c>
      <c r="G194" s="2306">
        <v>0</v>
      </c>
      <c r="H194" s="2306">
        <v>0</v>
      </c>
      <c r="I194" s="2306">
        <v>0</v>
      </c>
      <c r="J194" s="2296" t="s">
        <v>1224</v>
      </c>
    </row>
    <row r="195" spans="1:11" ht="24.75" customHeight="1">
      <c r="A195" s="2360" t="s">
        <v>439</v>
      </c>
      <c r="B195" s="2315"/>
      <c r="C195" s="2352"/>
      <c r="D195" s="2353"/>
      <c r="E195" s="2306">
        <v>6</v>
      </c>
      <c r="F195" s="2306">
        <f>E195</f>
        <v>6</v>
      </c>
      <c r="G195" s="2175"/>
      <c r="H195" s="2175"/>
      <c r="I195" s="2175"/>
      <c r="J195" s="2354"/>
      <c r="K195" s="437"/>
    </row>
    <row r="196" spans="1:11" ht="12.75">
      <c r="A196" s="2325" t="s">
        <v>71</v>
      </c>
      <c r="B196" s="2326"/>
      <c r="C196" s="2315"/>
      <c r="D196" s="2316"/>
      <c r="E196" s="2318">
        <f>SUM(E32:E195)</f>
        <v>606211204</v>
      </c>
      <c r="F196" s="2318">
        <f>SUM(F32:F195)</f>
        <v>571142062</v>
      </c>
      <c r="G196" s="2318">
        <f>SUM(G32:G195)</f>
        <v>88912</v>
      </c>
      <c r="H196" s="2318">
        <f>SUM(H32:H195)</f>
        <v>0</v>
      </c>
      <c r="I196" s="2318">
        <f>SUM(I32:I195)</f>
        <v>34980230</v>
      </c>
      <c r="J196" s="2318"/>
      <c r="K196" s="437"/>
    </row>
    <row r="197" spans="1:11" ht="12.75">
      <c r="A197" s="2361" t="s">
        <v>198</v>
      </c>
      <c r="B197" s="2362"/>
      <c r="C197" s="2341"/>
      <c r="D197" s="2342"/>
      <c r="E197" s="2175">
        <f>E94+E104+E171</f>
        <v>11171150</v>
      </c>
      <c r="F197" s="2175">
        <f>F94+F104+F171</f>
        <v>11171150</v>
      </c>
      <c r="G197" s="2175">
        <f>G94+G104+G171</f>
        <v>0</v>
      </c>
      <c r="H197" s="2175">
        <f>H94+H104+H171</f>
        <v>0</v>
      </c>
      <c r="I197" s="2175">
        <f>I94+I104+I171</f>
        <v>0</v>
      </c>
      <c r="J197" s="2320"/>
      <c r="K197" s="437"/>
    </row>
    <row r="198" spans="1:11" ht="12.75">
      <c r="A198" s="2363" t="s">
        <v>199</v>
      </c>
      <c r="B198" s="2364"/>
      <c r="C198" s="2355"/>
      <c r="D198" s="2356"/>
      <c r="E198" s="2175">
        <f>+E46</f>
        <v>4474803</v>
      </c>
      <c r="F198" s="2175">
        <f>+F46</f>
        <v>0</v>
      </c>
      <c r="G198" s="2175">
        <f>+G46</f>
        <v>0</v>
      </c>
      <c r="H198" s="2175">
        <f>+H46</f>
        <v>0</v>
      </c>
      <c r="I198" s="2175">
        <f>+I46</f>
        <v>4474803</v>
      </c>
      <c r="J198" s="2320"/>
      <c r="K198" s="437"/>
    </row>
    <row r="199" spans="1:11" ht="12.75">
      <c r="A199" s="2325" t="s">
        <v>282</v>
      </c>
      <c r="B199" s="2326"/>
      <c r="C199" s="2315"/>
      <c r="D199" s="2316"/>
      <c r="E199" s="2318">
        <f>+E196-E197-E198</f>
        <v>590565251</v>
      </c>
      <c r="F199" s="2318">
        <f>+F196-F197-F198</f>
        <v>559970912</v>
      </c>
      <c r="G199" s="2318">
        <f>+G196-G197-G198</f>
        <v>88912</v>
      </c>
      <c r="H199" s="2318">
        <f>+H196-H197-H198</f>
        <v>0</v>
      </c>
      <c r="I199" s="2318">
        <f>+I196-I197-I198</f>
        <v>30505427</v>
      </c>
      <c r="J199" s="2320"/>
      <c r="K199" s="437"/>
    </row>
    <row r="200" spans="1:11" ht="15">
      <c r="A200" s="1345"/>
      <c r="B200" s="1345"/>
      <c r="C200" s="1346"/>
      <c r="D200" s="1346"/>
      <c r="E200" s="1314"/>
      <c r="F200" s="1315"/>
      <c r="G200" s="1314"/>
      <c r="H200" s="1347"/>
      <c r="I200" s="1348"/>
      <c r="J200" s="1349"/>
      <c r="K200" s="437"/>
    </row>
    <row r="201" spans="1:11">
      <c r="A201" s="1345"/>
      <c r="B201" s="1345"/>
      <c r="C201" s="1795" t="s">
        <v>64</v>
      </c>
      <c r="D201" s="1796"/>
      <c r="E201" s="1796"/>
      <c r="F201" s="1797"/>
      <c r="G201" s="1798"/>
      <c r="H201" s="1799"/>
      <c r="I201" s="1349"/>
      <c r="J201" s="437"/>
      <c r="K201" s="437"/>
    </row>
    <row r="202" spans="1:11">
      <c r="A202" s="1345"/>
      <c r="B202" s="1345"/>
      <c r="C202" s="1316" t="s">
        <v>132</v>
      </c>
      <c r="D202" s="2437"/>
      <c r="E202" s="2437"/>
      <c r="F202" s="2437"/>
      <c r="G202" s="2437"/>
      <c r="H202" s="2438"/>
      <c r="I202" s="1350"/>
      <c r="J202" s="437"/>
      <c r="K202" s="437"/>
    </row>
    <row r="203" spans="1:11">
      <c r="A203" s="1345"/>
      <c r="B203" s="1345"/>
      <c r="C203" s="1316" t="s">
        <v>133</v>
      </c>
      <c r="D203" s="1314"/>
      <c r="E203" s="1314"/>
      <c r="F203" s="1314"/>
      <c r="G203" s="1348"/>
      <c r="H203" s="1351"/>
      <c r="I203" s="1349"/>
      <c r="J203" s="437"/>
      <c r="K203" s="437"/>
    </row>
    <row r="204" spans="1:11">
      <c r="A204" s="1345"/>
      <c r="B204" s="1345"/>
      <c r="C204" s="1316" t="s">
        <v>262</v>
      </c>
      <c r="D204" s="1314"/>
      <c r="E204" s="1314"/>
      <c r="F204" s="1314"/>
      <c r="G204" s="1348"/>
      <c r="H204" s="1351"/>
      <c r="I204" s="1350"/>
      <c r="J204" s="437"/>
      <c r="K204" s="437"/>
    </row>
    <row r="205" spans="1:11">
      <c r="A205" s="1345"/>
      <c r="B205" s="1345"/>
      <c r="C205" s="1316" t="s">
        <v>264</v>
      </c>
      <c r="D205" s="1314"/>
      <c r="E205" s="1314"/>
      <c r="F205" s="1314"/>
      <c r="G205" s="1348"/>
      <c r="H205" s="1351"/>
      <c r="I205" s="1349"/>
      <c r="J205" s="437"/>
      <c r="K205" s="437"/>
    </row>
    <row r="206" spans="1:11" ht="26.25" customHeight="1">
      <c r="A206" s="1345"/>
      <c r="B206" s="1345"/>
      <c r="C206" s="2667" t="s">
        <v>18</v>
      </c>
      <c r="D206" s="2668"/>
      <c r="E206" s="2668"/>
      <c r="F206" s="2668"/>
      <c r="G206" s="2668"/>
      <c r="H206" s="2669"/>
      <c r="I206" s="1349"/>
      <c r="J206" s="437"/>
      <c r="K206" s="437"/>
    </row>
    <row r="207" spans="1:11" ht="15">
      <c r="A207" s="1345"/>
      <c r="B207" s="1345"/>
      <c r="C207" s="1352"/>
      <c r="D207" s="1353"/>
      <c r="E207" s="1353"/>
      <c r="F207" s="1353"/>
      <c r="G207" s="1353"/>
      <c r="H207" s="1353"/>
      <c r="I207" s="1349"/>
      <c r="J207" s="437"/>
      <c r="K207" s="437"/>
    </row>
    <row r="208" spans="1:11" s="1343" customFormat="1" ht="12.75">
      <c r="A208" s="1354" t="s">
        <v>365</v>
      </c>
      <c r="B208" s="1354"/>
      <c r="C208" s="1355"/>
      <c r="D208" s="1355"/>
      <c r="E208" s="1355"/>
      <c r="F208" s="1355"/>
      <c r="G208" s="1355"/>
      <c r="H208" s="1355"/>
      <c r="I208" s="1355"/>
    </row>
    <row r="209" spans="1:10" s="1343" customFormat="1" ht="12.75">
      <c r="A209" s="1356"/>
      <c r="B209" s="1356"/>
      <c r="C209" s="1357"/>
      <c r="D209" s="1358"/>
      <c r="E209" s="1358"/>
      <c r="F209" s="1358"/>
      <c r="G209" s="1358"/>
      <c r="H209" s="1358"/>
      <c r="I209" s="1358"/>
    </row>
    <row r="210" spans="1:10" s="1343" customFormat="1" ht="12.75">
      <c r="A210" s="1359" t="s">
        <v>662</v>
      </c>
      <c r="B210" s="1359"/>
      <c r="C210" s="1360"/>
      <c r="D210" s="1360"/>
      <c r="E210" s="1360"/>
      <c r="F210" s="1360"/>
      <c r="G210" s="1360"/>
      <c r="H210" s="1360"/>
      <c r="I210" s="1360"/>
    </row>
    <row r="211" spans="1:10" s="1343" customFormat="1" ht="15">
      <c r="A211" s="1306" t="s">
        <v>663</v>
      </c>
      <c r="B211" s="1361"/>
      <c r="C211" s="1358"/>
      <c r="D211" s="1358"/>
      <c r="E211" s="1358"/>
      <c r="F211" s="1358"/>
      <c r="G211" s="1358"/>
      <c r="H211" s="1358"/>
      <c r="I211" s="1358"/>
    </row>
    <row r="212" spans="1:10" s="1343" customFormat="1" ht="12.75">
      <c r="A212" s="1362"/>
      <c r="B212" s="1362"/>
      <c r="C212" s="1339" t="s">
        <v>227</v>
      </c>
      <c r="D212" s="1340"/>
      <c r="E212" s="1339" t="s">
        <v>283</v>
      </c>
      <c r="F212" s="1339" t="s">
        <v>215</v>
      </c>
      <c r="G212" s="1339" t="s">
        <v>228</v>
      </c>
      <c r="H212" s="1339" t="s">
        <v>226</v>
      </c>
      <c r="I212" s="1339" t="s">
        <v>107</v>
      </c>
      <c r="J212" s="1339" t="s">
        <v>229</v>
      </c>
    </row>
    <row r="213" spans="1:10" s="1343" customFormat="1" ht="12.75">
      <c r="A213" s="1362"/>
      <c r="B213" s="1362"/>
      <c r="C213" s="1363"/>
      <c r="E213" s="1363"/>
      <c r="F213" s="1364" t="s">
        <v>257</v>
      </c>
      <c r="G213" s="1363"/>
      <c r="H213" s="1364"/>
      <c r="I213" s="1364"/>
      <c r="J213" s="1363"/>
    </row>
    <row r="214" spans="1:10" s="1343" customFormat="1" ht="15">
      <c r="A214" s="1306"/>
      <c r="B214" s="1362"/>
      <c r="C214" s="1365"/>
      <c r="E214" s="1364" t="s">
        <v>282</v>
      </c>
      <c r="F214" s="1364" t="s">
        <v>258</v>
      </c>
      <c r="G214" s="1364" t="s">
        <v>57</v>
      </c>
      <c r="H214" s="1364" t="s">
        <v>61</v>
      </c>
      <c r="I214" s="1364" t="s">
        <v>63</v>
      </c>
      <c r="J214" s="1363"/>
    </row>
    <row r="215" spans="1:10" s="1343" customFormat="1" ht="12.75">
      <c r="A215" s="1362"/>
      <c r="B215" s="1362"/>
      <c r="C215" s="1314"/>
      <c r="E215" s="1364"/>
      <c r="F215" s="1364" t="s">
        <v>62</v>
      </c>
      <c r="G215" s="1364" t="s">
        <v>62</v>
      </c>
      <c r="H215" s="1364" t="s">
        <v>62</v>
      </c>
      <c r="I215" s="1364" t="s">
        <v>62</v>
      </c>
      <c r="J215" s="1364" t="s">
        <v>208</v>
      </c>
    </row>
    <row r="216" spans="1:10" s="1343" customFormat="1" ht="12.75">
      <c r="A216" s="1800" t="s">
        <v>573</v>
      </c>
      <c r="B216" s="1801"/>
      <c r="C216" s="1802"/>
      <c r="D216" s="1802"/>
      <c r="E216" s="1803"/>
      <c r="F216" s="1804"/>
      <c r="G216" s="1804"/>
      <c r="H216" s="1804"/>
      <c r="I216" s="1804"/>
      <c r="J216" s="1805"/>
    </row>
    <row r="217" spans="1:10" s="1343" customFormat="1" ht="12.75">
      <c r="A217" s="2084" t="s">
        <v>438</v>
      </c>
      <c r="B217" s="1806"/>
      <c r="C217" s="1807"/>
      <c r="D217" s="1807"/>
      <c r="E217" s="1808"/>
      <c r="F217" s="1785"/>
      <c r="G217" s="1785"/>
      <c r="H217" s="1785"/>
      <c r="I217" s="1785"/>
      <c r="J217" s="1809"/>
    </row>
    <row r="218" spans="1:10" s="1343" customFormat="1" ht="12.75">
      <c r="A218" s="1786">
        <v>287960</v>
      </c>
      <c r="B218" s="1787" t="s">
        <v>564</v>
      </c>
      <c r="C218" s="1784" t="s">
        <v>574</v>
      </c>
      <c r="D218" s="1788"/>
      <c r="E218" s="1810">
        <v>-285986998</v>
      </c>
      <c r="F218" s="1790">
        <v>-285986998</v>
      </c>
      <c r="G218" s="1790">
        <v>0</v>
      </c>
      <c r="H218" s="1790">
        <v>0</v>
      </c>
      <c r="I218" s="1790">
        <v>0</v>
      </c>
      <c r="J218" s="1811" t="s">
        <v>1518</v>
      </c>
    </row>
    <row r="219" spans="1:10" s="1343" customFormat="1" ht="12.75">
      <c r="A219" s="2173"/>
      <c r="B219" s="1787"/>
      <c r="C219" s="1784"/>
      <c r="D219" s="1788"/>
      <c r="E219" s="1810"/>
      <c r="F219" s="1810"/>
      <c r="G219" s="1810"/>
      <c r="H219" s="1810"/>
      <c r="I219" s="1810"/>
      <c r="J219" s="1811"/>
    </row>
    <row r="220" spans="1:10" s="1343" customFormat="1" ht="12.75">
      <c r="A220" s="1812" t="s">
        <v>439</v>
      </c>
      <c r="B220" s="1813"/>
      <c r="C220" s="1813"/>
      <c r="D220" s="1814"/>
      <c r="E220" s="1810"/>
      <c r="F220" s="1810"/>
      <c r="G220" s="1810"/>
      <c r="H220" s="1810"/>
      <c r="I220" s="1810"/>
      <c r="J220" s="1792"/>
    </row>
    <row r="221" spans="1:10" s="1343" customFormat="1" ht="12.75">
      <c r="A221" s="1793" t="s">
        <v>1819</v>
      </c>
      <c r="B221" s="1794"/>
      <c r="C221" s="1791"/>
      <c r="D221" s="1815"/>
      <c r="E221" s="1816">
        <f>SUM(E218:E220)</f>
        <v>-285986998</v>
      </c>
      <c r="F221" s="1816">
        <f>SUM(F218:F220)</f>
        <v>-285986998</v>
      </c>
      <c r="G221" s="1816">
        <f>SUM(G218:G220)</f>
        <v>0</v>
      </c>
      <c r="H221" s="1816">
        <f>SUM(H218:H220)</f>
        <v>0</v>
      </c>
      <c r="I221" s="1816">
        <f>SUM(I218:I220)</f>
        <v>0</v>
      </c>
      <c r="J221" s="1804"/>
    </row>
    <row r="222" spans="1:10" s="1343" customFormat="1" ht="12.75">
      <c r="A222" s="1793" t="s">
        <v>198</v>
      </c>
      <c r="B222" s="1794"/>
      <c r="C222" s="1791"/>
      <c r="D222" s="1815"/>
      <c r="E222" s="1810"/>
      <c r="F222" s="1810"/>
      <c r="G222" s="1810"/>
      <c r="H222" s="1810"/>
      <c r="I222" s="1810"/>
      <c r="J222" s="1792"/>
    </row>
    <row r="223" spans="1:10" s="1343" customFormat="1" ht="12.75">
      <c r="A223" s="1793" t="s">
        <v>199</v>
      </c>
      <c r="B223" s="1794"/>
      <c r="C223" s="1791"/>
      <c r="D223" s="1815"/>
      <c r="E223" s="1810"/>
      <c r="F223" s="1810"/>
      <c r="G223" s="1810"/>
      <c r="H223" s="1810"/>
      <c r="I223" s="1810"/>
      <c r="J223" s="1792"/>
    </row>
    <row r="224" spans="1:10" s="1343" customFormat="1" ht="12.75">
      <c r="A224" s="1793" t="s">
        <v>282</v>
      </c>
      <c r="B224" s="1794"/>
      <c r="C224" s="1791"/>
      <c r="D224" s="1815"/>
      <c r="E224" s="1816">
        <f>+E221-E222-E223</f>
        <v>-285986998</v>
      </c>
      <c r="F224" s="1816">
        <f>+F221-F222-F223</f>
        <v>-285986998</v>
      </c>
      <c r="G224" s="1816">
        <f>+G221-G222-G223</f>
        <v>0</v>
      </c>
      <c r="H224" s="1816">
        <f>+H221-H222-H223</f>
        <v>0</v>
      </c>
      <c r="I224" s="1817">
        <f>+I221-I222-I223</f>
        <v>0</v>
      </c>
      <c r="J224" s="1792"/>
    </row>
    <row r="225" spans="1:11" ht="15">
      <c r="A225" s="1366"/>
      <c r="B225" s="1366"/>
      <c r="C225" s="1349"/>
      <c r="D225" s="1314"/>
      <c r="E225" s="1314"/>
      <c r="F225" s="1314"/>
      <c r="G225" s="1314"/>
      <c r="H225" s="1314"/>
      <c r="I225" s="1349"/>
      <c r="J225" s="437"/>
      <c r="K225" s="437"/>
    </row>
    <row r="226" spans="1:11" s="1343" customFormat="1" ht="12.75">
      <c r="A226" s="1310"/>
      <c r="B226" s="1310"/>
      <c r="C226" s="1818" t="s">
        <v>575</v>
      </c>
      <c r="D226" s="1819"/>
      <c r="E226" s="1820"/>
      <c r="F226" s="1820"/>
      <c r="G226" s="1821"/>
      <c r="H226" s="1822"/>
      <c r="I226" s="1358"/>
    </row>
    <row r="227" spans="1:11" s="1343" customFormat="1" ht="12.75">
      <c r="A227" s="1310"/>
      <c r="B227" s="1310"/>
      <c r="C227" s="2670" t="s">
        <v>132</v>
      </c>
      <c r="D227" s="2671"/>
      <c r="E227" s="2671"/>
      <c r="F227" s="2671"/>
      <c r="G227" s="2671"/>
      <c r="H227" s="2672"/>
      <c r="I227" s="1358"/>
    </row>
    <row r="228" spans="1:11" s="1343" customFormat="1" ht="12.75">
      <c r="A228" s="1310"/>
      <c r="B228" s="1310"/>
      <c r="C228" s="1316" t="s">
        <v>133</v>
      </c>
      <c r="D228" s="1311"/>
      <c r="E228" s="1321"/>
      <c r="F228" s="1321"/>
      <c r="G228" s="1313"/>
      <c r="H228" s="1317"/>
      <c r="I228" s="1358"/>
    </row>
    <row r="229" spans="1:11" s="1343" customFormat="1" ht="12.75">
      <c r="A229" s="1310"/>
      <c r="B229" s="1310"/>
      <c r="C229" s="1316" t="s">
        <v>262</v>
      </c>
      <c r="D229" s="1311"/>
      <c r="E229" s="1321"/>
      <c r="F229" s="1321"/>
      <c r="G229" s="1313"/>
      <c r="H229" s="1317"/>
      <c r="I229" s="1358"/>
    </row>
    <row r="230" spans="1:11" s="1343" customFormat="1" ht="12.75">
      <c r="A230" s="1310"/>
      <c r="B230" s="1310"/>
      <c r="C230" s="1316" t="s">
        <v>264</v>
      </c>
      <c r="D230" s="1311"/>
      <c r="E230" s="1321"/>
      <c r="F230" s="1321"/>
      <c r="G230" s="1313"/>
      <c r="H230" s="1317"/>
      <c r="I230" s="1358"/>
    </row>
    <row r="231" spans="1:11" s="1343" customFormat="1" ht="24.75" customHeight="1">
      <c r="A231" s="1310"/>
      <c r="B231" s="1310"/>
      <c r="C231" s="2667" t="s">
        <v>18</v>
      </c>
      <c r="D231" s="2668"/>
      <c r="E231" s="2668"/>
      <c r="F231" s="2668"/>
      <c r="G231" s="2668"/>
      <c r="H231" s="2669"/>
      <c r="I231" s="1823"/>
    </row>
    <row r="232" spans="1:11" s="1343" customFormat="1" ht="12.75">
      <c r="A232" s="1354" t="s">
        <v>365</v>
      </c>
      <c r="B232" s="1362"/>
      <c r="C232" s="1367"/>
      <c r="D232" s="1367"/>
      <c r="E232" s="1367"/>
      <c r="F232" s="1367"/>
      <c r="G232" s="1367"/>
      <c r="H232" s="1367"/>
      <c r="I232" s="1823"/>
    </row>
    <row r="233" spans="1:11" s="1343" customFormat="1" ht="12.75">
      <c r="A233" s="1356"/>
      <c r="B233" s="1362"/>
      <c r="C233" s="1367"/>
      <c r="D233" s="1367"/>
      <c r="E233" s="1367"/>
      <c r="F233" s="1367"/>
      <c r="G233" s="1367"/>
      <c r="H233" s="1367"/>
      <c r="I233" s="1823"/>
    </row>
    <row r="234" spans="1:11" s="1343" customFormat="1" ht="12.75">
      <c r="A234" s="1359" t="s">
        <v>662</v>
      </c>
      <c r="B234" s="1362"/>
      <c r="C234" s="1367"/>
      <c r="D234" s="1367"/>
      <c r="E234" s="1367"/>
      <c r="F234" s="1367"/>
      <c r="G234" s="1367"/>
      <c r="H234" s="1367"/>
      <c r="I234" s="1823"/>
    </row>
    <row r="235" spans="1:11" s="1343" customFormat="1" ht="12.75">
      <c r="A235" s="1362"/>
      <c r="B235" s="1362"/>
      <c r="C235" s="1367"/>
      <c r="D235" s="1367"/>
      <c r="E235" s="1367"/>
      <c r="F235" s="1367"/>
      <c r="G235" s="1367"/>
      <c r="H235" s="1367"/>
      <c r="I235" s="1823"/>
    </row>
    <row r="236" spans="1:11" ht="15.75">
      <c r="A236" s="1306" t="s">
        <v>542</v>
      </c>
      <c r="B236" s="1368"/>
      <c r="C236" s="1352"/>
      <c r="D236" s="1353"/>
      <c r="E236" s="1353"/>
      <c r="F236" s="1353"/>
      <c r="G236" s="1353"/>
      <c r="H236" s="1353"/>
      <c r="I236" s="1352"/>
      <c r="J236" s="437"/>
      <c r="K236" s="437"/>
    </row>
    <row r="237" spans="1:11" ht="15">
      <c r="A237" s="1306"/>
      <c r="B237" s="1306"/>
      <c r="C237" s="1349"/>
      <c r="D237" s="1314"/>
      <c r="E237" s="1314"/>
      <c r="F237" s="1314"/>
      <c r="G237" s="1314"/>
      <c r="H237" s="1314"/>
      <c r="I237" s="1349"/>
      <c r="J237" s="437"/>
      <c r="K237" s="437"/>
    </row>
    <row r="238" spans="1:11" ht="15">
      <c r="A238" s="1297"/>
      <c r="B238" s="1297"/>
      <c r="C238" s="1339" t="s">
        <v>227</v>
      </c>
      <c r="D238" s="1340"/>
      <c r="E238" s="1339" t="s">
        <v>283</v>
      </c>
      <c r="F238" s="1339" t="s">
        <v>215</v>
      </c>
      <c r="G238" s="1339" t="s">
        <v>228</v>
      </c>
      <c r="H238" s="1339" t="s">
        <v>226</v>
      </c>
      <c r="I238" s="1339" t="s">
        <v>107</v>
      </c>
      <c r="J238" s="1339" t="s">
        <v>229</v>
      </c>
      <c r="K238" s="437"/>
    </row>
    <row r="239" spans="1:11" ht="15">
      <c r="A239" s="1297"/>
      <c r="B239" s="1297"/>
      <c r="C239" s="1297"/>
      <c r="D239" s="437"/>
      <c r="E239" s="829"/>
      <c r="F239" s="829" t="s">
        <v>257</v>
      </c>
      <c r="G239" s="829"/>
      <c r="H239" s="829"/>
      <c r="I239" s="829"/>
      <c r="J239" s="1297"/>
      <c r="K239" s="437"/>
    </row>
    <row r="240" spans="1:11" ht="15">
      <c r="A240" s="1306"/>
      <c r="B240" s="1306"/>
      <c r="C240" s="1297"/>
      <c r="D240" s="437"/>
      <c r="E240" s="829" t="s">
        <v>282</v>
      </c>
      <c r="F240" s="829" t="s">
        <v>258</v>
      </c>
      <c r="G240" s="829" t="s">
        <v>57</v>
      </c>
      <c r="H240" s="829" t="s">
        <v>61</v>
      </c>
      <c r="I240" s="829" t="s">
        <v>63</v>
      </c>
      <c r="J240" s="1297"/>
      <c r="K240" s="437"/>
    </row>
    <row r="241" spans="1:11" ht="15">
      <c r="A241" s="1297"/>
      <c r="B241" s="1297"/>
      <c r="C241" s="1297"/>
      <c r="D241" s="437"/>
      <c r="E241" s="829"/>
      <c r="F241" s="829" t="s">
        <v>62</v>
      </c>
      <c r="G241" s="829" t="s">
        <v>62</v>
      </c>
      <c r="H241" s="829" t="s">
        <v>62</v>
      </c>
      <c r="I241" s="829" t="s">
        <v>62</v>
      </c>
      <c r="J241" s="1297" t="s">
        <v>208</v>
      </c>
      <c r="K241" s="437"/>
    </row>
    <row r="242" spans="1:11" ht="15">
      <c r="A242" s="1824" t="s">
        <v>255</v>
      </c>
      <c r="B242" s="1825"/>
      <c r="C242" s="1826"/>
      <c r="D242" s="1827"/>
      <c r="E242" s="1828"/>
      <c r="F242" s="1782"/>
      <c r="G242" s="1782"/>
      <c r="H242" s="1782"/>
      <c r="I242" s="1782"/>
      <c r="J242" s="1829"/>
      <c r="K242" s="437"/>
    </row>
    <row r="243" spans="1:11" ht="38.25">
      <c r="A243" s="2303">
        <v>287605</v>
      </c>
      <c r="B243" s="2304">
        <v>105.14700000000001</v>
      </c>
      <c r="C243" s="2305" t="s">
        <v>583</v>
      </c>
      <c r="D243" s="2298"/>
      <c r="E243" s="2306">
        <v>-172878</v>
      </c>
      <c r="F243" s="2306">
        <f>E243</f>
        <v>-172878</v>
      </c>
      <c r="G243" s="2306">
        <v>0</v>
      </c>
      <c r="H243" s="2306">
        <v>0</v>
      </c>
      <c r="I243" s="2306">
        <v>0</v>
      </c>
      <c r="J243" s="2296" t="s">
        <v>1241</v>
      </c>
    </row>
    <row r="244" spans="1:11" ht="25.5">
      <c r="A244" s="2303">
        <v>287599</v>
      </c>
      <c r="B244" s="2304">
        <v>105.16</v>
      </c>
      <c r="C244" s="2305" t="s">
        <v>1900</v>
      </c>
      <c r="D244" s="2298"/>
      <c r="E244" s="2306">
        <v>-6993724</v>
      </c>
      <c r="F244" s="2306">
        <f>E244</f>
        <v>-6993724</v>
      </c>
      <c r="G244" s="2306">
        <v>0</v>
      </c>
      <c r="H244" s="2306">
        <v>0</v>
      </c>
      <c r="I244" s="2306">
        <v>0</v>
      </c>
      <c r="J244" s="2297" t="s">
        <v>1899</v>
      </c>
    </row>
    <row r="245" spans="1:11" ht="25.5">
      <c r="A245" s="2303">
        <v>287766</v>
      </c>
      <c r="B245" s="2304">
        <v>610.101</v>
      </c>
      <c r="C245" s="2305" t="s">
        <v>588</v>
      </c>
      <c r="D245" s="2298"/>
      <c r="E245" s="2306">
        <v>163620</v>
      </c>
      <c r="F245" s="2306">
        <f>E245</f>
        <v>163620</v>
      </c>
      <c r="G245" s="2306">
        <v>0</v>
      </c>
      <c r="H245" s="2306">
        <v>0</v>
      </c>
      <c r="I245" s="2306">
        <v>0</v>
      </c>
      <c r="J245" s="2300" t="s">
        <v>1254</v>
      </c>
    </row>
    <row r="246" spans="1:11" ht="12.75">
      <c r="A246" s="2303">
        <v>287610</v>
      </c>
      <c r="B246" s="2304">
        <v>105.40300000000001</v>
      </c>
      <c r="C246" s="2305" t="s">
        <v>1519</v>
      </c>
      <c r="D246" s="2298"/>
      <c r="E246" s="2306">
        <v>-57491583</v>
      </c>
      <c r="F246" s="2306">
        <f>E246</f>
        <v>-57491583</v>
      </c>
      <c r="G246" s="2306">
        <v>0</v>
      </c>
      <c r="H246" s="2306">
        <v>0</v>
      </c>
      <c r="I246" s="2306">
        <v>0</v>
      </c>
      <c r="J246" s="2296" t="s">
        <v>1225</v>
      </c>
    </row>
    <row r="247" spans="1:11" ht="25.5">
      <c r="A247" s="2303">
        <v>287605</v>
      </c>
      <c r="B247" s="2304">
        <v>105.142</v>
      </c>
      <c r="C247" s="2305" t="s">
        <v>581</v>
      </c>
      <c r="D247" s="2298"/>
      <c r="E247" s="2306">
        <v>225516549</v>
      </c>
      <c r="F247" s="2306">
        <f>E247</f>
        <v>225516549</v>
      </c>
      <c r="G247" s="2306">
        <v>0</v>
      </c>
      <c r="H247" s="2306">
        <v>0</v>
      </c>
      <c r="I247" s="2306">
        <v>0</v>
      </c>
      <c r="J247" s="2296" t="s">
        <v>1239</v>
      </c>
    </row>
    <row r="248" spans="1:11" ht="38.25">
      <c r="A248" s="2303">
        <v>287704</v>
      </c>
      <c r="B248" s="2304">
        <v>105.143</v>
      </c>
      <c r="C248" s="2305" t="s">
        <v>587</v>
      </c>
      <c r="D248" s="2298"/>
      <c r="E248" s="2306">
        <v>-1425624</v>
      </c>
      <c r="F248" s="2306">
        <v>0</v>
      </c>
      <c r="G248" s="2306">
        <v>0</v>
      </c>
      <c r="H248" s="2306">
        <f>E248</f>
        <v>-1425624</v>
      </c>
      <c r="I248" s="2306">
        <v>0</v>
      </c>
      <c r="J248" s="2296" t="s">
        <v>1252</v>
      </c>
    </row>
    <row r="249" spans="1:11" ht="25.5">
      <c r="A249" s="2303">
        <v>287753</v>
      </c>
      <c r="B249" s="2304">
        <v>110.1</v>
      </c>
      <c r="C249" s="2305" t="s">
        <v>1520</v>
      </c>
      <c r="D249" s="2298"/>
      <c r="E249" s="2306">
        <v>0</v>
      </c>
      <c r="F249" s="2306">
        <f t="shared" ref="F249:F255" si="1">E249</f>
        <v>0</v>
      </c>
      <c r="G249" s="2306">
        <v>0</v>
      </c>
      <c r="H249" s="2306">
        <v>0</v>
      </c>
      <c r="I249" s="2306">
        <v>0</v>
      </c>
      <c r="J249" s="2296" t="s">
        <v>1253</v>
      </c>
    </row>
    <row r="250" spans="1:11" ht="12.75">
      <c r="A250" s="2303">
        <v>287605</v>
      </c>
      <c r="B250" s="2304">
        <v>105.12</v>
      </c>
      <c r="C250" s="2305" t="s">
        <v>576</v>
      </c>
      <c r="D250" s="2298"/>
      <c r="E250" s="2306">
        <v>2677461845</v>
      </c>
      <c r="F250" s="2306">
        <f t="shared" si="1"/>
        <v>2677461845</v>
      </c>
      <c r="G250" s="2306">
        <v>0</v>
      </c>
      <c r="H250" s="2306">
        <v>0</v>
      </c>
      <c r="I250" s="2306">
        <v>0</v>
      </c>
      <c r="J250" s="2296" t="s">
        <v>1229</v>
      </c>
    </row>
    <row r="251" spans="1:11" ht="12.75">
      <c r="A251" s="2303">
        <v>287605</v>
      </c>
      <c r="B251" s="2304">
        <v>105.47</v>
      </c>
      <c r="C251" s="2305" t="s">
        <v>1521</v>
      </c>
      <c r="D251" s="2298"/>
      <c r="E251" s="2306">
        <v>29490870</v>
      </c>
      <c r="F251" s="2306">
        <f t="shared" si="1"/>
        <v>29490870</v>
      </c>
      <c r="G251" s="2306">
        <v>0</v>
      </c>
      <c r="H251" s="2306">
        <v>0</v>
      </c>
      <c r="I251" s="2306">
        <v>0</v>
      </c>
      <c r="J251" s="2296" t="s">
        <v>1247</v>
      </c>
    </row>
    <row r="252" spans="1:11" ht="38.25">
      <c r="A252" s="2303">
        <v>287605</v>
      </c>
      <c r="B252" s="2304">
        <v>105.146</v>
      </c>
      <c r="C252" s="2305" t="s">
        <v>582</v>
      </c>
      <c r="D252" s="2298"/>
      <c r="E252" s="2306">
        <v>5238233</v>
      </c>
      <c r="F252" s="2306">
        <f t="shared" si="1"/>
        <v>5238233</v>
      </c>
      <c r="G252" s="2306">
        <v>0</v>
      </c>
      <c r="H252" s="2306">
        <v>0</v>
      </c>
      <c r="I252" s="2306">
        <v>0</v>
      </c>
      <c r="J252" s="2296" t="s">
        <v>1240</v>
      </c>
    </row>
    <row r="253" spans="1:11" ht="12.75">
      <c r="A253" s="2303">
        <v>287605</v>
      </c>
      <c r="B253" s="2304">
        <v>105.137</v>
      </c>
      <c r="C253" s="2305" t="s">
        <v>579</v>
      </c>
      <c r="D253" s="2298"/>
      <c r="E253" s="2306">
        <v>-22208480</v>
      </c>
      <c r="F253" s="2306">
        <f t="shared" si="1"/>
        <v>-22208480</v>
      </c>
      <c r="G253" s="2306">
        <v>0</v>
      </c>
      <c r="H253" s="2306">
        <v>0</v>
      </c>
      <c r="I253" s="2306">
        <v>0</v>
      </c>
      <c r="J253" s="2296" t="s">
        <v>1236</v>
      </c>
    </row>
    <row r="254" spans="1:11" ht="25.5">
      <c r="A254" s="2303">
        <v>287605</v>
      </c>
      <c r="B254" s="2304">
        <v>105.1</v>
      </c>
      <c r="C254" s="2305" t="s">
        <v>1522</v>
      </c>
      <c r="D254" s="2298"/>
      <c r="E254" s="2306">
        <v>24532326</v>
      </c>
      <c r="F254" s="2306">
        <f t="shared" si="1"/>
        <v>24532326</v>
      </c>
      <c r="G254" s="2306">
        <v>0</v>
      </c>
      <c r="H254" s="2306">
        <v>0</v>
      </c>
      <c r="I254" s="2306">
        <v>0</v>
      </c>
      <c r="J254" s="2296" t="s">
        <v>1226</v>
      </c>
    </row>
    <row r="255" spans="1:11" ht="25.5">
      <c r="A255" s="2303">
        <v>287605</v>
      </c>
      <c r="B255" s="2304">
        <v>105.101</v>
      </c>
      <c r="C255" s="2305" t="s">
        <v>1523</v>
      </c>
      <c r="D255" s="2298"/>
      <c r="E255" s="2306">
        <v>2415886</v>
      </c>
      <c r="F255" s="2306">
        <f t="shared" si="1"/>
        <v>2415886</v>
      </c>
      <c r="G255" s="2306">
        <v>0</v>
      </c>
      <c r="H255" s="2306">
        <v>0</v>
      </c>
      <c r="I255" s="2306">
        <v>0</v>
      </c>
      <c r="J255" s="2296" t="s">
        <v>1227</v>
      </c>
    </row>
    <row r="256" spans="1:11" ht="12.75">
      <c r="A256" s="2303">
        <v>287605</v>
      </c>
      <c r="B256" s="2307"/>
      <c r="C256" s="2308" t="s">
        <v>673</v>
      </c>
      <c r="D256" s="2301"/>
      <c r="E256" s="2309">
        <f>SUM(F256:I256)</f>
        <v>0</v>
      </c>
      <c r="F256" s="2306">
        <v>1032155736</v>
      </c>
      <c r="G256" s="2306">
        <f>-F256</f>
        <v>-1032155736</v>
      </c>
      <c r="H256" s="2306">
        <v>0</v>
      </c>
      <c r="I256" s="2306">
        <v>0</v>
      </c>
      <c r="J256" s="2296" t="s">
        <v>1250</v>
      </c>
    </row>
    <row r="257" spans="1:10" ht="12.75">
      <c r="A257" s="2303">
        <v>287605</v>
      </c>
      <c r="B257" s="2307"/>
      <c r="C257" s="2308" t="s">
        <v>674</v>
      </c>
      <c r="D257" s="2301"/>
      <c r="E257" s="2309">
        <f>SUM(F257:I257)</f>
        <v>0</v>
      </c>
      <c r="F257" s="2306">
        <v>44828256</v>
      </c>
      <c r="G257" s="2306">
        <v>0</v>
      </c>
      <c r="H257" s="2306">
        <v>0</v>
      </c>
      <c r="I257" s="2306">
        <f>-F257</f>
        <v>-44828256</v>
      </c>
      <c r="J257" s="2296" t="s">
        <v>1370</v>
      </c>
    </row>
    <row r="258" spans="1:10" ht="12.75">
      <c r="A258" s="2303">
        <v>287605</v>
      </c>
      <c r="B258" s="2307"/>
      <c r="C258" s="2308" t="s">
        <v>675</v>
      </c>
      <c r="D258" s="2301"/>
      <c r="E258" s="2309">
        <f>SUM(F258:I258)</f>
        <v>0</v>
      </c>
      <c r="F258" s="2306">
        <v>189105569</v>
      </c>
      <c r="G258" s="2306">
        <v>0</v>
      </c>
      <c r="H258" s="2306">
        <v>0</v>
      </c>
      <c r="I258" s="2306">
        <f>-F258</f>
        <v>-189105569</v>
      </c>
      <c r="J258" s="2296" t="s">
        <v>1371</v>
      </c>
    </row>
    <row r="259" spans="1:10" ht="24.75" customHeight="1">
      <c r="A259" s="2303">
        <v>287608</v>
      </c>
      <c r="B259" s="2304">
        <v>105.22199999999999</v>
      </c>
      <c r="C259" s="2305" t="s">
        <v>1524</v>
      </c>
      <c r="D259" s="2298"/>
      <c r="E259" s="2306">
        <v>-4082623</v>
      </c>
      <c r="F259" s="2306">
        <v>0</v>
      </c>
      <c r="G259" s="2306">
        <v>0</v>
      </c>
      <c r="H259" s="2306">
        <f>E259</f>
        <v>-4082623</v>
      </c>
      <c r="I259" s="2306">
        <v>0</v>
      </c>
      <c r="J259" s="2296" t="s">
        <v>1218</v>
      </c>
    </row>
    <row r="260" spans="1:10" ht="28.5" customHeight="1">
      <c r="A260" s="2303">
        <v>287608</v>
      </c>
      <c r="B260" s="2304">
        <v>105.223</v>
      </c>
      <c r="C260" s="2305" t="s">
        <v>1525</v>
      </c>
      <c r="D260" s="2298"/>
      <c r="E260" s="2306">
        <v>1308621</v>
      </c>
      <c r="F260" s="2306">
        <v>0</v>
      </c>
      <c r="G260" s="2306">
        <v>0</v>
      </c>
      <c r="H260" s="2306">
        <f>+E260</f>
        <v>1308621</v>
      </c>
      <c r="I260" s="2306">
        <v>0</v>
      </c>
      <c r="J260" s="2296" t="s">
        <v>1251</v>
      </c>
    </row>
    <row r="261" spans="1:10" ht="51">
      <c r="A261" s="2303">
        <v>287605</v>
      </c>
      <c r="B261" s="2304">
        <v>105.16500000000001</v>
      </c>
      <c r="C261" s="2305" t="s">
        <v>584</v>
      </c>
      <c r="D261" s="2298"/>
      <c r="E261" s="2306">
        <v>-4834889</v>
      </c>
      <c r="F261" s="2306">
        <f t="shared" ref="F261:F274" si="2">E261</f>
        <v>-4834889</v>
      </c>
      <c r="G261" s="2306">
        <v>0</v>
      </c>
      <c r="H261" s="2306">
        <v>0</v>
      </c>
      <c r="I261" s="2306">
        <v>0</v>
      </c>
      <c r="J261" s="2296" t="s">
        <v>1244</v>
      </c>
    </row>
    <row r="262" spans="1:10" ht="51.75" customHeight="1">
      <c r="A262" s="2303">
        <v>287605</v>
      </c>
      <c r="B262" s="2304">
        <v>105.17</v>
      </c>
      <c r="C262" s="2305" t="s">
        <v>1526</v>
      </c>
      <c r="D262" s="2298"/>
      <c r="E262" s="2306">
        <v>-5858660</v>
      </c>
      <c r="F262" s="2306">
        <f t="shared" si="2"/>
        <v>-5858660</v>
      </c>
      <c r="G262" s="2306">
        <v>0</v>
      </c>
      <c r="H262" s="2306">
        <v>0</v>
      </c>
      <c r="I262" s="2306">
        <v>0</v>
      </c>
      <c r="J262" s="2296" t="s">
        <v>1245</v>
      </c>
    </row>
    <row r="263" spans="1:10" ht="25.5">
      <c r="A263" s="2303">
        <v>287605</v>
      </c>
      <c r="B263" s="2304">
        <v>105.15300000000001</v>
      </c>
      <c r="C263" s="2305" t="s">
        <v>1898</v>
      </c>
      <c r="D263" s="2298"/>
      <c r="E263" s="2306">
        <v>-505903</v>
      </c>
      <c r="F263" s="2306">
        <f t="shared" si="2"/>
        <v>-505903</v>
      </c>
      <c r="G263" s="2306">
        <v>0</v>
      </c>
      <c r="H263" s="2306">
        <v>0</v>
      </c>
      <c r="I263" s="2306">
        <v>0</v>
      </c>
      <c r="J263" s="2297" t="s">
        <v>1897</v>
      </c>
    </row>
    <row r="264" spans="1:10" ht="27.75" customHeight="1">
      <c r="A264" s="2303">
        <v>287605</v>
      </c>
      <c r="B264" s="2304">
        <v>105.151</v>
      </c>
      <c r="C264" s="2305" t="s">
        <v>1896</v>
      </c>
      <c r="D264" s="2298"/>
      <c r="E264" s="2306">
        <v>-2995765</v>
      </c>
      <c r="F264" s="2306">
        <f t="shared" si="2"/>
        <v>-2995765</v>
      </c>
      <c r="G264" s="2306">
        <v>0</v>
      </c>
      <c r="H264" s="2306">
        <v>0</v>
      </c>
      <c r="I264" s="2306">
        <v>0</v>
      </c>
      <c r="J264" s="2297" t="s">
        <v>1895</v>
      </c>
    </row>
    <row r="265" spans="1:10" ht="15" customHeight="1">
      <c r="A265" s="2303">
        <v>287605</v>
      </c>
      <c r="B265" s="2304">
        <v>105.13</v>
      </c>
      <c r="C265" s="2305" t="s">
        <v>1527</v>
      </c>
      <c r="D265" s="2298"/>
      <c r="E265" s="2306">
        <v>302715578</v>
      </c>
      <c r="F265" s="2306">
        <f t="shared" si="2"/>
        <v>302715578</v>
      </c>
      <c r="G265" s="2306">
        <v>0</v>
      </c>
      <c r="H265" s="2306">
        <v>0</v>
      </c>
      <c r="I265" s="2306">
        <v>0</v>
      </c>
      <c r="J265" s="2296" t="s">
        <v>1233</v>
      </c>
    </row>
    <row r="266" spans="1:10" ht="38.25">
      <c r="A266" s="2303">
        <v>287605</v>
      </c>
      <c r="B266" s="2304">
        <v>105.175</v>
      </c>
      <c r="C266" s="2305" t="s">
        <v>1528</v>
      </c>
      <c r="D266" s="2298"/>
      <c r="E266" s="2306">
        <v>-234995360</v>
      </c>
      <c r="F266" s="2306">
        <f t="shared" si="2"/>
        <v>-234995360</v>
      </c>
      <c r="G266" s="2306">
        <v>0</v>
      </c>
      <c r="H266" s="2306">
        <v>0</v>
      </c>
      <c r="I266" s="2306">
        <v>0</v>
      </c>
      <c r="J266" s="2296" t="s">
        <v>1246</v>
      </c>
    </row>
    <row r="267" spans="1:10" ht="105" customHeight="1">
      <c r="A267" s="2303">
        <v>287224</v>
      </c>
      <c r="B267" s="2304">
        <v>145.03</v>
      </c>
      <c r="C267" s="2305" t="s">
        <v>1751</v>
      </c>
      <c r="D267" s="2298"/>
      <c r="E267" s="2306">
        <v>732574</v>
      </c>
      <c r="F267" s="2306">
        <f t="shared" si="2"/>
        <v>732574</v>
      </c>
      <c r="G267" s="2306">
        <v>0</v>
      </c>
      <c r="H267" s="2306">
        <v>0</v>
      </c>
      <c r="I267" s="2306">
        <v>0</v>
      </c>
      <c r="J267" s="2296" t="s">
        <v>1752</v>
      </c>
    </row>
    <row r="268" spans="1:10" ht="63.75">
      <c r="A268" s="2303">
        <v>287605</v>
      </c>
      <c r="B268" s="2304">
        <v>105.14100000000001</v>
      </c>
      <c r="C268" s="2305" t="s">
        <v>1529</v>
      </c>
      <c r="D268" s="2298"/>
      <c r="E268" s="2306">
        <v>-234633452</v>
      </c>
      <c r="F268" s="2306">
        <f t="shared" si="2"/>
        <v>-234633452</v>
      </c>
      <c r="G268" s="2306">
        <v>0</v>
      </c>
      <c r="H268" s="2306">
        <v>0</v>
      </c>
      <c r="I268" s="2306">
        <v>0</v>
      </c>
      <c r="J268" s="2296" t="s">
        <v>1238</v>
      </c>
    </row>
    <row r="269" spans="1:10" ht="53.25" customHeight="1">
      <c r="A269" s="2303">
        <v>287605</v>
      </c>
      <c r="B269" s="2304">
        <v>105.11499999999999</v>
      </c>
      <c r="C269" s="2305" t="s">
        <v>1530</v>
      </c>
      <c r="D269" s="2298"/>
      <c r="E269" s="2306">
        <v>-97546853</v>
      </c>
      <c r="F269" s="2306">
        <f t="shared" si="2"/>
        <v>-97546853</v>
      </c>
      <c r="G269" s="2306">
        <v>0</v>
      </c>
      <c r="H269" s="2306">
        <v>0</v>
      </c>
      <c r="I269" s="2306">
        <v>0</v>
      </c>
      <c r="J269" s="2296" t="s">
        <v>1228</v>
      </c>
    </row>
    <row r="270" spans="1:10" ht="63.75">
      <c r="A270" s="2303">
        <v>287605</v>
      </c>
      <c r="B270" s="2304">
        <v>105.139</v>
      </c>
      <c r="C270" s="2305" t="s">
        <v>1656</v>
      </c>
      <c r="D270" s="2298"/>
      <c r="E270" s="2306">
        <v>-92316928</v>
      </c>
      <c r="F270" s="2306">
        <f t="shared" si="2"/>
        <v>-92316928</v>
      </c>
      <c r="G270" s="2306">
        <v>0</v>
      </c>
      <c r="H270" s="2306">
        <v>0</v>
      </c>
      <c r="I270" s="2306">
        <v>0</v>
      </c>
      <c r="J270" s="2300" t="s">
        <v>1238</v>
      </c>
    </row>
    <row r="271" spans="1:10" ht="38.25">
      <c r="A271" s="2303">
        <v>287928</v>
      </c>
      <c r="B271" s="2304">
        <v>425.31</v>
      </c>
      <c r="C271" s="2305" t="s">
        <v>1302</v>
      </c>
      <c r="D271" s="2298"/>
      <c r="E271" s="2306">
        <v>-7734136</v>
      </c>
      <c r="F271" s="2306">
        <f t="shared" si="2"/>
        <v>-7734136</v>
      </c>
      <c r="G271" s="2306">
        <v>0</v>
      </c>
      <c r="H271" s="2306">
        <v>0</v>
      </c>
      <c r="I271" s="2306">
        <v>0</v>
      </c>
      <c r="J271" s="2300" t="s">
        <v>1753</v>
      </c>
    </row>
    <row r="272" spans="1:10" ht="12.75">
      <c r="A272" s="2303">
        <v>287605</v>
      </c>
      <c r="B272" s="2304" t="s">
        <v>564</v>
      </c>
      <c r="C272" s="2305" t="s">
        <v>1531</v>
      </c>
      <c r="D272" s="2298"/>
      <c r="E272" s="2306">
        <v>0</v>
      </c>
      <c r="F272" s="2306">
        <f t="shared" si="2"/>
        <v>0</v>
      </c>
      <c r="G272" s="2306">
        <v>0</v>
      </c>
      <c r="H272" s="2306">
        <v>0</v>
      </c>
      <c r="I272" s="2306">
        <v>0</v>
      </c>
      <c r="J272" s="2296" t="s">
        <v>1185</v>
      </c>
    </row>
    <row r="273" spans="1:10" ht="12.75">
      <c r="A273" s="2303">
        <v>287605</v>
      </c>
      <c r="B273" s="2304">
        <v>105.125</v>
      </c>
      <c r="C273" s="2305" t="s">
        <v>578</v>
      </c>
      <c r="D273" s="2298"/>
      <c r="E273" s="2306">
        <v>-6239283262</v>
      </c>
      <c r="F273" s="2306">
        <f t="shared" si="2"/>
        <v>-6239283262</v>
      </c>
      <c r="G273" s="2306">
        <v>0</v>
      </c>
      <c r="H273" s="2306">
        <v>0</v>
      </c>
      <c r="I273" s="2306">
        <v>0</v>
      </c>
      <c r="J273" s="2296" t="s">
        <v>1232</v>
      </c>
    </row>
    <row r="274" spans="1:10" ht="12.75">
      <c r="A274" s="2303">
        <v>287605</v>
      </c>
      <c r="B274" s="2304">
        <v>105.152</v>
      </c>
      <c r="C274" s="2305" t="s">
        <v>1663</v>
      </c>
      <c r="D274" s="2298"/>
      <c r="E274" s="2306">
        <v>-85653467</v>
      </c>
      <c r="F274" s="2306">
        <f t="shared" si="2"/>
        <v>-85653467</v>
      </c>
      <c r="G274" s="2306">
        <v>0</v>
      </c>
      <c r="H274" s="2306">
        <v>0</v>
      </c>
      <c r="I274" s="2306">
        <v>0</v>
      </c>
      <c r="J274" s="2296" t="s">
        <v>1243</v>
      </c>
    </row>
    <row r="275" spans="1:10" ht="38.25">
      <c r="A275" s="2303">
        <v>287605</v>
      </c>
      <c r="B275" s="2304">
        <v>105.129</v>
      </c>
      <c r="C275" s="2305" t="s">
        <v>1532</v>
      </c>
      <c r="D275" s="2298"/>
      <c r="E275" s="2306">
        <v>19232840</v>
      </c>
      <c r="F275" s="2306">
        <v>0</v>
      </c>
      <c r="G275" s="2306">
        <v>0</v>
      </c>
      <c r="H275" s="2306">
        <f>+E275</f>
        <v>19232840</v>
      </c>
      <c r="I275" s="2306">
        <v>0</v>
      </c>
      <c r="J275" s="2296" t="s">
        <v>1255</v>
      </c>
    </row>
    <row r="276" spans="1:10" ht="38.25">
      <c r="A276" s="2303">
        <v>287605</v>
      </c>
      <c r="B276" s="2304">
        <v>105.148</v>
      </c>
      <c r="C276" s="2305" t="s">
        <v>1533</v>
      </c>
      <c r="D276" s="2298"/>
      <c r="E276" s="2306">
        <v>-473124</v>
      </c>
      <c r="F276" s="2306">
        <f t="shared" ref="F276:F295" si="3">E276</f>
        <v>-473124</v>
      </c>
      <c r="G276" s="2306">
        <v>0</v>
      </c>
      <c r="H276" s="2306">
        <v>0</v>
      </c>
      <c r="I276" s="2306">
        <v>0</v>
      </c>
      <c r="J276" s="2296" t="s">
        <v>1242</v>
      </c>
    </row>
    <row r="277" spans="1:10" ht="12.75">
      <c r="A277" s="2303">
        <v>287929</v>
      </c>
      <c r="B277" s="2304">
        <v>105.46</v>
      </c>
      <c r="C277" s="2305" t="s">
        <v>1534</v>
      </c>
      <c r="D277" s="2298"/>
      <c r="E277" s="2306">
        <v>-344200159</v>
      </c>
      <c r="F277" s="2306">
        <f t="shared" si="3"/>
        <v>-344200159</v>
      </c>
      <c r="G277" s="2306">
        <v>0</v>
      </c>
      <c r="H277" s="2306">
        <v>0</v>
      </c>
      <c r="I277" s="2306">
        <v>0</v>
      </c>
      <c r="J277" s="2296" t="s">
        <v>1225</v>
      </c>
    </row>
    <row r="278" spans="1:10" ht="25.5">
      <c r="A278" s="2303">
        <v>287740</v>
      </c>
      <c r="B278" s="2304">
        <v>110.2</v>
      </c>
      <c r="C278" s="2305" t="s">
        <v>1535</v>
      </c>
      <c r="D278" s="2298"/>
      <c r="E278" s="2306">
        <v>0</v>
      </c>
      <c r="F278" s="2306">
        <f t="shared" si="3"/>
        <v>0</v>
      </c>
      <c r="G278" s="2306">
        <v>0</v>
      </c>
      <c r="H278" s="2306">
        <v>0</v>
      </c>
      <c r="I278" s="2306">
        <v>0</v>
      </c>
      <c r="J278" s="2296" t="s">
        <v>1253</v>
      </c>
    </row>
    <row r="279" spans="1:10" ht="51">
      <c r="A279" s="2303">
        <v>287605</v>
      </c>
      <c r="B279" s="2304">
        <v>320.20999999999998</v>
      </c>
      <c r="C279" s="2305" t="s">
        <v>585</v>
      </c>
      <c r="D279" s="2298"/>
      <c r="E279" s="2306">
        <v>-11916233</v>
      </c>
      <c r="F279" s="2306">
        <f t="shared" si="3"/>
        <v>-11916233</v>
      </c>
      <c r="G279" s="2306">
        <v>0</v>
      </c>
      <c r="H279" s="2306">
        <v>0</v>
      </c>
      <c r="I279" s="2306">
        <v>0</v>
      </c>
      <c r="J279" s="2296" t="s">
        <v>1248</v>
      </c>
    </row>
    <row r="280" spans="1:10" ht="52.5" customHeight="1">
      <c r="A280" s="2303">
        <v>287648</v>
      </c>
      <c r="B280" s="2304">
        <v>100.12</v>
      </c>
      <c r="C280" s="2305" t="s">
        <v>1536</v>
      </c>
      <c r="D280" s="2298"/>
      <c r="E280" s="2306">
        <v>-271073480</v>
      </c>
      <c r="F280" s="2306">
        <f t="shared" si="3"/>
        <v>-271073480</v>
      </c>
      <c r="G280" s="2306">
        <v>0</v>
      </c>
      <c r="H280" s="2306">
        <v>0</v>
      </c>
      <c r="I280" s="2306">
        <v>0</v>
      </c>
      <c r="J280" s="2296" t="s">
        <v>1228</v>
      </c>
    </row>
    <row r="281" spans="1:10" ht="51" customHeight="1">
      <c r="A281" s="2303">
        <v>287605</v>
      </c>
      <c r="B281" s="2304">
        <v>100.11</v>
      </c>
      <c r="C281" s="2305" t="s">
        <v>1754</v>
      </c>
      <c r="D281" s="2298"/>
      <c r="E281" s="2306">
        <v>-48855</v>
      </c>
      <c r="F281" s="2306">
        <f t="shared" si="3"/>
        <v>-48855</v>
      </c>
      <c r="G281" s="2306">
        <v>0</v>
      </c>
      <c r="H281" s="2306">
        <v>0</v>
      </c>
      <c r="I281" s="2306">
        <v>0</v>
      </c>
      <c r="J281" s="2296" t="s">
        <v>1755</v>
      </c>
    </row>
    <row r="282" spans="1:10" ht="25.5">
      <c r="A282" s="2303">
        <v>287605</v>
      </c>
      <c r="B282" s="2304">
        <v>105.15900000000001</v>
      </c>
      <c r="C282" s="2305" t="s">
        <v>1894</v>
      </c>
      <c r="D282" s="2298"/>
      <c r="E282" s="2306">
        <v>6993724</v>
      </c>
      <c r="F282" s="2306">
        <v>0</v>
      </c>
      <c r="G282" s="2306">
        <f>+E282</f>
        <v>6993724</v>
      </c>
      <c r="H282" s="2306">
        <v>0</v>
      </c>
      <c r="I282" s="2306">
        <v>0</v>
      </c>
      <c r="J282" s="2297" t="s">
        <v>1893</v>
      </c>
    </row>
    <row r="283" spans="1:10" ht="25.5">
      <c r="A283" s="2303">
        <v>287605</v>
      </c>
      <c r="B283" s="2304">
        <v>105.131</v>
      </c>
      <c r="C283" s="2305" t="s">
        <v>586</v>
      </c>
      <c r="D283" s="2298"/>
      <c r="E283" s="2306">
        <v>285986998</v>
      </c>
      <c r="F283" s="2306">
        <f t="shared" si="3"/>
        <v>285986998</v>
      </c>
      <c r="G283" s="2306">
        <v>0</v>
      </c>
      <c r="H283" s="2306">
        <v>0</v>
      </c>
      <c r="I283" s="2306">
        <v>0</v>
      </c>
      <c r="J283" s="2296" t="s">
        <v>1249</v>
      </c>
    </row>
    <row r="284" spans="1:10" ht="51">
      <c r="A284" s="2303">
        <v>287605</v>
      </c>
      <c r="B284" s="2304">
        <v>105.14</v>
      </c>
      <c r="C284" s="2305" t="s">
        <v>580</v>
      </c>
      <c r="D284" s="2298"/>
      <c r="E284" s="2306">
        <v>31280790</v>
      </c>
      <c r="F284" s="2306">
        <f t="shared" si="3"/>
        <v>31280790</v>
      </c>
      <c r="G284" s="2306">
        <v>0</v>
      </c>
      <c r="H284" s="2306">
        <v>0</v>
      </c>
      <c r="I284" s="2306">
        <v>0</v>
      </c>
      <c r="J284" s="2296" t="s">
        <v>1237</v>
      </c>
    </row>
    <row r="285" spans="1:10" ht="38.25">
      <c r="A285" s="2303">
        <v>287605</v>
      </c>
      <c r="B285" s="2304">
        <v>105.122</v>
      </c>
      <c r="C285" s="2305" t="s">
        <v>1537</v>
      </c>
      <c r="D285" s="2298"/>
      <c r="E285" s="2306">
        <v>-415979683</v>
      </c>
      <c r="F285" s="2306">
        <f t="shared" si="3"/>
        <v>-415979683</v>
      </c>
      <c r="G285" s="2306">
        <v>0</v>
      </c>
      <c r="H285" s="2306">
        <v>0</v>
      </c>
      <c r="I285" s="2306">
        <v>0</v>
      </c>
      <c r="J285" s="2296" t="s">
        <v>1230</v>
      </c>
    </row>
    <row r="286" spans="1:10" ht="51">
      <c r="A286" s="2303">
        <v>287221</v>
      </c>
      <c r="B286" s="2304">
        <v>415.93299999999999</v>
      </c>
      <c r="C286" s="2305" t="s">
        <v>1756</v>
      </c>
      <c r="D286" s="2298"/>
      <c r="E286" s="2306">
        <v>-473513</v>
      </c>
      <c r="F286" s="2306">
        <f t="shared" si="3"/>
        <v>-473513</v>
      </c>
      <c r="G286" s="2306">
        <v>0</v>
      </c>
      <c r="H286" s="2306">
        <v>0</v>
      </c>
      <c r="I286" s="2306">
        <v>0</v>
      </c>
      <c r="J286" s="2296" t="s">
        <v>1757</v>
      </c>
    </row>
    <row r="287" spans="1:10" ht="51">
      <c r="A287" s="2303">
        <v>287222</v>
      </c>
      <c r="B287" s="2304">
        <v>415.93400000000003</v>
      </c>
      <c r="C287" s="2305" t="s">
        <v>1758</v>
      </c>
      <c r="D287" s="2298"/>
      <c r="E287" s="2306">
        <v>-3425271</v>
      </c>
      <c r="F287" s="2306">
        <f t="shared" si="3"/>
        <v>-3425271</v>
      </c>
      <c r="G287" s="2306">
        <v>0</v>
      </c>
      <c r="H287" s="2306">
        <v>0</v>
      </c>
      <c r="I287" s="2306">
        <v>0</v>
      </c>
      <c r="J287" s="2296" t="s">
        <v>1759</v>
      </c>
    </row>
    <row r="288" spans="1:10" ht="51">
      <c r="A288" s="2303">
        <v>287223</v>
      </c>
      <c r="B288" s="2304">
        <v>415.935</v>
      </c>
      <c r="C288" s="2305" t="s">
        <v>1760</v>
      </c>
      <c r="D288" s="2298"/>
      <c r="E288" s="2306">
        <v>-1015618</v>
      </c>
      <c r="F288" s="2306">
        <f t="shared" si="3"/>
        <v>-1015618</v>
      </c>
      <c r="G288" s="2306">
        <v>0</v>
      </c>
      <c r="H288" s="2306">
        <v>0</v>
      </c>
      <c r="I288" s="2306">
        <v>0</v>
      </c>
      <c r="J288" s="2296" t="s">
        <v>1761</v>
      </c>
    </row>
    <row r="289" spans="1:11" ht="12.75">
      <c r="A289" s="2303">
        <v>287313</v>
      </c>
      <c r="B289" s="2304">
        <v>105.45</v>
      </c>
      <c r="C289" s="2305" t="s">
        <v>1538</v>
      </c>
      <c r="D289" s="2298"/>
      <c r="E289" s="2306">
        <v>344200159</v>
      </c>
      <c r="F289" s="2306">
        <f t="shared" si="3"/>
        <v>344200159</v>
      </c>
      <c r="G289" s="2306">
        <v>0</v>
      </c>
      <c r="H289" s="2306">
        <v>0</v>
      </c>
      <c r="I289" s="2306">
        <v>0</v>
      </c>
      <c r="J289" s="2296" t="s">
        <v>1225</v>
      </c>
    </row>
    <row r="290" spans="1:11" ht="25.5">
      <c r="A290" s="2303">
        <v>287605</v>
      </c>
      <c r="B290" s="2304">
        <v>105.13500000000001</v>
      </c>
      <c r="C290" s="2305" t="s">
        <v>1234</v>
      </c>
      <c r="D290" s="2298"/>
      <c r="E290" s="2306">
        <v>318615</v>
      </c>
      <c r="F290" s="2306">
        <f t="shared" si="3"/>
        <v>318615</v>
      </c>
      <c r="G290" s="2306">
        <v>0</v>
      </c>
      <c r="H290" s="2306">
        <v>0</v>
      </c>
      <c r="I290" s="2306">
        <v>0</v>
      </c>
      <c r="J290" s="2296" t="s">
        <v>1235</v>
      </c>
    </row>
    <row r="291" spans="1:11" ht="92.25" customHeight="1">
      <c r="A291" s="2303">
        <v>287605</v>
      </c>
      <c r="B291" s="2304">
        <v>105.123</v>
      </c>
      <c r="C291" s="2305" t="s">
        <v>577</v>
      </c>
      <c r="D291" s="2298"/>
      <c r="E291" s="2306">
        <v>-238585871</v>
      </c>
      <c r="F291" s="2306">
        <f t="shared" si="3"/>
        <v>-238585871</v>
      </c>
      <c r="G291" s="2306">
        <v>0</v>
      </c>
      <c r="H291" s="2306">
        <v>0</v>
      </c>
      <c r="I291" s="2306">
        <v>0</v>
      </c>
      <c r="J291" s="2296" t="s">
        <v>1231</v>
      </c>
    </row>
    <row r="292" spans="1:11" ht="51">
      <c r="A292" s="2303">
        <v>287605</v>
      </c>
      <c r="B292" s="2304">
        <v>105.116</v>
      </c>
      <c r="C292" s="2305" t="s">
        <v>1762</v>
      </c>
      <c r="D292" s="2298"/>
      <c r="E292" s="2306">
        <v>-4409</v>
      </c>
      <c r="F292" s="2306">
        <f t="shared" si="3"/>
        <v>-4409</v>
      </c>
      <c r="G292" s="2306">
        <v>0</v>
      </c>
      <c r="H292" s="2306">
        <v>0</v>
      </c>
      <c r="I292" s="2306">
        <v>0</v>
      </c>
      <c r="J292" s="2296" t="s">
        <v>1763</v>
      </c>
    </row>
    <row r="293" spans="1:11" ht="25.5">
      <c r="A293" s="2303">
        <v>287771</v>
      </c>
      <c r="B293" s="2304">
        <v>110.205</v>
      </c>
      <c r="C293" s="2305" t="s">
        <v>589</v>
      </c>
      <c r="D293" s="2298"/>
      <c r="E293" s="2306">
        <v>273913</v>
      </c>
      <c r="F293" s="2306">
        <f t="shared" si="3"/>
        <v>273913</v>
      </c>
      <c r="G293" s="2306">
        <v>0</v>
      </c>
      <c r="H293" s="2306">
        <v>0</v>
      </c>
      <c r="I293" s="2306">
        <v>0</v>
      </c>
      <c r="J293" s="2296" t="s">
        <v>1253</v>
      </c>
    </row>
    <row r="294" spans="1:11" s="1343" customFormat="1" ht="12.75">
      <c r="A294" s="2303">
        <v>287301</v>
      </c>
      <c r="B294" s="2304">
        <v>105.471</v>
      </c>
      <c r="C294" s="2305" t="s">
        <v>1539</v>
      </c>
      <c r="D294" s="2298"/>
      <c r="E294" s="2306">
        <v>13399273</v>
      </c>
      <c r="F294" s="2306">
        <f t="shared" si="3"/>
        <v>13399273</v>
      </c>
      <c r="G294" s="2306">
        <v>0</v>
      </c>
      <c r="H294" s="2306">
        <v>0</v>
      </c>
      <c r="I294" s="2306">
        <v>0</v>
      </c>
      <c r="J294" s="2296" t="s">
        <v>1805</v>
      </c>
    </row>
    <row r="295" spans="1:11" s="1343" customFormat="1" ht="15">
      <c r="A295" s="2310"/>
      <c r="B295" s="2310" t="s">
        <v>439</v>
      </c>
      <c r="C295" s="2311"/>
      <c r="D295" s="2312"/>
      <c r="E295" s="2309">
        <v>2</v>
      </c>
      <c r="F295" s="2309">
        <f t="shared" si="3"/>
        <v>2</v>
      </c>
      <c r="G295" s="2309"/>
      <c r="H295" s="2309"/>
      <c r="I295" s="2309"/>
      <c r="J295" s="2177"/>
    </row>
    <row r="296" spans="1:11" ht="12.75">
      <c r="A296" s="2313" t="s">
        <v>323</v>
      </c>
      <c r="B296" s="2314"/>
      <c r="C296" s="2315"/>
      <c r="D296" s="2316"/>
      <c r="E296" s="2317">
        <f>SUM(E243:E295)</f>
        <v>-4414667387</v>
      </c>
      <c r="F296" s="2317">
        <f>SUM(F243:F295)</f>
        <v>-3170604764</v>
      </c>
      <c r="G296" s="2317">
        <f>SUM(G243:G294)</f>
        <v>-1025162012</v>
      </c>
      <c r="H296" s="2317">
        <f>SUM(H243:H294)</f>
        <v>15033214</v>
      </c>
      <c r="I296" s="2317">
        <f>SUM(I243:I294)</f>
        <v>-233933825</v>
      </c>
      <c r="J296" s="2318"/>
      <c r="K296" s="437"/>
    </row>
    <row r="297" spans="1:11" ht="12.75">
      <c r="A297" s="2313" t="s">
        <v>198</v>
      </c>
      <c r="B297" s="2314"/>
      <c r="C297" s="2315"/>
      <c r="D297" s="2316"/>
      <c r="E297" s="2319">
        <f>+E280</f>
        <v>-271073480</v>
      </c>
      <c r="F297" s="2319">
        <f>+F280</f>
        <v>-271073480</v>
      </c>
      <c r="G297" s="2319">
        <f>+G280</f>
        <v>0</v>
      </c>
      <c r="H297" s="2319">
        <f>+H280</f>
        <v>0</v>
      </c>
      <c r="I297" s="2319">
        <f>+I280</f>
        <v>0</v>
      </c>
      <c r="J297" s="2320"/>
      <c r="K297" s="437"/>
    </row>
    <row r="298" spans="1:11" ht="12.75">
      <c r="A298" s="2321" t="s">
        <v>199</v>
      </c>
      <c r="B298" s="2322"/>
      <c r="C298" s="2323"/>
      <c r="D298" s="2324"/>
      <c r="E298" s="2319">
        <v>0</v>
      </c>
      <c r="F298" s="2319">
        <v>0</v>
      </c>
      <c r="G298" s="2319">
        <v>0</v>
      </c>
      <c r="H298" s="2319">
        <v>0</v>
      </c>
      <c r="I298" s="2319">
        <v>0</v>
      </c>
      <c r="J298" s="2320"/>
      <c r="K298" s="437"/>
    </row>
    <row r="299" spans="1:11" ht="12.75">
      <c r="A299" s="2325" t="s">
        <v>282</v>
      </c>
      <c r="B299" s="2326"/>
      <c r="C299" s="2315"/>
      <c r="D299" s="2316"/>
      <c r="E299" s="2317">
        <f>+E296-E297-E298</f>
        <v>-4143593907</v>
      </c>
      <c r="F299" s="2317">
        <f>+F296-F297-F298</f>
        <v>-2899531284</v>
      </c>
      <c r="G299" s="2317">
        <f>+G296-G297-G298</f>
        <v>-1025162012</v>
      </c>
      <c r="H299" s="2317">
        <f>+H296-H297-H298</f>
        <v>15033214</v>
      </c>
      <c r="I299" s="2317">
        <f>+I296-I297-I298</f>
        <v>-233933825</v>
      </c>
      <c r="J299" s="2320"/>
      <c r="K299" s="437"/>
    </row>
    <row r="300" spans="1:11" ht="15">
      <c r="A300" s="1369"/>
      <c r="B300" s="1369"/>
      <c r="C300" s="1327"/>
      <c r="D300" s="1323"/>
      <c r="E300" s="1830"/>
      <c r="F300" s="1830"/>
      <c r="G300" s="1324"/>
      <c r="H300" s="1324"/>
      <c r="I300" s="1349"/>
      <c r="J300" s="437"/>
      <c r="K300" s="437"/>
    </row>
    <row r="301" spans="1:11">
      <c r="A301" s="1369"/>
      <c r="B301" s="1369"/>
      <c r="C301" s="1818" t="s">
        <v>70</v>
      </c>
      <c r="D301" s="1819"/>
      <c r="E301" s="1820"/>
      <c r="F301" s="1820"/>
      <c r="G301" s="1821"/>
      <c r="H301" s="1822"/>
      <c r="I301" s="1349"/>
      <c r="J301" s="437"/>
      <c r="K301" s="437"/>
    </row>
    <row r="302" spans="1:11" ht="25.5">
      <c r="A302" s="1369"/>
      <c r="B302" s="1369"/>
      <c r="C302" s="2436" t="s">
        <v>132</v>
      </c>
      <c r="D302" s="2437"/>
      <c r="E302" s="2437"/>
      <c r="F302" s="2437"/>
      <c r="G302" s="2437"/>
      <c r="H302" s="2438"/>
      <c r="I302" s="1349"/>
      <c r="J302" s="437"/>
      <c r="K302" s="437"/>
    </row>
    <row r="303" spans="1:11">
      <c r="A303" s="1369"/>
      <c r="B303" s="1369"/>
      <c r="C303" s="1316" t="s">
        <v>133</v>
      </c>
      <c r="D303" s="1311"/>
      <c r="E303" s="1321"/>
      <c r="F303" s="1321"/>
      <c r="G303" s="1313"/>
      <c r="H303" s="1317"/>
      <c r="I303" s="1349"/>
      <c r="J303" s="437"/>
      <c r="K303" s="437"/>
    </row>
    <row r="304" spans="1:11">
      <c r="A304" s="1369"/>
      <c r="B304" s="1369"/>
      <c r="C304" s="1316" t="s">
        <v>262</v>
      </c>
      <c r="D304" s="1311"/>
      <c r="E304" s="1321"/>
      <c r="F304" s="1321"/>
      <c r="G304" s="1313"/>
      <c r="H304" s="1317"/>
      <c r="I304" s="1349"/>
      <c r="J304" s="437"/>
      <c r="K304" s="437"/>
    </row>
    <row r="305" spans="1:11">
      <c r="A305" s="1369"/>
      <c r="B305" s="1369"/>
      <c r="C305" s="1316" t="s">
        <v>264</v>
      </c>
      <c r="D305" s="1311"/>
      <c r="E305" s="1321"/>
      <c r="F305" s="1321"/>
      <c r="G305" s="1313"/>
      <c r="H305" s="1317"/>
      <c r="I305" s="1349"/>
      <c r="J305" s="437"/>
      <c r="K305" s="437"/>
    </row>
    <row r="306" spans="1:11" ht="24.75" customHeight="1">
      <c r="A306" s="1369"/>
      <c r="B306" s="1369"/>
      <c r="C306" s="2667" t="s">
        <v>18</v>
      </c>
      <c r="D306" s="2668"/>
      <c r="E306" s="2668"/>
      <c r="F306" s="2668"/>
      <c r="G306" s="2668"/>
      <c r="H306" s="2669"/>
      <c r="I306" s="1373"/>
      <c r="J306" s="437"/>
      <c r="K306" s="437"/>
    </row>
    <row r="307" spans="1:11" ht="15">
      <c r="A307" s="1369"/>
      <c r="B307" s="1369"/>
      <c r="C307" s="1371"/>
      <c r="D307" s="1311"/>
      <c r="E307" s="1321"/>
      <c r="F307" s="1321"/>
      <c r="G307" s="1313"/>
      <c r="H307" s="1313"/>
      <c r="I307" s="1349"/>
      <c r="J307" s="437"/>
      <c r="K307" s="437"/>
    </row>
    <row r="308" spans="1:11" ht="18">
      <c r="A308" s="1372"/>
      <c r="B308" s="1372"/>
      <c r="C308" s="1373"/>
      <c r="D308" s="1374"/>
      <c r="E308" s="1374"/>
      <c r="F308" s="1374"/>
      <c r="G308" s="1374"/>
      <c r="H308" s="1374"/>
      <c r="I308" s="1373"/>
      <c r="J308" s="437"/>
      <c r="K308" s="437"/>
    </row>
    <row r="309" spans="1:11" ht="15">
      <c r="A309" s="1375" t="s">
        <v>365</v>
      </c>
      <c r="B309" s="1375"/>
      <c r="C309" s="1376"/>
      <c r="D309" s="1313"/>
      <c r="E309" s="1313"/>
      <c r="F309" s="1313"/>
      <c r="G309" s="1313"/>
      <c r="H309" s="1313"/>
      <c r="I309" s="1377"/>
      <c r="J309" s="437"/>
      <c r="K309" s="437"/>
    </row>
    <row r="310" spans="1:11" ht="15">
      <c r="A310" s="1378"/>
      <c r="B310" s="1378"/>
      <c r="C310" s="1378"/>
      <c r="D310" s="1319"/>
      <c r="E310" s="1319"/>
      <c r="F310" s="1319"/>
      <c r="G310" s="1319"/>
      <c r="H310" s="1319"/>
      <c r="I310" s="1378"/>
      <c r="J310" s="437"/>
      <c r="K310" s="437"/>
    </row>
    <row r="311" spans="1:11">
      <c r="A311" s="1359" t="s">
        <v>662</v>
      </c>
      <c r="B311" s="1369"/>
      <c r="C311" s="1370"/>
      <c r="D311" s="1311"/>
      <c r="E311" s="1321"/>
      <c r="F311" s="1321"/>
      <c r="G311" s="1321"/>
      <c r="H311" s="1831"/>
      <c r="I311" s="1349"/>
      <c r="J311" s="437"/>
      <c r="K311" s="437"/>
    </row>
    <row r="312" spans="1:11" ht="15">
      <c r="A312" s="1306" t="s">
        <v>664</v>
      </c>
      <c r="B312" s="1369"/>
      <c r="C312" s="1370"/>
      <c r="D312" s="1311"/>
      <c r="E312" s="1321"/>
      <c r="F312" s="1321"/>
      <c r="G312" s="1321"/>
      <c r="H312" s="1831"/>
      <c r="I312" s="1349"/>
      <c r="J312" s="437"/>
      <c r="K312" s="437"/>
    </row>
    <row r="313" spans="1:11">
      <c r="A313" s="1369"/>
      <c r="B313" s="1369"/>
      <c r="C313" s="1339" t="s">
        <v>227</v>
      </c>
      <c r="D313" s="1340"/>
      <c r="E313" s="1339" t="s">
        <v>283</v>
      </c>
      <c r="F313" s="1339" t="s">
        <v>215</v>
      </c>
      <c r="G313" s="1339" t="s">
        <v>228</v>
      </c>
      <c r="H313" s="1339" t="s">
        <v>226</v>
      </c>
      <c r="I313" s="1339" t="s">
        <v>107</v>
      </c>
      <c r="J313" s="1339" t="s">
        <v>229</v>
      </c>
      <c r="K313" s="437"/>
    </row>
    <row r="314" spans="1:11" s="437" customFormat="1">
      <c r="A314" s="1369"/>
      <c r="B314" s="1369"/>
      <c r="C314" s="1370"/>
      <c r="E314" s="1775"/>
      <c r="F314" s="829" t="s">
        <v>257</v>
      </c>
      <c r="G314" s="1775"/>
      <c r="H314" s="829"/>
      <c r="I314" s="829"/>
      <c r="J314" s="1296"/>
    </row>
    <row r="315" spans="1:11" s="437" customFormat="1" ht="15">
      <c r="A315" s="1306"/>
      <c r="B315" s="1369"/>
      <c r="C315" s="1327"/>
      <c r="E315" s="829" t="s">
        <v>282</v>
      </c>
      <c r="F315" s="829" t="s">
        <v>258</v>
      </c>
      <c r="G315" s="829" t="s">
        <v>57</v>
      </c>
      <c r="H315" s="829" t="s">
        <v>61</v>
      </c>
      <c r="I315" s="829" t="s">
        <v>63</v>
      </c>
      <c r="J315" s="1296"/>
    </row>
    <row r="316" spans="1:11" s="437" customFormat="1" ht="15">
      <c r="A316" s="1369"/>
      <c r="B316" s="1369"/>
      <c r="C316" s="1370"/>
      <c r="E316" s="829"/>
      <c r="F316" s="829" t="s">
        <v>62</v>
      </c>
      <c r="G316" s="829" t="s">
        <v>62</v>
      </c>
      <c r="H316" s="829" t="s">
        <v>62</v>
      </c>
      <c r="I316" s="829" t="s">
        <v>62</v>
      </c>
      <c r="J316" s="1297" t="s">
        <v>208</v>
      </c>
    </row>
    <row r="317" spans="1:11" ht="15">
      <c r="A317" s="1824" t="s">
        <v>256</v>
      </c>
      <c r="B317" s="1825"/>
      <c r="C317" s="1825"/>
      <c r="D317" s="1832"/>
      <c r="E317" s="1833"/>
      <c r="F317" s="1833"/>
      <c r="G317" s="1833"/>
      <c r="H317" s="1833"/>
      <c r="I317" s="1833"/>
      <c r="J317" s="1829"/>
      <c r="K317" s="437"/>
    </row>
    <row r="318" spans="1:11" ht="15">
      <c r="A318" s="1783" t="s">
        <v>1540</v>
      </c>
      <c r="B318" s="2079"/>
      <c r="C318" s="1825"/>
      <c r="D318" s="1832"/>
      <c r="E318" s="1833"/>
      <c r="F318" s="1833"/>
      <c r="G318" s="1833"/>
      <c r="H318" s="1833"/>
      <c r="I318" s="1833"/>
      <c r="J318" s="1829"/>
      <c r="K318" s="437"/>
    </row>
    <row r="319" spans="1:11" ht="38.25">
      <c r="A319" s="2303">
        <v>287847</v>
      </c>
      <c r="B319" s="2304">
        <v>415.423</v>
      </c>
      <c r="C319" s="2305" t="s">
        <v>1764</v>
      </c>
      <c r="D319" s="2298"/>
      <c r="E319" s="2306">
        <v>0</v>
      </c>
      <c r="F319" s="2306">
        <f>E319</f>
        <v>0</v>
      </c>
      <c r="G319" s="2306">
        <v>0</v>
      </c>
      <c r="H319" s="2306">
        <v>0</v>
      </c>
      <c r="I319" s="2306">
        <v>0</v>
      </c>
      <c r="J319" s="2296" t="s">
        <v>1892</v>
      </c>
    </row>
    <row r="320" spans="1:11" ht="25.5">
      <c r="A320" s="2303">
        <v>287849</v>
      </c>
      <c r="B320" s="2304">
        <v>415.42399999999998</v>
      </c>
      <c r="C320" s="2305" t="s">
        <v>1765</v>
      </c>
      <c r="D320" s="2298"/>
      <c r="E320" s="2306">
        <v>9454496</v>
      </c>
      <c r="F320" s="2306">
        <f>E320</f>
        <v>9454496</v>
      </c>
      <c r="G320" s="2306">
        <v>0</v>
      </c>
      <c r="H320" s="2306">
        <v>0</v>
      </c>
      <c r="I320" s="2306">
        <v>0</v>
      </c>
      <c r="J320" s="2296" t="s">
        <v>1891</v>
      </c>
    </row>
    <row r="321" spans="1:10" ht="25.5">
      <c r="A321" s="2303">
        <v>287841</v>
      </c>
      <c r="B321" s="2304">
        <v>415.411</v>
      </c>
      <c r="C321" s="2305" t="s">
        <v>1890</v>
      </c>
      <c r="D321" s="2298"/>
      <c r="E321" s="2306">
        <v>755848</v>
      </c>
      <c r="F321" s="2306">
        <f t="shared" ref="F321:F384" si="4">E321</f>
        <v>755848</v>
      </c>
      <c r="G321" s="2306">
        <v>0</v>
      </c>
      <c r="H321" s="2306">
        <v>0</v>
      </c>
      <c r="I321" s="2306">
        <v>0</v>
      </c>
      <c r="J321" s="2297" t="s">
        <v>1889</v>
      </c>
    </row>
    <row r="322" spans="1:10" ht="25.5">
      <c r="A322" s="2303">
        <v>287842</v>
      </c>
      <c r="B322" s="2304">
        <v>415.41199999999998</v>
      </c>
      <c r="C322" s="2305" t="s">
        <v>1888</v>
      </c>
      <c r="D322" s="2298"/>
      <c r="E322" s="2306">
        <v>9453</v>
      </c>
      <c r="F322" s="2306">
        <f t="shared" si="4"/>
        <v>9453</v>
      </c>
      <c r="G322" s="2306">
        <v>0</v>
      </c>
      <c r="H322" s="2306">
        <v>0</v>
      </c>
      <c r="I322" s="2306">
        <v>0</v>
      </c>
      <c r="J322" s="2297" t="s">
        <v>1887</v>
      </c>
    </row>
    <row r="323" spans="1:10" ht="25.5">
      <c r="A323" s="2303">
        <v>287843</v>
      </c>
      <c r="B323" s="2304">
        <v>415.41300000000001</v>
      </c>
      <c r="C323" s="2305" t="s">
        <v>1886</v>
      </c>
      <c r="D323" s="2298"/>
      <c r="E323" s="2306">
        <v>1171183</v>
      </c>
      <c r="F323" s="2306">
        <f t="shared" si="4"/>
        <v>1171183</v>
      </c>
      <c r="G323" s="2306">
        <v>0</v>
      </c>
      <c r="H323" s="2306">
        <v>0</v>
      </c>
      <c r="I323" s="2306">
        <v>0</v>
      </c>
      <c r="J323" s="2297" t="s">
        <v>1885</v>
      </c>
    </row>
    <row r="324" spans="1:10" ht="25.5">
      <c r="A324" s="2303">
        <v>287844</v>
      </c>
      <c r="B324" s="2304">
        <v>415.41399999999999</v>
      </c>
      <c r="C324" s="2305" t="s">
        <v>1884</v>
      </c>
      <c r="D324" s="2298"/>
      <c r="E324" s="2306">
        <v>350522</v>
      </c>
      <c r="F324" s="2306">
        <f t="shared" si="4"/>
        <v>350522</v>
      </c>
      <c r="G324" s="2306">
        <v>0</v>
      </c>
      <c r="H324" s="2306">
        <v>0</v>
      </c>
      <c r="I324" s="2306">
        <v>0</v>
      </c>
      <c r="J324" s="2297" t="s">
        <v>1883</v>
      </c>
    </row>
    <row r="325" spans="1:10" ht="25.5">
      <c r="A325" s="2303">
        <v>287845</v>
      </c>
      <c r="B325" s="2304">
        <v>415.41500000000002</v>
      </c>
      <c r="C325" s="2305" t="s">
        <v>1882</v>
      </c>
      <c r="D325" s="2298"/>
      <c r="E325" s="2306">
        <v>3390224</v>
      </c>
      <c r="F325" s="2306">
        <f t="shared" si="4"/>
        <v>3390224</v>
      </c>
      <c r="G325" s="2306">
        <v>0</v>
      </c>
      <c r="H325" s="2306">
        <v>0</v>
      </c>
      <c r="I325" s="2306">
        <v>0</v>
      </c>
      <c r="J325" s="2297" t="s">
        <v>1881</v>
      </c>
    </row>
    <row r="326" spans="1:10" ht="25.5">
      <c r="A326" s="2303">
        <v>287846</v>
      </c>
      <c r="B326" s="2304">
        <v>415.416</v>
      </c>
      <c r="C326" s="2305" t="s">
        <v>1880</v>
      </c>
      <c r="D326" s="2298"/>
      <c r="E326" s="2306">
        <v>142575</v>
      </c>
      <c r="F326" s="2306">
        <f t="shared" si="4"/>
        <v>142575</v>
      </c>
      <c r="G326" s="2306">
        <v>0</v>
      </c>
      <c r="H326" s="2306">
        <v>0</v>
      </c>
      <c r="I326" s="2306">
        <v>0</v>
      </c>
      <c r="J326" s="2297" t="s">
        <v>1879</v>
      </c>
    </row>
    <row r="327" spans="1:10" ht="38.25">
      <c r="A327" s="2303">
        <v>287850</v>
      </c>
      <c r="B327" s="2304">
        <v>415.42500000000001</v>
      </c>
      <c r="C327" s="2305" t="s">
        <v>1878</v>
      </c>
      <c r="D327" s="2298"/>
      <c r="E327" s="2306">
        <v>1568602</v>
      </c>
      <c r="F327" s="2306">
        <f t="shared" si="4"/>
        <v>1568602</v>
      </c>
      <c r="G327" s="2306">
        <v>0</v>
      </c>
      <c r="H327" s="2306">
        <v>0</v>
      </c>
      <c r="I327" s="2306">
        <v>0</v>
      </c>
      <c r="J327" s="2297" t="s">
        <v>1877</v>
      </c>
    </row>
    <row r="328" spans="1:10" ht="39.75" customHeight="1">
      <c r="A328" s="2303">
        <v>287851</v>
      </c>
      <c r="B328" s="2304">
        <v>415.41699999999997</v>
      </c>
      <c r="C328" s="2305" t="s">
        <v>1876</v>
      </c>
      <c r="D328" s="2298"/>
      <c r="E328" s="2306">
        <v>661368</v>
      </c>
      <c r="F328" s="2306">
        <f t="shared" si="4"/>
        <v>661368</v>
      </c>
      <c r="G328" s="2306">
        <v>0</v>
      </c>
      <c r="H328" s="2306">
        <v>0</v>
      </c>
      <c r="I328" s="2306">
        <v>0</v>
      </c>
      <c r="J328" s="2297" t="s">
        <v>1875</v>
      </c>
    </row>
    <row r="329" spans="1:10" ht="41.25" customHeight="1">
      <c r="A329" s="2303">
        <v>287855</v>
      </c>
      <c r="B329" s="2304">
        <v>415.42099999999999</v>
      </c>
      <c r="C329" s="2305" t="s">
        <v>1874</v>
      </c>
      <c r="D329" s="2298"/>
      <c r="E329" s="2306">
        <v>2966452</v>
      </c>
      <c r="F329" s="2306">
        <f t="shared" si="4"/>
        <v>2966452</v>
      </c>
      <c r="G329" s="2306">
        <v>0</v>
      </c>
      <c r="H329" s="2306">
        <v>0</v>
      </c>
      <c r="I329" s="2306">
        <v>0</v>
      </c>
      <c r="J329" s="2297" t="s">
        <v>1873</v>
      </c>
    </row>
    <row r="330" spans="1:10" ht="25.5">
      <c r="A330" s="2303">
        <v>287747</v>
      </c>
      <c r="B330" s="2304">
        <v>705.24</v>
      </c>
      <c r="C330" s="2305" t="s">
        <v>1872</v>
      </c>
      <c r="D330" s="2298"/>
      <c r="E330" s="2306">
        <v>-1173</v>
      </c>
      <c r="F330" s="2306">
        <f t="shared" si="4"/>
        <v>-1173</v>
      </c>
      <c r="G330" s="2306">
        <v>0</v>
      </c>
      <c r="H330" s="2306">
        <v>0</v>
      </c>
      <c r="I330" s="2306">
        <v>0</v>
      </c>
      <c r="J330" s="2297" t="s">
        <v>1871</v>
      </c>
    </row>
    <row r="331" spans="1:10" ht="25.5">
      <c r="A331" s="2303">
        <v>287642</v>
      </c>
      <c r="B331" s="2304">
        <v>105.401</v>
      </c>
      <c r="C331" s="2305" t="s">
        <v>1541</v>
      </c>
      <c r="D331" s="2298"/>
      <c r="E331" s="2306">
        <v>-24705126</v>
      </c>
      <c r="F331" s="2306">
        <f t="shared" si="4"/>
        <v>-24705126</v>
      </c>
      <c r="G331" s="2306">
        <v>0</v>
      </c>
      <c r="H331" s="2306">
        <v>0</v>
      </c>
      <c r="I331" s="2306">
        <v>0</v>
      </c>
      <c r="J331" s="2296" t="s">
        <v>1270</v>
      </c>
    </row>
    <row r="332" spans="1:10" ht="51">
      <c r="A332" s="2303">
        <v>287911</v>
      </c>
      <c r="B332" s="2304">
        <v>415.69900000000001</v>
      </c>
      <c r="C332" s="2305" t="s">
        <v>1766</v>
      </c>
      <c r="D332" s="2298"/>
      <c r="E332" s="2306">
        <v>-736045</v>
      </c>
      <c r="F332" s="2306">
        <f t="shared" ref="F332:F337" si="5">E332</f>
        <v>-736045</v>
      </c>
      <c r="G332" s="2306">
        <v>0</v>
      </c>
      <c r="H332" s="2306">
        <v>0</v>
      </c>
      <c r="I332" s="2306">
        <v>0</v>
      </c>
      <c r="J332" s="2297" t="s">
        <v>1870</v>
      </c>
    </row>
    <row r="333" spans="1:10" ht="51">
      <c r="A333" s="2303">
        <v>137337</v>
      </c>
      <c r="B333" s="2304">
        <v>715.721</v>
      </c>
      <c r="C333" s="2305" t="s">
        <v>1767</v>
      </c>
      <c r="D333" s="2298"/>
      <c r="E333" s="2306">
        <v>0</v>
      </c>
      <c r="F333" s="2306">
        <f t="shared" si="5"/>
        <v>0</v>
      </c>
      <c r="G333" s="2306">
        <v>0</v>
      </c>
      <c r="H333" s="2306">
        <v>0</v>
      </c>
      <c r="I333" s="2306">
        <v>0</v>
      </c>
      <c r="J333" s="2297" t="s">
        <v>1817</v>
      </c>
    </row>
    <row r="334" spans="1:10" ht="25.5">
      <c r="A334" s="2303">
        <v>287997</v>
      </c>
      <c r="B334" s="2304">
        <v>415.86200000000002</v>
      </c>
      <c r="C334" s="2305" t="s">
        <v>1869</v>
      </c>
      <c r="D334" s="2298"/>
      <c r="E334" s="2306">
        <v>-656</v>
      </c>
      <c r="F334" s="2306">
        <f t="shared" si="5"/>
        <v>-656</v>
      </c>
      <c r="G334" s="2306">
        <v>0</v>
      </c>
      <c r="H334" s="2306">
        <v>0</v>
      </c>
      <c r="I334" s="2306">
        <v>0</v>
      </c>
      <c r="J334" s="2297" t="s">
        <v>1868</v>
      </c>
    </row>
    <row r="335" spans="1:10" ht="38.25">
      <c r="A335" s="2303">
        <v>287984</v>
      </c>
      <c r="B335" s="2304">
        <v>415.923</v>
      </c>
      <c r="C335" s="2305" t="s">
        <v>1768</v>
      </c>
      <c r="D335" s="2298"/>
      <c r="E335" s="2306">
        <v>-908241</v>
      </c>
      <c r="F335" s="2306">
        <f t="shared" si="5"/>
        <v>-908241</v>
      </c>
      <c r="G335" s="2306">
        <v>0</v>
      </c>
      <c r="H335" s="2306">
        <v>0</v>
      </c>
      <c r="I335" s="2306">
        <v>0</v>
      </c>
      <c r="J335" s="2296" t="s">
        <v>1769</v>
      </c>
    </row>
    <row r="336" spans="1:10" ht="38.25">
      <c r="A336" s="2303">
        <v>287985</v>
      </c>
      <c r="B336" s="2304">
        <v>415.92399999999998</v>
      </c>
      <c r="C336" s="2305" t="s">
        <v>1770</v>
      </c>
      <c r="D336" s="2298"/>
      <c r="E336" s="2306">
        <v>-6536379</v>
      </c>
      <c r="F336" s="2306">
        <f t="shared" si="5"/>
        <v>-6536379</v>
      </c>
      <c r="G336" s="2306">
        <v>0</v>
      </c>
      <c r="H336" s="2306">
        <v>0</v>
      </c>
      <c r="I336" s="2306">
        <v>0</v>
      </c>
      <c r="J336" s="2296" t="s">
        <v>1771</v>
      </c>
    </row>
    <row r="337" spans="1:10" ht="38.25">
      <c r="A337" s="2303">
        <v>287986</v>
      </c>
      <c r="B337" s="2304">
        <v>415.92500000000001</v>
      </c>
      <c r="C337" s="2305" t="s">
        <v>1772</v>
      </c>
      <c r="D337" s="2298"/>
      <c r="E337" s="2306">
        <v>-2197719</v>
      </c>
      <c r="F337" s="2306">
        <f t="shared" si="5"/>
        <v>-2197719</v>
      </c>
      <c r="G337" s="2306">
        <v>0</v>
      </c>
      <c r="H337" s="2306">
        <v>0</v>
      </c>
      <c r="I337" s="2306">
        <v>0</v>
      </c>
      <c r="J337" s="2296" t="s">
        <v>1773</v>
      </c>
    </row>
    <row r="338" spans="1:10" ht="38.25">
      <c r="A338" s="2303">
        <v>287760</v>
      </c>
      <c r="B338" s="2304">
        <v>415.89600000000002</v>
      </c>
      <c r="C338" s="2305" t="s">
        <v>1542</v>
      </c>
      <c r="D338" s="2298"/>
      <c r="E338" s="2306">
        <v>0</v>
      </c>
      <c r="F338" s="2306">
        <f t="shared" si="4"/>
        <v>0</v>
      </c>
      <c r="G338" s="2306">
        <v>0</v>
      </c>
      <c r="H338" s="2306">
        <v>0</v>
      </c>
      <c r="I338" s="2306">
        <v>0</v>
      </c>
      <c r="J338" s="2296" t="s">
        <v>1275</v>
      </c>
    </row>
    <row r="339" spans="1:10" ht="25.5">
      <c r="A339" s="2303">
        <v>287635</v>
      </c>
      <c r="B339" s="2304">
        <v>415.5</v>
      </c>
      <c r="C339" s="2305" t="s">
        <v>1543</v>
      </c>
      <c r="D339" s="2298"/>
      <c r="E339" s="2306">
        <v>-674454</v>
      </c>
      <c r="F339" s="2306">
        <f t="shared" si="4"/>
        <v>-674454</v>
      </c>
      <c r="G339" s="2306">
        <v>0</v>
      </c>
      <c r="H339" s="2306">
        <v>0</v>
      </c>
      <c r="I339" s="2306">
        <v>0</v>
      </c>
      <c r="J339" s="2296" t="s">
        <v>1267</v>
      </c>
    </row>
    <row r="340" spans="1:10" ht="38.25">
      <c r="A340" s="2303">
        <v>287947</v>
      </c>
      <c r="B340" s="2304">
        <v>415.50099999999998</v>
      </c>
      <c r="C340" s="2305" t="s">
        <v>1544</v>
      </c>
      <c r="D340" s="2298"/>
      <c r="E340" s="2306">
        <v>19813</v>
      </c>
      <c r="F340" s="2306">
        <f t="shared" si="4"/>
        <v>19813</v>
      </c>
      <c r="G340" s="2306">
        <v>0</v>
      </c>
      <c r="H340" s="2306">
        <v>0</v>
      </c>
      <c r="I340" s="2306">
        <v>0</v>
      </c>
      <c r="J340" s="2296" t="s">
        <v>1291</v>
      </c>
    </row>
    <row r="341" spans="1:10" ht="38.25">
      <c r="A341" s="2303">
        <v>287948</v>
      </c>
      <c r="B341" s="2304">
        <v>415.50200000000001</v>
      </c>
      <c r="C341" s="2305" t="s">
        <v>1545</v>
      </c>
      <c r="D341" s="2298"/>
      <c r="E341" s="2306">
        <v>32335</v>
      </c>
      <c r="F341" s="2306">
        <f t="shared" si="4"/>
        <v>32335</v>
      </c>
      <c r="G341" s="2306">
        <v>0</v>
      </c>
      <c r="H341" s="2306">
        <v>0</v>
      </c>
      <c r="I341" s="2306">
        <v>0</v>
      </c>
      <c r="J341" s="2296" t="s">
        <v>1292</v>
      </c>
    </row>
    <row r="342" spans="1:10" ht="38.25">
      <c r="A342" s="2303">
        <v>287949</v>
      </c>
      <c r="B342" s="2304">
        <v>415.50299999999999</v>
      </c>
      <c r="C342" s="2305" t="s">
        <v>1546</v>
      </c>
      <c r="D342" s="2298"/>
      <c r="E342" s="2306">
        <v>58291</v>
      </c>
      <c r="F342" s="2306">
        <f t="shared" si="4"/>
        <v>58291</v>
      </c>
      <c r="G342" s="2306">
        <v>0</v>
      </c>
      <c r="H342" s="2306">
        <v>0</v>
      </c>
      <c r="I342" s="2306">
        <v>0</v>
      </c>
      <c r="J342" s="2296" t="s">
        <v>1293</v>
      </c>
    </row>
    <row r="343" spans="1:10" ht="38.25">
      <c r="A343" s="2303">
        <v>287581</v>
      </c>
      <c r="B343" s="2304">
        <v>415.82400000000001</v>
      </c>
      <c r="C343" s="2305" t="s">
        <v>1547</v>
      </c>
      <c r="D343" s="2298"/>
      <c r="E343" s="2306">
        <v>104654</v>
      </c>
      <c r="F343" s="2306">
        <f t="shared" si="4"/>
        <v>104654</v>
      </c>
      <c r="G343" s="2306">
        <v>0</v>
      </c>
      <c r="H343" s="2306">
        <v>0</v>
      </c>
      <c r="I343" s="2306">
        <v>0</v>
      </c>
      <c r="J343" s="2296" t="s">
        <v>1260</v>
      </c>
    </row>
    <row r="344" spans="1:10" ht="38.25">
      <c r="A344" s="2303">
        <v>287577</v>
      </c>
      <c r="B344" s="2304">
        <v>415.82</v>
      </c>
      <c r="C344" s="2305" t="s">
        <v>1548</v>
      </c>
      <c r="D344" s="2298"/>
      <c r="E344" s="2306">
        <v>1155189</v>
      </c>
      <c r="F344" s="2306">
        <f t="shared" si="4"/>
        <v>1155189</v>
      </c>
      <c r="G344" s="2306">
        <v>0</v>
      </c>
      <c r="H344" s="2306">
        <v>0</v>
      </c>
      <c r="I344" s="2306">
        <v>0</v>
      </c>
      <c r="J344" s="2296" t="s">
        <v>1258</v>
      </c>
    </row>
    <row r="345" spans="1:10" ht="25.5">
      <c r="A345" s="2303">
        <v>137201</v>
      </c>
      <c r="B345" s="2304">
        <v>415.86900000000003</v>
      </c>
      <c r="C345" s="2305" t="s">
        <v>1549</v>
      </c>
      <c r="D345" s="2298"/>
      <c r="E345" s="2306">
        <v>0</v>
      </c>
      <c r="F345" s="2306">
        <f t="shared" si="4"/>
        <v>0</v>
      </c>
      <c r="G345" s="2306">
        <v>0</v>
      </c>
      <c r="H345" s="2306">
        <v>0</v>
      </c>
      <c r="I345" s="2306">
        <v>0</v>
      </c>
      <c r="J345" s="2299" t="s">
        <v>1550</v>
      </c>
    </row>
    <row r="346" spans="1:10" ht="25.5">
      <c r="A346" s="2303">
        <v>287781</v>
      </c>
      <c r="B346" s="2304">
        <v>415.87</v>
      </c>
      <c r="C346" s="2305" t="s">
        <v>1551</v>
      </c>
      <c r="D346" s="2298"/>
      <c r="E346" s="2306">
        <v>-2427280</v>
      </c>
      <c r="F346" s="2306">
        <f t="shared" si="4"/>
        <v>-2427280</v>
      </c>
      <c r="G346" s="2306">
        <v>0</v>
      </c>
      <c r="H346" s="2306">
        <v>0</v>
      </c>
      <c r="I346" s="2306">
        <v>0</v>
      </c>
      <c r="J346" s="2299" t="s">
        <v>1552</v>
      </c>
    </row>
    <row r="347" spans="1:10" ht="27" customHeight="1">
      <c r="A347" s="2303">
        <v>137302</v>
      </c>
      <c r="B347" s="2304">
        <v>415.88600000000002</v>
      </c>
      <c r="C347" s="2305" t="s">
        <v>1553</v>
      </c>
      <c r="D347" s="2298"/>
      <c r="E347" s="2306">
        <v>0</v>
      </c>
      <c r="F347" s="2306">
        <f t="shared" si="4"/>
        <v>0</v>
      </c>
      <c r="G347" s="2306">
        <v>0</v>
      </c>
      <c r="H347" s="2306">
        <v>0</v>
      </c>
      <c r="I347" s="2306">
        <v>0</v>
      </c>
      <c r="J347" s="2299" t="s">
        <v>1554</v>
      </c>
    </row>
    <row r="348" spans="1:10" ht="37.5" customHeight="1">
      <c r="A348" s="2303">
        <v>287596</v>
      </c>
      <c r="B348" s="2304">
        <v>415.892</v>
      </c>
      <c r="C348" s="2305" t="s">
        <v>1555</v>
      </c>
      <c r="D348" s="2298"/>
      <c r="E348" s="2306">
        <v>-8499708</v>
      </c>
      <c r="F348" s="2306">
        <f t="shared" si="4"/>
        <v>-8499708</v>
      </c>
      <c r="G348" s="2306">
        <v>0</v>
      </c>
      <c r="H348" s="2306">
        <v>0</v>
      </c>
      <c r="I348" s="2306">
        <v>0</v>
      </c>
      <c r="J348" s="2299" t="s">
        <v>1556</v>
      </c>
    </row>
    <row r="349" spans="1:10" ht="27.75" customHeight="1">
      <c r="A349" s="2303">
        <v>137304</v>
      </c>
      <c r="B349" s="2304">
        <v>415.88799999999998</v>
      </c>
      <c r="C349" s="2305" t="s">
        <v>1557</v>
      </c>
      <c r="D349" s="2298"/>
      <c r="E349" s="2306">
        <v>0</v>
      </c>
      <c r="F349" s="2306">
        <f t="shared" si="4"/>
        <v>0</v>
      </c>
      <c r="G349" s="2306">
        <v>0</v>
      </c>
      <c r="H349" s="2306">
        <v>0</v>
      </c>
      <c r="I349" s="2306">
        <v>0</v>
      </c>
      <c r="J349" s="2299" t="s">
        <v>1558</v>
      </c>
    </row>
    <row r="350" spans="1:10" ht="26.25" customHeight="1">
      <c r="A350" s="2303">
        <v>287896</v>
      </c>
      <c r="B350" s="2304">
        <v>415.875</v>
      </c>
      <c r="C350" s="2305" t="s">
        <v>1559</v>
      </c>
      <c r="D350" s="2298"/>
      <c r="E350" s="2306">
        <v>-15342961</v>
      </c>
      <c r="F350" s="2306">
        <f t="shared" si="4"/>
        <v>-15342961</v>
      </c>
      <c r="G350" s="2306">
        <v>0</v>
      </c>
      <c r="H350" s="2306">
        <v>0</v>
      </c>
      <c r="I350" s="2306">
        <v>0</v>
      </c>
      <c r="J350" s="2299" t="s">
        <v>1560</v>
      </c>
    </row>
    <row r="351" spans="1:10" ht="27" customHeight="1">
      <c r="A351" s="2303">
        <v>137306</v>
      </c>
      <c r="B351" s="2304">
        <v>415.90100000000001</v>
      </c>
      <c r="C351" s="2305" t="s">
        <v>1561</v>
      </c>
      <c r="D351" s="2298"/>
      <c r="E351" s="2306">
        <v>0</v>
      </c>
      <c r="F351" s="2306">
        <f t="shared" si="4"/>
        <v>0</v>
      </c>
      <c r="G351" s="2306">
        <v>0</v>
      </c>
      <c r="H351" s="2306">
        <v>0</v>
      </c>
      <c r="I351" s="2306">
        <v>0</v>
      </c>
      <c r="J351" s="2299" t="s">
        <v>1562</v>
      </c>
    </row>
    <row r="352" spans="1:10" ht="39.75" customHeight="1">
      <c r="A352" s="2303">
        <v>287593</v>
      </c>
      <c r="B352" s="2304">
        <v>415.87400000000002</v>
      </c>
      <c r="C352" s="2305" t="s">
        <v>1563</v>
      </c>
      <c r="D352" s="2298"/>
      <c r="E352" s="2306">
        <v>-6231563</v>
      </c>
      <c r="F352" s="2306">
        <f t="shared" si="4"/>
        <v>-6231563</v>
      </c>
      <c r="G352" s="2306">
        <v>0</v>
      </c>
      <c r="H352" s="2306">
        <v>0</v>
      </c>
      <c r="I352" s="2306">
        <v>0</v>
      </c>
      <c r="J352" s="2299" t="s">
        <v>1564</v>
      </c>
    </row>
    <row r="353" spans="1:10" ht="25.5">
      <c r="A353" s="2303">
        <v>287783</v>
      </c>
      <c r="B353" s="2304">
        <v>415.88</v>
      </c>
      <c r="C353" s="2305" t="s">
        <v>1565</v>
      </c>
      <c r="D353" s="2298"/>
      <c r="E353" s="2306">
        <v>0</v>
      </c>
      <c r="F353" s="2306">
        <f t="shared" si="4"/>
        <v>0</v>
      </c>
      <c r="G353" s="2306">
        <v>0</v>
      </c>
      <c r="H353" s="2306">
        <v>0</v>
      </c>
      <c r="I353" s="2306">
        <v>0</v>
      </c>
      <c r="J353" s="2296" t="s">
        <v>1277</v>
      </c>
    </row>
    <row r="354" spans="1:10" ht="25.5">
      <c r="A354" s="2303">
        <v>287570</v>
      </c>
      <c r="B354" s="2304">
        <v>415.70100000000002</v>
      </c>
      <c r="C354" s="2305" t="s">
        <v>1566</v>
      </c>
      <c r="D354" s="2298"/>
      <c r="E354" s="2306">
        <v>-15334</v>
      </c>
      <c r="F354" s="2306">
        <f t="shared" si="4"/>
        <v>-15334</v>
      </c>
      <c r="G354" s="2306">
        <v>0</v>
      </c>
      <c r="H354" s="2306">
        <v>0</v>
      </c>
      <c r="I354" s="2306">
        <v>0</v>
      </c>
      <c r="J354" s="2296" t="s">
        <v>1256</v>
      </c>
    </row>
    <row r="355" spans="1:10" ht="25.5">
      <c r="A355" s="2303">
        <v>287647</v>
      </c>
      <c r="B355" s="2304">
        <v>425.1</v>
      </c>
      <c r="C355" s="2305" t="s">
        <v>1567</v>
      </c>
      <c r="D355" s="2298"/>
      <c r="E355" s="2306">
        <v>-10196</v>
      </c>
      <c r="F355" s="2306">
        <f t="shared" si="4"/>
        <v>-10196</v>
      </c>
      <c r="G355" s="2306">
        <v>0</v>
      </c>
      <c r="H355" s="2306">
        <v>0</v>
      </c>
      <c r="I355" s="2306">
        <v>0</v>
      </c>
      <c r="J355" s="2296" t="s">
        <v>1271</v>
      </c>
    </row>
    <row r="356" spans="1:10" ht="25.5">
      <c r="A356" s="2303">
        <v>287640</v>
      </c>
      <c r="B356" s="2304">
        <v>415.68</v>
      </c>
      <c r="C356" s="2305" t="s">
        <v>1568</v>
      </c>
      <c r="D356" s="2298"/>
      <c r="E356" s="2306">
        <v>-547617</v>
      </c>
      <c r="F356" s="2306">
        <f t="shared" si="4"/>
        <v>-547617</v>
      </c>
      <c r="G356" s="2306">
        <v>0</v>
      </c>
      <c r="H356" s="2306">
        <v>0</v>
      </c>
      <c r="I356" s="2306">
        <v>0</v>
      </c>
      <c r="J356" s="2296" t="s">
        <v>1269</v>
      </c>
    </row>
    <row r="357" spans="1:10" ht="25.5">
      <c r="A357" s="2303">
        <v>287861</v>
      </c>
      <c r="B357" s="2304">
        <v>415.85700000000003</v>
      </c>
      <c r="C357" s="2305" t="s">
        <v>1569</v>
      </c>
      <c r="D357" s="2298"/>
      <c r="E357" s="2306">
        <v>-115118</v>
      </c>
      <c r="F357" s="2306">
        <f t="shared" si="4"/>
        <v>-115118</v>
      </c>
      <c r="G357" s="2306">
        <v>0</v>
      </c>
      <c r="H357" s="2306">
        <v>0</v>
      </c>
      <c r="I357" s="2306">
        <v>0</v>
      </c>
      <c r="J357" s="2296" t="s">
        <v>1278</v>
      </c>
    </row>
    <row r="358" spans="1:10" ht="25.5">
      <c r="A358" s="2303">
        <v>287868</v>
      </c>
      <c r="B358" s="2304">
        <v>415.858</v>
      </c>
      <c r="C358" s="2305" t="s">
        <v>1570</v>
      </c>
      <c r="D358" s="2298"/>
      <c r="E358" s="2306">
        <v>-319659</v>
      </c>
      <c r="F358" s="2306">
        <f t="shared" si="4"/>
        <v>-319659</v>
      </c>
      <c r="G358" s="2306">
        <v>0</v>
      </c>
      <c r="H358" s="2306">
        <v>0</v>
      </c>
      <c r="I358" s="2306">
        <v>0</v>
      </c>
      <c r="J358" s="2296" t="s">
        <v>1281</v>
      </c>
    </row>
    <row r="359" spans="1:10" ht="38.25" customHeight="1">
      <c r="A359" s="2303">
        <v>137200</v>
      </c>
      <c r="B359" s="2304">
        <v>430.11700000000002</v>
      </c>
      <c r="C359" s="2305" t="s">
        <v>1571</v>
      </c>
      <c r="D359" s="2298"/>
      <c r="E359" s="2306">
        <v>0</v>
      </c>
      <c r="F359" s="2306">
        <f t="shared" si="4"/>
        <v>0</v>
      </c>
      <c r="G359" s="2306">
        <v>0</v>
      </c>
      <c r="H359" s="2306">
        <v>0</v>
      </c>
      <c r="I359" s="2306">
        <v>0</v>
      </c>
      <c r="J359" s="2299" t="s">
        <v>1572</v>
      </c>
    </row>
    <row r="360" spans="1:10" ht="40.5" customHeight="1">
      <c r="A360" s="2303">
        <v>287614</v>
      </c>
      <c r="B360" s="2304">
        <v>430.1</v>
      </c>
      <c r="C360" s="2305" t="s">
        <v>1573</v>
      </c>
      <c r="D360" s="2298"/>
      <c r="E360" s="2306">
        <v>-6945743</v>
      </c>
      <c r="F360" s="2306">
        <f t="shared" si="4"/>
        <v>-6945743</v>
      </c>
      <c r="G360" s="2306">
        <v>0</v>
      </c>
      <c r="H360" s="2306">
        <v>0</v>
      </c>
      <c r="I360" s="2306">
        <v>0</v>
      </c>
      <c r="J360" s="2299" t="s">
        <v>1574</v>
      </c>
    </row>
    <row r="361" spans="1:10" ht="38.25">
      <c r="A361" s="2303">
        <v>287981</v>
      </c>
      <c r="B361" s="2304">
        <v>415.92</v>
      </c>
      <c r="C361" s="2305" t="s">
        <v>1774</v>
      </c>
      <c r="D361" s="2298"/>
      <c r="E361" s="2306">
        <v>-1236793</v>
      </c>
      <c r="F361" s="2306">
        <f t="shared" si="4"/>
        <v>-1236793</v>
      </c>
      <c r="G361" s="2306">
        <v>0</v>
      </c>
      <c r="H361" s="2306">
        <v>0</v>
      </c>
      <c r="I361" s="2306">
        <v>0</v>
      </c>
      <c r="J361" s="2299" t="s">
        <v>1775</v>
      </c>
    </row>
    <row r="362" spans="1:10" ht="38.25">
      <c r="A362" s="2303">
        <v>287982</v>
      </c>
      <c r="B362" s="2304">
        <v>415.92099999999999</v>
      </c>
      <c r="C362" s="2305" t="s">
        <v>1776</v>
      </c>
      <c r="D362" s="2298"/>
      <c r="E362" s="2306">
        <v>-753202</v>
      </c>
      <c r="F362" s="2306">
        <f t="shared" si="4"/>
        <v>-753202</v>
      </c>
      <c r="G362" s="2306">
        <v>0</v>
      </c>
      <c r="H362" s="2306">
        <v>0</v>
      </c>
      <c r="I362" s="2306">
        <v>0</v>
      </c>
      <c r="J362" s="2299" t="s">
        <v>1777</v>
      </c>
    </row>
    <row r="363" spans="1:10" ht="38.25">
      <c r="A363" s="2303">
        <v>287983</v>
      </c>
      <c r="B363" s="2304">
        <v>415.92200000000003</v>
      </c>
      <c r="C363" s="2305" t="s">
        <v>1778</v>
      </c>
      <c r="D363" s="2298"/>
      <c r="E363" s="2306">
        <v>-2601146</v>
      </c>
      <c r="F363" s="2306">
        <f t="shared" si="4"/>
        <v>-2601146</v>
      </c>
      <c r="G363" s="2306">
        <v>0</v>
      </c>
      <c r="H363" s="2306">
        <v>0</v>
      </c>
      <c r="I363" s="2306">
        <v>0</v>
      </c>
      <c r="J363" s="2299" t="s">
        <v>1779</v>
      </c>
    </row>
    <row r="364" spans="1:10" ht="25.5">
      <c r="A364" s="2303">
        <v>287576</v>
      </c>
      <c r="B364" s="2304">
        <v>430.11</v>
      </c>
      <c r="C364" s="2305" t="s">
        <v>1575</v>
      </c>
      <c r="D364" s="2298"/>
      <c r="E364" s="2306">
        <v>0</v>
      </c>
      <c r="F364" s="2306">
        <f t="shared" si="4"/>
        <v>0</v>
      </c>
      <c r="G364" s="2306">
        <v>0</v>
      </c>
      <c r="H364" s="2306">
        <v>0</v>
      </c>
      <c r="I364" s="2306">
        <v>0</v>
      </c>
      <c r="J364" s="2296" t="s">
        <v>1170</v>
      </c>
    </row>
    <row r="365" spans="1:10" ht="51.75" customHeight="1">
      <c r="A365" s="2303">
        <v>287648</v>
      </c>
      <c r="B365" s="2304">
        <v>100.12</v>
      </c>
      <c r="C365" s="2305" t="s">
        <v>1576</v>
      </c>
      <c r="D365" s="2298"/>
      <c r="E365" s="2306">
        <v>-165796539</v>
      </c>
      <c r="F365" s="2306">
        <f t="shared" si="4"/>
        <v>-165796539</v>
      </c>
      <c r="G365" s="2306">
        <v>0</v>
      </c>
      <c r="H365" s="2306">
        <v>0</v>
      </c>
      <c r="I365" s="2306">
        <v>0</v>
      </c>
      <c r="J365" s="2296" t="s">
        <v>1228</v>
      </c>
    </row>
    <row r="366" spans="1:10" ht="38.25">
      <c r="A366" s="2303">
        <v>287946</v>
      </c>
      <c r="B366" s="2304">
        <v>100.105</v>
      </c>
      <c r="C366" s="2305" t="s">
        <v>1780</v>
      </c>
      <c r="D366" s="2298"/>
      <c r="E366" s="2306">
        <v>0</v>
      </c>
      <c r="F366" s="2306">
        <f t="shared" si="4"/>
        <v>0</v>
      </c>
      <c r="G366" s="2306">
        <v>0</v>
      </c>
      <c r="H366" s="2306">
        <v>0</v>
      </c>
      <c r="I366" s="2306">
        <v>0</v>
      </c>
      <c r="J366" s="2296" t="s">
        <v>1781</v>
      </c>
    </row>
    <row r="367" spans="1:10" ht="51">
      <c r="A367" s="2303">
        <v>287840</v>
      </c>
      <c r="B367" s="2304">
        <v>415.41</v>
      </c>
      <c r="C367" s="2305" t="s">
        <v>1782</v>
      </c>
      <c r="D367" s="2298"/>
      <c r="E367" s="2306">
        <v>-91185789</v>
      </c>
      <c r="F367" s="2306">
        <f t="shared" si="4"/>
        <v>-91185789</v>
      </c>
      <c r="G367" s="2306">
        <v>0</v>
      </c>
      <c r="H367" s="2306">
        <v>0</v>
      </c>
      <c r="I367" s="2306">
        <v>0</v>
      </c>
      <c r="J367" s="2296" t="s">
        <v>1783</v>
      </c>
    </row>
    <row r="368" spans="1:10" ht="38.25">
      <c r="A368" s="2303">
        <v>287634</v>
      </c>
      <c r="B368" s="2304">
        <v>415.3</v>
      </c>
      <c r="C368" s="2305" t="s">
        <v>1577</v>
      </c>
      <c r="D368" s="2298"/>
      <c r="E368" s="2306">
        <v>-17501976</v>
      </c>
      <c r="F368" s="2306">
        <f t="shared" si="4"/>
        <v>-17501976</v>
      </c>
      <c r="G368" s="2306">
        <v>0</v>
      </c>
      <c r="H368" s="2306">
        <v>0</v>
      </c>
      <c r="I368" s="2306">
        <v>0</v>
      </c>
      <c r="J368" s="2296" t="s">
        <v>1266</v>
      </c>
    </row>
    <row r="369" spans="1:10" ht="27" customHeight="1">
      <c r="A369" s="2303">
        <v>287591</v>
      </c>
      <c r="B369" s="2304">
        <v>415.30099999999999</v>
      </c>
      <c r="C369" s="2305" t="s">
        <v>1578</v>
      </c>
      <c r="D369" s="2298"/>
      <c r="E369" s="2306">
        <v>616855</v>
      </c>
      <c r="F369" s="2306">
        <f t="shared" si="4"/>
        <v>616855</v>
      </c>
      <c r="G369" s="2306">
        <v>0</v>
      </c>
      <c r="H369" s="2306">
        <v>0</v>
      </c>
      <c r="I369" s="2306">
        <v>0</v>
      </c>
      <c r="J369" s="2296" t="s">
        <v>1264</v>
      </c>
    </row>
    <row r="370" spans="1:10" ht="25.5">
      <c r="A370" s="2303">
        <v>287738</v>
      </c>
      <c r="B370" s="2304">
        <v>320.27</v>
      </c>
      <c r="C370" s="2305" t="s">
        <v>1579</v>
      </c>
      <c r="D370" s="2298"/>
      <c r="E370" s="2306">
        <v>-180677865</v>
      </c>
      <c r="F370" s="2306">
        <f t="shared" si="4"/>
        <v>-180677865</v>
      </c>
      <c r="G370" s="2306">
        <v>0</v>
      </c>
      <c r="H370" s="2306">
        <v>0</v>
      </c>
      <c r="I370" s="2306">
        <v>0</v>
      </c>
      <c r="J370" s="2296" t="s">
        <v>1273</v>
      </c>
    </row>
    <row r="371" spans="1:10" ht="25.5">
      <c r="A371" s="2303">
        <v>287739</v>
      </c>
      <c r="B371" s="2304">
        <v>320.27999999999997</v>
      </c>
      <c r="C371" s="2305" t="s">
        <v>1580</v>
      </c>
      <c r="D371" s="2298"/>
      <c r="E371" s="2306">
        <v>-6352161</v>
      </c>
      <c r="F371" s="2306">
        <f t="shared" si="4"/>
        <v>-6352161</v>
      </c>
      <c r="G371" s="2306">
        <v>0</v>
      </c>
      <c r="H371" s="2306">
        <v>0</v>
      </c>
      <c r="I371" s="2306">
        <v>0</v>
      </c>
      <c r="J371" s="2296" t="s">
        <v>1274</v>
      </c>
    </row>
    <row r="372" spans="1:10" ht="63.75" customHeight="1">
      <c r="A372" s="2303">
        <v>137328</v>
      </c>
      <c r="B372" s="2304">
        <v>425.10199999999998</v>
      </c>
      <c r="C372" s="2305" t="s">
        <v>1581</v>
      </c>
      <c r="D372" s="2298"/>
      <c r="E372" s="2306">
        <v>0</v>
      </c>
      <c r="F372" s="2306">
        <f t="shared" si="4"/>
        <v>0</v>
      </c>
      <c r="G372" s="2306">
        <v>0</v>
      </c>
      <c r="H372" s="2306">
        <v>0</v>
      </c>
      <c r="I372" s="2306">
        <v>0</v>
      </c>
      <c r="J372" s="2299" t="s">
        <v>1582</v>
      </c>
    </row>
    <row r="373" spans="1:10" ht="63" customHeight="1">
      <c r="A373" s="2303">
        <v>287975</v>
      </c>
      <c r="B373" s="2304">
        <v>415.65499999999997</v>
      </c>
      <c r="C373" s="2305" t="s">
        <v>1867</v>
      </c>
      <c r="D373" s="2298"/>
      <c r="E373" s="2306">
        <v>-302328</v>
      </c>
      <c r="F373" s="2306">
        <f t="shared" si="4"/>
        <v>-302328</v>
      </c>
      <c r="G373" s="2306">
        <v>0</v>
      </c>
      <c r="H373" s="2306">
        <v>0</v>
      </c>
      <c r="I373" s="2306">
        <v>0</v>
      </c>
      <c r="J373" s="2299" t="s">
        <v>1866</v>
      </c>
    </row>
    <row r="374" spans="1:10" ht="27" customHeight="1">
      <c r="A374" s="2303">
        <v>287597</v>
      </c>
      <c r="B374" s="2304">
        <v>415.70299999999997</v>
      </c>
      <c r="C374" s="2305" t="s">
        <v>1583</v>
      </c>
      <c r="D374" s="2298"/>
      <c r="E374" s="2306">
        <v>-145162</v>
      </c>
      <c r="F374" s="2306">
        <f t="shared" si="4"/>
        <v>-145162</v>
      </c>
      <c r="G374" s="2306">
        <v>0</v>
      </c>
      <c r="H374" s="2306">
        <v>0</v>
      </c>
      <c r="I374" s="2306">
        <v>0</v>
      </c>
      <c r="J374" s="2296" t="s">
        <v>1265</v>
      </c>
    </row>
    <row r="375" spans="1:10" ht="12.75">
      <c r="A375" s="2303">
        <v>287897</v>
      </c>
      <c r="B375" s="2304">
        <v>425.4</v>
      </c>
      <c r="C375" s="2305" t="s">
        <v>1584</v>
      </c>
      <c r="D375" s="2298"/>
      <c r="E375" s="2306">
        <v>-9931905</v>
      </c>
      <c r="F375" s="2306">
        <f t="shared" si="4"/>
        <v>-9931905</v>
      </c>
      <c r="G375" s="2306">
        <v>0</v>
      </c>
      <c r="H375" s="2306">
        <v>0</v>
      </c>
      <c r="I375" s="2306">
        <v>0</v>
      </c>
      <c r="J375" s="2296" t="s">
        <v>1306</v>
      </c>
    </row>
    <row r="376" spans="1:10" ht="25.5">
      <c r="A376" s="2303">
        <v>287571</v>
      </c>
      <c r="B376" s="2304">
        <v>415.702</v>
      </c>
      <c r="C376" s="2305" t="s">
        <v>1585</v>
      </c>
      <c r="D376" s="2298"/>
      <c r="E376" s="2306">
        <v>-329321</v>
      </c>
      <c r="F376" s="2306">
        <f t="shared" si="4"/>
        <v>-329321</v>
      </c>
      <c r="G376" s="2306">
        <v>0</v>
      </c>
      <c r="H376" s="2306">
        <v>0</v>
      </c>
      <c r="I376" s="2306">
        <v>0</v>
      </c>
      <c r="J376" s="2296" t="s">
        <v>1257</v>
      </c>
    </row>
    <row r="377" spans="1:10" ht="51">
      <c r="A377" s="2303">
        <v>287903</v>
      </c>
      <c r="B377" s="2304">
        <v>415.87900000000002</v>
      </c>
      <c r="C377" s="2305" t="s">
        <v>1586</v>
      </c>
      <c r="D377" s="2298"/>
      <c r="E377" s="2306">
        <v>-38990</v>
      </c>
      <c r="F377" s="2306">
        <f t="shared" si="4"/>
        <v>-38990</v>
      </c>
      <c r="G377" s="2306">
        <v>0</v>
      </c>
      <c r="H377" s="2306">
        <v>0</v>
      </c>
      <c r="I377" s="2306">
        <v>0</v>
      </c>
      <c r="J377" s="2299" t="s">
        <v>1587</v>
      </c>
    </row>
    <row r="378" spans="1:10" ht="25.5">
      <c r="A378" s="2303">
        <v>287979</v>
      </c>
      <c r="B378" s="2304">
        <v>415.91699999999997</v>
      </c>
      <c r="C378" s="2305" t="s">
        <v>1588</v>
      </c>
      <c r="D378" s="2298"/>
      <c r="E378" s="2306">
        <v>0</v>
      </c>
      <c r="F378" s="2306">
        <f t="shared" si="4"/>
        <v>0</v>
      </c>
      <c r="G378" s="2306">
        <v>0</v>
      </c>
      <c r="H378" s="2306">
        <v>0</v>
      </c>
      <c r="I378" s="2306">
        <v>0</v>
      </c>
      <c r="J378" s="2299" t="s">
        <v>1589</v>
      </c>
    </row>
    <row r="379" spans="1:10" ht="15" customHeight="1">
      <c r="A379" s="2303">
        <v>287974</v>
      </c>
      <c r="B379" s="2304">
        <v>415.916</v>
      </c>
      <c r="C379" s="2305" t="s">
        <v>1590</v>
      </c>
      <c r="D379" s="2298"/>
      <c r="E379" s="2306">
        <v>0</v>
      </c>
      <c r="F379" s="2306">
        <f t="shared" si="4"/>
        <v>0</v>
      </c>
      <c r="G379" s="2306">
        <v>0</v>
      </c>
      <c r="H379" s="2306">
        <v>0</v>
      </c>
      <c r="I379" s="2306">
        <v>0</v>
      </c>
      <c r="J379" s="2296" t="s">
        <v>1313</v>
      </c>
    </row>
    <row r="380" spans="1:10" ht="14.25" customHeight="1">
      <c r="A380" s="2303">
        <v>287968</v>
      </c>
      <c r="B380" s="2304">
        <v>415.91399999999999</v>
      </c>
      <c r="C380" s="2305" t="s">
        <v>1591</v>
      </c>
      <c r="D380" s="2298"/>
      <c r="E380" s="2306">
        <v>0</v>
      </c>
      <c r="F380" s="2306">
        <f t="shared" si="4"/>
        <v>0</v>
      </c>
      <c r="G380" s="2306">
        <v>0</v>
      </c>
      <c r="H380" s="2306">
        <v>0</v>
      </c>
      <c r="I380" s="2306">
        <v>0</v>
      </c>
      <c r="J380" s="2296" t="s">
        <v>1310</v>
      </c>
    </row>
    <row r="381" spans="1:10" ht="14.25" customHeight="1">
      <c r="A381" s="2303">
        <v>287969</v>
      </c>
      <c r="B381" s="2304">
        <v>415.91500000000002</v>
      </c>
      <c r="C381" s="2305" t="s">
        <v>1592</v>
      </c>
      <c r="D381" s="2298"/>
      <c r="E381" s="2306">
        <v>0</v>
      </c>
      <c r="F381" s="2306">
        <f t="shared" si="4"/>
        <v>0</v>
      </c>
      <c r="G381" s="2306">
        <v>0</v>
      </c>
      <c r="H381" s="2306">
        <v>0</v>
      </c>
      <c r="I381" s="2306">
        <v>0</v>
      </c>
      <c r="J381" s="2296" t="s">
        <v>1311</v>
      </c>
    </row>
    <row r="382" spans="1:10" ht="40.5" customHeight="1">
      <c r="A382" s="2303">
        <v>287977</v>
      </c>
      <c r="B382" s="2304">
        <v>415.88499999999999</v>
      </c>
      <c r="C382" s="2305" t="s">
        <v>1593</v>
      </c>
      <c r="D382" s="2298"/>
      <c r="E382" s="2306">
        <v>0</v>
      </c>
      <c r="F382" s="2306">
        <f t="shared" si="4"/>
        <v>0</v>
      </c>
      <c r="G382" s="2306">
        <v>0</v>
      </c>
      <c r="H382" s="2306">
        <v>0</v>
      </c>
      <c r="I382" s="2306">
        <v>0</v>
      </c>
      <c r="J382" s="2299" t="s">
        <v>1657</v>
      </c>
    </row>
    <row r="383" spans="1:10" ht="25.5">
      <c r="A383" s="2303">
        <v>137230</v>
      </c>
      <c r="B383" s="2304">
        <v>425.10399999999998</v>
      </c>
      <c r="C383" s="2305" t="s">
        <v>1594</v>
      </c>
      <c r="D383" s="2298"/>
      <c r="E383" s="2306">
        <v>0</v>
      </c>
      <c r="F383" s="2306">
        <f t="shared" si="4"/>
        <v>0</v>
      </c>
      <c r="G383" s="2306">
        <v>0</v>
      </c>
      <c r="H383" s="2306">
        <v>0</v>
      </c>
      <c r="I383" s="2306">
        <v>0</v>
      </c>
      <c r="J383" s="2299" t="s">
        <v>1965</v>
      </c>
    </row>
    <row r="384" spans="1:10" ht="25.5">
      <c r="A384" s="2303">
        <v>287919</v>
      </c>
      <c r="B384" s="2304">
        <v>425.10500000000002</v>
      </c>
      <c r="C384" s="2305" t="s">
        <v>1595</v>
      </c>
      <c r="D384" s="2298"/>
      <c r="E384" s="2306">
        <v>0</v>
      </c>
      <c r="F384" s="2306">
        <f t="shared" si="4"/>
        <v>0</v>
      </c>
      <c r="G384" s="2306">
        <v>0</v>
      </c>
      <c r="H384" s="2306">
        <v>0</v>
      </c>
      <c r="I384" s="2306">
        <v>0</v>
      </c>
      <c r="J384" s="2299" t="s">
        <v>1966</v>
      </c>
    </row>
    <row r="385" spans="1:10" ht="38.25">
      <c r="A385" s="2303">
        <v>137509</v>
      </c>
      <c r="B385" s="2304">
        <v>415.58499999999998</v>
      </c>
      <c r="C385" s="2305" t="s">
        <v>1784</v>
      </c>
      <c r="D385" s="2298"/>
      <c r="E385" s="2306">
        <v>0</v>
      </c>
      <c r="F385" s="2306">
        <f>E385</f>
        <v>0</v>
      </c>
      <c r="G385" s="2306">
        <v>0</v>
      </c>
      <c r="H385" s="2306">
        <v>0</v>
      </c>
      <c r="I385" s="2306">
        <v>0</v>
      </c>
      <c r="J385" s="2299" t="s">
        <v>1785</v>
      </c>
    </row>
    <row r="386" spans="1:10" ht="38.25">
      <c r="A386" s="2303">
        <v>287904</v>
      </c>
      <c r="B386" s="2304">
        <v>415.84500000000003</v>
      </c>
      <c r="C386" s="2305" t="s">
        <v>1596</v>
      </c>
      <c r="D386" s="2298"/>
      <c r="E386" s="2306">
        <v>0</v>
      </c>
      <c r="F386" s="2306">
        <f>E386</f>
        <v>0</v>
      </c>
      <c r="G386" s="2306">
        <v>0</v>
      </c>
      <c r="H386" s="2306">
        <v>0</v>
      </c>
      <c r="I386" s="2306">
        <v>0</v>
      </c>
      <c r="J386" s="2299" t="s">
        <v>1597</v>
      </c>
    </row>
    <row r="387" spans="1:10" ht="25.5">
      <c r="A387" s="2303">
        <v>287942</v>
      </c>
      <c r="B387" s="2304">
        <v>430.11200000000002</v>
      </c>
      <c r="C387" s="2305" t="s">
        <v>1598</v>
      </c>
      <c r="D387" s="2298"/>
      <c r="E387" s="2306">
        <v>-27905</v>
      </c>
      <c r="F387" s="2306">
        <f>E387</f>
        <v>-27905</v>
      </c>
      <c r="G387" s="2306">
        <v>0</v>
      </c>
      <c r="H387" s="2306">
        <v>0</v>
      </c>
      <c r="I387" s="2306">
        <v>0</v>
      </c>
      <c r="J387" s="2296" t="s">
        <v>1170</v>
      </c>
    </row>
    <row r="388" spans="1:10" ht="38.25">
      <c r="A388" s="2303">
        <v>287579</v>
      </c>
      <c r="B388" s="2304">
        <v>415.822</v>
      </c>
      <c r="C388" s="2305" t="s">
        <v>1599</v>
      </c>
      <c r="D388" s="2298"/>
      <c r="E388" s="2306">
        <v>-214937</v>
      </c>
      <c r="F388" s="2306">
        <f>E388</f>
        <v>-214937</v>
      </c>
      <c r="G388" s="2306">
        <v>0</v>
      </c>
      <c r="H388" s="2306">
        <v>0</v>
      </c>
      <c r="I388" s="2306">
        <v>0</v>
      </c>
      <c r="J388" s="2296" t="s">
        <v>1259</v>
      </c>
    </row>
    <row r="389" spans="1:10" ht="25.5">
      <c r="A389" s="2303">
        <v>287972</v>
      </c>
      <c r="B389" s="2304">
        <v>320.28500000000003</v>
      </c>
      <c r="C389" s="2305" t="s">
        <v>1600</v>
      </c>
      <c r="D389" s="2298"/>
      <c r="E389" s="2306">
        <v>-1296870</v>
      </c>
      <c r="F389" s="2306">
        <v>0</v>
      </c>
      <c r="G389" s="2306">
        <v>0</v>
      </c>
      <c r="H389" s="2306">
        <v>0</v>
      </c>
      <c r="I389" s="2306">
        <f>E389</f>
        <v>-1296870</v>
      </c>
      <c r="J389" s="2296" t="s">
        <v>1312</v>
      </c>
    </row>
    <row r="390" spans="1:10" ht="38.25">
      <c r="A390" s="2303">
        <v>287675</v>
      </c>
      <c r="B390" s="2304">
        <v>740.1</v>
      </c>
      <c r="C390" s="2305" t="s">
        <v>1601</v>
      </c>
      <c r="D390" s="2298"/>
      <c r="E390" s="2306">
        <v>-2410570</v>
      </c>
      <c r="F390" s="2306">
        <f t="shared" ref="F390:F429" si="6">E390</f>
        <v>-2410570</v>
      </c>
      <c r="G390" s="2306">
        <v>0</v>
      </c>
      <c r="H390" s="2306">
        <v>0</v>
      </c>
      <c r="I390" s="2306">
        <v>0</v>
      </c>
      <c r="J390" s="2296" t="s">
        <v>1300</v>
      </c>
    </row>
    <row r="391" spans="1:10" ht="38.25">
      <c r="A391" s="2303">
        <v>287588</v>
      </c>
      <c r="B391" s="2304">
        <v>415.83100000000002</v>
      </c>
      <c r="C391" s="2305" t="s">
        <v>1602</v>
      </c>
      <c r="D391" s="2298"/>
      <c r="E391" s="2306">
        <v>-19910</v>
      </c>
      <c r="F391" s="2306">
        <f t="shared" si="6"/>
        <v>-19910</v>
      </c>
      <c r="G391" s="2306">
        <v>0</v>
      </c>
      <c r="H391" s="2306">
        <v>0</v>
      </c>
      <c r="I391" s="2306">
        <v>0</v>
      </c>
      <c r="J391" s="2296" t="s">
        <v>1263</v>
      </c>
    </row>
    <row r="392" spans="1:10" ht="38.25">
      <c r="A392" s="2303">
        <v>287584</v>
      </c>
      <c r="B392" s="2304">
        <v>415.827</v>
      </c>
      <c r="C392" s="2305" t="s">
        <v>1603</v>
      </c>
      <c r="D392" s="2298"/>
      <c r="E392" s="2306">
        <v>-219775</v>
      </c>
      <c r="F392" s="2306">
        <f t="shared" si="6"/>
        <v>-219775</v>
      </c>
      <c r="G392" s="2306">
        <v>0</v>
      </c>
      <c r="H392" s="2306">
        <v>0</v>
      </c>
      <c r="I392" s="2306">
        <v>0</v>
      </c>
      <c r="J392" s="2296" t="s">
        <v>1261</v>
      </c>
    </row>
    <row r="393" spans="1:10" ht="38.25">
      <c r="A393" s="2303">
        <v>287586</v>
      </c>
      <c r="B393" s="2304">
        <v>415.82900000000001</v>
      </c>
      <c r="C393" s="2305" t="s">
        <v>1604</v>
      </c>
      <c r="D393" s="2298"/>
      <c r="E393" s="2306">
        <v>-211500</v>
      </c>
      <c r="F393" s="2306">
        <f t="shared" si="6"/>
        <v>-211500</v>
      </c>
      <c r="G393" s="2306">
        <v>0</v>
      </c>
      <c r="H393" s="2306">
        <v>0</v>
      </c>
      <c r="I393" s="2306">
        <v>0</v>
      </c>
      <c r="J393" s="2296" t="s">
        <v>1262</v>
      </c>
    </row>
    <row r="394" spans="1:10" ht="51.75" customHeight="1">
      <c r="A394" s="2303">
        <v>287779</v>
      </c>
      <c r="B394" s="2304">
        <v>415.85</v>
      </c>
      <c r="C394" s="2305" t="s">
        <v>1605</v>
      </c>
      <c r="D394" s="2298"/>
      <c r="E394" s="2306">
        <v>0</v>
      </c>
      <c r="F394" s="2306">
        <f t="shared" si="6"/>
        <v>0</v>
      </c>
      <c r="G394" s="2306">
        <v>0</v>
      </c>
      <c r="H394" s="2306">
        <v>0</v>
      </c>
      <c r="I394" s="2306">
        <v>0</v>
      </c>
      <c r="J394" s="2296" t="s">
        <v>1276</v>
      </c>
    </row>
    <row r="395" spans="1:10" ht="63.75">
      <c r="A395" s="2303">
        <v>287864</v>
      </c>
      <c r="B395" s="2304">
        <v>415.85199999999998</v>
      </c>
      <c r="C395" s="2305" t="s">
        <v>1606</v>
      </c>
      <c r="D395" s="2298"/>
      <c r="E395" s="2306">
        <v>-49392</v>
      </c>
      <c r="F395" s="2306">
        <f t="shared" si="6"/>
        <v>-49392</v>
      </c>
      <c r="G395" s="2306">
        <v>0</v>
      </c>
      <c r="H395" s="2306">
        <v>0</v>
      </c>
      <c r="I395" s="2306">
        <v>0</v>
      </c>
      <c r="J395" s="2296" t="s">
        <v>1279</v>
      </c>
    </row>
    <row r="396" spans="1:10" ht="63.75">
      <c r="A396" s="2303">
        <v>287866</v>
      </c>
      <c r="B396" s="2304">
        <v>415.85399999999998</v>
      </c>
      <c r="C396" s="2305" t="s">
        <v>1607</v>
      </c>
      <c r="D396" s="2298"/>
      <c r="E396" s="2306">
        <v>0</v>
      </c>
      <c r="F396" s="2306">
        <f t="shared" si="6"/>
        <v>0</v>
      </c>
      <c r="G396" s="2306">
        <v>0</v>
      </c>
      <c r="H396" s="2306">
        <v>0</v>
      </c>
      <c r="I396" s="2306">
        <v>0</v>
      </c>
      <c r="J396" s="2296" t="s">
        <v>1280</v>
      </c>
    </row>
    <row r="397" spans="1:10" ht="25.5">
      <c r="A397" s="2303">
        <v>287858</v>
      </c>
      <c r="B397" s="2304">
        <v>415.67599999999999</v>
      </c>
      <c r="C397" s="2305" t="s">
        <v>1786</v>
      </c>
      <c r="D397" s="2298"/>
      <c r="E397" s="2306">
        <v>-88600</v>
      </c>
      <c r="F397" s="2306">
        <f t="shared" si="6"/>
        <v>-88600</v>
      </c>
      <c r="G397" s="2306">
        <v>0</v>
      </c>
      <c r="H397" s="2306">
        <v>0</v>
      </c>
      <c r="I397" s="2306">
        <v>0</v>
      </c>
      <c r="J397" s="2296" t="s">
        <v>1787</v>
      </c>
    </row>
    <row r="398" spans="1:10" ht="25.5">
      <c r="A398" s="2303">
        <v>287996</v>
      </c>
      <c r="B398" s="2304">
        <v>415.67500000000001</v>
      </c>
      <c r="C398" s="2305" t="s">
        <v>1788</v>
      </c>
      <c r="D398" s="2298"/>
      <c r="E398" s="2306">
        <v>-257095</v>
      </c>
      <c r="F398" s="2306">
        <f t="shared" si="6"/>
        <v>-257095</v>
      </c>
      <c r="G398" s="2306">
        <v>0</v>
      </c>
      <c r="H398" s="2306">
        <v>0</v>
      </c>
      <c r="I398" s="2306">
        <v>0</v>
      </c>
      <c r="J398" s="2296" t="s">
        <v>1789</v>
      </c>
    </row>
    <row r="399" spans="1:10" ht="25.5" customHeight="1">
      <c r="A399" s="2303">
        <v>287601</v>
      </c>
      <c r="B399" s="2304">
        <v>415.67700000000002</v>
      </c>
      <c r="C399" s="2305" t="s">
        <v>1865</v>
      </c>
      <c r="D399" s="2298"/>
      <c r="E399" s="2306">
        <v>-41276</v>
      </c>
      <c r="F399" s="2306">
        <f t="shared" si="6"/>
        <v>-41276</v>
      </c>
      <c r="G399" s="2306">
        <v>0</v>
      </c>
      <c r="H399" s="2306">
        <v>0</v>
      </c>
      <c r="I399" s="2306">
        <v>0</v>
      </c>
      <c r="J399" s="2297" t="s">
        <v>1864</v>
      </c>
    </row>
    <row r="400" spans="1:10" ht="25.5">
      <c r="A400" s="2303">
        <v>287932</v>
      </c>
      <c r="B400" s="2304">
        <v>415.89400000000001</v>
      </c>
      <c r="C400" s="2305" t="s">
        <v>1863</v>
      </c>
      <c r="D400" s="2298"/>
      <c r="E400" s="2306">
        <v>-18715</v>
      </c>
      <c r="F400" s="2306">
        <f t="shared" si="6"/>
        <v>-18715</v>
      </c>
      <c r="G400" s="2306">
        <v>0</v>
      </c>
      <c r="H400" s="2306">
        <v>0</v>
      </c>
      <c r="I400" s="2306">
        <v>0</v>
      </c>
      <c r="J400" s="2297" t="s">
        <v>1862</v>
      </c>
    </row>
    <row r="401" spans="1:10" ht="38.25">
      <c r="A401" s="2303">
        <v>137313</v>
      </c>
      <c r="B401" s="2304">
        <v>415.90499999999997</v>
      </c>
      <c r="C401" s="2305" t="s">
        <v>1608</v>
      </c>
      <c r="D401" s="2298"/>
      <c r="E401" s="2306">
        <v>0</v>
      </c>
      <c r="F401" s="2306">
        <f t="shared" si="6"/>
        <v>0</v>
      </c>
      <c r="G401" s="2306">
        <v>0</v>
      </c>
      <c r="H401" s="2306">
        <v>0</v>
      </c>
      <c r="I401" s="2306">
        <v>0</v>
      </c>
      <c r="J401" s="2299" t="s">
        <v>1806</v>
      </c>
    </row>
    <row r="402" spans="1:10" ht="38.25">
      <c r="A402" s="2303">
        <v>287978</v>
      </c>
      <c r="B402" s="2304">
        <v>415.90600000000001</v>
      </c>
      <c r="C402" s="2305" t="s">
        <v>1609</v>
      </c>
      <c r="D402" s="2298"/>
      <c r="E402" s="2306">
        <v>0</v>
      </c>
      <c r="F402" s="2306">
        <f t="shared" si="6"/>
        <v>0</v>
      </c>
      <c r="G402" s="2306">
        <v>0</v>
      </c>
      <c r="H402" s="2306">
        <v>0</v>
      </c>
      <c r="I402" s="2306">
        <v>0</v>
      </c>
      <c r="J402" s="2299" t="s">
        <v>1807</v>
      </c>
    </row>
    <row r="403" spans="1:10" ht="41.25" customHeight="1">
      <c r="A403" s="2303">
        <v>137314</v>
      </c>
      <c r="B403" s="2304">
        <v>415.90199999999999</v>
      </c>
      <c r="C403" s="2305" t="s">
        <v>1610</v>
      </c>
      <c r="D403" s="2298"/>
      <c r="E403" s="2306">
        <v>0</v>
      </c>
      <c r="F403" s="2306">
        <f t="shared" si="6"/>
        <v>0</v>
      </c>
      <c r="G403" s="2306">
        <v>0</v>
      </c>
      <c r="H403" s="2306">
        <v>0</v>
      </c>
      <c r="I403" s="2306">
        <v>0</v>
      </c>
      <c r="J403" s="2299" t="s">
        <v>1658</v>
      </c>
    </row>
    <row r="404" spans="1:10" ht="38.25">
      <c r="A404" s="2303">
        <v>287887</v>
      </c>
      <c r="B404" s="2304">
        <v>415.88099999999997</v>
      </c>
      <c r="C404" s="2305" t="s">
        <v>1611</v>
      </c>
      <c r="D404" s="2298"/>
      <c r="E404" s="2306">
        <v>-4309106</v>
      </c>
      <c r="F404" s="2306">
        <f t="shared" si="6"/>
        <v>-4309106</v>
      </c>
      <c r="G404" s="2306">
        <v>0</v>
      </c>
      <c r="H404" s="2306">
        <v>0</v>
      </c>
      <c r="I404" s="2306">
        <v>0</v>
      </c>
      <c r="J404" s="2299" t="s">
        <v>1659</v>
      </c>
    </row>
    <row r="405" spans="1:10" ht="38.25">
      <c r="A405" s="2303">
        <v>137315</v>
      </c>
      <c r="B405" s="2304">
        <v>415.90300000000002</v>
      </c>
      <c r="C405" s="2305" t="s">
        <v>1790</v>
      </c>
      <c r="D405" s="2298"/>
      <c r="E405" s="2306">
        <v>0</v>
      </c>
      <c r="F405" s="2306">
        <f t="shared" si="6"/>
        <v>0</v>
      </c>
      <c r="G405" s="2306">
        <v>0</v>
      </c>
      <c r="H405" s="2306">
        <v>0</v>
      </c>
      <c r="I405" s="2306">
        <v>0</v>
      </c>
      <c r="J405" s="2299" t="s">
        <v>1791</v>
      </c>
    </row>
    <row r="406" spans="1:10" ht="38.25">
      <c r="A406" s="2303">
        <v>287888</v>
      </c>
      <c r="B406" s="2304">
        <v>415.88200000000001</v>
      </c>
      <c r="C406" s="2305" t="s">
        <v>1792</v>
      </c>
      <c r="D406" s="2298"/>
      <c r="E406" s="2306">
        <v>-1203000</v>
      </c>
      <c r="F406" s="2306">
        <f t="shared" si="6"/>
        <v>-1203000</v>
      </c>
      <c r="G406" s="2306">
        <v>0</v>
      </c>
      <c r="H406" s="2306">
        <v>0</v>
      </c>
      <c r="I406" s="2306">
        <v>0</v>
      </c>
      <c r="J406" s="2299" t="s">
        <v>1793</v>
      </c>
    </row>
    <row r="407" spans="1:10" ht="38.25">
      <c r="A407" s="2303">
        <v>137316</v>
      </c>
      <c r="B407" s="2304">
        <v>415.904</v>
      </c>
      <c r="C407" s="2305" t="s">
        <v>1612</v>
      </c>
      <c r="D407" s="2298"/>
      <c r="E407" s="2306">
        <v>0</v>
      </c>
      <c r="F407" s="2306">
        <f t="shared" si="6"/>
        <v>0</v>
      </c>
      <c r="G407" s="2306">
        <v>0</v>
      </c>
      <c r="H407" s="2306">
        <v>0</v>
      </c>
      <c r="I407" s="2306">
        <v>0</v>
      </c>
      <c r="J407" s="2299" t="s">
        <v>1660</v>
      </c>
    </row>
    <row r="408" spans="1:10" ht="38.25">
      <c r="A408" s="2303">
        <v>287889</v>
      </c>
      <c r="B408" s="2304">
        <v>415.88299999999998</v>
      </c>
      <c r="C408" s="2305" t="s">
        <v>1613</v>
      </c>
      <c r="D408" s="2298"/>
      <c r="E408" s="2306">
        <v>-232974</v>
      </c>
      <c r="F408" s="2306">
        <f t="shared" si="6"/>
        <v>-232974</v>
      </c>
      <c r="G408" s="2306">
        <v>0</v>
      </c>
      <c r="H408" s="2306">
        <v>0</v>
      </c>
      <c r="I408" s="2306">
        <v>0</v>
      </c>
      <c r="J408" s="2299" t="s">
        <v>1661</v>
      </c>
    </row>
    <row r="409" spans="1:10" ht="27" customHeight="1">
      <c r="A409" s="2303">
        <v>137323</v>
      </c>
      <c r="B409" s="2304">
        <v>415.90800000000002</v>
      </c>
      <c r="C409" s="2305" t="s">
        <v>1614</v>
      </c>
      <c r="D409" s="2298"/>
      <c r="E409" s="2306">
        <v>0</v>
      </c>
      <c r="F409" s="2306">
        <f t="shared" si="6"/>
        <v>0</v>
      </c>
      <c r="G409" s="2306">
        <v>0</v>
      </c>
      <c r="H409" s="2306">
        <v>0</v>
      </c>
      <c r="I409" s="2306">
        <v>0</v>
      </c>
      <c r="J409" s="2299" t="s">
        <v>1615</v>
      </c>
    </row>
    <row r="410" spans="1:10" ht="37.5" customHeight="1">
      <c r="A410" s="2303">
        <v>287871</v>
      </c>
      <c r="B410" s="2304">
        <v>415.86599999999999</v>
      </c>
      <c r="C410" s="2305" t="s">
        <v>1616</v>
      </c>
      <c r="D410" s="2298"/>
      <c r="E410" s="2306">
        <v>-2025105</v>
      </c>
      <c r="F410" s="2306">
        <f t="shared" si="6"/>
        <v>-2025105</v>
      </c>
      <c r="G410" s="2306">
        <v>0</v>
      </c>
      <c r="H410" s="2306">
        <v>0</v>
      </c>
      <c r="I410" s="2306">
        <v>0</v>
      </c>
      <c r="J410" s="2299" t="s">
        <v>1617</v>
      </c>
    </row>
    <row r="411" spans="1:10" ht="51">
      <c r="A411" s="2303">
        <v>287881</v>
      </c>
      <c r="B411" s="2304">
        <v>415.70499999999998</v>
      </c>
      <c r="C411" s="2305" t="s">
        <v>1618</v>
      </c>
      <c r="D411" s="2298"/>
      <c r="E411" s="2306">
        <v>-1673</v>
      </c>
      <c r="F411" s="2306">
        <f t="shared" si="6"/>
        <v>-1673</v>
      </c>
      <c r="G411" s="2306">
        <v>0</v>
      </c>
      <c r="H411" s="2306">
        <v>0</v>
      </c>
      <c r="I411" s="2306">
        <v>0</v>
      </c>
      <c r="J411" s="2296" t="s">
        <v>1289</v>
      </c>
    </row>
    <row r="412" spans="1:10" ht="27" customHeight="1">
      <c r="A412" s="2303">
        <v>287899</v>
      </c>
      <c r="B412" s="2304">
        <v>415.87799999999999</v>
      </c>
      <c r="C412" s="2305" t="s">
        <v>1619</v>
      </c>
      <c r="D412" s="2298"/>
      <c r="E412" s="2306">
        <v>-239091</v>
      </c>
      <c r="F412" s="2306">
        <f t="shared" si="6"/>
        <v>-239091</v>
      </c>
      <c r="G412" s="2306">
        <v>0</v>
      </c>
      <c r="H412" s="2306">
        <v>0</v>
      </c>
      <c r="I412" s="2306">
        <v>0</v>
      </c>
      <c r="J412" s="2299" t="s">
        <v>1620</v>
      </c>
    </row>
    <row r="413" spans="1:10" ht="38.25">
      <c r="A413" s="2303">
        <v>287878</v>
      </c>
      <c r="B413" s="2304">
        <v>415.40600000000001</v>
      </c>
      <c r="C413" s="2305" t="s">
        <v>1621</v>
      </c>
      <c r="D413" s="2298"/>
      <c r="E413" s="2306">
        <v>0</v>
      </c>
      <c r="F413" s="2306">
        <f t="shared" si="6"/>
        <v>0</v>
      </c>
      <c r="G413" s="2306">
        <v>0</v>
      </c>
      <c r="H413" s="2306">
        <v>0</v>
      </c>
      <c r="I413" s="2306">
        <v>0</v>
      </c>
      <c r="J413" s="2296" t="s">
        <v>1287</v>
      </c>
    </row>
    <row r="414" spans="1:10" ht="12.75">
      <c r="A414" s="2303">
        <v>287906</v>
      </c>
      <c r="B414" s="2304">
        <v>415.863</v>
      </c>
      <c r="C414" s="2305" t="s">
        <v>1861</v>
      </c>
      <c r="D414" s="2298"/>
      <c r="E414" s="2306">
        <v>-8229</v>
      </c>
      <c r="F414" s="2306">
        <f t="shared" si="6"/>
        <v>-8229</v>
      </c>
      <c r="G414" s="2306">
        <v>0</v>
      </c>
      <c r="H414" s="2306">
        <v>0</v>
      </c>
      <c r="I414" s="2306">
        <v>0</v>
      </c>
      <c r="J414" s="2297" t="s">
        <v>1860</v>
      </c>
    </row>
    <row r="415" spans="1:10" ht="25.5">
      <c r="A415" s="2303">
        <v>287639</v>
      </c>
      <c r="B415" s="2304">
        <v>415.51</v>
      </c>
      <c r="C415" s="2305" t="s">
        <v>1622</v>
      </c>
      <c r="D415" s="2298"/>
      <c r="E415" s="2306">
        <v>-100691</v>
      </c>
      <c r="F415" s="2306">
        <f t="shared" si="6"/>
        <v>-100691</v>
      </c>
      <c r="G415" s="2306">
        <v>0</v>
      </c>
      <c r="H415" s="2306">
        <v>0</v>
      </c>
      <c r="I415" s="2306">
        <v>0</v>
      </c>
      <c r="J415" s="2296" t="s">
        <v>1268</v>
      </c>
    </row>
    <row r="416" spans="1:10" ht="63.75">
      <c r="A416" s="2303">
        <v>287872</v>
      </c>
      <c r="B416" s="2304">
        <v>720.84100000000001</v>
      </c>
      <c r="C416" s="2305" t="s">
        <v>1623</v>
      </c>
      <c r="D416" s="2298"/>
      <c r="E416" s="2306">
        <v>0</v>
      </c>
      <c r="F416" s="2306">
        <f t="shared" si="6"/>
        <v>0</v>
      </c>
      <c r="G416" s="2306">
        <v>0</v>
      </c>
      <c r="H416" s="2306">
        <v>0</v>
      </c>
      <c r="I416" s="2306">
        <v>0</v>
      </c>
      <c r="J416" s="2296" t="s">
        <v>1282</v>
      </c>
    </row>
    <row r="417" spans="1:10" ht="63.75">
      <c r="A417" s="2303">
        <v>287873</v>
      </c>
      <c r="B417" s="2304">
        <v>720.84199999999998</v>
      </c>
      <c r="C417" s="2305" t="s">
        <v>1624</v>
      </c>
      <c r="D417" s="2298"/>
      <c r="E417" s="2306">
        <v>0</v>
      </c>
      <c r="F417" s="2306">
        <f t="shared" si="6"/>
        <v>0</v>
      </c>
      <c r="G417" s="2306">
        <v>0</v>
      </c>
      <c r="H417" s="2306">
        <v>0</v>
      </c>
      <c r="I417" s="2306">
        <v>0</v>
      </c>
      <c r="J417" s="2296" t="s">
        <v>1283</v>
      </c>
    </row>
    <row r="418" spans="1:10" ht="38.25">
      <c r="A418" s="2303">
        <v>287857</v>
      </c>
      <c r="B418" s="2304">
        <v>415.54500000000002</v>
      </c>
      <c r="C418" s="2305" t="s">
        <v>1859</v>
      </c>
      <c r="D418" s="2298"/>
      <c r="E418" s="2306">
        <v>-61703</v>
      </c>
      <c r="F418" s="2306">
        <f t="shared" si="6"/>
        <v>-61703</v>
      </c>
      <c r="G418" s="2306">
        <v>0</v>
      </c>
      <c r="H418" s="2306">
        <v>0</v>
      </c>
      <c r="I418" s="2306">
        <v>0</v>
      </c>
      <c r="J418" s="2297" t="s">
        <v>1960</v>
      </c>
    </row>
    <row r="419" spans="1:10" ht="63.75">
      <c r="A419" s="2303">
        <v>287874</v>
      </c>
      <c r="B419" s="2304">
        <v>720.84299999999996</v>
      </c>
      <c r="C419" s="2305" t="s">
        <v>1625</v>
      </c>
      <c r="D419" s="2298"/>
      <c r="E419" s="2306">
        <v>-678813</v>
      </c>
      <c r="F419" s="2306">
        <f t="shared" si="6"/>
        <v>-678813</v>
      </c>
      <c r="G419" s="2306">
        <v>0</v>
      </c>
      <c r="H419" s="2306">
        <v>0</v>
      </c>
      <c r="I419" s="2306">
        <v>0</v>
      </c>
      <c r="J419" s="2296" t="s">
        <v>1284</v>
      </c>
    </row>
    <row r="420" spans="1:10" ht="63.75">
      <c r="A420" s="2303">
        <v>287875</v>
      </c>
      <c r="B420" s="2304">
        <v>720.84400000000005</v>
      </c>
      <c r="C420" s="2305" t="s">
        <v>1626</v>
      </c>
      <c r="D420" s="2298"/>
      <c r="E420" s="2306">
        <v>0</v>
      </c>
      <c r="F420" s="2306">
        <f t="shared" si="6"/>
        <v>0</v>
      </c>
      <c r="G420" s="2306">
        <v>0</v>
      </c>
      <c r="H420" s="2306">
        <v>0</v>
      </c>
      <c r="I420" s="2306">
        <v>0</v>
      </c>
      <c r="J420" s="2296" t="s">
        <v>1285</v>
      </c>
    </row>
    <row r="421" spans="1:10" ht="63.75">
      <c r="A421" s="2303">
        <v>287877</v>
      </c>
      <c r="B421" s="2304">
        <v>720.846</v>
      </c>
      <c r="C421" s="2305" t="s">
        <v>1627</v>
      </c>
      <c r="D421" s="2298"/>
      <c r="E421" s="2306">
        <v>0</v>
      </c>
      <c r="F421" s="2306">
        <f t="shared" si="6"/>
        <v>0</v>
      </c>
      <c r="G421" s="2306">
        <v>0</v>
      </c>
      <c r="H421" s="2306">
        <v>0</v>
      </c>
      <c r="I421" s="2306">
        <v>0</v>
      </c>
      <c r="J421" s="2296" t="s">
        <v>1286</v>
      </c>
    </row>
    <row r="422" spans="1:10" ht="25.5">
      <c r="A422" s="2303">
        <v>287918</v>
      </c>
      <c r="B422" s="2304">
        <v>705.4</v>
      </c>
      <c r="C422" s="2305" t="s">
        <v>1628</v>
      </c>
      <c r="D422" s="2298"/>
      <c r="E422" s="2306">
        <v>0</v>
      </c>
      <c r="F422" s="2306">
        <f t="shared" si="6"/>
        <v>0</v>
      </c>
      <c r="G422" s="2306">
        <v>0</v>
      </c>
      <c r="H422" s="2306">
        <v>0</v>
      </c>
      <c r="I422" s="2306">
        <v>0</v>
      </c>
      <c r="J422" s="2296" t="s">
        <v>1164</v>
      </c>
    </row>
    <row r="423" spans="1:10" ht="25.5">
      <c r="A423" s="2303">
        <v>287848</v>
      </c>
      <c r="B423" s="2304">
        <v>320.28100000000001</v>
      </c>
      <c r="C423" s="2305" t="s">
        <v>1858</v>
      </c>
      <c r="D423" s="2298"/>
      <c r="E423" s="2306">
        <v>-2859935</v>
      </c>
      <c r="F423" s="2306">
        <f t="shared" si="6"/>
        <v>-2859935</v>
      </c>
      <c r="G423" s="2306">
        <v>0</v>
      </c>
      <c r="H423" s="2306">
        <v>0</v>
      </c>
      <c r="I423" s="2306">
        <v>0</v>
      </c>
      <c r="J423" s="2297" t="s">
        <v>1857</v>
      </c>
    </row>
    <row r="424" spans="1:10" ht="38.25">
      <c r="A424" s="2303">
        <v>287933</v>
      </c>
      <c r="B424" s="2304">
        <v>320.28199999999998</v>
      </c>
      <c r="C424" s="2305" t="s">
        <v>1856</v>
      </c>
      <c r="D424" s="2298"/>
      <c r="E424" s="2306">
        <v>-82356</v>
      </c>
      <c r="F424" s="2306">
        <f t="shared" si="6"/>
        <v>-82356</v>
      </c>
      <c r="G424" s="2306">
        <v>0</v>
      </c>
      <c r="H424" s="2306">
        <v>0</v>
      </c>
      <c r="I424" s="2306">
        <v>0</v>
      </c>
      <c r="J424" s="2297" t="s">
        <v>1961</v>
      </c>
    </row>
    <row r="425" spans="1:10" ht="39.75" customHeight="1">
      <c r="A425" s="2303">
        <v>287934</v>
      </c>
      <c r="B425" s="2304">
        <v>320.28300000000002</v>
      </c>
      <c r="C425" s="2305" t="s">
        <v>1855</v>
      </c>
      <c r="D425" s="2298"/>
      <c r="E425" s="2306">
        <v>-33768</v>
      </c>
      <c r="F425" s="2306">
        <f t="shared" si="6"/>
        <v>-33768</v>
      </c>
      <c r="G425" s="2306">
        <v>0</v>
      </c>
      <c r="H425" s="2306">
        <v>0</v>
      </c>
      <c r="I425" s="2306">
        <v>0</v>
      </c>
      <c r="J425" s="2297" t="s">
        <v>1854</v>
      </c>
    </row>
    <row r="426" spans="1:10" ht="24.75" customHeight="1">
      <c r="A426" s="2303">
        <v>287917</v>
      </c>
      <c r="B426" s="2304">
        <v>705.45100000000002</v>
      </c>
      <c r="C426" s="2305" t="s">
        <v>1629</v>
      </c>
      <c r="D426" s="2298"/>
      <c r="E426" s="2306">
        <v>-180148</v>
      </c>
      <c r="F426" s="2306">
        <f t="shared" si="6"/>
        <v>-180148</v>
      </c>
      <c r="G426" s="2306">
        <v>0</v>
      </c>
      <c r="H426" s="2306">
        <v>0</v>
      </c>
      <c r="I426" s="2306">
        <v>0</v>
      </c>
      <c r="J426" s="2296" t="s">
        <v>1165</v>
      </c>
    </row>
    <row r="427" spans="1:10" ht="38.25" customHeight="1">
      <c r="A427" s="2303">
        <v>287916</v>
      </c>
      <c r="B427" s="2304">
        <v>705.45500000000004</v>
      </c>
      <c r="C427" s="2305" t="s">
        <v>1630</v>
      </c>
      <c r="D427" s="2298"/>
      <c r="E427" s="2306">
        <v>-46513</v>
      </c>
      <c r="F427" s="2306">
        <f t="shared" si="6"/>
        <v>-46513</v>
      </c>
      <c r="G427" s="2306">
        <v>0</v>
      </c>
      <c r="H427" s="2306">
        <v>0</v>
      </c>
      <c r="I427" s="2306">
        <v>0</v>
      </c>
      <c r="J427" s="2296" t="s">
        <v>1168</v>
      </c>
    </row>
    <row r="428" spans="1:10" ht="38.25">
      <c r="A428" s="2303">
        <v>287649</v>
      </c>
      <c r="B428" s="2304">
        <v>730.17</v>
      </c>
      <c r="C428" s="2305" t="s">
        <v>1631</v>
      </c>
      <c r="D428" s="2298"/>
      <c r="E428" s="2306">
        <v>-50301132</v>
      </c>
      <c r="F428" s="2306">
        <f t="shared" si="6"/>
        <v>-50301132</v>
      </c>
      <c r="G428" s="2306">
        <v>0</v>
      </c>
      <c r="H428" s="2306">
        <v>0</v>
      </c>
      <c r="I428" s="2306">
        <v>0</v>
      </c>
      <c r="J428" s="2296" t="s">
        <v>1272</v>
      </c>
    </row>
    <row r="429" spans="1:10" ht="25.5">
      <c r="A429" s="2303">
        <v>287886</v>
      </c>
      <c r="B429" s="2304">
        <v>415.83699999999999</v>
      </c>
      <c r="C429" s="2305" t="s">
        <v>1632</v>
      </c>
      <c r="D429" s="2298"/>
      <c r="E429" s="2306">
        <v>-41773405</v>
      </c>
      <c r="F429" s="2306">
        <f t="shared" si="6"/>
        <v>-41773405</v>
      </c>
      <c r="G429" s="2306">
        <v>0</v>
      </c>
      <c r="H429" s="2306">
        <v>0</v>
      </c>
      <c r="I429" s="2306">
        <v>0</v>
      </c>
      <c r="J429" s="2296" t="s">
        <v>1290</v>
      </c>
    </row>
    <row r="430" spans="1:10" ht="12.75">
      <c r="A430" s="2327" t="s">
        <v>1633</v>
      </c>
      <c r="B430" s="2304"/>
      <c r="C430" s="2305"/>
      <c r="D430" s="2298"/>
      <c r="E430" s="2306"/>
      <c r="F430" s="2328"/>
      <c r="G430" s="2328"/>
      <c r="H430" s="2328"/>
      <c r="I430" s="2328"/>
      <c r="J430" s="2296"/>
    </row>
    <row r="431" spans="1:10" ht="41.25" customHeight="1">
      <c r="A431" s="2329">
        <v>287995</v>
      </c>
      <c r="B431" s="2304">
        <v>720.55</v>
      </c>
      <c r="C431" s="2305" t="s">
        <v>556</v>
      </c>
      <c r="D431" s="2298"/>
      <c r="E431" s="2306">
        <v>0</v>
      </c>
      <c r="F431" s="2306">
        <v>0</v>
      </c>
      <c r="G431" s="2306">
        <v>0</v>
      </c>
      <c r="H431" s="2306">
        <v>0</v>
      </c>
      <c r="I431" s="2306">
        <f>E431</f>
        <v>0</v>
      </c>
      <c r="J431" s="2296" t="s">
        <v>1794</v>
      </c>
    </row>
    <row r="432" spans="1:10" ht="27" customHeight="1">
      <c r="A432" s="2303">
        <v>287891</v>
      </c>
      <c r="B432" s="2304">
        <v>505.18</v>
      </c>
      <c r="C432" s="2305" t="s">
        <v>572</v>
      </c>
      <c r="D432" s="2298"/>
      <c r="E432" s="2306">
        <v>0</v>
      </c>
      <c r="F432" s="2306">
        <f t="shared" ref="F432:F438" si="7">E432</f>
        <v>0</v>
      </c>
      <c r="G432" s="2306">
        <v>0</v>
      </c>
      <c r="H432" s="2306">
        <v>0</v>
      </c>
      <c r="I432" s="2306">
        <v>0</v>
      </c>
      <c r="J432" s="2296" t="s">
        <v>1795</v>
      </c>
    </row>
    <row r="433" spans="1:10" ht="25.5">
      <c r="A433" s="2303">
        <v>287650</v>
      </c>
      <c r="B433" s="2304">
        <v>205.1</v>
      </c>
      <c r="C433" s="2305" t="s">
        <v>571</v>
      </c>
      <c r="D433" s="2298"/>
      <c r="E433" s="2306">
        <v>-473638</v>
      </c>
      <c r="F433" s="2306">
        <f t="shared" si="7"/>
        <v>-473638</v>
      </c>
      <c r="G433" s="2306">
        <v>0</v>
      </c>
      <c r="H433" s="2306">
        <v>0</v>
      </c>
      <c r="I433" s="2306">
        <v>0</v>
      </c>
      <c r="J433" s="2296" t="s">
        <v>1808</v>
      </c>
    </row>
    <row r="434" spans="1:10" ht="38.25">
      <c r="A434" s="2303">
        <v>287879</v>
      </c>
      <c r="B434" s="2304">
        <v>415.89800000000002</v>
      </c>
      <c r="C434" s="2305" t="s">
        <v>590</v>
      </c>
      <c r="D434" s="2298"/>
      <c r="E434" s="2306">
        <v>-522265</v>
      </c>
      <c r="F434" s="2306">
        <f t="shared" si="7"/>
        <v>-522265</v>
      </c>
      <c r="G434" s="2306">
        <v>0</v>
      </c>
      <c r="H434" s="2306">
        <v>0</v>
      </c>
      <c r="I434" s="2306">
        <v>0</v>
      </c>
      <c r="J434" s="2296" t="s">
        <v>1288</v>
      </c>
    </row>
    <row r="435" spans="1:10" ht="12.75">
      <c r="A435" s="2303">
        <v>287460</v>
      </c>
      <c r="B435" s="2304">
        <v>720.8</v>
      </c>
      <c r="C435" s="2305" t="s">
        <v>557</v>
      </c>
      <c r="D435" s="2298"/>
      <c r="E435" s="2306">
        <v>0</v>
      </c>
      <c r="F435" s="2306">
        <f t="shared" si="7"/>
        <v>0</v>
      </c>
      <c r="G435" s="2306">
        <v>0</v>
      </c>
      <c r="H435" s="2306">
        <v>0</v>
      </c>
      <c r="I435" s="2306">
        <v>0</v>
      </c>
      <c r="J435" s="2296" t="s">
        <v>1159</v>
      </c>
    </row>
    <row r="436" spans="1:10" ht="51">
      <c r="A436" s="2303">
        <v>287661</v>
      </c>
      <c r="B436" s="2304">
        <v>425.36</v>
      </c>
      <c r="C436" s="2305" t="s">
        <v>593</v>
      </c>
      <c r="D436" s="2298"/>
      <c r="E436" s="2306">
        <v>-1341196</v>
      </c>
      <c r="F436" s="2306">
        <f t="shared" si="7"/>
        <v>-1341196</v>
      </c>
      <c r="G436" s="2306">
        <v>0</v>
      </c>
      <c r="H436" s="2306">
        <v>0</v>
      </c>
      <c r="I436" s="2306">
        <v>0</v>
      </c>
      <c r="J436" s="2296" t="s">
        <v>1295</v>
      </c>
    </row>
    <row r="437" spans="1:10" ht="28.5" customHeight="1">
      <c r="A437" s="2303">
        <v>287750</v>
      </c>
      <c r="B437" s="2304">
        <v>425.31</v>
      </c>
      <c r="C437" s="2305" t="s">
        <v>1302</v>
      </c>
      <c r="D437" s="2298"/>
      <c r="E437" s="2306">
        <v>0</v>
      </c>
      <c r="F437" s="2306">
        <f t="shared" si="7"/>
        <v>0</v>
      </c>
      <c r="G437" s="2306">
        <v>0</v>
      </c>
      <c r="H437" s="2306">
        <v>0</v>
      </c>
      <c r="I437" s="2306">
        <v>0</v>
      </c>
      <c r="J437" s="2296" t="s">
        <v>1796</v>
      </c>
    </row>
    <row r="438" spans="1:10" ht="39" customHeight="1">
      <c r="A438" s="2303">
        <v>287656</v>
      </c>
      <c r="B438" s="2304">
        <v>425.28</v>
      </c>
      <c r="C438" s="2305" t="s">
        <v>592</v>
      </c>
      <c r="D438" s="2298"/>
      <c r="E438" s="2306">
        <v>-108620</v>
      </c>
      <c r="F438" s="2306">
        <f t="shared" si="7"/>
        <v>-108620</v>
      </c>
      <c r="G438" s="2306">
        <v>0</v>
      </c>
      <c r="H438" s="2306">
        <v>0</v>
      </c>
      <c r="I438" s="2306">
        <v>0</v>
      </c>
      <c r="J438" s="2296" t="s">
        <v>1294</v>
      </c>
    </row>
    <row r="439" spans="1:10" ht="25.5">
      <c r="A439" s="2303">
        <v>287967</v>
      </c>
      <c r="B439" s="2304">
        <v>320.29000000000002</v>
      </c>
      <c r="C439" s="2305" t="s">
        <v>1634</v>
      </c>
      <c r="D439" s="2298"/>
      <c r="E439" s="2306">
        <v>-322659</v>
      </c>
      <c r="F439" s="2306">
        <v>0</v>
      </c>
      <c r="G439" s="2306">
        <v>0</v>
      </c>
      <c r="H439" s="2306">
        <v>0</v>
      </c>
      <c r="I439" s="2306">
        <f>E439</f>
        <v>-322659</v>
      </c>
      <c r="J439" s="2296" t="s">
        <v>1309</v>
      </c>
    </row>
    <row r="440" spans="1:10" ht="38.25">
      <c r="A440" s="2303">
        <v>287609</v>
      </c>
      <c r="B440" s="2304">
        <v>105.241</v>
      </c>
      <c r="C440" s="2305" t="s">
        <v>1635</v>
      </c>
      <c r="D440" s="2298"/>
      <c r="E440" s="2306">
        <v>0</v>
      </c>
      <c r="F440" s="2306">
        <f t="shared" ref="F440:F446" si="8">E440</f>
        <v>0</v>
      </c>
      <c r="G440" s="2306">
        <v>0</v>
      </c>
      <c r="H440" s="2306">
        <v>0</v>
      </c>
      <c r="I440" s="2306">
        <v>0</v>
      </c>
      <c r="J440" s="2296" t="s">
        <v>1305</v>
      </c>
    </row>
    <row r="441" spans="1:10" ht="25.5">
      <c r="A441" s="2303">
        <v>137507</v>
      </c>
      <c r="B441" s="2304">
        <v>210.185</v>
      </c>
      <c r="C441" s="2305" t="s">
        <v>1636</v>
      </c>
      <c r="D441" s="2298"/>
      <c r="E441" s="2306">
        <v>0</v>
      </c>
      <c r="F441" s="2306">
        <f t="shared" si="8"/>
        <v>0</v>
      </c>
      <c r="G441" s="2306">
        <v>0</v>
      </c>
      <c r="H441" s="2306">
        <v>0</v>
      </c>
      <c r="I441" s="2306">
        <v>0</v>
      </c>
      <c r="J441" s="2297" t="s">
        <v>1637</v>
      </c>
    </row>
    <row r="442" spans="1:10" ht="25.5">
      <c r="A442" s="2303">
        <v>137512</v>
      </c>
      <c r="B442" s="2304">
        <v>320.291</v>
      </c>
      <c r="C442" s="2305" t="s">
        <v>1797</v>
      </c>
      <c r="D442" s="2298"/>
      <c r="E442" s="2306">
        <v>0</v>
      </c>
      <c r="F442" s="2306">
        <v>0</v>
      </c>
      <c r="G442" s="2306">
        <v>0</v>
      </c>
      <c r="H442" s="2306">
        <v>0</v>
      </c>
      <c r="I442" s="2306">
        <f>E442</f>
        <v>0</v>
      </c>
      <c r="J442" s="2299" t="s">
        <v>1798</v>
      </c>
    </row>
    <row r="443" spans="1:10" ht="25.5">
      <c r="A443" s="2303">
        <v>287669</v>
      </c>
      <c r="B443" s="2304">
        <v>210.18</v>
      </c>
      <c r="C443" s="2305" t="s">
        <v>597</v>
      </c>
      <c r="D443" s="2298"/>
      <c r="E443" s="2306">
        <v>-2804352</v>
      </c>
      <c r="F443" s="2306">
        <f t="shared" si="8"/>
        <v>-2804352</v>
      </c>
      <c r="G443" s="2306">
        <v>0</v>
      </c>
      <c r="H443" s="2306">
        <v>0</v>
      </c>
      <c r="I443" s="2306">
        <v>0</v>
      </c>
      <c r="J443" s="2296" t="s">
        <v>1299</v>
      </c>
    </row>
    <row r="444" spans="1:10" ht="37.5" customHeight="1">
      <c r="A444" s="2303">
        <v>287909</v>
      </c>
      <c r="B444" s="2304">
        <v>210.19499999999999</v>
      </c>
      <c r="C444" s="2305" t="s">
        <v>1407</v>
      </c>
      <c r="D444" s="2298"/>
      <c r="E444" s="2306">
        <v>-60245</v>
      </c>
      <c r="F444" s="2306">
        <f t="shared" si="8"/>
        <v>-60245</v>
      </c>
      <c r="G444" s="2306">
        <v>0</v>
      </c>
      <c r="H444" s="2306">
        <v>0</v>
      </c>
      <c r="I444" s="2306">
        <v>0</v>
      </c>
      <c r="J444" s="2297" t="s">
        <v>1967</v>
      </c>
    </row>
    <row r="445" spans="1:10" ht="25.5">
      <c r="A445" s="2303">
        <v>287665</v>
      </c>
      <c r="B445" s="2304">
        <v>210.13</v>
      </c>
      <c r="C445" s="2305" t="s">
        <v>596</v>
      </c>
      <c r="D445" s="2298"/>
      <c r="E445" s="2306">
        <v>-132523</v>
      </c>
      <c r="F445" s="2306">
        <f t="shared" si="8"/>
        <v>-132523</v>
      </c>
      <c r="G445" s="2306">
        <v>0</v>
      </c>
      <c r="H445" s="2306">
        <v>0</v>
      </c>
      <c r="I445" s="2306">
        <v>0</v>
      </c>
      <c r="J445" s="2296" t="s">
        <v>1298</v>
      </c>
    </row>
    <row r="446" spans="1:10" ht="25.5">
      <c r="A446" s="2303">
        <v>287662</v>
      </c>
      <c r="B446" s="2304">
        <v>210.1</v>
      </c>
      <c r="C446" s="2305" t="s">
        <v>594</v>
      </c>
      <c r="D446" s="2298"/>
      <c r="E446" s="2306">
        <v>-332528</v>
      </c>
      <c r="F446" s="2306">
        <f t="shared" si="8"/>
        <v>-332528</v>
      </c>
      <c r="G446" s="2306">
        <v>0</v>
      </c>
      <c r="H446" s="2306">
        <v>0</v>
      </c>
      <c r="I446" s="2306">
        <v>0</v>
      </c>
      <c r="J446" s="2296" t="s">
        <v>1296</v>
      </c>
    </row>
    <row r="447" spans="1:10" ht="25.5">
      <c r="A447" s="2303">
        <v>287708</v>
      </c>
      <c r="B447" s="2304">
        <v>210.2</v>
      </c>
      <c r="C447" s="2305" t="s">
        <v>598</v>
      </c>
      <c r="D447" s="2298"/>
      <c r="E447" s="2306">
        <v>-8370903</v>
      </c>
      <c r="F447" s="2306">
        <v>0</v>
      </c>
      <c r="G447" s="2306">
        <v>0</v>
      </c>
      <c r="H447" s="2306">
        <f>E447</f>
        <v>-8370903</v>
      </c>
      <c r="I447" s="2306">
        <v>0</v>
      </c>
      <c r="J447" s="2296" t="s">
        <v>1301</v>
      </c>
    </row>
    <row r="448" spans="1:10" ht="25.5">
      <c r="A448" s="2303">
        <v>287664</v>
      </c>
      <c r="B448" s="2304">
        <v>210.12</v>
      </c>
      <c r="C448" s="2305" t="s">
        <v>595</v>
      </c>
      <c r="D448" s="2298"/>
      <c r="E448" s="2306">
        <v>-1033503</v>
      </c>
      <c r="F448" s="2306">
        <f>E448</f>
        <v>-1033503</v>
      </c>
      <c r="G448" s="2306">
        <v>0</v>
      </c>
      <c r="H448" s="2306">
        <v>0</v>
      </c>
      <c r="I448" s="2306">
        <v>0</v>
      </c>
      <c r="J448" s="2296" t="s">
        <v>1297</v>
      </c>
    </row>
    <row r="449" spans="1:11" ht="25.5">
      <c r="A449" s="2303">
        <v>287908</v>
      </c>
      <c r="B449" s="2304">
        <v>210.19</v>
      </c>
      <c r="C449" s="2305" t="s">
        <v>1799</v>
      </c>
      <c r="D449" s="2298"/>
      <c r="E449" s="2306">
        <v>-320247</v>
      </c>
      <c r="F449" s="2306">
        <f>E449</f>
        <v>-320247</v>
      </c>
      <c r="G449" s="2306">
        <v>0</v>
      </c>
      <c r="H449" s="2306">
        <v>0</v>
      </c>
      <c r="I449" s="2306">
        <v>0</v>
      </c>
      <c r="J449" s="2297" t="s">
        <v>1853</v>
      </c>
    </row>
    <row r="450" spans="1:11" ht="63.75">
      <c r="A450" s="2303">
        <v>287927</v>
      </c>
      <c r="B450" s="2304">
        <v>100.11</v>
      </c>
      <c r="C450" s="2305" t="s">
        <v>1800</v>
      </c>
      <c r="D450" s="2298"/>
      <c r="E450" s="2306">
        <v>-29881</v>
      </c>
      <c r="F450" s="2306">
        <f>E450</f>
        <v>-29881</v>
      </c>
      <c r="G450" s="2306">
        <v>0</v>
      </c>
      <c r="H450" s="2306">
        <v>0</v>
      </c>
      <c r="I450" s="2306">
        <v>0</v>
      </c>
      <c r="J450" s="2296" t="s">
        <v>1968</v>
      </c>
    </row>
    <row r="451" spans="1:11" ht="40.5" customHeight="1">
      <c r="A451" s="2303">
        <v>287653</v>
      </c>
      <c r="B451" s="2304">
        <v>425.25</v>
      </c>
      <c r="C451" s="2305" t="s">
        <v>591</v>
      </c>
      <c r="D451" s="2298"/>
      <c r="E451" s="2306">
        <v>-23980</v>
      </c>
      <c r="F451" s="2306">
        <f>E451</f>
        <v>-23980</v>
      </c>
      <c r="G451" s="2306">
        <v>0</v>
      </c>
      <c r="H451" s="2306">
        <v>0</v>
      </c>
      <c r="I451" s="2306">
        <v>0</v>
      </c>
      <c r="J451" s="2296" t="s">
        <v>1294</v>
      </c>
    </row>
    <row r="452" spans="1:11" ht="25.5">
      <c r="A452" s="2303">
        <v>287770</v>
      </c>
      <c r="B452" s="2304">
        <v>120.205</v>
      </c>
      <c r="C452" s="2305" t="s">
        <v>599</v>
      </c>
      <c r="D452" s="2298"/>
      <c r="E452" s="2306">
        <v>-1469056</v>
      </c>
      <c r="F452" s="2306">
        <f>E452</f>
        <v>-1469056</v>
      </c>
      <c r="G452" s="2306">
        <v>0</v>
      </c>
      <c r="H452" s="2306">
        <v>0</v>
      </c>
      <c r="I452" s="2306">
        <v>0</v>
      </c>
      <c r="J452" s="2296" t="s">
        <v>1303</v>
      </c>
    </row>
    <row r="453" spans="1:11" ht="25.5">
      <c r="A453" s="2303">
        <v>287859</v>
      </c>
      <c r="B453" s="2304">
        <v>910.93499999999995</v>
      </c>
      <c r="C453" s="2305" t="s">
        <v>600</v>
      </c>
      <c r="D453" s="2298"/>
      <c r="E453" s="2306">
        <v>-233496</v>
      </c>
      <c r="F453" s="2306">
        <v>0</v>
      </c>
      <c r="G453" s="2306">
        <v>0</v>
      </c>
      <c r="H453" s="2306">
        <v>0</v>
      </c>
      <c r="I453" s="2306">
        <f>E453</f>
        <v>-233496</v>
      </c>
      <c r="J453" s="2296" t="s">
        <v>1304</v>
      </c>
    </row>
    <row r="454" spans="1:11" ht="25.5">
      <c r="A454" s="2303">
        <v>287965</v>
      </c>
      <c r="B454" s="2304">
        <v>415.83600000000001</v>
      </c>
      <c r="C454" s="2305" t="s">
        <v>1307</v>
      </c>
      <c r="D454" s="2298"/>
      <c r="E454" s="2306">
        <v>-49948</v>
      </c>
      <c r="F454" s="2306">
        <f>E454</f>
        <v>-49948</v>
      </c>
      <c r="G454" s="2306">
        <v>0</v>
      </c>
      <c r="H454" s="2306">
        <v>0</v>
      </c>
      <c r="I454" s="2306">
        <v>0</v>
      </c>
      <c r="J454" s="2296" t="s">
        <v>1308</v>
      </c>
    </row>
    <row r="455" spans="1:11" ht="25.5">
      <c r="A455" s="2303">
        <v>287966</v>
      </c>
      <c r="B455" s="2304">
        <v>415.834</v>
      </c>
      <c r="C455" s="2305" t="s">
        <v>1638</v>
      </c>
      <c r="D455" s="2298"/>
      <c r="E455" s="2306">
        <v>0</v>
      </c>
      <c r="F455" s="2306">
        <f>E455</f>
        <v>0</v>
      </c>
      <c r="G455" s="2306">
        <v>0</v>
      </c>
      <c r="H455" s="2306">
        <v>0</v>
      </c>
      <c r="I455" s="2306">
        <v>0</v>
      </c>
      <c r="J455" s="2296" t="s">
        <v>1308</v>
      </c>
    </row>
    <row r="456" spans="1:11" ht="25.5">
      <c r="A456" s="2303">
        <v>287492</v>
      </c>
      <c r="B456" s="2304" t="s">
        <v>564</v>
      </c>
      <c r="C456" s="2305" t="s">
        <v>1639</v>
      </c>
      <c r="D456" s="2298"/>
      <c r="E456" s="2306">
        <v>-293220</v>
      </c>
      <c r="F456" s="2306">
        <f>E456</f>
        <v>-293220</v>
      </c>
      <c r="G456" s="2306">
        <v>0</v>
      </c>
      <c r="H456" s="2306">
        <v>0</v>
      </c>
      <c r="I456" s="2306">
        <v>0</v>
      </c>
      <c r="J456" s="2297" t="s">
        <v>1662</v>
      </c>
    </row>
    <row r="457" spans="1:11" ht="12.75">
      <c r="A457" s="2330"/>
      <c r="B457" s="2331"/>
      <c r="C457" s="2331"/>
      <c r="D457" s="1834"/>
      <c r="E457" s="2176"/>
      <c r="F457" s="2176"/>
      <c r="G457" s="2176"/>
      <c r="H457" s="2176"/>
      <c r="I457" s="2176"/>
      <c r="J457" s="1835"/>
      <c r="K457" s="437"/>
    </row>
    <row r="458" spans="1:11" ht="12.75">
      <c r="A458" s="2332"/>
      <c r="B458" s="2333"/>
      <c r="C458" s="2334"/>
      <c r="D458" s="925"/>
      <c r="E458" s="2176"/>
      <c r="F458" s="2176"/>
      <c r="G458" s="2176"/>
      <c r="H458" s="2176"/>
      <c r="I458" s="2176"/>
      <c r="J458" s="1836"/>
      <c r="K458" s="437"/>
    </row>
    <row r="459" spans="1:11" ht="12.75">
      <c r="A459" s="2332"/>
      <c r="B459" s="2335"/>
      <c r="C459" s="2336"/>
      <c r="D459" s="1837"/>
      <c r="E459" s="2176"/>
      <c r="F459" s="2176"/>
      <c r="G459" s="2176"/>
      <c r="H459" s="2176"/>
      <c r="I459" s="2176"/>
      <c r="J459" s="1789"/>
      <c r="K459" s="437"/>
    </row>
    <row r="460" spans="1:11" s="1343" customFormat="1" ht="12.75">
      <c r="A460" s="2673" t="s">
        <v>439</v>
      </c>
      <c r="B460" s="2674"/>
      <c r="C460" s="2674"/>
      <c r="D460" s="2337"/>
      <c r="E460" s="2176">
        <v>0</v>
      </c>
      <c r="F460" s="2176">
        <v>0</v>
      </c>
      <c r="G460" s="2176"/>
      <c r="H460" s="2176"/>
      <c r="I460" s="2176"/>
      <c r="J460" s="1838"/>
    </row>
    <row r="461" spans="1:11" s="1380" customFormat="1" ht="12.75">
      <c r="A461" s="2325" t="s">
        <v>322</v>
      </c>
      <c r="B461" s="2326"/>
      <c r="C461" s="2315"/>
      <c r="D461" s="2316"/>
      <c r="E461" s="2317">
        <f>SUBTOTAL(9,E319:E460)</f>
        <v>-657526736</v>
      </c>
      <c r="F461" s="2317">
        <f>SUBTOTAL(9,F319:F460)</f>
        <v>-647302808</v>
      </c>
      <c r="G461" s="2317">
        <f>SUBTOTAL(9,G319:G460)</f>
        <v>0</v>
      </c>
      <c r="H461" s="2317">
        <f>SUBTOTAL(9,H319:H460)</f>
        <v>-8370903</v>
      </c>
      <c r="I461" s="2317">
        <f>SUBTOTAL(9,I319:I460)</f>
        <v>-1853025</v>
      </c>
      <c r="J461" s="2320"/>
      <c r="K461" s="1379"/>
    </row>
    <row r="462" spans="1:11" s="1380" customFormat="1" ht="12.75">
      <c r="A462" s="2325" t="s">
        <v>198</v>
      </c>
      <c r="B462" s="2326"/>
      <c r="C462" s="2315"/>
      <c r="D462" s="2316"/>
      <c r="E462" s="2338">
        <f>+E365+E450</f>
        <v>-165826420</v>
      </c>
      <c r="F462" s="2338">
        <f>+F365+F450</f>
        <v>-165826420</v>
      </c>
      <c r="G462" s="2338">
        <f>+G365+G450</f>
        <v>0</v>
      </c>
      <c r="H462" s="2338">
        <f>+H365+H450</f>
        <v>0</v>
      </c>
      <c r="I462" s="2338">
        <f>+I365+I450</f>
        <v>0</v>
      </c>
      <c r="J462" s="2320"/>
      <c r="K462" s="1379"/>
    </row>
    <row r="463" spans="1:11" s="1380" customFormat="1" ht="12.75">
      <c r="A463" s="2325" t="s">
        <v>199</v>
      </c>
      <c r="B463" s="2326"/>
      <c r="C463" s="2315"/>
      <c r="D463" s="2316"/>
      <c r="E463" s="2338">
        <v>0</v>
      </c>
      <c r="F463" s="2338">
        <v>0</v>
      </c>
      <c r="G463" s="2338">
        <v>0</v>
      </c>
      <c r="H463" s="2338">
        <v>0</v>
      </c>
      <c r="I463" s="2338">
        <v>0</v>
      </c>
      <c r="J463" s="2320"/>
      <c r="K463" s="1379"/>
    </row>
    <row r="464" spans="1:11" s="1380" customFormat="1" ht="12.75">
      <c r="A464" s="2339" t="s">
        <v>282</v>
      </c>
      <c r="B464" s="2340"/>
      <c r="C464" s="2341"/>
      <c r="D464" s="2342"/>
      <c r="E464" s="2343">
        <f>SUM(E461-E462-E463)</f>
        <v>-491700316</v>
      </c>
      <c r="F464" s="2343">
        <f>SUM(F461-F462-F463)</f>
        <v>-481476388</v>
      </c>
      <c r="G464" s="2343">
        <f>SUM(G461-G462-G463)</f>
        <v>0</v>
      </c>
      <c r="H464" s="2343">
        <f>SUM(H461-H462-H463)</f>
        <v>-8370903</v>
      </c>
      <c r="I464" s="2343">
        <f>SUM(I461-I462-I463)</f>
        <v>-1853025</v>
      </c>
      <c r="J464" s="2320"/>
      <c r="K464" s="1379"/>
    </row>
    <row r="465" spans="1:11" s="1380" customFormat="1" ht="12.75">
      <c r="A465" s="1310"/>
      <c r="B465" s="1310"/>
      <c r="C465" s="1322"/>
      <c r="D465" s="1312"/>
      <c r="E465" s="1839"/>
      <c r="F465" s="1839"/>
      <c r="G465" s="1839"/>
      <c r="H465" s="1839"/>
      <c r="I465" s="1314"/>
      <c r="J465" s="1379"/>
      <c r="K465" s="1379"/>
    </row>
    <row r="466" spans="1:11" s="1380" customFormat="1" ht="12.75">
      <c r="A466" s="1310"/>
      <c r="B466" s="1310"/>
      <c r="C466" s="1818" t="s">
        <v>65</v>
      </c>
      <c r="D466" s="1819"/>
      <c r="E466" s="1820"/>
      <c r="F466" s="1820"/>
      <c r="G466" s="1821"/>
      <c r="H466" s="1822"/>
      <c r="I466" s="1314"/>
      <c r="J466" s="1379"/>
      <c r="K466" s="1379"/>
    </row>
    <row r="467" spans="1:11" s="1380" customFormat="1" ht="25.5">
      <c r="A467" s="1310"/>
      <c r="B467" s="1310"/>
      <c r="C467" s="1381" t="s">
        <v>132</v>
      </c>
      <c r="D467" s="1382"/>
      <c r="E467" s="1314"/>
      <c r="F467" s="1314"/>
      <c r="G467" s="1314"/>
      <c r="H467" s="1840"/>
      <c r="I467" s="1314"/>
      <c r="J467" s="1379"/>
      <c r="K467" s="1379"/>
    </row>
    <row r="468" spans="1:11" s="1380" customFormat="1" ht="12.75">
      <c r="A468" s="1310"/>
      <c r="B468" s="1310"/>
      <c r="C468" s="1316" t="s">
        <v>133</v>
      </c>
      <c r="D468" s="1311"/>
      <c r="E468" s="1321"/>
      <c r="F468" s="1321"/>
      <c r="G468" s="1313"/>
      <c r="H468" s="1317"/>
      <c r="I468" s="1314"/>
      <c r="J468" s="1379"/>
      <c r="K468" s="1379"/>
    </row>
    <row r="469" spans="1:11" s="1380" customFormat="1" ht="12.75">
      <c r="A469" s="1310"/>
      <c r="B469" s="1310"/>
      <c r="C469" s="1316" t="s">
        <v>262</v>
      </c>
      <c r="D469" s="1311"/>
      <c r="E469" s="1321"/>
      <c r="F469" s="1321"/>
      <c r="G469" s="1313"/>
      <c r="H469" s="1317"/>
      <c r="I469" s="1314"/>
      <c r="J469" s="1379"/>
      <c r="K469" s="1379"/>
    </row>
    <row r="470" spans="1:11" s="1380" customFormat="1" ht="12.75">
      <c r="A470" s="1310"/>
      <c r="B470" s="1310"/>
      <c r="C470" s="1316" t="s">
        <v>264</v>
      </c>
      <c r="D470" s="1311"/>
      <c r="E470" s="1321"/>
      <c r="F470" s="1321"/>
      <c r="G470" s="1321"/>
      <c r="H470" s="1344"/>
      <c r="I470" s="1318"/>
      <c r="J470" s="1379"/>
      <c r="K470" s="1379"/>
    </row>
    <row r="471" spans="1:11" s="1380" customFormat="1" ht="24.75" customHeight="1">
      <c r="A471" s="1310"/>
      <c r="B471" s="1310"/>
      <c r="C471" s="2667" t="s">
        <v>18</v>
      </c>
      <c r="D471" s="2668"/>
      <c r="E471" s="2668"/>
      <c r="F471" s="2668"/>
      <c r="G471" s="2668"/>
      <c r="H471" s="2669"/>
      <c r="I471" s="1314"/>
      <c r="J471" s="1379"/>
      <c r="K471" s="1379"/>
    </row>
    <row r="472" spans="1:11">
      <c r="A472" s="1369"/>
      <c r="B472" s="1369"/>
      <c r="C472" s="1370"/>
      <c r="D472" s="1308"/>
      <c r="E472" s="1326"/>
      <c r="F472" s="1326"/>
      <c r="G472" s="1326"/>
      <c r="H472" s="1326"/>
      <c r="I472" s="1373"/>
    </row>
    <row r="473" spans="1:11" ht="15">
      <c r="A473" s="1372"/>
      <c r="B473" s="1372"/>
      <c r="C473" s="1377"/>
      <c r="D473" s="1325"/>
      <c r="E473" s="1325"/>
      <c r="F473" s="1325"/>
      <c r="G473" s="1325"/>
      <c r="H473" s="1325"/>
      <c r="I473" s="1377"/>
    </row>
    <row r="474" spans="1:11" ht="15">
      <c r="A474" s="1372"/>
      <c r="B474" s="1372"/>
      <c r="C474" s="1372"/>
      <c r="D474" s="830"/>
      <c r="E474" s="830"/>
      <c r="F474" s="830"/>
      <c r="G474" s="830"/>
      <c r="H474" s="830"/>
      <c r="I474" s="1372"/>
    </row>
    <row r="475" spans="1:11">
      <c r="A475" s="1370"/>
      <c r="B475" s="1370"/>
      <c r="C475" s="1370"/>
      <c r="D475" s="1308"/>
      <c r="E475" s="1326"/>
      <c r="F475" s="1326"/>
      <c r="G475" s="1326"/>
      <c r="H475" s="1326"/>
      <c r="I475" s="1373"/>
    </row>
    <row r="476" spans="1:11">
      <c r="A476" s="1370"/>
      <c r="B476" s="1370"/>
      <c r="C476" s="1370"/>
      <c r="D476" s="1308"/>
      <c r="E476" s="1326"/>
      <c r="F476" s="1326"/>
      <c r="G476" s="1326"/>
      <c r="H476" s="1326"/>
      <c r="I476" s="1373"/>
    </row>
    <row r="477" spans="1:11">
      <c r="A477" s="1370"/>
      <c r="B477" s="1370"/>
      <c r="C477" s="1370"/>
      <c r="D477" s="1308"/>
      <c r="E477" s="1326"/>
      <c r="F477" s="1326"/>
      <c r="G477" s="1326"/>
      <c r="H477" s="1326"/>
      <c r="I477" s="1373"/>
    </row>
    <row r="478" spans="1:11" ht="15">
      <c r="A478" s="1327"/>
      <c r="B478" s="1327"/>
      <c r="C478" s="1370"/>
      <c r="D478" s="1308"/>
      <c r="E478" s="1328"/>
      <c r="F478" s="1328"/>
      <c r="G478" s="1328"/>
      <c r="H478" s="1328"/>
      <c r="I478" s="1383"/>
    </row>
    <row r="479" spans="1:11" ht="15">
      <c r="A479" s="1327"/>
      <c r="B479" s="1327"/>
      <c r="C479" s="1370"/>
      <c r="D479" s="1308"/>
      <c r="E479" s="1328"/>
      <c r="F479" s="1328"/>
      <c r="G479" s="1328"/>
      <c r="H479" s="1328"/>
      <c r="I479" s="1383"/>
    </row>
    <row r="480" spans="1:11">
      <c r="A480" s="1369"/>
      <c r="B480" s="1369"/>
      <c r="C480" s="1370"/>
      <c r="D480" s="1308"/>
      <c r="E480" s="1325"/>
      <c r="F480" s="1325"/>
      <c r="G480" s="1326"/>
      <c r="H480" s="1326"/>
      <c r="I480" s="1373"/>
    </row>
    <row r="481" spans="1:9">
      <c r="A481" s="1369"/>
      <c r="B481" s="1369"/>
      <c r="C481" s="1369"/>
      <c r="D481" s="1308"/>
      <c r="E481" s="1841"/>
      <c r="F481" s="1841"/>
      <c r="G481" s="1326"/>
      <c r="H481" s="1326"/>
      <c r="I481" s="1373"/>
    </row>
    <row r="482" spans="1:9">
      <c r="A482" s="1369"/>
      <c r="B482" s="1369"/>
      <c r="C482" s="1370"/>
      <c r="D482" s="1308"/>
      <c r="E482" s="1841"/>
      <c r="F482" s="1841"/>
      <c r="G482" s="1326"/>
      <c r="H482" s="1326"/>
      <c r="I482" s="1373"/>
    </row>
    <row r="483" spans="1:9">
      <c r="A483" s="1369"/>
      <c r="B483" s="1369"/>
      <c r="C483" s="1370"/>
      <c r="D483" s="1308"/>
      <c r="E483" s="1841"/>
      <c r="F483" s="1841"/>
      <c r="G483" s="1326"/>
      <c r="H483" s="1326"/>
      <c r="I483" s="1373"/>
    </row>
    <row r="484" spans="1:9">
      <c r="A484" s="1369"/>
      <c r="B484" s="1369"/>
      <c r="C484" s="1370"/>
      <c r="D484" s="1308"/>
      <c r="E484" s="1841"/>
      <c r="F484" s="1841"/>
      <c r="G484" s="1326"/>
      <c r="H484" s="1326"/>
      <c r="I484" s="1373"/>
    </row>
    <row r="485" spans="1:9">
      <c r="A485" s="1369"/>
      <c r="B485" s="1369"/>
      <c r="C485" s="1370"/>
      <c r="D485" s="1308"/>
      <c r="E485" s="1841"/>
      <c r="F485" s="1841"/>
      <c r="G485" s="1326"/>
      <c r="H485" s="1326"/>
      <c r="I485" s="1373"/>
    </row>
    <row r="486" spans="1:9">
      <c r="A486" s="1369"/>
      <c r="B486" s="1369"/>
      <c r="C486" s="1370"/>
      <c r="D486" s="1308"/>
      <c r="E486" s="1841"/>
      <c r="F486" s="1841"/>
      <c r="G486" s="1326"/>
      <c r="H486" s="1326"/>
      <c r="I486" s="1373"/>
    </row>
    <row r="487" spans="1:9">
      <c r="A487" s="1369"/>
      <c r="B487" s="1369"/>
      <c r="C487" s="1370"/>
      <c r="D487" s="1308"/>
      <c r="E487" s="1841"/>
      <c r="F487" s="1841"/>
      <c r="G487" s="1326"/>
      <c r="H487" s="1326"/>
      <c r="I487" s="1373"/>
    </row>
    <row r="488" spans="1:9">
      <c r="A488" s="1369"/>
      <c r="B488" s="1369"/>
      <c r="C488" s="1370"/>
      <c r="D488" s="1308"/>
      <c r="E488" s="1841"/>
      <c r="F488" s="1841"/>
      <c r="G488" s="1326"/>
      <c r="H488" s="1326"/>
      <c r="I488" s="1373"/>
    </row>
    <row r="489" spans="1:9">
      <c r="A489" s="1369"/>
      <c r="B489" s="1369"/>
      <c r="C489" s="1370"/>
      <c r="D489" s="1308"/>
      <c r="E489" s="1841"/>
      <c r="F489" s="1841"/>
      <c r="G489" s="1326"/>
      <c r="H489" s="1326"/>
      <c r="I489" s="1373"/>
    </row>
    <row r="490" spans="1:9">
      <c r="A490" s="1369"/>
      <c r="B490" s="1369"/>
      <c r="C490" s="1370"/>
      <c r="D490" s="1308"/>
      <c r="E490" s="1841"/>
      <c r="F490" s="1841"/>
      <c r="G490" s="1326"/>
      <c r="H490" s="1326"/>
      <c r="I490" s="1373"/>
    </row>
    <row r="491" spans="1:9">
      <c r="A491" s="1370"/>
      <c r="B491" s="1370"/>
      <c r="C491" s="1370"/>
      <c r="D491" s="1308"/>
      <c r="E491" s="1841"/>
      <c r="F491" s="1841"/>
      <c r="G491" s="1326"/>
      <c r="H491" s="1326"/>
      <c r="I491" s="1373"/>
    </row>
    <row r="492" spans="1:9">
      <c r="A492" s="1369"/>
      <c r="B492" s="1369"/>
      <c r="C492" s="1370"/>
      <c r="D492" s="1308"/>
      <c r="E492" s="1841"/>
      <c r="F492" s="1841"/>
      <c r="G492" s="1326"/>
      <c r="H492" s="1326"/>
      <c r="I492" s="1373"/>
    </row>
    <row r="493" spans="1:9">
      <c r="A493" s="1370"/>
      <c r="B493" s="1370"/>
      <c r="C493" s="1370"/>
      <c r="D493" s="1308"/>
      <c r="E493" s="1841"/>
      <c r="F493" s="1841"/>
      <c r="G493" s="1326"/>
      <c r="H493" s="1326"/>
      <c r="I493" s="1373"/>
    </row>
    <row r="494" spans="1:9">
      <c r="A494" s="1369"/>
      <c r="B494" s="1369"/>
      <c r="C494" s="1370"/>
      <c r="D494" s="1308"/>
      <c r="E494" s="1326"/>
      <c r="F494" s="1326"/>
      <c r="G494" s="1326"/>
      <c r="H494" s="1326"/>
      <c r="I494" s="1373"/>
    </row>
    <row r="495" spans="1:9">
      <c r="A495" s="1369"/>
      <c r="B495" s="1369"/>
      <c r="C495" s="1370"/>
      <c r="D495" s="1308"/>
      <c r="E495" s="1326"/>
      <c r="F495" s="1326"/>
      <c r="G495" s="1326"/>
      <c r="H495" s="1326"/>
      <c r="I495" s="1373"/>
    </row>
    <row r="496" spans="1:9">
      <c r="A496" s="1369"/>
      <c r="B496" s="1369"/>
      <c r="C496" s="1370"/>
      <c r="D496" s="1308"/>
      <c r="E496" s="1326"/>
      <c r="F496" s="1326"/>
      <c r="G496" s="1326"/>
      <c r="H496" s="1326"/>
      <c r="I496" s="1373"/>
    </row>
    <row r="497" spans="1:9">
      <c r="A497" s="1369"/>
      <c r="B497" s="1369"/>
      <c r="C497" s="1370"/>
      <c r="D497" s="1308"/>
      <c r="E497" s="1326"/>
      <c r="F497" s="1326"/>
      <c r="G497" s="1326"/>
      <c r="H497" s="1326"/>
      <c r="I497" s="1373"/>
    </row>
    <row r="498" spans="1:9">
      <c r="A498" s="1369"/>
      <c r="B498" s="1369"/>
      <c r="C498" s="1370"/>
      <c r="D498" s="1308"/>
      <c r="E498" s="1326"/>
      <c r="F498" s="1326"/>
      <c r="G498" s="1326"/>
      <c r="H498" s="1326"/>
      <c r="I498" s="1373"/>
    </row>
    <row r="499" spans="1:9">
      <c r="A499" s="1369"/>
      <c r="B499" s="1369"/>
      <c r="C499" s="1370"/>
      <c r="D499" s="1308"/>
      <c r="E499" s="1326"/>
      <c r="F499" s="1326"/>
      <c r="G499" s="1326"/>
      <c r="H499" s="1326"/>
      <c r="I499" s="1373"/>
    </row>
    <row r="500" spans="1:9">
      <c r="A500" s="1369"/>
      <c r="B500" s="1369"/>
      <c r="C500" s="1370"/>
      <c r="D500" s="1308"/>
      <c r="E500" s="1326"/>
      <c r="F500" s="1326"/>
      <c r="G500" s="1326"/>
      <c r="H500" s="1326"/>
      <c r="I500" s="1373"/>
    </row>
    <row r="501" spans="1:9">
      <c r="A501" s="1369"/>
      <c r="B501" s="1369"/>
      <c r="C501" s="1370"/>
      <c r="D501" s="1308"/>
      <c r="E501" s="1326"/>
      <c r="F501" s="1326"/>
      <c r="G501" s="1326"/>
      <c r="H501" s="1326"/>
      <c r="I501" s="1373"/>
    </row>
    <row r="502" spans="1:9">
      <c r="A502" s="1369"/>
      <c r="B502" s="1369"/>
      <c r="C502" s="1370"/>
      <c r="D502" s="1308"/>
      <c r="E502" s="1326"/>
      <c r="F502" s="1326"/>
      <c r="G502" s="1326"/>
      <c r="H502" s="1326"/>
      <c r="I502" s="1373"/>
    </row>
    <row r="503" spans="1:9">
      <c r="A503" s="1369"/>
      <c r="B503" s="1369"/>
      <c r="C503" s="1370"/>
      <c r="D503" s="1308"/>
      <c r="E503" s="1326"/>
      <c r="F503" s="1326"/>
      <c r="G503" s="1326"/>
      <c r="H503" s="1326"/>
      <c r="I503" s="1373"/>
    </row>
    <row r="504" spans="1:9">
      <c r="A504" s="1369"/>
      <c r="B504" s="1369"/>
      <c r="C504" s="1370"/>
      <c r="D504" s="1308"/>
      <c r="E504" s="1326"/>
      <c r="F504" s="1326"/>
      <c r="G504" s="1326"/>
      <c r="H504" s="1326"/>
      <c r="I504" s="1373"/>
    </row>
    <row r="505" spans="1:9">
      <c r="A505" s="1369"/>
      <c r="B505" s="1369"/>
      <c r="C505" s="1370"/>
      <c r="D505" s="1308"/>
      <c r="E505" s="1326"/>
      <c r="F505" s="1326"/>
      <c r="G505" s="1326"/>
      <c r="H505" s="1326"/>
      <c r="I505" s="1373"/>
    </row>
    <row r="506" spans="1:9">
      <c r="A506" s="1369"/>
      <c r="B506" s="1369"/>
      <c r="C506" s="1370"/>
      <c r="D506" s="1308"/>
      <c r="E506" s="1326"/>
      <c r="F506" s="1326"/>
      <c r="G506" s="1326"/>
      <c r="H506" s="1326"/>
      <c r="I506" s="1373"/>
    </row>
    <row r="507" spans="1:9">
      <c r="A507" s="1369"/>
      <c r="B507" s="1369"/>
      <c r="C507" s="1370"/>
      <c r="D507" s="1308"/>
      <c r="E507" s="1326"/>
      <c r="F507" s="1326"/>
      <c r="G507" s="1326"/>
      <c r="H507" s="1326"/>
      <c r="I507" s="1373"/>
    </row>
    <row r="508" spans="1:9">
      <c r="A508" s="1369"/>
      <c r="B508" s="1369"/>
      <c r="C508" s="1370"/>
      <c r="D508" s="1308"/>
      <c r="E508" s="1326"/>
      <c r="F508" s="1326"/>
      <c r="G508" s="1326"/>
      <c r="H508" s="1326"/>
      <c r="I508" s="1373"/>
    </row>
    <row r="509" spans="1:9">
      <c r="A509" s="1369"/>
      <c r="B509" s="1369"/>
      <c r="C509" s="1370"/>
      <c r="D509" s="1308"/>
      <c r="E509" s="1326"/>
      <c r="F509" s="1326"/>
      <c r="G509" s="1326"/>
      <c r="H509" s="1326"/>
      <c r="I509" s="1373"/>
    </row>
    <row r="510" spans="1:9">
      <c r="A510" s="1369"/>
      <c r="B510" s="1369"/>
      <c r="C510" s="1370"/>
      <c r="D510" s="1308"/>
      <c r="E510" s="1326"/>
      <c r="F510" s="1326"/>
      <c r="G510" s="1326"/>
      <c r="H510" s="1326"/>
      <c r="I510" s="1373"/>
    </row>
    <row r="511" spans="1:9">
      <c r="A511" s="1369"/>
      <c r="B511" s="1369"/>
      <c r="C511" s="1370"/>
      <c r="D511" s="1308"/>
      <c r="E511" s="1326"/>
      <c r="F511" s="1326"/>
      <c r="G511" s="1326"/>
      <c r="H511" s="1326"/>
      <c r="I511" s="1373"/>
    </row>
    <row r="512" spans="1:9">
      <c r="A512" s="1369"/>
      <c r="B512" s="1369"/>
      <c r="C512" s="1370"/>
      <c r="D512" s="1308"/>
      <c r="E512" s="1326"/>
      <c r="F512" s="1326"/>
      <c r="G512" s="1326"/>
      <c r="H512" s="1326"/>
      <c r="I512" s="1373"/>
    </row>
    <row r="513" spans="1:9">
      <c r="A513" s="1369"/>
      <c r="B513" s="1369"/>
      <c r="C513" s="1370"/>
      <c r="D513" s="1308"/>
      <c r="E513" s="1326"/>
      <c r="F513" s="1326"/>
      <c r="G513" s="1326"/>
      <c r="H513" s="1326"/>
      <c r="I513" s="1373"/>
    </row>
    <row r="514" spans="1:9">
      <c r="A514" s="1369"/>
      <c r="B514" s="1369"/>
      <c r="C514" s="1370"/>
      <c r="D514" s="1308"/>
      <c r="E514" s="1326"/>
      <c r="F514" s="1326"/>
      <c r="G514" s="1326"/>
      <c r="H514" s="1326"/>
      <c r="I514" s="1373"/>
    </row>
    <row r="515" spans="1:9">
      <c r="A515" s="1369"/>
      <c r="B515" s="1369"/>
      <c r="C515" s="1370"/>
      <c r="D515" s="1308"/>
      <c r="E515" s="1326"/>
      <c r="F515" s="1326"/>
      <c r="G515" s="1326"/>
      <c r="H515" s="1326"/>
      <c r="I515" s="1373"/>
    </row>
    <row r="516" spans="1:9">
      <c r="A516" s="1369"/>
      <c r="B516" s="1369"/>
      <c r="C516" s="1370"/>
      <c r="D516" s="1308"/>
      <c r="E516" s="1326"/>
      <c r="F516" s="1326"/>
      <c r="G516" s="1326"/>
      <c r="H516" s="1326"/>
      <c r="I516" s="1373"/>
    </row>
    <row r="517" spans="1:9">
      <c r="A517" s="1369"/>
      <c r="B517" s="1369"/>
      <c r="C517" s="1370"/>
      <c r="D517" s="1308"/>
      <c r="E517" s="1326"/>
      <c r="F517" s="1326"/>
      <c r="G517" s="1326"/>
      <c r="H517" s="1326"/>
      <c r="I517" s="1373"/>
    </row>
    <row r="518" spans="1:9">
      <c r="A518" s="1369"/>
      <c r="B518" s="1369"/>
      <c r="C518" s="1370"/>
      <c r="D518" s="1308"/>
      <c r="E518" s="1326"/>
      <c r="F518" s="1326"/>
      <c r="G518" s="1326"/>
      <c r="H518" s="1326"/>
      <c r="I518" s="1373"/>
    </row>
    <row r="519" spans="1:9">
      <c r="A519" s="1369"/>
      <c r="B519" s="1369"/>
      <c r="C519" s="1370"/>
      <c r="D519" s="1308"/>
      <c r="E519" s="1326"/>
      <c r="F519" s="1326"/>
      <c r="G519" s="1326"/>
      <c r="H519" s="1326"/>
      <c r="I519" s="1373"/>
    </row>
    <row r="520" spans="1:9">
      <c r="A520" s="1369"/>
      <c r="B520" s="1369"/>
      <c r="C520" s="1370"/>
      <c r="D520" s="1308"/>
      <c r="E520" s="1326"/>
      <c r="F520" s="1326"/>
      <c r="G520" s="1326"/>
      <c r="H520" s="1326"/>
      <c r="I520" s="1373"/>
    </row>
    <row r="521" spans="1:9">
      <c r="A521" s="1369"/>
      <c r="B521" s="1369"/>
      <c r="C521" s="1370"/>
      <c r="D521" s="1308"/>
      <c r="E521" s="1326"/>
      <c r="F521" s="1326"/>
      <c r="G521" s="1326"/>
      <c r="H521" s="1326"/>
      <c r="I521" s="1373"/>
    </row>
    <row r="522" spans="1:9">
      <c r="A522" s="1369"/>
      <c r="B522" s="1369"/>
      <c r="C522" s="1370"/>
      <c r="D522" s="1308"/>
      <c r="E522" s="1326"/>
      <c r="F522" s="1326"/>
      <c r="G522" s="1326"/>
      <c r="H522" s="1326"/>
      <c r="I522" s="1373"/>
    </row>
    <row r="523" spans="1:9">
      <c r="A523" s="1369"/>
      <c r="B523" s="1369"/>
      <c r="C523" s="1370"/>
      <c r="D523" s="1308"/>
      <c r="E523" s="1326"/>
      <c r="F523" s="1326"/>
      <c r="G523" s="1326"/>
      <c r="H523" s="1326"/>
      <c r="I523" s="1373"/>
    </row>
    <row r="524" spans="1:9">
      <c r="A524" s="1369"/>
      <c r="B524" s="1369"/>
      <c r="C524" s="1370"/>
      <c r="D524" s="1308"/>
      <c r="E524" s="1326"/>
      <c r="F524" s="1326"/>
      <c r="G524" s="1326"/>
      <c r="H524" s="1326"/>
      <c r="I524" s="1373"/>
    </row>
    <row r="525" spans="1:9">
      <c r="A525" s="1369"/>
      <c r="B525" s="1369"/>
      <c r="C525" s="1370"/>
      <c r="D525" s="1308"/>
      <c r="E525" s="1326"/>
      <c r="F525" s="1326"/>
      <c r="G525" s="1326"/>
      <c r="H525" s="1326"/>
      <c r="I525" s="1373"/>
    </row>
    <row r="526" spans="1:9">
      <c r="A526" s="1369"/>
      <c r="B526" s="1369"/>
      <c r="C526" s="1370"/>
      <c r="D526" s="1308"/>
      <c r="E526" s="1326"/>
      <c r="F526" s="1326"/>
      <c r="G526" s="1326"/>
      <c r="H526" s="1326"/>
      <c r="I526" s="1373"/>
    </row>
    <row r="527" spans="1:9">
      <c r="A527" s="1369"/>
      <c r="B527" s="1369"/>
      <c r="C527" s="1370"/>
      <c r="D527" s="1308"/>
      <c r="E527" s="1326"/>
      <c r="F527" s="1326"/>
      <c r="G527" s="1326"/>
      <c r="H527" s="1326"/>
      <c r="I527" s="1373"/>
    </row>
    <row r="528" spans="1:9">
      <c r="A528" s="1369"/>
      <c r="B528" s="1369"/>
      <c r="C528" s="1370"/>
      <c r="D528" s="1308"/>
      <c r="E528" s="1326"/>
      <c r="F528" s="1326"/>
      <c r="G528" s="1326"/>
      <c r="H528" s="1326"/>
      <c r="I528" s="1373"/>
    </row>
    <row r="529" spans="1:9">
      <c r="A529" s="1369"/>
      <c r="B529" s="1369"/>
      <c r="C529" s="1370"/>
      <c r="D529" s="1308"/>
      <c r="E529" s="1326"/>
      <c r="F529" s="1326"/>
      <c r="G529" s="1326"/>
      <c r="H529" s="1326"/>
      <c r="I529" s="1373"/>
    </row>
    <row r="530" spans="1:9">
      <c r="A530" s="1369"/>
      <c r="B530" s="1369"/>
      <c r="C530" s="1370"/>
      <c r="D530" s="1308"/>
      <c r="E530" s="1326"/>
      <c r="F530" s="1326"/>
      <c r="G530" s="1326"/>
      <c r="H530" s="1326"/>
      <c r="I530" s="1373"/>
    </row>
    <row r="531" spans="1:9">
      <c r="A531" s="1369"/>
      <c r="B531" s="1369"/>
      <c r="C531" s="1370"/>
      <c r="D531" s="1308"/>
      <c r="E531" s="1326"/>
      <c r="F531" s="1326"/>
      <c r="G531" s="1326"/>
      <c r="H531" s="1326"/>
      <c r="I531" s="1373"/>
    </row>
    <row r="532" spans="1:9">
      <c r="A532" s="1369"/>
      <c r="B532" s="1369"/>
      <c r="C532" s="1370"/>
      <c r="D532" s="1308"/>
      <c r="E532" s="1326"/>
      <c r="F532" s="1326"/>
      <c r="G532" s="1326"/>
      <c r="H532" s="1326"/>
      <c r="I532" s="1373"/>
    </row>
    <row r="533" spans="1:9">
      <c r="A533" s="1369"/>
      <c r="B533" s="1369"/>
      <c r="C533" s="1370"/>
      <c r="D533" s="1308"/>
      <c r="E533" s="1326"/>
      <c r="F533" s="1326"/>
      <c r="G533" s="1326"/>
      <c r="H533" s="1326"/>
      <c r="I533" s="1373"/>
    </row>
    <row r="534" spans="1:9">
      <c r="A534" s="1369"/>
      <c r="B534" s="1369"/>
      <c r="C534" s="1370"/>
      <c r="D534" s="1308"/>
      <c r="E534" s="1326"/>
      <c r="F534" s="1326"/>
      <c r="G534" s="1326"/>
      <c r="H534" s="1326"/>
      <c r="I534" s="1373"/>
    </row>
    <row r="535" spans="1:9">
      <c r="A535" s="1369"/>
      <c r="B535" s="1369"/>
      <c r="C535" s="1370"/>
      <c r="D535" s="1308"/>
      <c r="E535" s="1326"/>
      <c r="F535" s="1326"/>
      <c r="G535" s="1326"/>
      <c r="H535" s="1326"/>
      <c r="I535" s="1373"/>
    </row>
    <row r="536" spans="1:9">
      <c r="A536" s="1369"/>
      <c r="B536" s="1369"/>
      <c r="C536" s="1370"/>
      <c r="D536" s="1308"/>
      <c r="E536" s="1326"/>
      <c r="F536" s="1326"/>
      <c r="G536" s="1326"/>
      <c r="H536" s="1326"/>
      <c r="I536" s="1373"/>
    </row>
    <row r="537" spans="1:9">
      <c r="A537" s="1369"/>
      <c r="B537" s="1369"/>
      <c r="C537" s="1370"/>
      <c r="D537" s="1308"/>
      <c r="E537" s="1326"/>
      <c r="F537" s="1326"/>
      <c r="G537" s="1326"/>
      <c r="H537" s="1326"/>
      <c r="I537" s="1373"/>
    </row>
    <row r="538" spans="1:9">
      <c r="A538" s="1369"/>
      <c r="B538" s="1369"/>
      <c r="C538" s="1370"/>
      <c r="D538" s="1308"/>
      <c r="E538" s="1326"/>
      <c r="F538" s="1326"/>
      <c r="G538" s="1326"/>
      <c r="H538" s="1326"/>
      <c r="I538" s="1373"/>
    </row>
    <row r="539" spans="1:9">
      <c r="A539" s="1369"/>
      <c r="B539" s="1369"/>
      <c r="C539" s="1370"/>
      <c r="D539" s="1308"/>
      <c r="E539" s="1326"/>
      <c r="F539" s="1326"/>
      <c r="G539" s="1326"/>
      <c r="H539" s="1326"/>
      <c r="I539" s="1373"/>
    </row>
    <row r="540" spans="1:9">
      <c r="A540" s="1369"/>
      <c r="B540" s="1369"/>
      <c r="C540" s="1370"/>
      <c r="D540" s="1308"/>
      <c r="E540" s="1326"/>
      <c r="F540" s="1326"/>
      <c r="G540" s="1326"/>
      <c r="H540" s="1326"/>
      <c r="I540" s="1373"/>
    </row>
    <row r="541" spans="1:9">
      <c r="A541" s="1369"/>
      <c r="B541" s="1369"/>
      <c r="C541" s="1370"/>
      <c r="D541" s="1308"/>
      <c r="E541" s="1326"/>
      <c r="F541" s="1326"/>
      <c r="G541" s="1326"/>
      <c r="H541" s="1326"/>
      <c r="I541" s="1373"/>
    </row>
    <row r="542" spans="1:9">
      <c r="A542" s="1369"/>
      <c r="B542" s="1369"/>
      <c r="C542" s="1370"/>
      <c r="D542" s="1308"/>
      <c r="E542" s="1326"/>
      <c r="F542" s="1326"/>
      <c r="G542" s="1326"/>
      <c r="H542" s="1326"/>
      <c r="I542" s="1373"/>
    </row>
    <row r="543" spans="1:9">
      <c r="A543" s="1369"/>
      <c r="B543" s="1369"/>
      <c r="C543" s="1370"/>
      <c r="D543" s="1308"/>
      <c r="E543" s="1326"/>
      <c r="F543" s="1326"/>
      <c r="G543" s="1326"/>
      <c r="H543" s="1326"/>
      <c r="I543" s="1373"/>
    </row>
    <row r="544" spans="1:9">
      <c r="A544" s="1369"/>
      <c r="B544" s="1369"/>
      <c r="C544" s="1370"/>
      <c r="D544" s="1308"/>
      <c r="E544" s="1326"/>
      <c r="F544" s="1326"/>
      <c r="G544" s="1326"/>
      <c r="H544" s="1326"/>
      <c r="I544" s="1373"/>
    </row>
    <row r="545" spans="1:9">
      <c r="A545" s="1369"/>
      <c r="B545" s="1369"/>
      <c r="C545" s="1370"/>
      <c r="D545" s="1308"/>
      <c r="E545" s="1326"/>
      <c r="F545" s="1326"/>
      <c r="G545" s="1326"/>
      <c r="H545" s="1326"/>
      <c r="I545" s="1373"/>
    </row>
    <row r="546" spans="1:9">
      <c r="A546" s="1369"/>
      <c r="B546" s="1369"/>
      <c r="C546" s="1370"/>
      <c r="D546" s="1308"/>
      <c r="E546" s="1326"/>
      <c r="F546" s="1326"/>
      <c r="G546" s="1326"/>
      <c r="H546" s="1326"/>
      <c r="I546" s="1373"/>
    </row>
    <row r="547" spans="1:9">
      <c r="A547" s="1369"/>
      <c r="B547" s="1369"/>
      <c r="C547" s="1370"/>
      <c r="D547" s="1308"/>
      <c r="E547" s="1326"/>
      <c r="F547" s="1326"/>
      <c r="G547" s="1326"/>
      <c r="H547" s="1326"/>
      <c r="I547" s="1373"/>
    </row>
    <row r="548" spans="1:9">
      <c r="A548" s="1369"/>
      <c r="B548" s="1369"/>
      <c r="C548" s="1370"/>
      <c r="D548" s="1308"/>
      <c r="E548" s="1326"/>
      <c r="F548" s="1326"/>
      <c r="G548" s="1326"/>
      <c r="H548" s="1326"/>
      <c r="I548" s="1373"/>
    </row>
    <row r="549" spans="1:9">
      <c r="A549" s="1369"/>
      <c r="B549" s="1369"/>
      <c r="C549" s="1370"/>
      <c r="D549" s="1308"/>
      <c r="E549" s="1326"/>
      <c r="F549" s="1326"/>
      <c r="G549" s="1326"/>
      <c r="H549" s="1326"/>
      <c r="I549" s="1373"/>
    </row>
    <row r="550" spans="1:9">
      <c r="A550" s="1369"/>
      <c r="B550" s="1369"/>
      <c r="C550" s="1370"/>
      <c r="D550" s="1308"/>
      <c r="E550" s="1326"/>
      <c r="F550" s="1326"/>
      <c r="G550" s="1326"/>
      <c r="H550" s="1326"/>
      <c r="I550" s="1373"/>
    </row>
    <row r="551" spans="1:9">
      <c r="A551" s="1369"/>
      <c r="B551" s="1369"/>
      <c r="C551" s="1370"/>
      <c r="D551" s="1308"/>
      <c r="E551" s="1326"/>
      <c r="F551" s="1326"/>
      <c r="G551" s="1326"/>
      <c r="H551" s="1326"/>
      <c r="I551" s="1373"/>
    </row>
    <row r="552" spans="1:9">
      <c r="A552" s="1369"/>
      <c r="B552" s="1369"/>
      <c r="C552" s="1370"/>
      <c r="D552" s="1308"/>
      <c r="E552" s="1326"/>
      <c r="F552" s="1326"/>
      <c r="G552" s="1326"/>
      <c r="H552" s="1326"/>
      <c r="I552" s="1373"/>
    </row>
    <row r="553" spans="1:9">
      <c r="A553" s="1369"/>
      <c r="B553" s="1369"/>
      <c r="C553" s="1370"/>
      <c r="D553" s="1308"/>
      <c r="E553" s="1326"/>
      <c r="F553" s="1326"/>
      <c r="G553" s="1326"/>
      <c r="H553" s="1326"/>
      <c r="I553" s="1373"/>
    </row>
    <row r="554" spans="1:9">
      <c r="A554" s="1369"/>
      <c r="B554" s="1369"/>
      <c r="C554" s="1370"/>
      <c r="D554" s="1308"/>
      <c r="E554" s="1326"/>
      <c r="F554" s="1326"/>
      <c r="G554" s="1326"/>
      <c r="H554" s="1326"/>
      <c r="I554" s="1373"/>
    </row>
    <row r="555" spans="1:9">
      <c r="A555" s="1369"/>
      <c r="B555" s="1369"/>
      <c r="C555" s="1370"/>
      <c r="D555" s="1308"/>
      <c r="E555" s="1326"/>
      <c r="F555" s="1326"/>
      <c r="G555" s="1326"/>
      <c r="H555" s="1326"/>
      <c r="I555" s="1373"/>
    </row>
    <row r="556" spans="1:9">
      <c r="A556" s="1369"/>
      <c r="B556" s="1369"/>
      <c r="C556" s="1370"/>
      <c r="D556" s="1308"/>
      <c r="E556" s="1326"/>
      <c r="F556" s="1326"/>
      <c r="G556" s="1326"/>
      <c r="H556" s="1326"/>
      <c r="I556" s="1373"/>
    </row>
    <row r="557" spans="1:9">
      <c r="A557" s="1369"/>
      <c r="B557" s="1369"/>
      <c r="C557" s="1370"/>
      <c r="D557" s="1308"/>
      <c r="E557" s="1326"/>
      <c r="F557" s="1326"/>
      <c r="G557" s="1326"/>
      <c r="H557" s="1326"/>
      <c r="I557" s="1373"/>
    </row>
    <row r="558" spans="1:9">
      <c r="A558" s="1369"/>
      <c r="B558" s="1369"/>
      <c r="C558" s="1370"/>
      <c r="D558" s="1308"/>
      <c r="E558" s="1326"/>
      <c r="F558" s="1326"/>
      <c r="G558" s="1326"/>
      <c r="H558" s="1326"/>
      <c r="I558" s="1373"/>
    </row>
    <row r="559" spans="1:9">
      <c r="A559" s="1369"/>
      <c r="B559" s="1369"/>
      <c r="C559" s="1370"/>
      <c r="D559" s="1308"/>
      <c r="E559" s="1326"/>
      <c r="F559" s="1326"/>
      <c r="G559" s="1326"/>
      <c r="H559" s="1326"/>
      <c r="I559" s="1373"/>
    </row>
    <row r="560" spans="1:9">
      <c r="A560" s="1369"/>
      <c r="B560" s="1369"/>
      <c r="C560" s="1370"/>
      <c r="D560" s="1308"/>
      <c r="E560" s="1326"/>
      <c r="F560" s="1326"/>
      <c r="G560" s="1326"/>
      <c r="H560" s="1326"/>
      <c r="I560" s="1373"/>
    </row>
    <row r="561" spans="1:9">
      <c r="A561" s="1369"/>
      <c r="B561" s="1369"/>
      <c r="C561" s="1370"/>
      <c r="D561" s="1308"/>
      <c r="E561" s="1326"/>
      <c r="F561" s="1326"/>
      <c r="G561" s="1326"/>
      <c r="H561" s="1326"/>
      <c r="I561" s="1373"/>
    </row>
    <row r="562" spans="1:9">
      <c r="A562" s="1369"/>
      <c r="B562" s="1369"/>
      <c r="C562" s="1370"/>
      <c r="D562" s="1308"/>
      <c r="E562" s="1326"/>
      <c r="F562" s="1326"/>
      <c r="G562" s="1326"/>
      <c r="H562" s="1326"/>
      <c r="I562" s="1373"/>
    </row>
    <row r="563" spans="1:9">
      <c r="A563" s="1369"/>
      <c r="B563" s="1369"/>
      <c r="C563" s="1370"/>
      <c r="D563" s="1308"/>
      <c r="E563" s="1326"/>
      <c r="F563" s="1326"/>
      <c r="G563" s="1326"/>
      <c r="H563" s="1326"/>
      <c r="I563" s="1373"/>
    </row>
    <row r="564" spans="1:9">
      <c r="A564" s="1369"/>
      <c r="B564" s="1369"/>
      <c r="C564" s="1370"/>
      <c r="D564" s="1308"/>
      <c r="E564" s="1326"/>
      <c r="F564" s="1326"/>
      <c r="G564" s="1326"/>
      <c r="H564" s="1326"/>
      <c r="I564" s="1373"/>
    </row>
    <row r="565" spans="1:9">
      <c r="A565" s="1369"/>
      <c r="B565" s="1369"/>
      <c r="C565" s="1370"/>
      <c r="D565" s="1308"/>
      <c r="E565" s="1326"/>
      <c r="F565" s="1326"/>
      <c r="G565" s="1326"/>
      <c r="H565" s="1326"/>
      <c r="I565" s="1373"/>
    </row>
    <row r="566" spans="1:9">
      <c r="A566" s="1369"/>
      <c r="B566" s="1369"/>
      <c r="C566" s="1370"/>
      <c r="D566" s="1308"/>
      <c r="E566" s="1326"/>
      <c r="F566" s="1326"/>
      <c r="G566" s="1326"/>
      <c r="H566" s="1326"/>
      <c r="I566" s="1373"/>
    </row>
    <row r="567" spans="1:9">
      <c r="A567" s="1369"/>
      <c r="B567" s="1369"/>
      <c r="C567" s="1370"/>
      <c r="D567" s="1308"/>
      <c r="E567" s="1326"/>
      <c r="F567" s="1326"/>
      <c r="G567" s="1326"/>
      <c r="H567" s="1326"/>
      <c r="I567" s="1373"/>
    </row>
    <row r="568" spans="1:9">
      <c r="A568" s="1369"/>
      <c r="B568" s="1369"/>
      <c r="C568" s="1370"/>
      <c r="D568" s="1308"/>
      <c r="E568" s="1326"/>
      <c r="F568" s="1326"/>
      <c r="G568" s="1326"/>
      <c r="H568" s="1326"/>
      <c r="I568" s="1373"/>
    </row>
    <row r="569" spans="1:9">
      <c r="A569" s="1369"/>
      <c r="B569" s="1369"/>
      <c r="C569" s="1370"/>
      <c r="D569" s="1308"/>
      <c r="E569" s="1326"/>
      <c r="F569" s="1326"/>
      <c r="G569" s="1326"/>
      <c r="H569" s="1326"/>
      <c r="I569" s="1373"/>
    </row>
    <row r="570" spans="1:9">
      <c r="A570" s="1369"/>
      <c r="B570" s="1369"/>
      <c r="C570" s="1370"/>
      <c r="D570" s="1308"/>
      <c r="E570" s="1326"/>
      <c r="F570" s="1326"/>
      <c r="G570" s="1326"/>
      <c r="H570" s="1326"/>
      <c r="I570" s="1373"/>
    </row>
    <row r="571" spans="1:9">
      <c r="A571" s="1369"/>
      <c r="B571" s="1369"/>
      <c r="C571" s="1370"/>
      <c r="D571" s="1308"/>
      <c r="E571" s="1326"/>
      <c r="F571" s="1326"/>
      <c r="G571" s="1326"/>
      <c r="H571" s="1326"/>
      <c r="I571" s="1373"/>
    </row>
    <row r="572" spans="1:9">
      <c r="A572" s="1369"/>
      <c r="B572" s="1369"/>
      <c r="C572" s="1370"/>
      <c r="D572" s="1308"/>
      <c r="E572" s="1326"/>
      <c r="F572" s="1326"/>
      <c r="G572" s="1326"/>
      <c r="H572" s="1326"/>
      <c r="I572" s="1373"/>
    </row>
    <row r="573" spans="1:9">
      <c r="A573" s="1369"/>
      <c r="B573" s="1369"/>
      <c r="C573" s="1370"/>
      <c r="D573" s="1308"/>
      <c r="E573" s="1326"/>
      <c r="F573" s="1326"/>
      <c r="G573" s="1326"/>
      <c r="H573" s="1326"/>
      <c r="I573" s="1373"/>
    </row>
    <row r="574" spans="1:9">
      <c r="A574" s="1369"/>
      <c r="B574" s="1369"/>
      <c r="C574" s="1370"/>
      <c r="D574" s="1308"/>
      <c r="E574" s="1326"/>
      <c r="F574" s="1326"/>
      <c r="G574" s="1326"/>
      <c r="H574" s="1326"/>
      <c r="I574" s="1373"/>
    </row>
    <row r="575" spans="1:9">
      <c r="A575" s="1369"/>
      <c r="B575" s="1369"/>
      <c r="C575" s="1370"/>
      <c r="D575" s="1308"/>
      <c r="E575" s="1326"/>
      <c r="F575" s="1326"/>
      <c r="G575" s="1326"/>
      <c r="H575" s="1326"/>
      <c r="I575" s="1373"/>
    </row>
    <row r="576" spans="1:9">
      <c r="A576" s="1369"/>
      <c r="B576" s="1369"/>
      <c r="C576" s="1370"/>
      <c r="D576" s="1308"/>
      <c r="E576" s="1326"/>
      <c r="F576" s="1326"/>
      <c r="G576" s="1326"/>
      <c r="H576" s="1326"/>
      <c r="I576" s="1373"/>
    </row>
    <row r="577" spans="1:9">
      <c r="A577" s="1369"/>
      <c r="B577" s="1369"/>
      <c r="C577" s="1370"/>
      <c r="D577" s="1308"/>
      <c r="E577" s="1326"/>
      <c r="F577" s="1326"/>
      <c r="G577" s="1326"/>
      <c r="H577" s="1326"/>
      <c r="I577" s="1373"/>
    </row>
    <row r="578" spans="1:9">
      <c r="A578" s="1369"/>
      <c r="B578" s="1369"/>
      <c r="C578" s="1370"/>
      <c r="D578" s="1308"/>
      <c r="E578" s="1326"/>
      <c r="F578" s="1326"/>
      <c r="G578" s="1326"/>
      <c r="H578" s="1326"/>
      <c r="I578" s="1373"/>
    </row>
    <row r="579" spans="1:9">
      <c r="A579" s="1369"/>
      <c r="B579" s="1369"/>
      <c r="C579" s="1370"/>
      <c r="D579" s="1308"/>
      <c r="E579" s="1326"/>
      <c r="F579" s="1326"/>
      <c r="G579" s="1326"/>
      <c r="H579" s="1326"/>
      <c r="I579" s="1373"/>
    </row>
    <row r="580" spans="1:9">
      <c r="A580" s="1369"/>
      <c r="B580" s="1369"/>
      <c r="C580" s="1370"/>
      <c r="D580" s="1308"/>
      <c r="E580" s="1326"/>
      <c r="F580" s="1326"/>
      <c r="G580" s="1326"/>
      <c r="H580" s="1326"/>
      <c r="I580" s="1373"/>
    </row>
    <row r="581" spans="1:9">
      <c r="A581" s="1369"/>
      <c r="B581" s="1369"/>
      <c r="C581" s="1370"/>
      <c r="D581" s="1308"/>
      <c r="E581" s="1326"/>
      <c r="F581" s="1326"/>
      <c r="G581" s="1326"/>
      <c r="H581" s="1326"/>
      <c r="I581" s="1373"/>
    </row>
    <row r="582" spans="1:9">
      <c r="A582" s="1369"/>
      <c r="B582" s="1369"/>
      <c r="C582" s="1370"/>
      <c r="D582" s="1308"/>
      <c r="E582" s="1326"/>
      <c r="F582" s="1326"/>
      <c r="G582" s="1326"/>
      <c r="H582" s="1326"/>
      <c r="I582" s="1373"/>
    </row>
    <row r="583" spans="1:9">
      <c r="A583" s="1369"/>
      <c r="B583" s="1369"/>
      <c r="C583" s="1370"/>
      <c r="D583" s="1308"/>
      <c r="E583" s="1326"/>
      <c r="F583" s="1326"/>
      <c r="G583" s="1326"/>
      <c r="H583" s="1326"/>
      <c r="I583" s="1373"/>
    </row>
    <row r="584" spans="1:9">
      <c r="A584" s="1369"/>
      <c r="B584" s="1369"/>
      <c r="C584" s="1370"/>
      <c r="D584" s="1308"/>
      <c r="E584" s="1326"/>
      <c r="F584" s="1326"/>
      <c r="G584" s="1326"/>
      <c r="H584" s="1326"/>
      <c r="I584" s="1373"/>
    </row>
    <row r="585" spans="1:9">
      <c r="A585" s="1369"/>
      <c r="B585" s="1369"/>
      <c r="C585" s="1370"/>
      <c r="D585" s="1308"/>
      <c r="E585" s="1326"/>
      <c r="F585" s="1326"/>
      <c r="G585" s="1326"/>
      <c r="H585" s="1326"/>
      <c r="I585" s="1373"/>
    </row>
    <row r="586" spans="1:9">
      <c r="A586" s="1369"/>
      <c r="B586" s="1369"/>
      <c r="C586" s="1370"/>
      <c r="D586" s="1308"/>
      <c r="E586" s="1326"/>
      <c r="F586" s="1326"/>
      <c r="G586" s="1326"/>
      <c r="H586" s="1326"/>
      <c r="I586" s="1373"/>
    </row>
    <row r="587" spans="1:9">
      <c r="A587" s="1369"/>
      <c r="B587" s="1369"/>
      <c r="C587" s="1370"/>
      <c r="D587" s="1308"/>
      <c r="E587" s="1326"/>
      <c r="F587" s="1326"/>
      <c r="G587" s="1326"/>
      <c r="H587" s="1326"/>
      <c r="I587" s="1373"/>
    </row>
    <row r="588" spans="1:9">
      <c r="A588" s="1369"/>
      <c r="B588" s="1369"/>
      <c r="C588" s="1370"/>
      <c r="D588" s="1308"/>
      <c r="E588" s="1326"/>
      <c r="F588" s="1326"/>
      <c r="G588" s="1326"/>
      <c r="H588" s="1326"/>
      <c r="I588" s="1373"/>
    </row>
    <row r="589" spans="1:9">
      <c r="A589" s="1369"/>
      <c r="B589" s="1369"/>
      <c r="C589" s="1370"/>
      <c r="D589" s="1308"/>
      <c r="E589" s="1326"/>
      <c r="F589" s="1326"/>
      <c r="G589" s="1326"/>
      <c r="H589" s="1326"/>
      <c r="I589" s="1373"/>
    </row>
    <row r="590" spans="1:9">
      <c r="A590" s="1369"/>
      <c r="B590" s="1369"/>
      <c r="C590" s="1370"/>
      <c r="D590" s="1308"/>
      <c r="E590" s="1326"/>
      <c r="F590" s="1326"/>
      <c r="G590" s="1326"/>
      <c r="H590" s="1326"/>
      <c r="I590" s="1373"/>
    </row>
    <row r="591" spans="1:9">
      <c r="A591" s="1369"/>
      <c r="B591" s="1369"/>
      <c r="C591" s="1370"/>
      <c r="D591" s="1308"/>
      <c r="E591" s="1326"/>
      <c r="F591" s="1326"/>
      <c r="G591" s="1326"/>
      <c r="H591" s="1326"/>
      <c r="I591" s="1373"/>
    </row>
    <row r="592" spans="1:9">
      <c r="A592" s="1369"/>
      <c r="B592" s="1369"/>
      <c r="C592" s="1370"/>
      <c r="D592" s="1308"/>
      <c r="E592" s="1326"/>
      <c r="F592" s="1326"/>
      <c r="G592" s="1326"/>
      <c r="H592" s="1326"/>
      <c r="I592" s="1373"/>
    </row>
    <row r="593" spans="1:9">
      <c r="A593" s="1369"/>
      <c r="B593" s="1369"/>
      <c r="C593" s="1370"/>
      <c r="D593" s="1308"/>
      <c r="E593" s="1326"/>
      <c r="F593" s="1326"/>
      <c r="G593" s="1326"/>
      <c r="H593" s="1326"/>
      <c r="I593" s="1373"/>
    </row>
    <row r="594" spans="1:9">
      <c r="A594" s="1369"/>
      <c r="B594" s="1369"/>
      <c r="C594" s="1370"/>
      <c r="D594" s="1308"/>
      <c r="E594" s="1326"/>
      <c r="F594" s="1326"/>
      <c r="G594" s="1326"/>
      <c r="H594" s="1326"/>
      <c r="I594" s="1373"/>
    </row>
    <row r="595" spans="1:9">
      <c r="A595" s="1369"/>
      <c r="B595" s="1369"/>
      <c r="C595" s="1370"/>
      <c r="D595" s="1308"/>
      <c r="E595" s="1326"/>
      <c r="F595" s="1326"/>
      <c r="G595" s="1326"/>
      <c r="H595" s="1326"/>
      <c r="I595" s="1373"/>
    </row>
    <row r="596" spans="1:9">
      <c r="A596" s="1369"/>
      <c r="B596" s="1369"/>
      <c r="C596" s="1370"/>
      <c r="D596" s="1308"/>
      <c r="E596" s="1326"/>
      <c r="F596" s="1326"/>
      <c r="G596" s="1326"/>
      <c r="H596" s="1326"/>
      <c r="I596" s="1373"/>
    </row>
    <row r="597" spans="1:9">
      <c r="A597" s="1369"/>
      <c r="B597" s="1369"/>
      <c r="C597" s="1370"/>
      <c r="D597" s="1308"/>
      <c r="E597" s="1326"/>
      <c r="F597" s="1326"/>
      <c r="G597" s="1326"/>
      <c r="H597" s="1326"/>
      <c r="I597" s="1373"/>
    </row>
    <row r="598" spans="1:9">
      <c r="A598" s="1369"/>
      <c r="B598" s="1369"/>
      <c r="C598" s="1370"/>
      <c r="D598" s="1308"/>
      <c r="E598" s="1326"/>
      <c r="F598" s="1326"/>
      <c r="G598" s="1326"/>
      <c r="H598" s="1326"/>
      <c r="I598" s="1373"/>
    </row>
    <row r="599" spans="1:9">
      <c r="A599" s="1369"/>
      <c r="B599" s="1369"/>
      <c r="C599" s="1370"/>
      <c r="D599" s="1308"/>
      <c r="E599" s="1326"/>
      <c r="F599" s="1326"/>
      <c r="G599" s="1326"/>
      <c r="H599" s="1326"/>
      <c r="I599" s="1373"/>
    </row>
    <row r="600" spans="1:9">
      <c r="A600" s="1369"/>
      <c r="B600" s="1369"/>
      <c r="C600" s="1370"/>
      <c r="D600" s="1308"/>
      <c r="E600" s="1326"/>
      <c r="F600" s="1326"/>
      <c r="G600" s="1326"/>
      <c r="H600" s="1326"/>
      <c r="I600" s="1373"/>
    </row>
    <row r="601" spans="1:9">
      <c r="A601" s="1369"/>
      <c r="B601" s="1369"/>
      <c r="C601" s="1370"/>
      <c r="D601" s="1308"/>
      <c r="E601" s="1326"/>
      <c r="F601" s="1326"/>
      <c r="G601" s="1326"/>
      <c r="H601" s="1326"/>
      <c r="I601" s="1373"/>
    </row>
    <row r="602" spans="1:9">
      <c r="A602" s="1369"/>
      <c r="B602" s="1369"/>
      <c r="C602" s="1370"/>
      <c r="D602" s="1308"/>
      <c r="E602" s="1326"/>
      <c r="F602" s="1326"/>
      <c r="G602" s="1326"/>
      <c r="H602" s="1326"/>
      <c r="I602" s="1373"/>
    </row>
    <row r="603" spans="1:9">
      <c r="A603" s="1369"/>
      <c r="B603" s="1369"/>
      <c r="C603" s="1370"/>
      <c r="D603" s="1308"/>
      <c r="E603" s="1326"/>
      <c r="F603" s="1326"/>
      <c r="G603" s="1326"/>
      <c r="H603" s="1326"/>
      <c r="I603" s="1373"/>
    </row>
    <row r="604" spans="1:9">
      <c r="A604" s="1369"/>
      <c r="B604" s="1369"/>
      <c r="C604" s="1370"/>
      <c r="D604" s="1308"/>
      <c r="E604" s="1326"/>
      <c r="F604" s="1326"/>
      <c r="G604" s="1326"/>
      <c r="H604" s="1326"/>
      <c r="I604" s="1373"/>
    </row>
    <row r="605" spans="1:9">
      <c r="A605" s="1369"/>
      <c r="B605" s="1369"/>
      <c r="C605" s="1370"/>
      <c r="D605" s="1308"/>
      <c r="E605" s="1326"/>
      <c r="F605" s="1326"/>
      <c r="G605" s="1326"/>
      <c r="H605" s="1326"/>
      <c r="I605" s="1373"/>
    </row>
    <row r="606" spans="1:9">
      <c r="A606" s="1369"/>
      <c r="B606" s="1369"/>
      <c r="C606" s="1370"/>
      <c r="D606" s="1308"/>
      <c r="E606" s="1326"/>
      <c r="F606" s="1326"/>
      <c r="G606" s="1326"/>
      <c r="H606" s="1326"/>
      <c r="I606" s="1373"/>
    </row>
    <row r="607" spans="1:9">
      <c r="A607" s="1369"/>
      <c r="B607" s="1369"/>
      <c r="C607" s="1370"/>
      <c r="D607" s="1308"/>
      <c r="E607" s="1326"/>
      <c r="F607" s="1326"/>
      <c r="G607" s="1326"/>
      <c r="H607" s="1326"/>
      <c r="I607" s="1373"/>
    </row>
    <row r="608" spans="1:9">
      <c r="A608" s="1369"/>
      <c r="B608" s="1369"/>
      <c r="C608" s="1370"/>
      <c r="D608" s="1308"/>
      <c r="E608" s="1326"/>
      <c r="F608" s="1326"/>
      <c r="G608" s="1326"/>
      <c r="H608" s="1326"/>
      <c r="I608" s="1373"/>
    </row>
    <row r="609" spans="1:9">
      <c r="A609" s="1369"/>
      <c r="B609" s="1369"/>
      <c r="C609" s="1370"/>
      <c r="D609" s="1308"/>
      <c r="E609" s="1326"/>
      <c r="F609" s="1326"/>
      <c r="G609" s="1326"/>
      <c r="H609" s="1326"/>
      <c r="I609" s="1373"/>
    </row>
    <row r="610" spans="1:9">
      <c r="A610" s="1369"/>
      <c r="B610" s="1369"/>
      <c r="C610" s="1370"/>
      <c r="D610" s="1308"/>
      <c r="E610" s="1326"/>
      <c r="F610" s="1326"/>
      <c r="G610" s="1326"/>
      <c r="H610" s="1326"/>
      <c r="I610" s="1373"/>
    </row>
    <row r="611" spans="1:9">
      <c r="A611" s="1369"/>
      <c r="B611" s="1369"/>
      <c r="C611" s="1370"/>
      <c r="D611" s="1308"/>
      <c r="E611" s="1326"/>
      <c r="F611" s="1326"/>
      <c r="G611" s="1326"/>
      <c r="H611" s="1326"/>
      <c r="I611" s="1373"/>
    </row>
    <row r="612" spans="1:9">
      <c r="A612" s="1369"/>
      <c r="B612" s="1369"/>
      <c r="C612" s="1370"/>
      <c r="D612" s="1308"/>
      <c r="E612" s="1326"/>
      <c r="F612" s="1326"/>
      <c r="G612" s="1326"/>
      <c r="H612" s="1326"/>
      <c r="I612" s="1373"/>
    </row>
    <row r="613" spans="1:9">
      <c r="A613" s="1369"/>
      <c r="B613" s="1369"/>
      <c r="C613" s="1370"/>
      <c r="D613" s="1308"/>
      <c r="E613" s="1326"/>
      <c r="F613" s="1326"/>
      <c r="G613" s="1326"/>
      <c r="H613" s="1326"/>
      <c r="I613" s="1373"/>
    </row>
    <row r="614" spans="1:9">
      <c r="A614" s="1369"/>
      <c r="B614" s="1369"/>
      <c r="C614" s="1370"/>
      <c r="D614" s="1308"/>
      <c r="E614" s="1326"/>
      <c r="F614" s="1326"/>
      <c r="G614" s="1326"/>
      <c r="H614" s="1326"/>
      <c r="I614" s="1373"/>
    </row>
    <row r="615" spans="1:9">
      <c r="A615" s="1369"/>
      <c r="B615" s="1369"/>
      <c r="C615" s="1370"/>
      <c r="D615" s="1308"/>
      <c r="E615" s="1326"/>
      <c r="F615" s="1326"/>
      <c r="G615" s="1326"/>
      <c r="H615" s="1326"/>
      <c r="I615" s="1373"/>
    </row>
    <row r="616" spans="1:9">
      <c r="A616" s="1369"/>
      <c r="B616" s="1369"/>
      <c r="C616" s="1370"/>
      <c r="D616" s="1308"/>
      <c r="E616" s="1326"/>
      <c r="F616" s="1326"/>
      <c r="G616" s="1326"/>
      <c r="H616" s="1326"/>
      <c r="I616" s="1373"/>
    </row>
    <row r="617" spans="1:9">
      <c r="A617" s="1369"/>
      <c r="B617" s="1369"/>
      <c r="C617" s="1370"/>
      <c r="D617" s="1308"/>
      <c r="E617" s="1326"/>
      <c r="F617" s="1326"/>
      <c r="G617" s="1326"/>
      <c r="H617" s="1326"/>
      <c r="I617" s="1373"/>
    </row>
    <row r="618" spans="1:9">
      <c r="A618" s="1369"/>
      <c r="B618" s="1369"/>
      <c r="C618" s="1370"/>
      <c r="D618" s="1308"/>
      <c r="E618" s="1326"/>
      <c r="F618" s="1326"/>
      <c r="G618" s="1326"/>
      <c r="H618" s="1326"/>
      <c r="I618" s="1373"/>
    </row>
    <row r="619" spans="1:9">
      <c r="A619" s="1369"/>
      <c r="B619" s="1369"/>
      <c r="C619" s="1370"/>
      <c r="D619" s="1308"/>
      <c r="E619" s="1326"/>
      <c r="F619" s="1326"/>
      <c r="G619" s="1326"/>
      <c r="H619" s="1326"/>
      <c r="I619" s="1373"/>
    </row>
    <row r="620" spans="1:9">
      <c r="A620" s="1369"/>
      <c r="B620" s="1369"/>
      <c r="C620" s="1370"/>
      <c r="D620" s="1308"/>
      <c r="E620" s="1326"/>
      <c r="F620" s="1326"/>
      <c r="G620" s="1326"/>
      <c r="H620" s="1326"/>
      <c r="I620" s="1373"/>
    </row>
    <row r="621" spans="1:9">
      <c r="A621" s="1369"/>
      <c r="B621" s="1369"/>
      <c r="C621" s="1370"/>
      <c r="D621" s="1308"/>
      <c r="E621" s="1326"/>
      <c r="F621" s="1326"/>
      <c r="G621" s="1326"/>
      <c r="H621" s="1326"/>
      <c r="I621" s="1373"/>
    </row>
    <row r="622" spans="1:9">
      <c r="A622" s="1369"/>
      <c r="B622" s="1369"/>
      <c r="C622" s="1370"/>
      <c r="D622" s="1308"/>
      <c r="E622" s="1326"/>
      <c r="F622" s="1326"/>
      <c r="G622" s="1326"/>
      <c r="H622" s="1326"/>
      <c r="I622" s="1373"/>
    </row>
    <row r="623" spans="1:9">
      <c r="A623" s="1369"/>
      <c r="B623" s="1369"/>
      <c r="C623" s="1370"/>
      <c r="D623" s="1308"/>
      <c r="E623" s="1326"/>
      <c r="F623" s="1326"/>
      <c r="G623" s="1326"/>
      <c r="H623" s="1326"/>
      <c r="I623" s="1373"/>
    </row>
    <row r="624" spans="1:9">
      <c r="A624" s="1369"/>
      <c r="B624" s="1369"/>
      <c r="C624" s="1370"/>
      <c r="D624" s="1308"/>
      <c r="E624" s="1326"/>
      <c r="F624" s="1326"/>
      <c r="G624" s="1326"/>
      <c r="H624" s="1326"/>
      <c r="I624" s="1373"/>
    </row>
    <row r="625" spans="1:9">
      <c r="A625" s="1369"/>
      <c r="B625" s="1369"/>
      <c r="C625" s="1370"/>
      <c r="D625" s="1308"/>
      <c r="E625" s="1326"/>
      <c r="F625" s="1326"/>
      <c r="G625" s="1326"/>
      <c r="H625" s="1326"/>
      <c r="I625" s="1373"/>
    </row>
    <row r="626" spans="1:9">
      <c r="A626" s="1369"/>
      <c r="B626" s="1369"/>
      <c r="C626" s="1370"/>
      <c r="D626" s="1308"/>
      <c r="E626" s="1326"/>
      <c r="F626" s="1326"/>
      <c r="G626" s="1326"/>
      <c r="H626" s="1326"/>
      <c r="I626" s="1373"/>
    </row>
    <row r="627" spans="1:9">
      <c r="A627" s="1369"/>
      <c r="B627" s="1369"/>
      <c r="C627" s="1370"/>
      <c r="D627" s="1308"/>
      <c r="E627" s="1326"/>
      <c r="F627" s="1326"/>
      <c r="G627" s="1326"/>
      <c r="H627" s="1326"/>
      <c r="I627" s="1373"/>
    </row>
    <row r="628" spans="1:9">
      <c r="A628" s="1369"/>
      <c r="B628" s="1369"/>
      <c r="C628" s="1370"/>
      <c r="D628" s="1308"/>
      <c r="E628" s="1326"/>
      <c r="F628" s="1326"/>
      <c r="G628" s="1326"/>
      <c r="H628" s="1326"/>
      <c r="I628" s="1373"/>
    </row>
    <row r="629" spans="1:9">
      <c r="A629" s="1369"/>
      <c r="B629" s="1369"/>
      <c r="C629" s="1370"/>
      <c r="D629" s="1308"/>
      <c r="E629" s="1326"/>
      <c r="F629" s="1326"/>
      <c r="G629" s="1326"/>
      <c r="H629" s="1326"/>
      <c r="I629" s="1373"/>
    </row>
    <row r="630" spans="1:9">
      <c r="A630" s="1369"/>
      <c r="B630" s="1369"/>
      <c r="C630" s="1370"/>
      <c r="D630" s="1308"/>
      <c r="E630" s="1326"/>
      <c r="F630" s="1326"/>
      <c r="G630" s="1326"/>
      <c r="H630" s="1326"/>
      <c r="I630" s="1373"/>
    </row>
    <row r="631" spans="1:9">
      <c r="A631" s="1369"/>
      <c r="B631" s="1369"/>
      <c r="C631" s="1370"/>
      <c r="D631" s="1308"/>
      <c r="E631" s="1326"/>
      <c r="F631" s="1326"/>
      <c r="G631" s="1326"/>
      <c r="H631" s="1326"/>
      <c r="I631" s="1373"/>
    </row>
    <row r="632" spans="1:9">
      <c r="A632" s="1369"/>
      <c r="B632" s="1369"/>
      <c r="C632" s="1370"/>
      <c r="D632" s="1308"/>
      <c r="E632" s="1326"/>
      <c r="F632" s="1326"/>
      <c r="G632" s="1326"/>
      <c r="H632" s="1326"/>
      <c r="I632" s="1373"/>
    </row>
    <row r="633" spans="1:9">
      <c r="A633" s="1369"/>
      <c r="B633" s="1369"/>
      <c r="C633" s="1370"/>
      <c r="D633" s="1308"/>
      <c r="E633" s="1326"/>
      <c r="F633" s="1326"/>
      <c r="G633" s="1326"/>
      <c r="H633" s="1326"/>
      <c r="I633" s="1373"/>
    </row>
    <row r="634" spans="1:9">
      <c r="A634" s="1369"/>
      <c r="B634" s="1369"/>
      <c r="C634" s="1370"/>
      <c r="D634" s="1308"/>
      <c r="E634" s="1326"/>
      <c r="F634" s="1326"/>
      <c r="G634" s="1326"/>
      <c r="H634" s="1326"/>
      <c r="I634" s="1373"/>
    </row>
    <row r="635" spans="1:9">
      <c r="A635" s="1369"/>
      <c r="B635" s="1369"/>
      <c r="C635" s="1370"/>
      <c r="D635" s="1308"/>
      <c r="E635" s="1326"/>
      <c r="F635" s="1326"/>
      <c r="G635" s="1326"/>
      <c r="H635" s="1326"/>
      <c r="I635" s="1373"/>
    </row>
    <row r="636" spans="1:9">
      <c r="A636" s="1369"/>
      <c r="B636" s="1369"/>
      <c r="C636" s="1370"/>
      <c r="D636" s="1308"/>
      <c r="E636" s="1326"/>
      <c r="F636" s="1326"/>
      <c r="G636" s="1326"/>
      <c r="H636" s="1326"/>
      <c r="I636" s="1373"/>
    </row>
    <row r="637" spans="1:9">
      <c r="A637" s="1369"/>
      <c r="B637" s="1369"/>
      <c r="C637" s="1370"/>
      <c r="D637" s="1308"/>
      <c r="E637" s="1326"/>
      <c r="F637" s="1326"/>
      <c r="G637" s="1326"/>
      <c r="H637" s="1326"/>
      <c r="I637" s="1373"/>
    </row>
    <row r="638" spans="1:9">
      <c r="A638" s="1369"/>
      <c r="B638" s="1369"/>
      <c r="C638" s="1370"/>
      <c r="D638" s="1308"/>
      <c r="E638" s="1326"/>
      <c r="F638" s="1326"/>
      <c r="G638" s="1326"/>
      <c r="H638" s="1326"/>
      <c r="I638" s="1373"/>
    </row>
    <row r="639" spans="1:9">
      <c r="A639" s="1369"/>
      <c r="B639" s="1369"/>
      <c r="C639" s="1370"/>
      <c r="D639" s="1308"/>
      <c r="E639" s="1326"/>
      <c r="F639" s="1326"/>
      <c r="G639" s="1326"/>
      <c r="H639" s="1326"/>
      <c r="I639" s="1373"/>
    </row>
    <row r="640" spans="1:9">
      <c r="A640" s="1369"/>
      <c r="B640" s="1369"/>
      <c r="C640" s="1370"/>
      <c r="D640" s="1308"/>
      <c r="E640" s="1326"/>
      <c r="F640" s="1326"/>
      <c r="G640" s="1326"/>
      <c r="H640" s="1326"/>
      <c r="I640" s="1373"/>
    </row>
    <row r="641" spans="1:9">
      <c r="A641" s="1369"/>
      <c r="B641" s="1369"/>
      <c r="C641" s="1370"/>
      <c r="D641" s="1308"/>
      <c r="E641" s="1326"/>
      <c r="F641" s="1326"/>
      <c r="G641" s="1326"/>
      <c r="H641" s="1326"/>
      <c r="I641" s="1373"/>
    </row>
    <row r="642" spans="1:9">
      <c r="A642" s="1369"/>
      <c r="B642" s="1369"/>
      <c r="C642" s="1370"/>
      <c r="D642" s="1308"/>
      <c r="E642" s="1326"/>
      <c r="F642" s="1326"/>
      <c r="G642" s="1326"/>
      <c r="H642" s="1326"/>
      <c r="I642" s="1373"/>
    </row>
    <row r="643" spans="1:9">
      <c r="A643" s="1369"/>
      <c r="B643" s="1369"/>
      <c r="C643" s="1370"/>
      <c r="D643" s="1308"/>
      <c r="E643" s="1326"/>
      <c r="F643" s="1326"/>
      <c r="G643" s="1326"/>
      <c r="H643" s="1326"/>
      <c r="I643" s="1373"/>
    </row>
    <row r="644" spans="1:9">
      <c r="A644" s="1369"/>
      <c r="B644" s="1369"/>
      <c r="C644" s="1370"/>
      <c r="D644" s="1308"/>
      <c r="E644" s="1326"/>
      <c r="F644" s="1326"/>
      <c r="G644" s="1326"/>
      <c r="H644" s="1326"/>
      <c r="I644" s="1373"/>
    </row>
    <row r="645" spans="1:9">
      <c r="A645" s="1369"/>
      <c r="B645" s="1369"/>
      <c r="C645" s="1370"/>
      <c r="D645" s="1308"/>
      <c r="E645" s="1326"/>
      <c r="F645" s="1326"/>
      <c r="G645" s="1326"/>
      <c r="H645" s="1326"/>
      <c r="I645" s="1373"/>
    </row>
    <row r="646" spans="1:9">
      <c r="A646" s="1369"/>
      <c r="B646" s="1369"/>
      <c r="C646" s="1370"/>
      <c r="D646" s="1308"/>
      <c r="E646" s="1326"/>
      <c r="F646" s="1326"/>
      <c r="G646" s="1326"/>
      <c r="H646" s="1326"/>
      <c r="I646" s="1373"/>
    </row>
    <row r="647" spans="1:9">
      <c r="A647" s="1369"/>
      <c r="B647" s="1369"/>
      <c r="C647" s="1370"/>
      <c r="D647" s="1308"/>
      <c r="E647" s="1326"/>
      <c r="F647" s="1326"/>
      <c r="G647" s="1326"/>
      <c r="H647" s="1326"/>
      <c r="I647" s="1373"/>
    </row>
    <row r="648" spans="1:9">
      <c r="A648" s="1369"/>
      <c r="B648" s="1369"/>
      <c r="C648" s="1370"/>
      <c r="D648" s="1308"/>
      <c r="E648" s="1326"/>
      <c r="F648" s="1326"/>
      <c r="G648" s="1326"/>
      <c r="H648" s="1326"/>
      <c r="I648" s="1373"/>
    </row>
    <row r="649" spans="1:9">
      <c r="A649" s="1369"/>
      <c r="B649" s="1369"/>
      <c r="C649" s="1370"/>
      <c r="D649" s="1308"/>
      <c r="E649" s="1326"/>
      <c r="F649" s="1326"/>
      <c r="G649" s="1326"/>
      <c r="H649" s="1326"/>
      <c r="I649" s="1373"/>
    </row>
    <row r="650" spans="1:9">
      <c r="A650" s="1369"/>
      <c r="B650" s="1369"/>
      <c r="C650" s="1370"/>
      <c r="D650" s="1308"/>
      <c r="E650" s="1326"/>
      <c r="F650" s="1326"/>
      <c r="G650" s="1326"/>
      <c r="H650" s="1326"/>
      <c r="I650" s="1373"/>
    </row>
    <row r="651" spans="1:9">
      <c r="A651" s="1369"/>
      <c r="B651" s="1369"/>
      <c r="C651" s="1370"/>
      <c r="D651" s="1308"/>
      <c r="E651" s="1326"/>
      <c r="F651" s="1326"/>
      <c r="G651" s="1326"/>
      <c r="H651" s="1326"/>
      <c r="I651" s="1373"/>
    </row>
    <row r="652" spans="1:9">
      <c r="A652" s="1369"/>
      <c r="B652" s="1369"/>
      <c r="C652" s="1370"/>
      <c r="D652" s="1308"/>
      <c r="E652" s="1326"/>
      <c r="F652" s="1326"/>
      <c r="G652" s="1326"/>
      <c r="H652" s="1326"/>
      <c r="I652" s="1373"/>
    </row>
    <row r="653" spans="1:9">
      <c r="A653" s="1369"/>
      <c r="B653" s="1369"/>
      <c r="C653" s="1370"/>
      <c r="D653" s="1308"/>
      <c r="E653" s="1326"/>
      <c r="F653" s="1326"/>
      <c r="G653" s="1326"/>
      <c r="H653" s="1326"/>
      <c r="I653" s="1373"/>
    </row>
    <row r="654" spans="1:9">
      <c r="A654" s="1369"/>
      <c r="B654" s="1369"/>
      <c r="C654" s="1370"/>
      <c r="D654" s="1308"/>
      <c r="E654" s="1326"/>
      <c r="F654" s="1326"/>
      <c r="G654" s="1326"/>
      <c r="H654" s="1326"/>
      <c r="I654" s="1373"/>
    </row>
    <row r="655" spans="1:9">
      <c r="A655" s="1369"/>
      <c r="B655" s="1369"/>
      <c r="C655" s="1370"/>
      <c r="D655" s="1308"/>
      <c r="E655" s="1326"/>
      <c r="F655" s="1326"/>
      <c r="G655" s="1326"/>
      <c r="H655" s="1326"/>
      <c r="I655" s="1373"/>
    </row>
    <row r="656" spans="1:9">
      <c r="A656" s="1369"/>
      <c r="B656" s="1369"/>
      <c r="C656" s="1370"/>
      <c r="D656" s="1308"/>
      <c r="E656" s="1326"/>
      <c r="F656" s="1326"/>
      <c r="G656" s="1326"/>
      <c r="H656" s="1326"/>
      <c r="I656" s="1373"/>
    </row>
    <row r="657" spans="1:9">
      <c r="A657" s="1369"/>
      <c r="B657" s="1369"/>
      <c r="C657" s="1370"/>
      <c r="D657" s="1308"/>
      <c r="E657" s="1326"/>
      <c r="F657" s="1326"/>
      <c r="G657" s="1326"/>
      <c r="H657" s="1326"/>
      <c r="I657" s="1373"/>
    </row>
    <row r="658" spans="1:9">
      <c r="A658" s="1369"/>
      <c r="B658" s="1369"/>
      <c r="C658" s="1370"/>
      <c r="D658" s="1308"/>
      <c r="E658" s="1326"/>
      <c r="F658" s="1326"/>
      <c r="G658" s="1326"/>
      <c r="H658" s="1326"/>
      <c r="I658" s="1373"/>
    </row>
    <row r="659" spans="1:9">
      <c r="A659" s="1369"/>
      <c r="B659" s="1369"/>
      <c r="C659" s="1370"/>
      <c r="D659" s="1308"/>
      <c r="E659" s="1326"/>
      <c r="F659" s="1326"/>
      <c r="G659" s="1326"/>
      <c r="H659" s="1326"/>
      <c r="I659" s="1373"/>
    </row>
    <row r="660" spans="1:9">
      <c r="A660" s="1369"/>
      <c r="B660" s="1369"/>
      <c r="C660" s="1370"/>
      <c r="D660" s="1308"/>
      <c r="E660" s="1326"/>
      <c r="F660" s="1326"/>
      <c r="G660" s="1326"/>
      <c r="H660" s="1326"/>
      <c r="I660" s="1373"/>
    </row>
    <row r="661" spans="1:9">
      <c r="A661" s="1369"/>
      <c r="B661" s="1369"/>
      <c r="C661" s="1370"/>
      <c r="D661" s="1308"/>
      <c r="E661" s="1326"/>
      <c r="F661" s="1326"/>
      <c r="G661" s="1326"/>
      <c r="H661" s="1326"/>
      <c r="I661" s="1373"/>
    </row>
    <row r="662" spans="1:9">
      <c r="A662" s="1369"/>
      <c r="B662" s="1369"/>
      <c r="C662" s="1370"/>
      <c r="D662" s="1308"/>
      <c r="E662" s="1326"/>
      <c r="F662" s="1326"/>
      <c r="G662" s="1326"/>
      <c r="H662" s="1326"/>
      <c r="I662" s="1373"/>
    </row>
    <row r="663" spans="1:9">
      <c r="A663" s="1369"/>
      <c r="B663" s="1369"/>
      <c r="C663" s="1370"/>
      <c r="D663" s="1308"/>
      <c r="E663" s="1326"/>
      <c r="F663" s="1326"/>
      <c r="G663" s="1326"/>
      <c r="H663" s="1326"/>
      <c r="I663" s="1373"/>
    </row>
    <row r="664" spans="1:9">
      <c r="A664" s="1369"/>
      <c r="B664" s="1369"/>
      <c r="C664" s="1370"/>
      <c r="D664" s="1308"/>
      <c r="E664" s="1326"/>
      <c r="F664" s="1326"/>
      <c r="G664" s="1326"/>
      <c r="H664" s="1326"/>
      <c r="I664" s="1373"/>
    </row>
    <row r="665" spans="1:9">
      <c r="A665" s="1369"/>
      <c r="B665" s="1369"/>
      <c r="C665" s="1370"/>
      <c r="D665" s="1308"/>
      <c r="E665" s="1326"/>
      <c r="F665" s="1326"/>
      <c r="G665" s="1326"/>
      <c r="H665" s="1326"/>
      <c r="I665" s="1373"/>
    </row>
    <row r="666" spans="1:9">
      <c r="A666" s="1369"/>
      <c r="B666" s="1369"/>
      <c r="C666" s="1370"/>
      <c r="D666" s="1308"/>
      <c r="E666" s="1326"/>
      <c r="F666" s="1326"/>
      <c r="G666" s="1326"/>
      <c r="H666" s="1326"/>
      <c r="I666" s="1373"/>
    </row>
    <row r="667" spans="1:9">
      <c r="A667" s="1369"/>
      <c r="B667" s="1369"/>
      <c r="C667" s="1370"/>
      <c r="D667" s="1308"/>
      <c r="E667" s="1326"/>
      <c r="F667" s="1326"/>
      <c r="G667" s="1326"/>
      <c r="H667" s="1326"/>
      <c r="I667" s="1373"/>
    </row>
    <row r="668" spans="1:9">
      <c r="A668" s="1369"/>
      <c r="B668" s="1369"/>
      <c r="C668" s="1370"/>
      <c r="D668" s="1308"/>
      <c r="E668" s="1326"/>
      <c r="F668" s="1326"/>
      <c r="G668" s="1326"/>
      <c r="H668" s="1326"/>
      <c r="I668" s="1373"/>
    </row>
    <row r="669" spans="1:9">
      <c r="A669" s="1369"/>
      <c r="B669" s="1369"/>
      <c r="C669" s="1370"/>
      <c r="D669" s="1308"/>
      <c r="E669" s="1326"/>
      <c r="F669" s="1326"/>
      <c r="G669" s="1326"/>
      <c r="H669" s="1326"/>
      <c r="I669" s="1373"/>
    </row>
    <row r="670" spans="1:9">
      <c r="A670" s="1369"/>
      <c r="B670" s="1369"/>
      <c r="C670" s="1370"/>
      <c r="D670" s="1308"/>
      <c r="E670" s="1326"/>
      <c r="F670" s="1326"/>
      <c r="G670" s="1326"/>
      <c r="H670" s="1326"/>
      <c r="I670" s="1373"/>
    </row>
    <row r="671" spans="1:9">
      <c r="A671" s="1369"/>
      <c r="B671" s="1369"/>
      <c r="C671" s="1370"/>
      <c r="D671" s="1308"/>
      <c r="E671" s="1326"/>
      <c r="F671" s="1326"/>
      <c r="G671" s="1326"/>
      <c r="H671" s="1326"/>
      <c r="I671" s="1373"/>
    </row>
    <row r="672" spans="1:9">
      <c r="A672" s="1369"/>
      <c r="B672" s="1369"/>
      <c r="C672" s="1370"/>
      <c r="D672" s="1308"/>
      <c r="E672" s="1326"/>
      <c r="F672" s="1326"/>
      <c r="G672" s="1326"/>
      <c r="H672" s="1326"/>
      <c r="I672" s="1373"/>
    </row>
    <row r="673" spans="1:9">
      <c r="A673" s="1369"/>
      <c r="B673" s="1369"/>
      <c r="C673" s="1370"/>
      <c r="D673" s="1308"/>
      <c r="E673" s="1326"/>
      <c r="F673" s="1326"/>
      <c r="G673" s="1326"/>
      <c r="H673" s="1326"/>
      <c r="I673" s="1373"/>
    </row>
    <row r="674" spans="1:9">
      <c r="A674" s="1369"/>
      <c r="B674" s="1369"/>
      <c r="C674" s="1370"/>
      <c r="D674" s="1308"/>
      <c r="E674" s="1326"/>
      <c r="F674" s="1326"/>
      <c r="G674" s="1326"/>
      <c r="H674" s="1326"/>
      <c r="I674" s="1373"/>
    </row>
    <row r="675" spans="1:9">
      <c r="A675" s="1369"/>
      <c r="B675" s="1369"/>
      <c r="C675" s="1370"/>
      <c r="D675" s="1308"/>
      <c r="E675" s="1326"/>
      <c r="F675" s="1326"/>
      <c r="G675" s="1326"/>
      <c r="H675" s="1326"/>
      <c r="I675" s="1373"/>
    </row>
    <row r="676" spans="1:9">
      <c r="A676" s="1369"/>
      <c r="B676" s="1369"/>
      <c r="C676" s="1370"/>
      <c r="D676" s="1308"/>
      <c r="E676" s="1326"/>
      <c r="F676" s="1326"/>
      <c r="G676" s="1326"/>
      <c r="H676" s="1326"/>
      <c r="I676" s="1373"/>
    </row>
    <row r="677" spans="1:9">
      <c r="A677" s="1369"/>
      <c r="B677" s="1369"/>
      <c r="C677" s="1370"/>
      <c r="D677" s="1308"/>
      <c r="E677" s="1326"/>
      <c r="F677" s="1326"/>
      <c r="G677" s="1326"/>
      <c r="H677" s="1326"/>
      <c r="I677" s="1373"/>
    </row>
    <row r="678" spans="1:9">
      <c r="A678" s="1369"/>
      <c r="B678" s="1369"/>
      <c r="C678" s="1370"/>
      <c r="D678" s="1308"/>
      <c r="E678" s="1326"/>
      <c r="F678" s="1326"/>
      <c r="G678" s="1326"/>
      <c r="H678" s="1326"/>
      <c r="I678" s="1373"/>
    </row>
    <row r="679" spans="1:9">
      <c r="A679" s="1369"/>
      <c r="B679" s="1369"/>
      <c r="C679" s="1370"/>
      <c r="D679" s="1308"/>
      <c r="E679" s="1326"/>
      <c r="F679" s="1326"/>
      <c r="G679" s="1326"/>
      <c r="H679" s="1326"/>
      <c r="I679" s="1373"/>
    </row>
    <row r="680" spans="1:9">
      <c r="A680" s="1369"/>
      <c r="B680" s="1369"/>
      <c r="C680" s="1370"/>
      <c r="D680" s="1308"/>
      <c r="E680" s="1326"/>
      <c r="F680" s="1326"/>
      <c r="G680" s="1326"/>
      <c r="H680" s="1326"/>
      <c r="I680" s="1373"/>
    </row>
    <row r="681" spans="1:9">
      <c r="A681" s="1369"/>
      <c r="B681" s="1369"/>
      <c r="C681" s="1370"/>
      <c r="D681" s="1308"/>
      <c r="E681" s="1326"/>
      <c r="F681" s="1326"/>
      <c r="G681" s="1326"/>
      <c r="H681" s="1326"/>
      <c r="I681" s="1373"/>
    </row>
    <row r="682" spans="1:9">
      <c r="A682" s="1369"/>
      <c r="B682" s="1369"/>
      <c r="C682" s="1370"/>
      <c r="D682" s="1308"/>
      <c r="E682" s="1326"/>
      <c r="F682" s="1326"/>
      <c r="G682" s="1326"/>
      <c r="H682" s="1326"/>
      <c r="I682" s="1373"/>
    </row>
    <row r="683" spans="1:9">
      <c r="A683" s="1369"/>
      <c r="B683" s="1369"/>
      <c r="C683" s="1370"/>
      <c r="D683" s="1308"/>
      <c r="E683" s="1326"/>
      <c r="F683" s="1326"/>
      <c r="G683" s="1326"/>
      <c r="H683" s="1326"/>
      <c r="I683" s="1373"/>
    </row>
    <row r="684" spans="1:9">
      <c r="A684" s="1369"/>
      <c r="B684" s="1369"/>
      <c r="C684" s="1370"/>
      <c r="D684" s="1308"/>
      <c r="E684" s="1326"/>
      <c r="F684" s="1326"/>
      <c r="G684" s="1326"/>
      <c r="H684" s="1326"/>
      <c r="I684" s="1373"/>
    </row>
    <row r="685" spans="1:9">
      <c r="A685" s="1369"/>
      <c r="B685" s="1369"/>
      <c r="C685" s="1370"/>
      <c r="D685" s="1308"/>
      <c r="E685" s="1326"/>
      <c r="F685" s="1326"/>
      <c r="G685" s="1326"/>
      <c r="H685" s="1326"/>
      <c r="I685" s="1373"/>
    </row>
    <row r="686" spans="1:9">
      <c r="A686" s="1369"/>
      <c r="B686" s="1369"/>
      <c r="C686" s="1370"/>
      <c r="D686" s="1308"/>
      <c r="E686" s="1326"/>
      <c r="F686" s="1326"/>
      <c r="G686" s="1326"/>
      <c r="H686" s="1326"/>
      <c r="I686" s="1373"/>
    </row>
    <row r="687" spans="1:9">
      <c r="A687" s="1369"/>
      <c r="B687" s="1369"/>
      <c r="C687" s="1370"/>
      <c r="D687" s="1308"/>
      <c r="E687" s="1326"/>
      <c r="F687" s="1326"/>
      <c r="G687" s="1326"/>
      <c r="H687" s="1326"/>
      <c r="I687" s="1373"/>
    </row>
    <row r="688" spans="1:9">
      <c r="A688" s="1369"/>
      <c r="B688" s="1369"/>
      <c r="C688" s="1370"/>
      <c r="D688" s="1308"/>
      <c r="E688" s="1326"/>
      <c r="F688" s="1326"/>
      <c r="G688" s="1326"/>
      <c r="H688" s="1326"/>
      <c r="I688" s="1373"/>
    </row>
    <row r="689" spans="1:9">
      <c r="A689" s="1369"/>
      <c r="B689" s="1369"/>
      <c r="C689" s="1370"/>
      <c r="D689" s="1308"/>
      <c r="E689" s="1326"/>
      <c r="F689" s="1326"/>
      <c r="G689" s="1326"/>
      <c r="H689" s="1326"/>
      <c r="I689" s="1373"/>
    </row>
    <row r="690" spans="1:9">
      <c r="A690" s="1369"/>
      <c r="B690" s="1369"/>
      <c r="C690" s="1370"/>
      <c r="D690" s="1308"/>
      <c r="E690" s="1326"/>
      <c r="F690" s="1326"/>
      <c r="G690" s="1326"/>
      <c r="H690" s="1326"/>
      <c r="I690" s="1373"/>
    </row>
    <row r="691" spans="1:9">
      <c r="A691" s="1369"/>
      <c r="B691" s="1369"/>
      <c r="C691" s="1370"/>
      <c r="D691" s="1308"/>
      <c r="E691" s="1326"/>
      <c r="F691" s="1326"/>
      <c r="G691" s="1326"/>
      <c r="H691" s="1326"/>
      <c r="I691" s="1373"/>
    </row>
    <row r="692" spans="1:9">
      <c r="A692" s="1369"/>
      <c r="B692" s="1369"/>
      <c r="C692" s="1370"/>
      <c r="D692" s="1308"/>
      <c r="E692" s="1326"/>
      <c r="F692" s="1326"/>
      <c r="G692" s="1326"/>
      <c r="H692" s="1326"/>
      <c r="I692" s="1373"/>
    </row>
    <row r="693" spans="1:9">
      <c r="A693" s="1369"/>
      <c r="B693" s="1369"/>
      <c r="C693" s="1370"/>
      <c r="D693" s="1308"/>
      <c r="E693" s="1326"/>
      <c r="F693" s="1326"/>
      <c r="G693" s="1326"/>
      <c r="H693" s="1326"/>
      <c r="I693" s="1373"/>
    </row>
    <row r="694" spans="1:9">
      <c r="A694" s="1369"/>
      <c r="B694" s="1369"/>
      <c r="C694" s="1370"/>
      <c r="D694" s="1308"/>
      <c r="E694" s="1326"/>
      <c r="F694" s="1326"/>
      <c r="G694" s="1326"/>
      <c r="H694" s="1326"/>
      <c r="I694" s="1373"/>
    </row>
    <row r="695" spans="1:9">
      <c r="A695" s="1369"/>
      <c r="B695" s="1369"/>
      <c r="C695" s="1370"/>
      <c r="D695" s="1308"/>
      <c r="E695" s="1326"/>
      <c r="F695" s="1326"/>
      <c r="G695" s="1326"/>
      <c r="H695" s="1326"/>
      <c r="I695" s="1373"/>
    </row>
    <row r="696" spans="1:9">
      <c r="A696" s="1369"/>
      <c r="B696" s="1369"/>
      <c r="C696" s="1370"/>
      <c r="D696" s="1308"/>
      <c r="E696" s="1326"/>
      <c r="F696" s="1326"/>
      <c r="G696" s="1326"/>
      <c r="H696" s="1326"/>
      <c r="I696" s="1373"/>
    </row>
    <row r="697" spans="1:9">
      <c r="A697" s="1369"/>
      <c r="B697" s="1369"/>
      <c r="C697" s="1370"/>
      <c r="D697" s="1308"/>
      <c r="E697" s="1326"/>
      <c r="F697" s="1326"/>
      <c r="G697" s="1326"/>
      <c r="H697" s="1326"/>
      <c r="I697" s="1373"/>
    </row>
    <row r="698" spans="1:9">
      <c r="A698" s="1369"/>
      <c r="B698" s="1369"/>
      <c r="C698" s="1370"/>
      <c r="D698" s="1308"/>
      <c r="E698" s="1326"/>
      <c r="F698" s="1326"/>
      <c r="G698" s="1326"/>
      <c r="H698" s="1326"/>
      <c r="I698" s="1373"/>
    </row>
    <row r="699" spans="1:9">
      <c r="A699" s="1369"/>
      <c r="B699" s="1369"/>
      <c r="C699" s="1370"/>
      <c r="D699" s="1308"/>
      <c r="E699" s="1326"/>
      <c r="F699" s="1326"/>
      <c r="G699" s="1326"/>
      <c r="H699" s="1326"/>
      <c r="I699" s="1373"/>
    </row>
    <row r="700" spans="1:9">
      <c r="A700" s="1369"/>
      <c r="B700" s="1369"/>
      <c r="C700" s="1370"/>
      <c r="D700" s="1308"/>
      <c r="E700" s="1326"/>
      <c r="F700" s="1326"/>
      <c r="G700" s="1326"/>
      <c r="H700" s="1326"/>
      <c r="I700" s="1373"/>
    </row>
    <row r="701" spans="1:9">
      <c r="A701" s="1369"/>
      <c r="B701" s="1369"/>
      <c r="C701" s="1370"/>
      <c r="D701" s="1308"/>
      <c r="E701" s="1326"/>
      <c r="F701" s="1326"/>
      <c r="G701" s="1326"/>
      <c r="H701" s="1326"/>
      <c r="I701" s="1373"/>
    </row>
    <row r="702" spans="1:9">
      <c r="A702" s="1369"/>
      <c r="B702" s="1369"/>
      <c r="C702" s="1370"/>
      <c r="D702" s="1308"/>
      <c r="E702" s="1326"/>
      <c r="F702" s="1326"/>
      <c r="G702" s="1326"/>
      <c r="H702" s="1326"/>
      <c r="I702" s="1373"/>
    </row>
    <row r="703" spans="1:9">
      <c r="A703" s="1369"/>
      <c r="B703" s="1369"/>
      <c r="C703" s="1370"/>
      <c r="D703" s="1308"/>
      <c r="E703" s="1326"/>
      <c r="F703" s="1326"/>
      <c r="G703" s="1326"/>
      <c r="H703" s="1326"/>
      <c r="I703" s="1373"/>
    </row>
    <row r="704" spans="1:9">
      <c r="A704" s="1369"/>
      <c r="B704" s="1369"/>
      <c r="C704" s="1370"/>
      <c r="D704" s="1308"/>
      <c r="E704" s="1326"/>
      <c r="F704" s="1326"/>
      <c r="G704" s="1326"/>
      <c r="H704" s="1326"/>
      <c r="I704" s="1373"/>
    </row>
    <row r="705" spans="1:9">
      <c r="A705" s="1369"/>
      <c r="B705" s="1369"/>
      <c r="C705" s="1370"/>
      <c r="D705" s="1308"/>
      <c r="E705" s="1326"/>
      <c r="F705" s="1326"/>
      <c r="G705" s="1326"/>
      <c r="H705" s="1326"/>
      <c r="I705" s="1373"/>
    </row>
    <row r="706" spans="1:9">
      <c r="A706" s="1369"/>
      <c r="B706" s="1369"/>
      <c r="C706" s="1370"/>
      <c r="D706" s="1308"/>
      <c r="E706" s="1326"/>
      <c r="F706" s="1326"/>
      <c r="G706" s="1326"/>
      <c r="H706" s="1326"/>
      <c r="I706" s="1373"/>
    </row>
    <row r="707" spans="1:9">
      <c r="A707" s="1369"/>
      <c r="B707" s="1369"/>
      <c r="C707" s="1370"/>
      <c r="D707" s="1308"/>
      <c r="E707" s="1326"/>
      <c r="F707" s="1326"/>
      <c r="G707" s="1326"/>
      <c r="H707" s="1326"/>
      <c r="I707" s="1373"/>
    </row>
    <row r="708" spans="1:9">
      <c r="A708" s="1369"/>
      <c r="B708" s="1369"/>
      <c r="C708" s="1370"/>
      <c r="D708" s="1308"/>
      <c r="E708" s="1326"/>
      <c r="F708" s="1326"/>
      <c r="G708" s="1326"/>
      <c r="H708" s="1326"/>
      <c r="I708" s="1373"/>
    </row>
    <row r="709" spans="1:9">
      <c r="A709" s="1369"/>
      <c r="B709" s="1369"/>
      <c r="C709" s="1370"/>
      <c r="D709" s="1308"/>
      <c r="E709" s="1326"/>
      <c r="F709" s="1326"/>
      <c r="G709" s="1326"/>
      <c r="H709" s="1326"/>
      <c r="I709" s="1373"/>
    </row>
    <row r="710" spans="1:9">
      <c r="A710" s="1369"/>
      <c r="B710" s="1369"/>
      <c r="C710" s="1370"/>
      <c r="D710" s="1308"/>
      <c r="E710" s="1326"/>
      <c r="F710" s="1326"/>
      <c r="G710" s="1326"/>
      <c r="H710" s="1326"/>
      <c r="I710" s="1373"/>
    </row>
    <row r="711" spans="1:9">
      <c r="A711" s="1369"/>
      <c r="B711" s="1369"/>
      <c r="C711" s="1370"/>
      <c r="D711" s="1308"/>
      <c r="E711" s="1326"/>
      <c r="F711" s="1326"/>
      <c r="G711" s="1326"/>
      <c r="H711" s="1326"/>
      <c r="I711" s="1373"/>
    </row>
    <row r="712" spans="1:9">
      <c r="A712" s="1369"/>
      <c r="B712" s="1369"/>
      <c r="C712" s="1370"/>
      <c r="D712" s="1308"/>
      <c r="E712" s="1326"/>
      <c r="F712" s="1326"/>
      <c r="G712" s="1326"/>
      <c r="H712" s="1326"/>
      <c r="I712" s="1373"/>
    </row>
    <row r="713" spans="1:9">
      <c r="A713" s="1369"/>
      <c r="B713" s="1369"/>
      <c r="C713" s="1370"/>
      <c r="D713" s="1308"/>
      <c r="E713" s="1326"/>
      <c r="F713" s="1326"/>
      <c r="G713" s="1326"/>
      <c r="H713" s="1326"/>
      <c r="I713" s="1373"/>
    </row>
    <row r="714" spans="1:9">
      <c r="A714" s="1369"/>
      <c r="B714" s="1369"/>
      <c r="C714" s="1370"/>
      <c r="D714" s="1308"/>
      <c r="E714" s="1326"/>
      <c r="F714" s="1326"/>
      <c r="G714" s="1326"/>
      <c r="H714" s="1326"/>
      <c r="I714" s="1373"/>
    </row>
    <row r="715" spans="1:9">
      <c r="A715" s="1369"/>
      <c r="B715" s="1369"/>
      <c r="C715" s="1370"/>
      <c r="D715" s="1308"/>
      <c r="E715" s="1326"/>
      <c r="F715" s="1326"/>
      <c r="G715" s="1326"/>
      <c r="H715" s="1326"/>
      <c r="I715" s="1373"/>
    </row>
    <row r="716" spans="1:9">
      <c r="A716" s="1369"/>
      <c r="B716" s="1369"/>
      <c r="C716" s="1370"/>
      <c r="D716" s="1308"/>
      <c r="E716" s="1326"/>
      <c r="F716" s="1326"/>
      <c r="G716" s="1326"/>
      <c r="H716" s="1326"/>
      <c r="I716" s="1373"/>
    </row>
    <row r="717" spans="1:9">
      <c r="A717" s="1369"/>
      <c r="B717" s="1369"/>
      <c r="C717" s="1370"/>
      <c r="D717" s="1308"/>
      <c r="E717" s="1326"/>
      <c r="F717" s="1326"/>
      <c r="G717" s="1326"/>
      <c r="H717" s="1326"/>
      <c r="I717" s="1373"/>
    </row>
    <row r="718" spans="1:9">
      <c r="A718" s="1369"/>
      <c r="B718" s="1369"/>
      <c r="C718" s="1370"/>
      <c r="D718" s="1308"/>
      <c r="E718" s="1326"/>
      <c r="F718" s="1326"/>
      <c r="G718" s="1326"/>
      <c r="H718" s="1326"/>
      <c r="I718" s="1373"/>
    </row>
    <row r="719" spans="1:9">
      <c r="A719" s="1369"/>
      <c r="B719" s="1369"/>
      <c r="C719" s="1370"/>
      <c r="D719" s="1308"/>
      <c r="E719" s="1326"/>
      <c r="F719" s="1326"/>
      <c r="G719" s="1326"/>
      <c r="H719" s="1326"/>
      <c r="I719" s="1373"/>
    </row>
    <row r="720" spans="1:9">
      <c r="A720" s="1369"/>
      <c r="B720" s="1369"/>
      <c r="C720" s="1370"/>
      <c r="D720" s="1308"/>
      <c r="E720" s="1326"/>
      <c r="F720" s="1326"/>
      <c r="G720" s="1326"/>
      <c r="H720" s="1326"/>
      <c r="I720" s="1373"/>
    </row>
    <row r="721" spans="1:9">
      <c r="A721" s="1369"/>
      <c r="B721" s="1369"/>
      <c r="C721" s="1370"/>
      <c r="D721" s="1308"/>
      <c r="E721" s="1326"/>
      <c r="F721" s="1326"/>
      <c r="G721" s="1326"/>
      <c r="H721" s="1326"/>
      <c r="I721" s="1373"/>
    </row>
    <row r="722" spans="1:9">
      <c r="A722" s="1369"/>
      <c r="B722" s="1369"/>
      <c r="C722" s="1370"/>
      <c r="D722" s="1308"/>
      <c r="E722" s="1326"/>
      <c r="F722" s="1326"/>
      <c r="G722" s="1326"/>
      <c r="H722" s="1326"/>
      <c r="I722" s="1373"/>
    </row>
    <row r="723" spans="1:9">
      <c r="A723" s="1369"/>
      <c r="B723" s="1369"/>
      <c r="C723" s="1370"/>
      <c r="D723" s="1308"/>
      <c r="E723" s="1326"/>
      <c r="F723" s="1326"/>
      <c r="G723" s="1326"/>
      <c r="H723" s="1326"/>
      <c r="I723" s="1373"/>
    </row>
    <row r="724" spans="1:9">
      <c r="A724" s="1369"/>
      <c r="B724" s="1369"/>
      <c r="C724" s="1370"/>
      <c r="D724" s="1308"/>
      <c r="E724" s="1326"/>
      <c r="F724" s="1326"/>
      <c r="G724" s="1326"/>
      <c r="H724" s="1326"/>
      <c r="I724" s="1373"/>
    </row>
    <row r="725" spans="1:9">
      <c r="A725" s="1369"/>
      <c r="B725" s="1369"/>
      <c r="C725" s="1370"/>
      <c r="D725" s="1308"/>
      <c r="E725" s="1326"/>
      <c r="F725" s="1326"/>
      <c r="G725" s="1326"/>
      <c r="H725" s="1326"/>
      <c r="I725" s="1373"/>
    </row>
    <row r="726" spans="1:9">
      <c r="A726" s="1369"/>
      <c r="B726" s="1369"/>
      <c r="C726" s="1370"/>
      <c r="D726" s="1308"/>
      <c r="E726" s="1326"/>
      <c r="F726" s="1326"/>
      <c r="G726" s="1326"/>
      <c r="H726" s="1326"/>
      <c r="I726" s="1373"/>
    </row>
    <row r="727" spans="1:9">
      <c r="A727" s="1369"/>
      <c r="B727" s="1369"/>
      <c r="C727" s="1370"/>
      <c r="D727" s="1308"/>
      <c r="E727" s="1326"/>
      <c r="F727" s="1326"/>
      <c r="G727" s="1326"/>
      <c r="H727" s="1326"/>
      <c r="I727" s="1373"/>
    </row>
    <row r="728" spans="1:9">
      <c r="A728" s="1369"/>
      <c r="B728" s="1369"/>
      <c r="C728" s="1370"/>
      <c r="D728" s="1308"/>
      <c r="E728" s="1326"/>
      <c r="F728" s="1326"/>
      <c r="G728" s="1326"/>
      <c r="H728" s="1326"/>
      <c r="I728" s="1373"/>
    </row>
    <row r="729" spans="1:9">
      <c r="A729" s="1369"/>
      <c r="B729" s="1369"/>
      <c r="C729" s="1370"/>
      <c r="D729" s="1308"/>
      <c r="E729" s="1326"/>
      <c r="F729" s="1326"/>
      <c r="G729" s="1326"/>
      <c r="H729" s="1326"/>
      <c r="I729" s="1373"/>
    </row>
    <row r="730" spans="1:9">
      <c r="A730" s="1369"/>
      <c r="B730" s="1369"/>
      <c r="C730" s="1370"/>
      <c r="D730" s="1308"/>
      <c r="E730" s="1326"/>
      <c r="F730" s="1326"/>
      <c r="G730" s="1326"/>
      <c r="H730" s="1326"/>
      <c r="I730" s="1373"/>
    </row>
    <row r="731" spans="1:9">
      <c r="A731" s="1369"/>
      <c r="B731" s="1369"/>
      <c r="C731" s="1370"/>
      <c r="D731" s="1308"/>
      <c r="E731" s="1326"/>
      <c r="F731" s="1326"/>
      <c r="G731" s="1326"/>
      <c r="H731" s="1326"/>
      <c r="I731" s="1373"/>
    </row>
    <row r="732" spans="1:9">
      <c r="A732" s="1369"/>
      <c r="B732" s="1369"/>
      <c r="C732" s="1370"/>
      <c r="D732" s="1308"/>
      <c r="E732" s="1326"/>
      <c r="F732" s="1326"/>
      <c r="G732" s="1326"/>
      <c r="H732" s="1326"/>
      <c r="I732" s="1373"/>
    </row>
    <row r="733" spans="1:9">
      <c r="A733" s="1369"/>
      <c r="B733" s="1369"/>
      <c r="C733" s="1370"/>
      <c r="D733" s="1308"/>
      <c r="E733" s="1326"/>
      <c r="F733" s="1326"/>
      <c r="G733" s="1326"/>
      <c r="H733" s="1326"/>
      <c r="I733" s="1373"/>
    </row>
    <row r="734" spans="1:9">
      <c r="A734" s="1369"/>
      <c r="B734" s="1369"/>
      <c r="C734" s="1370"/>
      <c r="D734" s="1308"/>
      <c r="E734" s="1326"/>
      <c r="F734" s="1326"/>
      <c r="G734" s="1326"/>
      <c r="H734" s="1326"/>
      <c r="I734" s="1373"/>
    </row>
    <row r="735" spans="1:9">
      <c r="A735" s="1369"/>
      <c r="B735" s="1369"/>
      <c r="C735" s="1370"/>
      <c r="D735" s="1308"/>
      <c r="E735" s="1326"/>
      <c r="F735" s="1326"/>
      <c r="G735" s="1326"/>
      <c r="H735" s="1326"/>
      <c r="I735" s="1373"/>
    </row>
    <row r="736" spans="1:9">
      <c r="A736" s="1369"/>
      <c r="B736" s="1369"/>
      <c r="C736" s="1370"/>
      <c r="D736" s="1308"/>
      <c r="E736" s="1326"/>
      <c r="F736" s="1326"/>
      <c r="G736" s="1326"/>
      <c r="H736" s="1326"/>
      <c r="I736" s="1373"/>
    </row>
    <row r="737" spans="1:9">
      <c r="A737" s="1369"/>
      <c r="B737" s="1369"/>
      <c r="C737" s="1370"/>
      <c r="D737" s="1308"/>
      <c r="E737" s="1326"/>
      <c r="F737" s="1326"/>
      <c r="G737" s="1326"/>
      <c r="H737" s="1326"/>
      <c r="I737" s="1373"/>
    </row>
    <row r="738" spans="1:9">
      <c r="A738" s="1369"/>
      <c r="B738" s="1369"/>
      <c r="C738" s="1370"/>
      <c r="D738" s="1308"/>
      <c r="E738" s="1326"/>
      <c r="F738" s="1326"/>
      <c r="G738" s="1326"/>
      <c r="H738" s="1326"/>
      <c r="I738" s="1373"/>
    </row>
    <row r="739" spans="1:9">
      <c r="A739" s="1369"/>
      <c r="B739" s="1369"/>
      <c r="C739" s="1370"/>
      <c r="D739" s="1308"/>
      <c r="E739" s="1326"/>
      <c r="F739" s="1326"/>
      <c r="G739" s="1326"/>
      <c r="H739" s="1326"/>
      <c r="I739" s="1373"/>
    </row>
    <row r="740" spans="1:9">
      <c r="A740" s="1369"/>
      <c r="B740" s="1369"/>
      <c r="C740" s="1370"/>
      <c r="D740" s="1308"/>
      <c r="E740" s="1326"/>
      <c r="F740" s="1326"/>
      <c r="G740" s="1326"/>
      <c r="H740" s="1326"/>
      <c r="I740" s="1373"/>
    </row>
    <row r="741" spans="1:9">
      <c r="A741" s="1369"/>
      <c r="B741" s="1369"/>
      <c r="C741" s="1370"/>
      <c r="D741" s="1308"/>
      <c r="E741" s="1326"/>
      <c r="F741" s="1326"/>
      <c r="G741" s="1326"/>
      <c r="H741" s="1326"/>
      <c r="I741" s="1373"/>
    </row>
    <row r="742" spans="1:9">
      <c r="A742" s="1369"/>
      <c r="B742" s="1369"/>
      <c r="C742" s="1370"/>
      <c r="D742" s="1308"/>
      <c r="E742" s="1326"/>
      <c r="F742" s="1326"/>
      <c r="G742" s="1326"/>
      <c r="H742" s="1326"/>
      <c r="I742" s="1373"/>
    </row>
    <row r="743" spans="1:9">
      <c r="A743" s="1369"/>
      <c r="B743" s="1369"/>
      <c r="C743" s="1370"/>
      <c r="D743" s="1308"/>
      <c r="E743" s="1326"/>
      <c r="F743" s="1326"/>
      <c r="G743" s="1326"/>
      <c r="H743" s="1326"/>
      <c r="I743" s="1373"/>
    </row>
    <row r="744" spans="1:9">
      <c r="A744" s="1369"/>
      <c r="B744" s="1369"/>
      <c r="C744" s="1370"/>
      <c r="D744" s="1308"/>
      <c r="E744" s="1326"/>
      <c r="F744" s="1326"/>
      <c r="G744" s="1326"/>
      <c r="H744" s="1326"/>
      <c r="I744" s="1373"/>
    </row>
    <row r="745" spans="1:9">
      <c r="A745" s="1369"/>
      <c r="B745" s="1369"/>
      <c r="C745" s="1370"/>
      <c r="D745" s="1308"/>
      <c r="E745" s="1326"/>
      <c r="F745" s="1326"/>
      <c r="G745" s="1326"/>
      <c r="H745" s="1326"/>
      <c r="I745" s="1373"/>
    </row>
    <row r="746" spans="1:9">
      <c r="A746" s="1369"/>
      <c r="B746" s="1369"/>
      <c r="C746" s="1370"/>
      <c r="D746" s="1308"/>
      <c r="E746" s="1326"/>
      <c r="F746" s="1326"/>
      <c r="G746" s="1326"/>
      <c r="H746" s="1326"/>
      <c r="I746" s="1373"/>
    </row>
    <row r="747" spans="1:9">
      <c r="A747" s="1369"/>
      <c r="B747" s="1369"/>
      <c r="C747" s="1370"/>
      <c r="D747" s="1308"/>
      <c r="E747" s="1326"/>
      <c r="F747" s="1326"/>
      <c r="G747" s="1326"/>
      <c r="H747" s="1326"/>
      <c r="I747" s="1373"/>
    </row>
    <row r="748" spans="1:9">
      <c r="A748" s="1369"/>
      <c r="B748" s="1369"/>
      <c r="C748" s="1370"/>
      <c r="D748" s="1308"/>
      <c r="E748" s="1326"/>
      <c r="F748" s="1326"/>
      <c r="G748" s="1326"/>
      <c r="H748" s="1326"/>
      <c r="I748" s="1373"/>
    </row>
    <row r="749" spans="1:9">
      <c r="A749" s="1369"/>
      <c r="B749" s="1369"/>
      <c r="C749" s="1370"/>
      <c r="D749" s="1308"/>
      <c r="E749" s="1326"/>
      <c r="F749" s="1326"/>
      <c r="G749" s="1326"/>
      <c r="H749" s="1326"/>
      <c r="I749" s="1373"/>
    </row>
    <row r="750" spans="1:9">
      <c r="A750" s="1369"/>
      <c r="B750" s="1369"/>
      <c r="C750" s="1370"/>
      <c r="D750" s="1308"/>
      <c r="E750" s="1326"/>
      <c r="F750" s="1326"/>
      <c r="G750" s="1326"/>
      <c r="H750" s="1326"/>
      <c r="I750" s="1373"/>
    </row>
    <row r="751" spans="1:9">
      <c r="A751" s="1369"/>
      <c r="B751" s="1369"/>
      <c r="C751" s="1370"/>
      <c r="D751" s="1308"/>
      <c r="E751" s="1326"/>
      <c r="F751" s="1326"/>
      <c r="G751" s="1326"/>
      <c r="H751" s="1326"/>
      <c r="I751" s="1373"/>
    </row>
    <row r="752" spans="1:9">
      <c r="A752" s="1369"/>
      <c r="B752" s="1369"/>
      <c r="C752" s="1370"/>
      <c r="D752" s="1308"/>
      <c r="E752" s="1326"/>
      <c r="F752" s="1326"/>
      <c r="G752" s="1326"/>
      <c r="H752" s="1326"/>
      <c r="I752" s="1373"/>
    </row>
    <row r="753" spans="1:9">
      <c r="A753" s="1369"/>
      <c r="B753" s="1369"/>
      <c r="C753" s="1370"/>
      <c r="D753" s="1308"/>
      <c r="E753" s="1326"/>
      <c r="F753" s="1326"/>
      <c r="G753" s="1326"/>
      <c r="H753" s="1326"/>
      <c r="I753" s="1373"/>
    </row>
    <row r="754" spans="1:9">
      <c r="A754" s="1369"/>
      <c r="B754" s="1369"/>
      <c r="C754" s="1370"/>
      <c r="D754" s="1308"/>
      <c r="E754" s="1326"/>
      <c r="F754" s="1326"/>
      <c r="G754" s="1326"/>
      <c r="H754" s="1326"/>
      <c r="I754" s="1373"/>
    </row>
    <row r="755" spans="1:9">
      <c r="A755" s="1369"/>
      <c r="B755" s="1369"/>
      <c r="C755" s="1370"/>
      <c r="D755" s="1308"/>
      <c r="E755" s="1326"/>
      <c r="F755" s="1326"/>
      <c r="G755" s="1326"/>
      <c r="H755" s="1326"/>
      <c r="I755" s="1373"/>
    </row>
    <row r="756" spans="1:9">
      <c r="A756" s="1369"/>
      <c r="B756" s="1369"/>
      <c r="C756" s="1370"/>
      <c r="D756" s="1308"/>
      <c r="E756" s="1326"/>
      <c r="F756" s="1326"/>
      <c r="G756" s="1326"/>
      <c r="H756" s="1326"/>
      <c r="I756" s="1373"/>
    </row>
    <row r="757" spans="1:9">
      <c r="A757" s="1369"/>
      <c r="B757" s="1369"/>
      <c r="C757" s="1370"/>
      <c r="D757" s="1308"/>
      <c r="E757" s="1326"/>
      <c r="F757" s="1326"/>
      <c r="G757" s="1326"/>
      <c r="H757" s="1326"/>
      <c r="I757" s="1373"/>
    </row>
    <row r="758" spans="1:9">
      <c r="A758" s="1369"/>
      <c r="B758" s="1369"/>
      <c r="C758" s="1370"/>
      <c r="D758" s="1308"/>
      <c r="E758" s="1326"/>
      <c r="F758" s="1326"/>
      <c r="G758" s="1326"/>
      <c r="H758" s="1326"/>
      <c r="I758" s="1373"/>
    </row>
    <row r="759" spans="1:9">
      <c r="A759" s="1369"/>
      <c r="B759" s="1369"/>
      <c r="C759" s="1370"/>
      <c r="D759" s="1308"/>
      <c r="E759" s="1326"/>
      <c r="F759" s="1326"/>
      <c r="G759" s="1326"/>
      <c r="H759" s="1326"/>
      <c r="I759" s="1373"/>
    </row>
    <row r="760" spans="1:9">
      <c r="A760" s="1369"/>
      <c r="B760" s="1369"/>
      <c r="C760" s="1370"/>
      <c r="D760" s="1308"/>
      <c r="E760" s="1326"/>
      <c r="F760" s="1326"/>
      <c r="G760" s="1326"/>
      <c r="H760" s="1326"/>
      <c r="I760" s="1373"/>
    </row>
    <row r="761" spans="1:9">
      <c r="A761" s="1369"/>
      <c r="B761" s="1369"/>
      <c r="C761" s="1370"/>
      <c r="D761" s="1308"/>
      <c r="E761" s="1326"/>
      <c r="F761" s="1326"/>
      <c r="G761" s="1326"/>
      <c r="H761" s="1326"/>
      <c r="I761" s="1373"/>
    </row>
    <row r="762" spans="1:9">
      <c r="A762" s="1369"/>
      <c r="B762" s="1369"/>
      <c r="C762" s="1370"/>
      <c r="D762" s="1308"/>
      <c r="E762" s="1326"/>
      <c r="F762" s="1326"/>
      <c r="G762" s="1326"/>
      <c r="H762" s="1326"/>
      <c r="I762" s="1373"/>
    </row>
    <row r="763" spans="1:9">
      <c r="A763" s="1369"/>
      <c r="B763" s="1369"/>
      <c r="C763" s="1370"/>
      <c r="D763" s="1308"/>
      <c r="E763" s="1326"/>
      <c r="F763" s="1326"/>
      <c r="G763" s="1326"/>
      <c r="H763" s="1326"/>
      <c r="I763" s="1373"/>
    </row>
    <row r="764" spans="1:9">
      <c r="A764" s="1369"/>
      <c r="B764" s="1369"/>
      <c r="C764" s="1370"/>
      <c r="D764" s="1308"/>
      <c r="E764" s="1326"/>
      <c r="F764" s="1326"/>
      <c r="G764" s="1326"/>
      <c r="H764" s="1326"/>
      <c r="I764" s="1373"/>
    </row>
    <row r="765" spans="1:9">
      <c r="A765" s="1369"/>
      <c r="B765" s="1369"/>
      <c r="C765" s="1370"/>
      <c r="D765" s="1308"/>
      <c r="E765" s="1326"/>
      <c r="F765" s="1326"/>
      <c r="G765" s="1326"/>
      <c r="H765" s="1326"/>
      <c r="I765" s="1373"/>
    </row>
    <row r="766" spans="1:9">
      <c r="A766" s="1369"/>
      <c r="B766" s="1369"/>
      <c r="C766" s="1370"/>
      <c r="D766" s="1308"/>
      <c r="E766" s="1326"/>
      <c r="F766" s="1326"/>
      <c r="G766" s="1326"/>
      <c r="H766" s="1326"/>
      <c r="I766" s="1373"/>
    </row>
    <row r="767" spans="1:9">
      <c r="A767" s="1369"/>
      <c r="B767" s="1369"/>
      <c r="C767" s="1370"/>
      <c r="D767" s="1308"/>
      <c r="E767" s="1326"/>
      <c r="F767" s="1326"/>
      <c r="G767" s="1326"/>
      <c r="H767" s="1326"/>
      <c r="I767" s="1373"/>
    </row>
    <row r="768" spans="1:9">
      <c r="A768" s="1369"/>
      <c r="B768" s="1369"/>
      <c r="C768" s="1370"/>
      <c r="D768" s="1308"/>
      <c r="E768" s="1326"/>
      <c r="F768" s="1326"/>
      <c r="G768" s="1326"/>
      <c r="H768" s="1326"/>
      <c r="I768" s="1373"/>
    </row>
    <row r="769" spans="1:9">
      <c r="A769" s="1369"/>
      <c r="B769" s="1369"/>
      <c r="C769" s="1370"/>
      <c r="D769" s="1308"/>
      <c r="E769" s="1326"/>
      <c r="F769" s="1326"/>
      <c r="G769" s="1326"/>
      <c r="H769" s="1326"/>
      <c r="I769" s="1373"/>
    </row>
    <row r="770" spans="1:9">
      <c r="A770" s="1369"/>
      <c r="B770" s="1369"/>
      <c r="C770" s="1370"/>
      <c r="D770" s="1308"/>
      <c r="E770" s="1326"/>
      <c r="F770" s="1326"/>
      <c r="G770" s="1326"/>
      <c r="H770" s="1326"/>
      <c r="I770" s="1373"/>
    </row>
    <row r="771" spans="1:9">
      <c r="A771" s="1369"/>
      <c r="B771" s="1369"/>
      <c r="C771" s="1370"/>
      <c r="D771" s="1308"/>
      <c r="E771" s="1326"/>
      <c r="F771" s="1326"/>
      <c r="G771" s="1326"/>
      <c r="H771" s="1326"/>
      <c r="I771" s="1373"/>
    </row>
    <row r="772" spans="1:9">
      <c r="A772" s="1369"/>
      <c r="B772" s="1369"/>
      <c r="C772" s="1370"/>
      <c r="D772" s="1308"/>
      <c r="E772" s="1326"/>
      <c r="F772" s="1326"/>
      <c r="G772" s="1326"/>
      <c r="H772" s="1326"/>
      <c r="I772" s="1373"/>
    </row>
    <row r="773" spans="1:9">
      <c r="A773" s="1369"/>
      <c r="B773" s="1369"/>
      <c r="C773" s="1370"/>
      <c r="D773" s="1308"/>
      <c r="E773" s="1326"/>
      <c r="F773" s="1326"/>
      <c r="G773" s="1326"/>
      <c r="H773" s="1326"/>
      <c r="I773" s="1373"/>
    </row>
    <row r="774" spans="1:9">
      <c r="A774" s="1369"/>
      <c r="B774" s="1369"/>
      <c r="C774" s="1370"/>
      <c r="D774" s="1308"/>
      <c r="E774" s="1326"/>
      <c r="F774" s="1326"/>
      <c r="G774" s="1326"/>
      <c r="H774" s="1326"/>
      <c r="I774" s="1373"/>
    </row>
    <row r="775" spans="1:9">
      <c r="A775" s="1369"/>
      <c r="B775" s="1369"/>
      <c r="C775" s="1370"/>
      <c r="D775" s="1308"/>
      <c r="E775" s="1326"/>
      <c r="F775" s="1326"/>
      <c r="G775" s="1326"/>
      <c r="H775" s="1326"/>
      <c r="I775" s="1373"/>
    </row>
    <row r="776" spans="1:9">
      <c r="A776" s="1369"/>
      <c r="B776" s="1369"/>
      <c r="C776" s="1370"/>
      <c r="D776" s="1308"/>
      <c r="E776" s="1326"/>
      <c r="F776" s="1326"/>
      <c r="G776" s="1326"/>
      <c r="H776" s="1326"/>
      <c r="I776" s="1373"/>
    </row>
    <row r="777" spans="1:9">
      <c r="A777" s="1369"/>
      <c r="B777" s="1369"/>
      <c r="C777" s="1370"/>
      <c r="D777" s="1308"/>
      <c r="E777" s="1326"/>
      <c r="F777" s="1326"/>
      <c r="G777" s="1326"/>
      <c r="H777" s="1326"/>
      <c r="I777" s="1373"/>
    </row>
    <row r="778" spans="1:9">
      <c r="A778" s="1369"/>
      <c r="B778" s="1369"/>
      <c r="C778" s="1370"/>
      <c r="D778" s="1308"/>
      <c r="E778" s="1326"/>
      <c r="F778" s="1326"/>
      <c r="G778" s="1326"/>
      <c r="H778" s="1326"/>
      <c r="I778" s="1373"/>
    </row>
    <row r="779" spans="1:9">
      <c r="A779" s="1369"/>
      <c r="B779" s="1369"/>
      <c r="C779" s="1370"/>
      <c r="D779" s="1308"/>
      <c r="E779" s="1326"/>
      <c r="F779" s="1326"/>
      <c r="G779" s="1326"/>
      <c r="H779" s="1326"/>
      <c r="I779" s="1373"/>
    </row>
    <row r="780" spans="1:9">
      <c r="A780" s="1369"/>
      <c r="B780" s="1369"/>
      <c r="C780" s="1370"/>
      <c r="D780" s="1308"/>
      <c r="E780" s="1326"/>
      <c r="F780" s="1326"/>
      <c r="G780" s="1326"/>
      <c r="H780" s="1326"/>
      <c r="I780" s="1373"/>
    </row>
    <row r="781" spans="1:9">
      <c r="A781" s="1369"/>
      <c r="B781" s="1369"/>
      <c r="C781" s="1370"/>
      <c r="D781" s="1308"/>
      <c r="E781" s="1326"/>
      <c r="F781" s="1326"/>
      <c r="G781" s="1326"/>
      <c r="H781" s="1326"/>
      <c r="I781" s="1373"/>
    </row>
    <row r="782" spans="1:9">
      <c r="A782" s="1369"/>
      <c r="B782" s="1369"/>
      <c r="C782" s="1370"/>
      <c r="D782" s="1308"/>
      <c r="E782" s="1326"/>
      <c r="F782" s="1326"/>
      <c r="G782" s="1326"/>
      <c r="H782" s="1326"/>
      <c r="I782" s="1373"/>
    </row>
    <row r="783" spans="1:9">
      <c r="A783" s="1369"/>
      <c r="B783" s="1369"/>
      <c r="C783" s="1370"/>
      <c r="D783" s="1308"/>
      <c r="E783" s="1326"/>
      <c r="F783" s="1326"/>
      <c r="G783" s="1326"/>
      <c r="H783" s="1326"/>
      <c r="I783" s="1373"/>
    </row>
    <row r="784" spans="1:9">
      <c r="A784" s="1369"/>
      <c r="B784" s="1369"/>
      <c r="C784" s="1370"/>
      <c r="D784" s="1308"/>
      <c r="E784" s="1326"/>
      <c r="F784" s="1326"/>
      <c r="G784" s="1326"/>
      <c r="H784" s="1326"/>
      <c r="I784" s="1373"/>
    </row>
    <row r="785" spans="1:9">
      <c r="A785" s="1369"/>
      <c r="B785" s="1369"/>
      <c r="C785" s="1370"/>
      <c r="D785" s="1308"/>
      <c r="E785" s="1326"/>
      <c r="F785" s="1326"/>
      <c r="G785" s="1326"/>
      <c r="H785" s="1326"/>
      <c r="I785" s="1373"/>
    </row>
    <row r="786" spans="1:9">
      <c r="A786" s="1369"/>
      <c r="B786" s="1369"/>
      <c r="C786" s="1370"/>
      <c r="D786" s="1308"/>
      <c r="E786" s="1326"/>
      <c r="F786" s="1326"/>
      <c r="G786" s="1326"/>
      <c r="H786" s="1326"/>
      <c r="I786" s="1373"/>
    </row>
    <row r="787" spans="1:9">
      <c r="A787" s="1369"/>
      <c r="B787" s="1369"/>
      <c r="C787" s="1370"/>
      <c r="D787" s="1308"/>
      <c r="E787" s="1326"/>
      <c r="F787" s="1326"/>
      <c r="G787" s="1326"/>
      <c r="H787" s="1326"/>
      <c r="I787" s="1373"/>
    </row>
    <row r="788" spans="1:9">
      <c r="A788" s="1369"/>
      <c r="B788" s="1369"/>
      <c r="C788" s="1370"/>
      <c r="D788" s="1308"/>
      <c r="E788" s="1326"/>
      <c r="F788" s="1326"/>
      <c r="G788" s="1326"/>
      <c r="H788" s="1326"/>
      <c r="I788" s="1373"/>
    </row>
    <row r="789" spans="1:9">
      <c r="A789" s="1369"/>
      <c r="B789" s="1369"/>
      <c r="C789" s="1370"/>
      <c r="D789" s="1308"/>
      <c r="E789" s="1326"/>
      <c r="F789" s="1326"/>
      <c r="G789" s="1326"/>
      <c r="H789" s="1326"/>
      <c r="I789" s="1373"/>
    </row>
    <row r="790" spans="1:9">
      <c r="A790" s="1369"/>
      <c r="B790" s="1369"/>
      <c r="C790" s="1370"/>
      <c r="D790" s="1308"/>
      <c r="E790" s="1326"/>
      <c r="F790" s="1326"/>
      <c r="G790" s="1326"/>
      <c r="H790" s="1326"/>
      <c r="I790" s="1373"/>
    </row>
    <row r="791" spans="1:9">
      <c r="A791" s="1369"/>
      <c r="B791" s="1369"/>
      <c r="C791" s="1370"/>
      <c r="D791" s="1308"/>
      <c r="E791" s="1326"/>
      <c r="F791" s="1326"/>
      <c r="G791" s="1326"/>
      <c r="H791" s="1326"/>
      <c r="I791" s="1373"/>
    </row>
    <row r="792" spans="1:9">
      <c r="A792" s="1369"/>
      <c r="B792" s="1369"/>
      <c r="C792" s="1370"/>
      <c r="D792" s="1308"/>
      <c r="E792" s="1326"/>
      <c r="F792" s="1326"/>
      <c r="G792" s="1326"/>
      <c r="H792" s="1326"/>
      <c r="I792" s="1373"/>
    </row>
    <row r="793" spans="1:9">
      <c r="A793" s="1369"/>
      <c r="B793" s="1369"/>
      <c r="C793" s="1370"/>
      <c r="D793" s="1308"/>
      <c r="E793" s="1326"/>
      <c r="F793" s="1326"/>
      <c r="G793" s="1326"/>
      <c r="H793" s="1326"/>
      <c r="I793" s="1373"/>
    </row>
    <row r="794" spans="1:9">
      <c r="A794" s="1369"/>
      <c r="B794" s="1369"/>
      <c r="C794" s="1370"/>
      <c r="D794" s="1308"/>
      <c r="E794" s="1326"/>
      <c r="F794" s="1326"/>
      <c r="G794" s="1326"/>
      <c r="H794" s="1326"/>
      <c r="I794" s="1373"/>
    </row>
    <row r="795" spans="1:9">
      <c r="A795" s="1369"/>
      <c r="B795" s="1369"/>
      <c r="C795" s="1370"/>
      <c r="D795" s="1308"/>
      <c r="E795" s="1326"/>
      <c r="F795" s="1326"/>
      <c r="G795" s="1326"/>
      <c r="H795" s="1326"/>
      <c r="I795" s="1373"/>
    </row>
    <row r="796" spans="1:9">
      <c r="A796" s="1369"/>
      <c r="B796" s="1369"/>
      <c r="C796" s="1370"/>
      <c r="D796" s="1308"/>
      <c r="E796" s="1326"/>
      <c r="F796" s="1326"/>
      <c r="G796" s="1326"/>
      <c r="H796" s="1326"/>
      <c r="I796" s="1373"/>
    </row>
    <row r="797" spans="1:9">
      <c r="A797" s="1369"/>
      <c r="B797" s="1369"/>
      <c r="C797" s="1370"/>
      <c r="D797" s="1308"/>
      <c r="E797" s="1326"/>
      <c r="F797" s="1326"/>
      <c r="G797" s="1326"/>
      <c r="H797" s="1326"/>
      <c r="I797" s="1373"/>
    </row>
    <row r="798" spans="1:9">
      <c r="A798" s="1369"/>
      <c r="B798" s="1369"/>
      <c r="C798" s="1370"/>
      <c r="D798" s="1308"/>
      <c r="E798" s="1326"/>
      <c r="F798" s="1326"/>
      <c r="G798" s="1326"/>
      <c r="H798" s="1326"/>
      <c r="I798" s="1373"/>
    </row>
    <row r="799" spans="1:9">
      <c r="A799" s="1369"/>
      <c r="B799" s="1369"/>
      <c r="C799" s="1370"/>
      <c r="D799" s="1308"/>
      <c r="E799" s="1326"/>
      <c r="F799" s="1326"/>
      <c r="G799" s="1326"/>
      <c r="H799" s="1326"/>
      <c r="I799" s="1373"/>
    </row>
    <row r="800" spans="1:9">
      <c r="A800" s="1369"/>
      <c r="B800" s="1369"/>
      <c r="C800" s="1370"/>
      <c r="D800" s="1308"/>
      <c r="E800" s="1326"/>
      <c r="F800" s="1326"/>
      <c r="G800" s="1326"/>
      <c r="H800" s="1326"/>
      <c r="I800" s="1373"/>
    </row>
    <row r="801" spans="1:9">
      <c r="A801" s="1369"/>
      <c r="B801" s="1369"/>
      <c r="C801" s="1370"/>
      <c r="D801" s="1308"/>
      <c r="E801" s="1326"/>
      <c r="F801" s="1326"/>
      <c r="G801" s="1326"/>
      <c r="H801" s="1326"/>
      <c r="I801" s="1373"/>
    </row>
    <row r="802" spans="1:9">
      <c r="A802" s="1369"/>
      <c r="B802" s="1369"/>
      <c r="C802" s="1370"/>
      <c r="D802" s="1308"/>
      <c r="E802" s="1326"/>
      <c r="F802" s="1326"/>
      <c r="G802" s="1326"/>
      <c r="H802" s="1326"/>
      <c r="I802" s="1373"/>
    </row>
    <row r="803" spans="1:9">
      <c r="A803" s="1369"/>
      <c r="B803" s="1369"/>
      <c r="C803" s="1370"/>
      <c r="D803" s="1308"/>
      <c r="E803" s="1326"/>
      <c r="F803" s="1326"/>
      <c r="G803" s="1326"/>
      <c r="H803" s="1326"/>
      <c r="I803" s="1373"/>
    </row>
    <row r="804" spans="1:9">
      <c r="A804" s="1369"/>
      <c r="B804" s="1369"/>
      <c r="C804" s="1370"/>
      <c r="D804" s="1308"/>
      <c r="E804" s="1326"/>
      <c r="F804" s="1326"/>
      <c r="G804" s="1326"/>
      <c r="H804" s="1326"/>
      <c r="I804" s="1373"/>
    </row>
    <row r="805" spans="1:9">
      <c r="A805" s="1369"/>
      <c r="B805" s="1369"/>
      <c r="C805" s="1370"/>
      <c r="D805" s="1308"/>
      <c r="E805" s="1326"/>
      <c r="F805" s="1326"/>
      <c r="G805" s="1326"/>
      <c r="H805" s="1326"/>
      <c r="I805" s="1373"/>
    </row>
    <row r="806" spans="1:9">
      <c r="A806" s="1369"/>
      <c r="B806" s="1369"/>
      <c r="C806" s="1370"/>
      <c r="D806" s="1308"/>
      <c r="E806" s="1326"/>
      <c r="F806" s="1326"/>
      <c r="G806" s="1326"/>
      <c r="H806" s="1326"/>
      <c r="I806" s="1373"/>
    </row>
    <row r="807" spans="1:9">
      <c r="A807" s="1369"/>
      <c r="B807" s="1369"/>
      <c r="C807" s="1370"/>
      <c r="D807" s="1308"/>
      <c r="E807" s="1326"/>
      <c r="F807" s="1326"/>
      <c r="G807" s="1326"/>
      <c r="H807" s="1326"/>
      <c r="I807" s="1373"/>
    </row>
    <row r="808" spans="1:9">
      <c r="A808" s="1369"/>
      <c r="B808" s="1369"/>
      <c r="C808" s="1370"/>
      <c r="D808" s="1308"/>
      <c r="E808" s="1326"/>
      <c r="F808" s="1326"/>
      <c r="G808" s="1326"/>
      <c r="H808" s="1326"/>
      <c r="I808" s="1373"/>
    </row>
    <row r="809" spans="1:9">
      <c r="A809" s="1369"/>
      <c r="B809" s="1369"/>
      <c r="C809" s="1370"/>
      <c r="D809" s="1308"/>
      <c r="E809" s="1326"/>
      <c r="F809" s="1326"/>
      <c r="G809" s="1326"/>
      <c r="H809" s="1326"/>
      <c r="I809" s="1373"/>
    </row>
    <row r="810" spans="1:9">
      <c r="A810" s="1369"/>
      <c r="B810" s="1369"/>
      <c r="C810" s="1370"/>
      <c r="D810" s="1308"/>
      <c r="E810" s="1326"/>
      <c r="F810" s="1326"/>
      <c r="G810" s="1326"/>
      <c r="H810" s="1326"/>
      <c r="I810" s="1373"/>
    </row>
    <row r="811" spans="1:9">
      <c r="A811" s="1369"/>
      <c r="B811" s="1369"/>
      <c r="C811" s="1370"/>
      <c r="D811" s="1308"/>
      <c r="E811" s="1326"/>
      <c r="F811" s="1326"/>
      <c r="G811" s="1326"/>
      <c r="H811" s="1326"/>
      <c r="I811" s="1373"/>
    </row>
    <row r="812" spans="1:9">
      <c r="A812" s="1369"/>
      <c r="B812" s="1369"/>
      <c r="C812" s="1370"/>
      <c r="D812" s="1308"/>
      <c r="E812" s="1326"/>
      <c r="F812" s="1326"/>
      <c r="G812" s="1326"/>
      <c r="H812" s="1326"/>
      <c r="I812" s="1373"/>
    </row>
    <row r="813" spans="1:9">
      <c r="A813" s="1369"/>
      <c r="B813" s="1369"/>
      <c r="C813" s="1370"/>
      <c r="D813" s="1308"/>
      <c r="E813" s="1326"/>
      <c r="F813" s="1326"/>
      <c r="G813" s="1326"/>
      <c r="H813" s="1326"/>
      <c r="I813" s="1373"/>
    </row>
    <row r="814" spans="1:9">
      <c r="A814" s="1369"/>
      <c r="B814" s="1369"/>
      <c r="C814" s="1370"/>
      <c r="D814" s="1308"/>
      <c r="E814" s="1326"/>
      <c r="F814" s="1326"/>
      <c r="G814" s="1326"/>
      <c r="H814" s="1326"/>
      <c r="I814" s="1373"/>
    </row>
    <row r="815" spans="1:9">
      <c r="A815" s="1369"/>
      <c r="B815" s="1369"/>
      <c r="C815" s="1370"/>
      <c r="D815" s="1308"/>
      <c r="E815" s="1326"/>
      <c r="F815" s="1326"/>
      <c r="G815" s="1326"/>
      <c r="H815" s="1326"/>
      <c r="I815" s="1373"/>
    </row>
    <row r="816" spans="1:9">
      <c r="A816" s="1369"/>
      <c r="B816" s="1369"/>
      <c r="C816" s="1370"/>
      <c r="D816" s="1308"/>
      <c r="E816" s="1326"/>
      <c r="F816" s="1326"/>
      <c r="G816" s="1326"/>
      <c r="H816" s="1326"/>
      <c r="I816" s="1373"/>
    </row>
    <row r="817" spans="1:9">
      <c r="A817" s="1369"/>
      <c r="B817" s="1369"/>
      <c r="C817" s="1370"/>
      <c r="D817" s="1308"/>
      <c r="E817" s="1326"/>
      <c r="F817" s="1326"/>
      <c r="G817" s="1326"/>
      <c r="H817" s="1326"/>
      <c r="I817" s="1373"/>
    </row>
    <row r="818" spans="1:9">
      <c r="A818" s="1369"/>
      <c r="B818" s="1369"/>
      <c r="C818" s="1370"/>
      <c r="D818" s="1308"/>
      <c r="E818" s="1326"/>
      <c r="F818" s="1326"/>
      <c r="G818" s="1326"/>
      <c r="H818" s="1326"/>
      <c r="I818" s="1373"/>
    </row>
    <row r="819" spans="1:9">
      <c r="A819" s="1369"/>
      <c r="B819" s="1369"/>
      <c r="C819" s="1370"/>
      <c r="D819" s="1308"/>
      <c r="E819" s="1326"/>
      <c r="F819" s="1326"/>
      <c r="G819" s="1326"/>
      <c r="H819" s="1326"/>
      <c r="I819" s="1373"/>
    </row>
    <row r="820" spans="1:9">
      <c r="A820" s="1369"/>
      <c r="B820" s="1369"/>
      <c r="C820" s="1370"/>
      <c r="D820" s="1308"/>
      <c r="E820" s="1326"/>
      <c r="F820" s="1326"/>
      <c r="G820" s="1326"/>
      <c r="H820" s="1326"/>
      <c r="I820" s="1373"/>
    </row>
    <row r="821" spans="1:9">
      <c r="A821" s="1369"/>
      <c r="B821" s="1369"/>
      <c r="C821" s="1370"/>
      <c r="D821" s="1308"/>
      <c r="E821" s="1326"/>
      <c r="F821" s="1326"/>
      <c r="G821" s="1326"/>
      <c r="H821" s="1326"/>
      <c r="I821" s="1373"/>
    </row>
    <row r="822" spans="1:9">
      <c r="A822" s="1369"/>
      <c r="B822" s="1369"/>
      <c r="C822" s="1370"/>
      <c r="D822" s="1308"/>
      <c r="E822" s="1326"/>
      <c r="F822" s="1326"/>
      <c r="G822" s="1326"/>
      <c r="H822" s="1326"/>
      <c r="I822" s="1373"/>
    </row>
    <row r="823" spans="1:9">
      <c r="A823" s="1369"/>
      <c r="B823" s="1369"/>
      <c r="C823" s="1370"/>
      <c r="D823" s="1308"/>
      <c r="E823" s="1326"/>
      <c r="F823" s="1326"/>
      <c r="G823" s="1326"/>
      <c r="H823" s="1326"/>
      <c r="I823" s="1373"/>
    </row>
    <row r="824" spans="1:9">
      <c r="A824" s="1369"/>
      <c r="B824" s="1369"/>
      <c r="C824" s="1370"/>
      <c r="D824" s="1308"/>
      <c r="E824" s="1326"/>
      <c r="F824" s="1326"/>
      <c r="G824" s="1326"/>
      <c r="H824" s="1326"/>
      <c r="I824" s="1373"/>
    </row>
    <row r="825" spans="1:9">
      <c r="A825" s="1369"/>
      <c r="B825" s="1369"/>
      <c r="C825" s="1370"/>
      <c r="D825" s="1308"/>
      <c r="E825" s="1326"/>
      <c r="F825" s="1326"/>
      <c r="G825" s="1326"/>
      <c r="H825" s="1326"/>
      <c r="I825" s="1373"/>
    </row>
    <row r="826" spans="1:9">
      <c r="A826" s="1369"/>
      <c r="B826" s="1369"/>
      <c r="C826" s="1370"/>
      <c r="D826" s="1308"/>
      <c r="E826" s="1326"/>
      <c r="F826" s="1326"/>
      <c r="G826" s="1326"/>
      <c r="H826" s="1326"/>
      <c r="I826" s="1373"/>
    </row>
    <row r="827" spans="1:9">
      <c r="A827" s="1369"/>
      <c r="B827" s="1369"/>
      <c r="C827" s="1370"/>
      <c r="D827" s="1308"/>
      <c r="E827" s="1326"/>
      <c r="F827" s="1326"/>
      <c r="G827" s="1326"/>
      <c r="H827" s="1326"/>
      <c r="I827" s="1373"/>
    </row>
    <row r="828" spans="1:9">
      <c r="A828" s="1369"/>
      <c r="B828" s="1369"/>
      <c r="C828" s="1370"/>
      <c r="D828" s="1308"/>
      <c r="E828" s="1326"/>
      <c r="F828" s="1326"/>
      <c r="G828" s="1326"/>
      <c r="H828" s="1326"/>
      <c r="I828" s="1373"/>
    </row>
    <row r="829" spans="1:9">
      <c r="A829" s="1369"/>
      <c r="B829" s="1369"/>
      <c r="C829" s="1370"/>
      <c r="D829" s="1308"/>
      <c r="E829" s="1326"/>
      <c r="F829" s="1326"/>
      <c r="G829" s="1326"/>
      <c r="H829" s="1326"/>
      <c r="I829" s="1373"/>
    </row>
    <row r="830" spans="1:9">
      <c r="A830" s="1369"/>
      <c r="B830" s="1369"/>
      <c r="C830" s="1370"/>
      <c r="D830" s="1308"/>
      <c r="E830" s="1326"/>
      <c r="F830" s="1326"/>
      <c r="G830" s="1326"/>
      <c r="H830" s="1326"/>
      <c r="I830" s="1373"/>
    </row>
    <row r="831" spans="1:9">
      <c r="A831" s="1369"/>
      <c r="B831" s="1369"/>
      <c r="C831" s="1370"/>
      <c r="D831" s="1308"/>
      <c r="E831" s="1326"/>
      <c r="F831" s="1326"/>
      <c r="G831" s="1326"/>
      <c r="H831" s="1326"/>
      <c r="I831" s="1373"/>
    </row>
    <row r="832" spans="1:9">
      <c r="A832" s="1369"/>
      <c r="B832" s="1369"/>
      <c r="C832" s="1370"/>
      <c r="D832" s="1308"/>
      <c r="E832" s="1326"/>
      <c r="F832" s="1326"/>
      <c r="G832" s="1326"/>
      <c r="H832" s="1326"/>
      <c r="I832" s="1373"/>
    </row>
    <row r="833" spans="1:9">
      <c r="A833" s="1369"/>
      <c r="B833" s="1369"/>
      <c r="C833" s="1370"/>
      <c r="D833" s="1308"/>
      <c r="E833" s="1326"/>
      <c r="F833" s="1326"/>
      <c r="G833" s="1326"/>
      <c r="H833" s="1326"/>
      <c r="I833" s="1373"/>
    </row>
    <row r="834" spans="1:9">
      <c r="A834" s="1369"/>
      <c r="B834" s="1369"/>
      <c r="C834" s="1370"/>
      <c r="D834" s="1308"/>
      <c r="E834" s="1326"/>
      <c r="F834" s="1326"/>
      <c r="G834" s="1326"/>
      <c r="H834" s="1326"/>
      <c r="I834" s="1373"/>
    </row>
    <row r="835" spans="1:9">
      <c r="A835" s="1369"/>
      <c r="B835" s="1369"/>
      <c r="C835" s="1370"/>
      <c r="D835" s="1308"/>
      <c r="E835" s="1326"/>
      <c r="F835" s="1326"/>
      <c r="G835" s="1326"/>
      <c r="H835" s="1326"/>
      <c r="I835" s="1373"/>
    </row>
    <row r="836" spans="1:9">
      <c r="A836" s="1369"/>
      <c r="B836" s="1369"/>
      <c r="C836" s="1370"/>
      <c r="D836" s="1308"/>
      <c r="E836" s="1326"/>
      <c r="F836" s="1326"/>
      <c r="G836" s="1326"/>
      <c r="H836" s="1326"/>
      <c r="I836" s="1373"/>
    </row>
    <row r="837" spans="1:9">
      <c r="A837" s="1369"/>
      <c r="B837" s="1369"/>
      <c r="C837" s="1370"/>
      <c r="D837" s="1308"/>
      <c r="E837" s="1326"/>
      <c r="F837" s="1326"/>
      <c r="G837" s="1326"/>
      <c r="H837" s="1326"/>
      <c r="I837" s="1373"/>
    </row>
    <row r="838" spans="1:9">
      <c r="A838" s="1369"/>
      <c r="B838" s="1369"/>
      <c r="C838" s="1370"/>
      <c r="D838" s="1308"/>
      <c r="E838" s="1326"/>
      <c r="F838" s="1326"/>
      <c r="G838" s="1326"/>
      <c r="H838" s="1326"/>
      <c r="I838" s="1373"/>
    </row>
    <row r="839" spans="1:9">
      <c r="A839" s="1369"/>
      <c r="B839" s="1369"/>
      <c r="C839" s="1370"/>
      <c r="D839" s="1308"/>
      <c r="E839" s="1326"/>
      <c r="F839" s="1326"/>
      <c r="G839" s="1326"/>
      <c r="H839" s="1326"/>
      <c r="I839" s="1373"/>
    </row>
    <row r="840" spans="1:9">
      <c r="A840" s="1369"/>
      <c r="B840" s="1369"/>
      <c r="C840" s="1370"/>
      <c r="D840" s="1308"/>
      <c r="E840" s="1326"/>
      <c r="F840" s="1326"/>
      <c r="G840" s="1326"/>
      <c r="H840" s="1326"/>
      <c r="I840" s="1373"/>
    </row>
    <row r="841" spans="1:9">
      <c r="A841" s="1369"/>
      <c r="B841" s="1369"/>
      <c r="C841" s="1370"/>
      <c r="D841" s="1308"/>
      <c r="E841" s="1326"/>
      <c r="F841" s="1326"/>
      <c r="G841" s="1326"/>
      <c r="H841" s="1326"/>
      <c r="I841" s="1373"/>
    </row>
    <row r="842" spans="1:9">
      <c r="A842" s="1369"/>
      <c r="B842" s="1369"/>
      <c r="C842" s="1370"/>
      <c r="D842" s="1308"/>
      <c r="E842" s="1326"/>
      <c r="F842" s="1326"/>
      <c r="G842" s="1326"/>
      <c r="H842" s="1326"/>
      <c r="I842" s="1373"/>
    </row>
    <row r="843" spans="1:9">
      <c r="A843" s="1369"/>
      <c r="B843" s="1369"/>
      <c r="C843" s="1370"/>
      <c r="D843" s="1308"/>
      <c r="E843" s="1326"/>
      <c r="F843" s="1326"/>
      <c r="G843" s="1326"/>
      <c r="H843" s="1326"/>
      <c r="I843" s="1373"/>
    </row>
    <row r="844" spans="1:9">
      <c r="A844" s="1369"/>
      <c r="B844" s="1369"/>
      <c r="C844" s="1370"/>
      <c r="D844" s="1308"/>
      <c r="E844" s="1326"/>
      <c r="F844" s="1326"/>
      <c r="G844" s="1326"/>
      <c r="H844" s="1326"/>
      <c r="I844" s="1373"/>
    </row>
    <row r="845" spans="1:9">
      <c r="A845" s="1369"/>
      <c r="B845" s="1369"/>
      <c r="C845" s="1370"/>
      <c r="D845" s="1308"/>
      <c r="E845" s="1326"/>
      <c r="F845" s="1326"/>
      <c r="G845" s="1326"/>
      <c r="H845" s="1326"/>
      <c r="I845" s="1373"/>
    </row>
    <row r="846" spans="1:9">
      <c r="A846" s="1369"/>
      <c r="B846" s="1369"/>
      <c r="C846" s="1370"/>
      <c r="D846" s="1308"/>
      <c r="E846" s="1326"/>
      <c r="F846" s="1326"/>
      <c r="G846" s="1326"/>
      <c r="H846" s="1326"/>
      <c r="I846" s="1373"/>
    </row>
    <row r="847" spans="1:9">
      <c r="A847" s="1369"/>
      <c r="B847" s="1369"/>
      <c r="C847" s="1370"/>
      <c r="D847" s="1308"/>
      <c r="E847" s="1326"/>
      <c r="F847" s="1326"/>
      <c r="G847" s="1326"/>
      <c r="H847" s="1326"/>
      <c r="I847" s="1373"/>
    </row>
    <row r="848" spans="1:9">
      <c r="A848" s="1369"/>
      <c r="B848" s="1369"/>
      <c r="C848" s="1370"/>
      <c r="D848" s="1308"/>
      <c r="E848" s="1326"/>
      <c r="F848" s="1326"/>
      <c r="G848" s="1326"/>
      <c r="H848" s="1326"/>
      <c r="I848" s="1373"/>
    </row>
    <row r="849" spans="1:9">
      <c r="A849" s="1369"/>
      <c r="B849" s="1369"/>
      <c r="C849" s="1370"/>
      <c r="D849" s="1308"/>
      <c r="E849" s="1326"/>
      <c r="F849" s="1326"/>
      <c r="G849" s="1326"/>
      <c r="H849" s="1326"/>
      <c r="I849" s="1373"/>
    </row>
    <row r="850" spans="1:9">
      <c r="A850" s="1369"/>
      <c r="B850" s="1369"/>
      <c r="C850" s="1370"/>
      <c r="D850" s="1308"/>
      <c r="E850" s="1326"/>
      <c r="F850" s="1326"/>
      <c r="G850" s="1326"/>
      <c r="H850" s="1326"/>
      <c r="I850" s="1373"/>
    </row>
    <row r="851" spans="1:9">
      <c r="A851" s="1369"/>
      <c r="B851" s="1369"/>
      <c r="C851" s="1370"/>
      <c r="D851" s="1308"/>
      <c r="E851" s="1326"/>
      <c r="F851" s="1326"/>
      <c r="G851" s="1326"/>
      <c r="H851" s="1326"/>
      <c r="I851" s="1373"/>
    </row>
    <row r="852" spans="1:9">
      <c r="A852" s="1369"/>
      <c r="B852" s="1369"/>
      <c r="C852" s="1370"/>
      <c r="D852" s="1308"/>
      <c r="E852" s="1326"/>
      <c r="F852" s="1326"/>
      <c r="G852" s="1326"/>
      <c r="H852" s="1326"/>
      <c r="I852" s="1373"/>
    </row>
    <row r="853" spans="1:9">
      <c r="A853" s="1369"/>
      <c r="B853" s="1369"/>
      <c r="C853" s="1370"/>
      <c r="D853" s="1308"/>
      <c r="E853" s="1326"/>
      <c r="F853" s="1326"/>
      <c r="G853" s="1326"/>
      <c r="H853" s="1326"/>
      <c r="I853" s="1373"/>
    </row>
    <row r="854" spans="1:9">
      <c r="A854" s="1369"/>
      <c r="B854" s="1369"/>
      <c r="C854" s="1370"/>
      <c r="D854" s="1308"/>
      <c r="E854" s="1326"/>
      <c r="F854" s="1326"/>
      <c r="G854" s="1326"/>
      <c r="H854" s="1326"/>
      <c r="I854" s="1373"/>
    </row>
    <row r="855" spans="1:9">
      <c r="A855" s="1369"/>
      <c r="B855" s="1369"/>
      <c r="C855" s="1370"/>
      <c r="D855" s="1308"/>
      <c r="E855" s="1326"/>
      <c r="F855" s="1326"/>
      <c r="G855" s="1326"/>
      <c r="H855" s="1326"/>
      <c r="I855" s="1373"/>
    </row>
    <row r="856" spans="1:9">
      <c r="A856" s="1369"/>
      <c r="B856" s="1369"/>
      <c r="C856" s="1370"/>
      <c r="D856" s="1308"/>
      <c r="E856" s="1326"/>
      <c r="F856" s="1326"/>
      <c r="G856" s="1326"/>
      <c r="H856" s="1326"/>
      <c r="I856" s="1373"/>
    </row>
    <row r="857" spans="1:9">
      <c r="A857" s="1369"/>
      <c r="B857" s="1369"/>
      <c r="C857" s="1370"/>
      <c r="D857" s="1308"/>
      <c r="E857" s="1326"/>
      <c r="F857" s="1326"/>
      <c r="G857" s="1326"/>
      <c r="H857" s="1326"/>
      <c r="I857" s="1373"/>
    </row>
    <row r="858" spans="1:9">
      <c r="A858" s="1369"/>
      <c r="B858" s="1369"/>
      <c r="C858" s="1370"/>
      <c r="D858" s="1308"/>
      <c r="E858" s="1326"/>
      <c r="F858" s="1326"/>
      <c r="G858" s="1326"/>
      <c r="H858" s="1326"/>
      <c r="I858" s="1373"/>
    </row>
    <row r="859" spans="1:9">
      <c r="A859" s="1369"/>
      <c r="B859" s="1369"/>
      <c r="C859" s="1370"/>
      <c r="D859" s="1308"/>
      <c r="E859" s="1326"/>
      <c r="F859" s="1326"/>
      <c r="G859" s="1326"/>
      <c r="H859" s="1326"/>
      <c r="I859" s="1373"/>
    </row>
    <row r="860" spans="1:9">
      <c r="A860" s="1369"/>
      <c r="B860" s="1369"/>
      <c r="C860" s="1370"/>
      <c r="D860" s="1308"/>
      <c r="E860" s="1326"/>
      <c r="F860" s="1326"/>
      <c r="G860" s="1326"/>
      <c r="H860" s="1326"/>
      <c r="I860" s="1373"/>
    </row>
    <row r="861" spans="1:9">
      <c r="A861" s="1369"/>
      <c r="B861" s="1369"/>
      <c r="C861" s="1370"/>
      <c r="D861" s="1308"/>
      <c r="E861" s="1326"/>
      <c r="F861" s="1326"/>
      <c r="G861" s="1326"/>
      <c r="H861" s="1326"/>
      <c r="I861" s="1373"/>
    </row>
    <row r="862" spans="1:9">
      <c r="A862" s="1369"/>
      <c r="B862" s="1369"/>
      <c r="C862" s="1370"/>
      <c r="D862" s="1308"/>
      <c r="E862" s="1326"/>
      <c r="F862" s="1326"/>
      <c r="G862" s="1326"/>
      <c r="H862" s="1326"/>
      <c r="I862" s="1373"/>
    </row>
    <row r="863" spans="1:9">
      <c r="A863" s="1369"/>
      <c r="B863" s="1369"/>
      <c r="C863" s="1370"/>
      <c r="D863" s="1308"/>
      <c r="E863" s="1326"/>
      <c r="F863" s="1326"/>
      <c r="G863" s="1326"/>
      <c r="H863" s="1326"/>
      <c r="I863" s="1373"/>
    </row>
    <row r="864" spans="1:9">
      <c r="A864" s="1369"/>
      <c r="B864" s="1369"/>
      <c r="C864" s="1370"/>
      <c r="D864" s="1308"/>
      <c r="E864" s="1326"/>
      <c r="F864" s="1326"/>
      <c r="G864" s="1326"/>
      <c r="H864" s="1326"/>
      <c r="I864" s="1373"/>
    </row>
    <row r="865" spans="1:9">
      <c r="A865" s="1369"/>
      <c r="B865" s="1369"/>
      <c r="C865" s="1370"/>
      <c r="D865" s="1308"/>
      <c r="E865" s="1326"/>
      <c r="F865" s="1326"/>
      <c r="G865" s="1326"/>
      <c r="H865" s="1326"/>
      <c r="I865" s="1373"/>
    </row>
    <row r="866" spans="1:9">
      <c r="A866" s="1369"/>
      <c r="B866" s="1369"/>
      <c r="C866" s="1370"/>
      <c r="D866" s="1308"/>
      <c r="E866" s="1326"/>
      <c r="F866" s="1326"/>
      <c r="G866" s="1326"/>
      <c r="H866" s="1326"/>
      <c r="I866" s="1373"/>
    </row>
    <row r="867" spans="1:9">
      <c r="A867" s="1369"/>
      <c r="B867" s="1369"/>
      <c r="C867" s="1370"/>
      <c r="D867" s="1308"/>
      <c r="E867" s="1326"/>
      <c r="F867" s="1326"/>
      <c r="G867" s="1326"/>
      <c r="H867" s="1326"/>
      <c r="I867" s="1373"/>
    </row>
    <row r="868" spans="1:9">
      <c r="A868" s="1369"/>
      <c r="B868" s="1369"/>
      <c r="C868" s="1370"/>
      <c r="D868" s="1308"/>
      <c r="E868" s="1326"/>
      <c r="F868" s="1326"/>
      <c r="G868" s="1326"/>
      <c r="H868" s="1326"/>
      <c r="I868" s="1373"/>
    </row>
    <row r="869" spans="1:9">
      <c r="A869" s="1369"/>
      <c r="B869" s="1369"/>
      <c r="C869" s="1370"/>
      <c r="D869" s="1308"/>
      <c r="E869" s="1326"/>
      <c r="F869" s="1326"/>
      <c r="G869" s="1326"/>
      <c r="H869" s="1326"/>
      <c r="I869" s="1373"/>
    </row>
    <row r="870" spans="1:9">
      <c r="A870" s="1369"/>
      <c r="B870" s="1369"/>
      <c r="C870" s="1370"/>
      <c r="D870" s="1308"/>
      <c r="E870" s="1326"/>
      <c r="F870" s="1326"/>
      <c r="G870" s="1326"/>
      <c r="H870" s="1326"/>
      <c r="I870" s="1373"/>
    </row>
    <row r="871" spans="1:9">
      <c r="A871" s="1369"/>
      <c r="B871" s="1369"/>
      <c r="C871" s="1370"/>
      <c r="D871" s="1308"/>
      <c r="E871" s="1326"/>
      <c r="F871" s="1326"/>
      <c r="G871" s="1326"/>
      <c r="H871" s="1326"/>
      <c r="I871" s="1373"/>
    </row>
    <row r="872" spans="1:9">
      <c r="A872" s="1369"/>
      <c r="B872" s="1369"/>
      <c r="C872" s="1370"/>
      <c r="D872" s="1308"/>
      <c r="E872" s="1326"/>
      <c r="F872" s="1326"/>
      <c r="G872" s="1326"/>
      <c r="H872" s="1326"/>
      <c r="I872" s="1373"/>
    </row>
    <row r="873" spans="1:9">
      <c r="A873" s="1369"/>
      <c r="B873" s="1369"/>
      <c r="C873" s="1370"/>
      <c r="D873" s="1308"/>
      <c r="E873" s="1326"/>
      <c r="F873" s="1326"/>
      <c r="G873" s="1326"/>
      <c r="H873" s="1326"/>
      <c r="I873" s="1373"/>
    </row>
    <row r="874" spans="1:9">
      <c r="A874" s="1369"/>
      <c r="B874" s="1369"/>
      <c r="C874" s="1370"/>
      <c r="D874" s="1308"/>
      <c r="E874" s="1326"/>
      <c r="F874" s="1326"/>
      <c r="G874" s="1326"/>
      <c r="H874" s="1326"/>
      <c r="I874" s="1373"/>
    </row>
    <row r="875" spans="1:9">
      <c r="A875" s="1369"/>
      <c r="B875" s="1369"/>
      <c r="C875" s="1370"/>
      <c r="D875" s="1308"/>
      <c r="E875" s="1326"/>
      <c r="F875" s="1326"/>
      <c r="G875" s="1326"/>
      <c r="H875" s="1326"/>
      <c r="I875" s="1373"/>
    </row>
    <row r="876" spans="1:9">
      <c r="A876" s="1369"/>
      <c r="B876" s="1369"/>
      <c r="C876" s="1370"/>
      <c r="D876" s="1308"/>
      <c r="E876" s="1326"/>
      <c r="F876" s="1326"/>
      <c r="G876" s="1326"/>
      <c r="H876" s="1326"/>
      <c r="I876" s="1373"/>
    </row>
    <row r="877" spans="1:9">
      <c r="A877" s="1369"/>
      <c r="B877" s="1369"/>
      <c r="C877" s="1370"/>
      <c r="D877" s="1308"/>
      <c r="E877" s="1326"/>
      <c r="F877" s="1326"/>
      <c r="G877" s="1326"/>
      <c r="H877" s="1326"/>
      <c r="I877" s="1373"/>
    </row>
    <row r="878" spans="1:9">
      <c r="A878" s="1369"/>
      <c r="B878" s="1369"/>
      <c r="C878" s="1370"/>
      <c r="D878" s="1308"/>
      <c r="E878" s="1326"/>
      <c r="F878" s="1326"/>
      <c r="G878" s="1326"/>
      <c r="H878" s="1326"/>
      <c r="I878" s="1373"/>
    </row>
    <row r="879" spans="1:9">
      <c r="A879" s="1369"/>
      <c r="B879" s="1369"/>
      <c r="C879" s="1370"/>
      <c r="D879" s="1308"/>
      <c r="E879" s="1326"/>
      <c r="F879" s="1326"/>
      <c r="G879" s="1326"/>
      <c r="H879" s="1326"/>
      <c r="I879" s="1373"/>
    </row>
    <row r="880" spans="1:9">
      <c r="A880" s="1369"/>
      <c r="B880" s="1369"/>
      <c r="C880" s="1370"/>
      <c r="D880" s="1308"/>
      <c r="E880" s="1326"/>
      <c r="F880" s="1326"/>
      <c r="G880" s="1326"/>
      <c r="H880" s="1326"/>
      <c r="I880" s="1373"/>
    </row>
    <row r="881" spans="1:9">
      <c r="A881" s="1369"/>
      <c r="B881" s="1369"/>
      <c r="C881" s="1370"/>
      <c r="D881" s="1308"/>
      <c r="E881" s="1326"/>
      <c r="F881" s="1326"/>
      <c r="G881" s="1326"/>
      <c r="H881" s="1326"/>
      <c r="I881" s="1373"/>
    </row>
    <row r="882" spans="1:9">
      <c r="A882" s="1369"/>
      <c r="B882" s="1369"/>
      <c r="C882" s="1370"/>
      <c r="D882" s="1308"/>
      <c r="E882" s="1326"/>
      <c r="F882" s="1326"/>
      <c r="G882" s="1326"/>
      <c r="H882" s="1326"/>
      <c r="I882" s="1373"/>
    </row>
    <row r="883" spans="1:9">
      <c r="A883" s="1369"/>
      <c r="B883" s="1369"/>
      <c r="C883" s="1370"/>
      <c r="D883" s="1308"/>
      <c r="E883" s="1326"/>
      <c r="F883" s="1326"/>
      <c r="G883" s="1326"/>
      <c r="H883" s="1326"/>
      <c r="I883" s="1373"/>
    </row>
    <row r="884" spans="1:9">
      <c r="A884" s="1369"/>
      <c r="B884" s="1369"/>
      <c r="C884" s="1370"/>
      <c r="D884" s="1308"/>
      <c r="E884" s="1326"/>
      <c r="F884" s="1326"/>
      <c r="G884" s="1326"/>
      <c r="H884" s="1326"/>
      <c r="I884" s="1373"/>
    </row>
    <row r="885" spans="1:9">
      <c r="A885" s="1369"/>
      <c r="B885" s="1369"/>
      <c r="C885" s="1370"/>
      <c r="D885" s="1308"/>
      <c r="E885" s="1326"/>
      <c r="F885" s="1326"/>
      <c r="G885" s="1326"/>
      <c r="H885" s="1326"/>
      <c r="I885" s="1373"/>
    </row>
    <row r="886" spans="1:9">
      <c r="A886" s="1369"/>
      <c r="B886" s="1369"/>
      <c r="C886" s="1370"/>
      <c r="D886" s="1308"/>
      <c r="E886" s="1326"/>
      <c r="F886" s="1326"/>
      <c r="G886" s="1326"/>
      <c r="H886" s="1326"/>
      <c r="I886" s="1373"/>
    </row>
    <row r="887" spans="1:9">
      <c r="A887" s="1369"/>
      <c r="B887" s="1369"/>
      <c r="C887" s="1370"/>
      <c r="D887" s="1308"/>
      <c r="E887" s="1326"/>
      <c r="F887" s="1326"/>
      <c r="G887" s="1326"/>
      <c r="H887" s="1326"/>
      <c r="I887" s="1373"/>
    </row>
    <row r="888" spans="1:9">
      <c r="A888" s="1369"/>
      <c r="B888" s="1369"/>
      <c r="C888" s="1370"/>
      <c r="D888" s="1308"/>
      <c r="E888" s="1326"/>
      <c r="F888" s="1326"/>
      <c r="G888" s="1326"/>
      <c r="H888" s="1326"/>
      <c r="I888" s="1373"/>
    </row>
    <row r="889" spans="1:9">
      <c r="A889" s="1369"/>
      <c r="B889" s="1369"/>
      <c r="C889" s="1370"/>
      <c r="D889" s="1308"/>
      <c r="E889" s="1326"/>
      <c r="F889" s="1326"/>
      <c r="G889" s="1326"/>
      <c r="H889" s="1326"/>
      <c r="I889" s="1373"/>
    </row>
    <row r="890" spans="1:9">
      <c r="A890" s="1369"/>
      <c r="B890" s="1369"/>
      <c r="C890" s="1370"/>
      <c r="D890" s="1308"/>
      <c r="E890" s="1326"/>
      <c r="F890" s="1326"/>
      <c r="G890" s="1326"/>
      <c r="H890" s="1326"/>
      <c r="I890" s="1373"/>
    </row>
  </sheetData>
  <mergeCells count="6">
    <mergeCell ref="C471:H471"/>
    <mergeCell ref="C206:H206"/>
    <mergeCell ref="C227:H227"/>
    <mergeCell ref="C231:H231"/>
    <mergeCell ref="C306:H306"/>
    <mergeCell ref="A460:C460"/>
  </mergeCells>
  <pageMargins left="0.25" right="0.28000000000000003" top="0.63" bottom="0.18" header="0.37" footer="0.18"/>
  <pageSetup scale="49" fitToHeight="0" orientation="landscape" r:id="rId1"/>
  <headerFooter alignWithMargins="0"/>
  <rowBreaks count="10" manualBreakCount="10">
    <brk id="55" max="9" man="1"/>
    <brk id="87" max="9" man="1"/>
    <brk id="117" max="9" man="1"/>
    <brk id="169" max="9" man="1"/>
    <brk id="231" max="10" man="1"/>
    <brk id="270" max="9" man="1"/>
    <brk id="308" max="16383" man="1"/>
    <brk id="347" max="9" man="1"/>
    <brk id="378" max="9" man="1"/>
    <brk id="407" max="9"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842"/>
  <sheetViews>
    <sheetView zoomScale="85" zoomScaleNormal="85" workbookViewId="0"/>
  </sheetViews>
  <sheetFormatPr defaultRowHeight="14.25"/>
  <cols>
    <col min="1" max="2" width="10.85546875" style="1342" customWidth="1"/>
    <col min="3" max="3" width="70.5703125" style="1843" customWidth="1"/>
    <col min="4" max="4" width="18.5703125" style="436" customWidth="1"/>
    <col min="5" max="8" width="18.5703125" style="1842" customWidth="1"/>
    <col min="9" max="9" width="18.5703125" style="1843" customWidth="1"/>
    <col min="10" max="10" width="60.7109375" style="436" customWidth="1"/>
    <col min="11" max="16384" width="9.140625" style="436"/>
  </cols>
  <sheetData>
    <row r="1" spans="1:10" ht="18">
      <c r="A1" s="1329" t="s">
        <v>365</v>
      </c>
      <c r="B1" s="1329"/>
      <c r="C1" s="1288"/>
      <c r="D1" s="1330"/>
      <c r="E1" s="1330"/>
      <c r="F1" s="1330"/>
      <c r="G1" s="1330"/>
      <c r="H1" s="1330"/>
      <c r="I1" s="1330"/>
      <c r="J1" s="1330"/>
    </row>
    <row r="2" spans="1:10" ht="15.75">
      <c r="A2" s="1331" t="s">
        <v>662</v>
      </c>
      <c r="B2" s="1331"/>
      <c r="C2" s="1289"/>
      <c r="D2" s="1332"/>
      <c r="E2" s="1332"/>
      <c r="F2" s="1332"/>
      <c r="G2" s="1332"/>
      <c r="H2" s="1332"/>
      <c r="I2" s="1332"/>
      <c r="J2" s="1332"/>
    </row>
    <row r="3" spans="1:10">
      <c r="A3" s="1290" t="s">
        <v>986</v>
      </c>
      <c r="B3" s="1333"/>
      <c r="C3" s="1287"/>
      <c r="D3" s="827"/>
      <c r="E3" s="827"/>
      <c r="F3" s="827"/>
      <c r="G3" s="827"/>
      <c r="H3" s="827"/>
      <c r="I3" s="1287"/>
      <c r="J3" s="1290"/>
    </row>
    <row r="4" spans="1:10" s="437" customFormat="1" ht="15">
      <c r="A4" s="1291"/>
      <c r="B4" s="1291"/>
      <c r="C4" s="1780"/>
      <c r="D4" s="1293"/>
      <c r="E4" s="1774"/>
      <c r="F4" s="1774"/>
      <c r="G4" s="1774"/>
      <c r="H4" s="1334"/>
      <c r="I4" s="1774"/>
      <c r="J4" s="1334"/>
    </row>
    <row r="5" spans="1:10" s="437" customFormat="1" ht="15">
      <c r="A5" s="1291"/>
      <c r="B5" s="1291"/>
      <c r="C5" s="1780"/>
      <c r="D5" s="1293"/>
      <c r="E5" s="1334"/>
      <c r="F5" s="1334"/>
      <c r="G5" s="1334"/>
      <c r="H5" s="1334"/>
      <c r="I5" s="1334"/>
      <c r="J5" s="1334"/>
    </row>
    <row r="6" spans="1:10" s="437" customFormat="1" ht="32.25" thickBot="1">
      <c r="A6" s="2076" t="s">
        <v>8</v>
      </c>
      <c r="B6" s="2076"/>
      <c r="C6" s="2076" t="s">
        <v>24</v>
      </c>
      <c r="D6" s="2077" t="s">
        <v>525</v>
      </c>
      <c r="E6" s="2078" t="s">
        <v>966</v>
      </c>
      <c r="F6" s="2078" t="s">
        <v>967</v>
      </c>
      <c r="G6" s="2078" t="s">
        <v>103</v>
      </c>
      <c r="H6" s="2077" t="s">
        <v>72</v>
      </c>
      <c r="I6" s="2077" t="s">
        <v>73</v>
      </c>
      <c r="J6" s="2078" t="s">
        <v>541</v>
      </c>
    </row>
    <row r="7" spans="1:10" s="437" customFormat="1" ht="15.75">
      <c r="A7" s="1286"/>
      <c r="B7" s="1286"/>
      <c r="C7" s="1286" t="s">
        <v>200</v>
      </c>
      <c r="D7" s="1294" t="s">
        <v>201</v>
      </c>
      <c r="E7" s="1294"/>
      <c r="F7" s="1294"/>
      <c r="G7" s="1294" t="s">
        <v>532</v>
      </c>
      <c r="H7" s="1294" t="s">
        <v>114</v>
      </c>
      <c r="I7" s="1294" t="s">
        <v>115</v>
      </c>
      <c r="J7" s="1294" t="s">
        <v>116</v>
      </c>
    </row>
    <row r="8" spans="1:10">
      <c r="A8" s="1291"/>
      <c r="B8" s="1291"/>
      <c r="C8" s="1780"/>
      <c r="D8" s="832"/>
      <c r="E8" s="1775"/>
      <c r="F8" s="1775"/>
      <c r="G8" s="1775"/>
      <c r="H8" s="1775"/>
      <c r="I8" s="1775"/>
      <c r="J8" s="832"/>
    </row>
    <row r="9" spans="1:10">
      <c r="A9" s="1291"/>
      <c r="B9" s="1291"/>
      <c r="C9" s="1780"/>
      <c r="D9" s="832"/>
      <c r="E9" s="1775"/>
      <c r="F9" s="1775"/>
      <c r="G9" s="1775"/>
      <c r="H9" s="1775"/>
      <c r="I9" s="1775"/>
      <c r="J9" s="832"/>
    </row>
    <row r="10" spans="1:10">
      <c r="A10" s="1298">
        <v>1</v>
      </c>
      <c r="B10" s="1301"/>
      <c r="C10" s="1780" t="s">
        <v>531</v>
      </c>
      <c r="D10" s="1299" t="s">
        <v>533</v>
      </c>
      <c r="E10" s="1335">
        <f>E269</f>
        <v>-4257849913</v>
      </c>
      <c r="F10" s="1335">
        <f>F269</f>
        <v>-2959222301</v>
      </c>
      <c r="G10" s="1335">
        <f>+G269</f>
        <v>-1074944574</v>
      </c>
      <c r="H10" s="1335">
        <f>+H269</f>
        <v>15511710</v>
      </c>
      <c r="I10" s="1335">
        <f>+I269</f>
        <v>-239194748</v>
      </c>
      <c r="J10" s="1300"/>
    </row>
    <row r="11" spans="1:10">
      <c r="A11" s="1301">
        <f t="shared" ref="A11:A19" si="0">A10+1</f>
        <v>2</v>
      </c>
      <c r="B11" s="1301"/>
      <c r="C11" s="1780" t="s">
        <v>601</v>
      </c>
      <c r="D11" s="1299" t="s">
        <v>602</v>
      </c>
      <c r="E11" s="1335">
        <f>E191</f>
        <v>-306993377</v>
      </c>
      <c r="F11" s="1335">
        <f>F191</f>
        <v>-306993377</v>
      </c>
      <c r="G11" s="1335">
        <v>0</v>
      </c>
      <c r="H11" s="1335">
        <f>H191</f>
        <v>0</v>
      </c>
      <c r="I11" s="1335">
        <v>0</v>
      </c>
      <c r="J11" s="1300"/>
    </row>
    <row r="12" spans="1:10">
      <c r="A12" s="1301">
        <f t="shared" si="0"/>
        <v>3</v>
      </c>
      <c r="B12" s="1301"/>
      <c r="C12" s="1780" t="s">
        <v>59</v>
      </c>
      <c r="D12" s="1299" t="s">
        <v>534</v>
      </c>
      <c r="E12" s="1335">
        <f>E426</f>
        <v>-443395343</v>
      </c>
      <c r="F12" s="1335">
        <f>F426</f>
        <v>-433546859</v>
      </c>
      <c r="G12" s="1335">
        <f>+G426</f>
        <v>0</v>
      </c>
      <c r="H12" s="1335">
        <f>+H426</f>
        <v>-8420282</v>
      </c>
      <c r="I12" s="1335">
        <f>+I426</f>
        <v>-1428202</v>
      </c>
      <c r="J12" s="1300"/>
    </row>
    <row r="13" spans="1:10">
      <c r="A13" s="1301">
        <f t="shared" si="0"/>
        <v>4</v>
      </c>
      <c r="B13" s="1301"/>
      <c r="C13" s="1780" t="s">
        <v>58</v>
      </c>
      <c r="D13" s="1299" t="s">
        <v>535</v>
      </c>
      <c r="E13" s="1776">
        <f>E165</f>
        <v>529240023</v>
      </c>
      <c r="F13" s="1776">
        <f>F165</f>
        <v>498715075</v>
      </c>
      <c r="G13" s="1776">
        <f>+G165</f>
        <v>135938</v>
      </c>
      <c r="H13" s="1776">
        <f>+H165</f>
        <v>0</v>
      </c>
      <c r="I13" s="1776">
        <f>+I165</f>
        <v>30389010</v>
      </c>
      <c r="J13" s="1300"/>
    </row>
    <row r="14" spans="1:10">
      <c r="A14" s="1301">
        <f t="shared" si="0"/>
        <v>5</v>
      </c>
      <c r="B14" s="1301"/>
      <c r="C14" s="1780" t="s">
        <v>539</v>
      </c>
      <c r="D14" s="1300" t="s">
        <v>607</v>
      </c>
      <c r="E14" s="1335">
        <f>SUM(E10:E13)</f>
        <v>-4478998610</v>
      </c>
      <c r="F14" s="1335">
        <f>SUM(F10:F13)</f>
        <v>-3201047462</v>
      </c>
      <c r="G14" s="1335">
        <f>SUM(G10:G13)</f>
        <v>-1074808636</v>
      </c>
      <c r="H14" s="1335">
        <f>SUM(H10:H13)</f>
        <v>7091428</v>
      </c>
      <c r="I14" s="1335">
        <f>SUM(I10:I13)</f>
        <v>-210233940</v>
      </c>
      <c r="J14" s="1300"/>
    </row>
    <row r="15" spans="1:10">
      <c r="A15" s="1301">
        <f t="shared" si="0"/>
        <v>6</v>
      </c>
      <c r="B15" s="1301"/>
      <c r="C15" s="1780" t="s">
        <v>1003</v>
      </c>
      <c r="D15" s="1299" t="s">
        <v>335</v>
      </c>
      <c r="E15" s="1775"/>
      <c r="F15" s="1775"/>
      <c r="G15" s="1777">
        <v>1</v>
      </c>
      <c r="H15" s="1777">
        <f>Allocator.net.plant</f>
        <v>0.26011327313078736</v>
      </c>
      <c r="I15" s="1777">
        <f>Allocator.wages.salary</f>
        <v>8.7245911656529326E-2</v>
      </c>
      <c r="J15" s="832"/>
    </row>
    <row r="16" spans="1:10">
      <c r="A16" s="1301">
        <f t="shared" si="0"/>
        <v>7</v>
      </c>
      <c r="B16" s="1301"/>
      <c r="C16" s="1780" t="s">
        <v>540</v>
      </c>
      <c r="D16" s="1299" t="str">
        <f>"Line "&amp;A14&amp;" * Allocator"</f>
        <v>Line 5 * Allocator</v>
      </c>
      <c r="E16" s="1778"/>
      <c r="F16" s="1778"/>
      <c r="G16" s="1335">
        <f>G14</f>
        <v>-1074808636</v>
      </c>
      <c r="H16" s="1335">
        <f>H15*H14</f>
        <v>1844574.5482513132</v>
      </c>
      <c r="I16" s="1335">
        <f>I15*I14</f>
        <v>-18342051.756444085</v>
      </c>
      <c r="J16" s="1336"/>
    </row>
    <row r="17" spans="1:10">
      <c r="A17" s="1301">
        <f t="shared" si="0"/>
        <v>8</v>
      </c>
      <c r="B17" s="1301"/>
      <c r="C17" s="1296" t="s">
        <v>668</v>
      </c>
      <c r="D17" s="1299" t="s">
        <v>1005</v>
      </c>
      <c r="E17" s="1299"/>
      <c r="F17" s="1299"/>
      <c r="G17" s="1335"/>
      <c r="H17" s="1335"/>
      <c r="I17" s="1335"/>
      <c r="J17" s="1779">
        <f>SUM(G16:I16)</f>
        <v>-1091306113.2081928</v>
      </c>
    </row>
    <row r="18" spans="1:10">
      <c r="A18" s="1301">
        <f t="shared" si="0"/>
        <v>9</v>
      </c>
      <c r="B18" s="1291"/>
      <c r="C18" s="1296" t="s">
        <v>667</v>
      </c>
      <c r="D18" s="832"/>
      <c r="E18" s="1775"/>
      <c r="F18" s="1775"/>
      <c r="G18" s="1054">
        <f>'Att 1 - ADIT'!G16</f>
        <v>-1025073100</v>
      </c>
      <c r="H18" s="1054">
        <f>'Att 1 - ADIT'!H16</f>
        <v>1732955.5208252491</v>
      </c>
      <c r="I18" s="1054">
        <f>'Att 1 - ADIT'!I16</f>
        <v>-17909964.895784628</v>
      </c>
      <c r="J18" s="1054">
        <f>'Att 1 - ADIT'!J19</f>
        <v>-1041250109.3749593</v>
      </c>
    </row>
    <row r="19" spans="1:10" ht="15">
      <c r="A19" s="1301">
        <f t="shared" si="0"/>
        <v>10</v>
      </c>
      <c r="B19" s="1296"/>
      <c r="C19" s="1292" t="s">
        <v>1419</v>
      </c>
      <c r="D19" s="832" t="str">
        <f>"Line "&amp;A17&amp;" for Projection and average of Lines "&amp;A17&amp;" &amp; "&amp;A18&amp;" for True-Up"</f>
        <v>Line 8 for Projection and average of Lines 8 &amp; 9 for True-Up</v>
      </c>
      <c r="E19" s="1775"/>
      <c r="F19" s="1775"/>
      <c r="G19" s="1335"/>
      <c r="H19" s="1335"/>
      <c r="I19" s="1335"/>
      <c r="J19" s="1337">
        <f>IF(Toggle=Projection,J17,IF(Toggle=True_up,AVERAGE(J17:J18),"Set Toggle!"))</f>
        <v>-1066278111.2915761</v>
      </c>
    </row>
    <row r="20" spans="1:10">
      <c r="A20" s="1291"/>
      <c r="B20" s="1291"/>
      <c r="D20" s="832"/>
      <c r="E20" s="1775"/>
      <c r="F20" s="1775"/>
      <c r="G20" s="1775"/>
      <c r="H20" s="1775"/>
      <c r="I20" s="1775"/>
      <c r="J20" s="437"/>
    </row>
    <row r="21" spans="1:10" ht="12.75">
      <c r="A21" s="1388"/>
      <c r="B21" s="1388"/>
      <c r="C21" s="1388"/>
      <c r="D21" s="437"/>
      <c r="E21" s="1388"/>
      <c r="F21" s="1388"/>
      <c r="G21" s="1388"/>
      <c r="H21" s="1388"/>
      <c r="I21" s="1388"/>
      <c r="J21" s="437"/>
    </row>
    <row r="22" spans="1:10" ht="15">
      <c r="A22" s="1306" t="s">
        <v>14</v>
      </c>
      <c r="B22" s="1306"/>
      <c r="C22" s="1780"/>
      <c r="D22" s="832"/>
      <c r="E22" s="1775"/>
      <c r="F22" s="1775"/>
      <c r="G22" s="1775"/>
      <c r="H22" s="1775"/>
      <c r="I22" s="1780"/>
      <c r="J22" s="437"/>
    </row>
    <row r="23" spans="1:10" ht="15">
      <c r="A23" s="1306" t="s">
        <v>15</v>
      </c>
      <c r="B23" s="1306"/>
      <c r="C23" s="1780"/>
      <c r="D23" s="832"/>
      <c r="E23" s="1775"/>
      <c r="F23" s="1775"/>
      <c r="G23" s="1775"/>
      <c r="H23" s="1775"/>
      <c r="I23" s="1780"/>
      <c r="J23" s="437"/>
    </row>
    <row r="24" spans="1:10" ht="15">
      <c r="A24" s="1291"/>
      <c r="B24" s="1291"/>
      <c r="C24" s="1338"/>
      <c r="D24" s="1305"/>
      <c r="E24" s="1305"/>
      <c r="F24" s="1305"/>
      <c r="G24" s="1305"/>
      <c r="H24" s="1305"/>
      <c r="I24" s="1780"/>
      <c r="J24" s="437"/>
    </row>
    <row r="25" spans="1:10" ht="15">
      <c r="A25" s="1306" t="s">
        <v>537</v>
      </c>
      <c r="B25" s="1306"/>
      <c r="C25" s="1780"/>
      <c r="D25" s="832"/>
      <c r="E25" s="1775"/>
      <c r="F25" s="1775"/>
      <c r="G25" s="1775"/>
      <c r="H25" s="1781"/>
      <c r="I25" s="1780"/>
      <c r="J25" s="437"/>
    </row>
    <row r="26" spans="1:10" ht="15">
      <c r="A26" s="1286"/>
      <c r="B26" s="1286"/>
      <c r="C26" s="1339" t="s">
        <v>227</v>
      </c>
      <c r="D26" s="1340"/>
      <c r="E26" s="1339" t="s">
        <v>283</v>
      </c>
      <c r="F26" s="1339" t="s">
        <v>215</v>
      </c>
      <c r="G26" s="1339" t="s">
        <v>228</v>
      </c>
      <c r="H26" s="1339" t="s">
        <v>226</v>
      </c>
      <c r="I26" s="1339" t="s">
        <v>107</v>
      </c>
      <c r="J26" s="1339" t="s">
        <v>229</v>
      </c>
    </row>
    <row r="27" spans="1:10" s="437" customFormat="1">
      <c r="A27" s="1291"/>
      <c r="B27" s="1291"/>
      <c r="C27" s="1843"/>
      <c r="D27" s="1303"/>
      <c r="E27" s="1388"/>
      <c r="F27" s="829" t="s">
        <v>257</v>
      </c>
      <c r="G27" s="1388"/>
      <c r="H27" s="829"/>
      <c r="I27" s="829"/>
      <c r="J27" s="1303"/>
    </row>
    <row r="28" spans="1:10" s="437" customFormat="1">
      <c r="A28" s="1843"/>
      <c r="B28" s="1843"/>
      <c r="C28" s="1843"/>
      <c r="D28" s="1303"/>
      <c r="E28" s="829" t="s">
        <v>282</v>
      </c>
      <c r="F28" s="829" t="s">
        <v>258</v>
      </c>
      <c r="G28" s="829" t="s">
        <v>57</v>
      </c>
      <c r="H28" s="829" t="s">
        <v>61</v>
      </c>
      <c r="I28" s="829" t="s">
        <v>63</v>
      </c>
      <c r="J28" s="1303"/>
    </row>
    <row r="29" spans="1:10" s="437" customFormat="1" ht="15">
      <c r="A29" s="1306" t="s">
        <v>24</v>
      </c>
      <c r="B29" s="1306"/>
      <c r="C29" s="1297" t="s">
        <v>538</v>
      </c>
      <c r="D29" s="1297"/>
      <c r="E29" s="829" t="s">
        <v>536</v>
      </c>
      <c r="F29" s="829" t="s">
        <v>62</v>
      </c>
      <c r="G29" s="829" t="s">
        <v>62</v>
      </c>
      <c r="H29" s="829" t="s">
        <v>62</v>
      </c>
      <c r="I29" s="829" t="s">
        <v>62</v>
      </c>
      <c r="J29" s="1341" t="s">
        <v>208</v>
      </c>
    </row>
    <row r="30" spans="1:10">
      <c r="D30" s="1303"/>
      <c r="E30" s="1388"/>
      <c r="F30" s="1388"/>
      <c r="G30" s="1388"/>
      <c r="H30" s="1388"/>
      <c r="I30" s="1388"/>
      <c r="J30" s="1303"/>
    </row>
    <row r="31" spans="1:10" ht="15">
      <c r="A31" s="2489" t="s">
        <v>254</v>
      </c>
      <c r="B31" s="2490"/>
      <c r="C31" s="2490"/>
      <c r="D31" s="2491"/>
      <c r="E31" s="1782"/>
      <c r="F31" s="1782"/>
      <c r="G31" s="1782"/>
      <c r="H31" s="1782"/>
      <c r="I31" s="1782"/>
      <c r="J31" s="2492"/>
    </row>
    <row r="32" spans="1:10" ht="12.75">
      <c r="A32" s="1783" t="s">
        <v>347</v>
      </c>
      <c r="B32" s="2493"/>
      <c r="C32" s="2494"/>
      <c r="D32" s="2495"/>
      <c r="E32" s="1785"/>
      <c r="F32" s="1785"/>
      <c r="G32" s="1785"/>
      <c r="H32" s="1785"/>
      <c r="I32" s="1785"/>
      <c r="J32" s="2496"/>
    </row>
    <row r="33" spans="1:10" ht="25.5">
      <c r="A33" s="2502">
        <v>287220</v>
      </c>
      <c r="B33" s="2304">
        <v>720.56</v>
      </c>
      <c r="C33" s="2349" t="s">
        <v>1735</v>
      </c>
      <c r="D33" s="2301"/>
      <c r="E33" s="2503">
        <v>43688849</v>
      </c>
      <c r="F33" s="2503">
        <v>43688849</v>
      </c>
      <c r="G33" s="2503">
        <v>0</v>
      </c>
      <c r="H33" s="2503">
        <v>0</v>
      </c>
      <c r="I33" s="2503">
        <v>0</v>
      </c>
      <c r="J33" s="1789" t="s">
        <v>1736</v>
      </c>
    </row>
    <row r="34" spans="1:10" ht="25.5">
      <c r="A34" s="2502">
        <v>287300</v>
      </c>
      <c r="B34" s="2304">
        <v>920.18200000000002</v>
      </c>
      <c r="C34" s="2349" t="s">
        <v>1737</v>
      </c>
      <c r="D34" s="2301"/>
      <c r="E34" s="2503">
        <v>4161744</v>
      </c>
      <c r="F34" s="2503">
        <v>0</v>
      </c>
      <c r="G34" s="2503">
        <v>0</v>
      </c>
      <c r="H34" s="2503">
        <v>0</v>
      </c>
      <c r="I34" s="2503">
        <v>4161744</v>
      </c>
      <c r="J34" s="1789" t="s">
        <v>1738</v>
      </c>
    </row>
    <row r="35" spans="1:10" ht="39" customHeight="1">
      <c r="A35" s="2502">
        <v>287323</v>
      </c>
      <c r="B35" s="2304">
        <v>505.4</v>
      </c>
      <c r="C35" s="2349" t="s">
        <v>1957</v>
      </c>
      <c r="D35" s="2301"/>
      <c r="E35" s="2503">
        <v>79823</v>
      </c>
      <c r="F35" s="2503">
        <v>0</v>
      </c>
      <c r="G35" s="2503">
        <v>0</v>
      </c>
      <c r="H35" s="2503">
        <v>0</v>
      </c>
      <c r="I35" s="2503">
        <v>79823</v>
      </c>
      <c r="J35" s="2497" t="s">
        <v>1956</v>
      </c>
    </row>
    <row r="36" spans="1:10" ht="20.25" customHeight="1">
      <c r="A36" s="2502">
        <v>287324</v>
      </c>
      <c r="B36" s="2304">
        <v>720.2</v>
      </c>
      <c r="C36" s="2349" t="s">
        <v>1423</v>
      </c>
      <c r="D36" s="2301"/>
      <c r="E36" s="2503">
        <v>3152262</v>
      </c>
      <c r="F36" s="2503">
        <v>0</v>
      </c>
      <c r="G36" s="2503">
        <v>0</v>
      </c>
      <c r="H36" s="2503">
        <v>0</v>
      </c>
      <c r="I36" s="2503">
        <v>3152262</v>
      </c>
      <c r="J36" s="1789" t="s">
        <v>1154</v>
      </c>
    </row>
    <row r="37" spans="1:10" ht="39" customHeight="1">
      <c r="A37" s="2502">
        <v>287326</v>
      </c>
      <c r="B37" s="2304">
        <v>720.5</v>
      </c>
      <c r="C37" s="2349" t="s">
        <v>1955</v>
      </c>
      <c r="D37" s="2301"/>
      <c r="E37" s="2503">
        <v>320811</v>
      </c>
      <c r="F37" s="2503">
        <v>0</v>
      </c>
      <c r="G37" s="2503">
        <v>0</v>
      </c>
      <c r="H37" s="2503">
        <v>0</v>
      </c>
      <c r="I37" s="2503">
        <v>320811</v>
      </c>
      <c r="J37" s="2497" t="s">
        <v>1954</v>
      </c>
    </row>
    <row r="38" spans="1:10" ht="37.5" customHeight="1">
      <c r="A38" s="2502">
        <v>287327</v>
      </c>
      <c r="B38" s="2304">
        <v>720.3</v>
      </c>
      <c r="C38" s="2349" t="s">
        <v>1424</v>
      </c>
      <c r="D38" s="2301"/>
      <c r="E38" s="2503">
        <v>729595</v>
      </c>
      <c r="F38" s="2503">
        <v>729595</v>
      </c>
      <c r="G38" s="2503">
        <v>0</v>
      </c>
      <c r="H38" s="2503">
        <v>0</v>
      </c>
      <c r="I38" s="2503">
        <v>0</v>
      </c>
      <c r="J38" s="1789" t="s">
        <v>1156</v>
      </c>
    </row>
    <row r="39" spans="1:10" ht="27" customHeight="1">
      <c r="A39" s="2502">
        <v>287332</v>
      </c>
      <c r="B39" s="2304">
        <v>505.6</v>
      </c>
      <c r="C39" s="2349" t="s">
        <v>1953</v>
      </c>
      <c r="D39" s="2301"/>
      <c r="E39" s="2503">
        <v>9872581</v>
      </c>
      <c r="F39" s="2503">
        <v>0</v>
      </c>
      <c r="G39" s="2503">
        <v>0</v>
      </c>
      <c r="H39" s="2503">
        <v>0</v>
      </c>
      <c r="I39" s="2503">
        <v>9872581</v>
      </c>
      <c r="J39" s="2497" t="s">
        <v>1952</v>
      </c>
    </row>
    <row r="40" spans="1:10" ht="38.25" customHeight="1">
      <c r="A40" s="2502">
        <v>287373</v>
      </c>
      <c r="B40" s="2304">
        <v>910.58</v>
      </c>
      <c r="C40" s="2349" t="s">
        <v>1425</v>
      </c>
      <c r="D40" s="2301"/>
      <c r="E40" s="2503">
        <v>1155530</v>
      </c>
      <c r="F40" s="2503">
        <v>0</v>
      </c>
      <c r="G40" s="2503">
        <v>0</v>
      </c>
      <c r="H40" s="2503">
        <v>0</v>
      </c>
      <c r="I40" s="2503">
        <v>1155530</v>
      </c>
      <c r="J40" s="1789" t="s">
        <v>2146</v>
      </c>
    </row>
    <row r="41" spans="1:10" ht="24.75" customHeight="1">
      <c r="A41" s="2502">
        <v>287399</v>
      </c>
      <c r="B41" s="2304">
        <v>920.15</v>
      </c>
      <c r="C41" s="2349" t="s">
        <v>1426</v>
      </c>
      <c r="D41" s="2301"/>
      <c r="E41" s="2503">
        <v>11646259</v>
      </c>
      <c r="F41" s="2503">
        <v>0</v>
      </c>
      <c r="G41" s="2503">
        <v>0</v>
      </c>
      <c r="H41" s="2503">
        <v>0</v>
      </c>
      <c r="I41" s="2503">
        <v>11646259</v>
      </c>
      <c r="J41" s="1789" t="s">
        <v>1212</v>
      </c>
    </row>
    <row r="42" spans="1:10" ht="26.25" customHeight="1">
      <c r="A42" s="2502">
        <v>287413</v>
      </c>
      <c r="B42" s="2304">
        <v>720.55</v>
      </c>
      <c r="C42" s="2349" t="s">
        <v>556</v>
      </c>
      <c r="D42" s="2301"/>
      <c r="E42" s="2503">
        <v>0</v>
      </c>
      <c r="F42" s="2503">
        <v>0</v>
      </c>
      <c r="G42" s="2503">
        <v>0</v>
      </c>
      <c r="H42" s="2503">
        <v>0</v>
      </c>
      <c r="I42" s="2503">
        <v>0</v>
      </c>
      <c r="J42" s="1789" t="s">
        <v>1158</v>
      </c>
    </row>
    <row r="43" spans="1:10" ht="38.25" customHeight="1">
      <c r="A43" s="2502">
        <v>287447</v>
      </c>
      <c r="B43" s="2304">
        <v>720.83</v>
      </c>
      <c r="C43" s="2349" t="s">
        <v>1427</v>
      </c>
      <c r="D43" s="2301"/>
      <c r="E43" s="2503">
        <v>4130208</v>
      </c>
      <c r="F43" s="2503">
        <v>0</v>
      </c>
      <c r="G43" s="2503">
        <v>0</v>
      </c>
      <c r="H43" s="2503">
        <v>0</v>
      </c>
      <c r="I43" s="2503">
        <v>4130208</v>
      </c>
      <c r="J43" s="1789" t="s">
        <v>1217</v>
      </c>
    </row>
    <row r="44" spans="1:10" ht="12.75">
      <c r="A44" s="2502">
        <v>287460</v>
      </c>
      <c r="B44" s="2304">
        <v>720.8</v>
      </c>
      <c r="C44" s="2305" t="s">
        <v>557</v>
      </c>
      <c r="D44" s="2301"/>
      <c r="E44" s="2503">
        <v>82683919</v>
      </c>
      <c r="F44" s="2503">
        <v>82683919</v>
      </c>
      <c r="G44" s="2503">
        <v>0</v>
      </c>
      <c r="H44" s="2503">
        <v>0</v>
      </c>
      <c r="I44" s="2503">
        <v>0</v>
      </c>
      <c r="J44" s="1789" t="s">
        <v>1159</v>
      </c>
    </row>
    <row r="45" spans="1:10" ht="25.5">
      <c r="A45" s="2502">
        <v>287461</v>
      </c>
      <c r="B45" s="2304">
        <v>720.81</v>
      </c>
      <c r="C45" s="2349" t="s">
        <v>558</v>
      </c>
      <c r="D45" s="2301"/>
      <c r="E45" s="2503">
        <v>22481492</v>
      </c>
      <c r="F45" s="2503">
        <v>22481492</v>
      </c>
      <c r="G45" s="2503">
        <v>0</v>
      </c>
      <c r="H45" s="2503">
        <v>0</v>
      </c>
      <c r="I45" s="2503">
        <v>0</v>
      </c>
      <c r="J45" s="1789" t="s">
        <v>1160</v>
      </c>
    </row>
    <row r="46" spans="1:10" ht="24.75" customHeight="1">
      <c r="A46" s="2502">
        <v>287462</v>
      </c>
      <c r="B46" s="2304">
        <v>720.82</v>
      </c>
      <c r="C46" s="2349" t="s">
        <v>559</v>
      </c>
      <c r="D46" s="2301"/>
      <c r="E46" s="2503">
        <v>22384147</v>
      </c>
      <c r="F46" s="2503">
        <v>22384147</v>
      </c>
      <c r="G46" s="2503">
        <v>0</v>
      </c>
      <c r="H46" s="2503">
        <v>0</v>
      </c>
      <c r="I46" s="2503">
        <v>0</v>
      </c>
      <c r="J46" s="1789" t="s">
        <v>1161</v>
      </c>
    </row>
    <row r="47" spans="1:10" ht="12.75">
      <c r="A47" s="2502"/>
      <c r="B47" s="2304"/>
      <c r="C47" s="2308"/>
      <c r="D47" s="2301"/>
      <c r="E47" s="2504">
        <v>0</v>
      </c>
      <c r="F47" s="2504">
        <v>0</v>
      </c>
      <c r="G47" s="2504">
        <v>0</v>
      </c>
      <c r="H47" s="2174">
        <v>0</v>
      </c>
      <c r="I47" s="2504">
        <v>0</v>
      </c>
      <c r="J47" s="1789"/>
    </row>
    <row r="48" spans="1:10" ht="12.75">
      <c r="A48" s="2505" t="s">
        <v>437</v>
      </c>
      <c r="B48" s="2358"/>
      <c r="C48" s="2308"/>
      <c r="D48" s="2301"/>
      <c r="E48" s="2175">
        <v>0</v>
      </c>
      <c r="F48" s="2175">
        <v>0</v>
      </c>
      <c r="G48" s="2175">
        <v>0</v>
      </c>
      <c r="H48" s="2175">
        <v>0</v>
      </c>
      <c r="I48" s="2175">
        <v>0</v>
      </c>
      <c r="J48" s="1789"/>
    </row>
    <row r="49" spans="1:10" ht="38.25" customHeight="1">
      <c r="A49" s="2502">
        <v>287336</v>
      </c>
      <c r="B49" s="2304">
        <v>730.12</v>
      </c>
      <c r="C49" s="2308" t="s">
        <v>1429</v>
      </c>
      <c r="D49" s="2301"/>
      <c r="E49" s="2175">
        <v>29074300</v>
      </c>
      <c r="F49" s="2503">
        <v>29074300</v>
      </c>
      <c r="G49" s="2503">
        <v>0</v>
      </c>
      <c r="H49" s="2503">
        <v>0</v>
      </c>
      <c r="I49" s="2503">
        <v>0</v>
      </c>
      <c r="J49" s="1789" t="s">
        <v>1162</v>
      </c>
    </row>
    <row r="50" spans="1:10" ht="25.5">
      <c r="A50" s="2502">
        <v>287249</v>
      </c>
      <c r="B50" s="2304">
        <v>415.839</v>
      </c>
      <c r="C50" s="2308" t="s">
        <v>1430</v>
      </c>
      <c r="D50" s="2301"/>
      <c r="E50" s="2175">
        <v>37838683</v>
      </c>
      <c r="F50" s="2503">
        <v>37838683</v>
      </c>
      <c r="G50" s="2503">
        <v>0</v>
      </c>
      <c r="H50" s="2503">
        <v>0</v>
      </c>
      <c r="I50" s="2503">
        <v>0</v>
      </c>
      <c r="J50" s="1789" t="s">
        <v>1190</v>
      </c>
    </row>
    <row r="51" spans="1:10" ht="12.75">
      <c r="A51" s="2505" t="s">
        <v>561</v>
      </c>
      <c r="B51" s="2358"/>
      <c r="C51" s="2308"/>
      <c r="D51" s="2301"/>
      <c r="E51" s="2175">
        <v>0</v>
      </c>
      <c r="F51" s="2175">
        <v>0</v>
      </c>
      <c r="G51" s="2175">
        <v>0</v>
      </c>
      <c r="H51" s="2175">
        <v>0</v>
      </c>
      <c r="I51" s="2175">
        <v>0</v>
      </c>
      <c r="J51" s="1789"/>
    </row>
    <row r="52" spans="1:10" ht="53.25" customHeight="1">
      <c r="A52" s="2502">
        <v>287206</v>
      </c>
      <c r="B52" s="2304" t="s">
        <v>2105</v>
      </c>
      <c r="C52" s="2308" t="s">
        <v>2106</v>
      </c>
      <c r="D52" s="2301"/>
      <c r="E52" s="2175">
        <v>1063340</v>
      </c>
      <c r="F52" s="2503">
        <v>1063340</v>
      </c>
      <c r="G52" s="2503">
        <v>0</v>
      </c>
      <c r="H52" s="2503">
        <v>0</v>
      </c>
      <c r="I52" s="2503">
        <v>0</v>
      </c>
      <c r="J52" s="1789" t="s">
        <v>2107</v>
      </c>
    </row>
    <row r="53" spans="1:10" ht="51" customHeight="1">
      <c r="A53" s="2502">
        <v>287209</v>
      </c>
      <c r="B53" s="2304">
        <v>705.26599999999996</v>
      </c>
      <c r="C53" s="2308" t="s">
        <v>2108</v>
      </c>
      <c r="D53" s="2301"/>
      <c r="E53" s="2175">
        <v>274972</v>
      </c>
      <c r="F53" s="2503">
        <v>274972</v>
      </c>
      <c r="G53" s="2503">
        <v>0</v>
      </c>
      <c r="H53" s="2503">
        <v>0</v>
      </c>
      <c r="I53" s="2503">
        <v>0</v>
      </c>
      <c r="J53" s="1789" t="s">
        <v>2109</v>
      </c>
    </row>
    <row r="54" spans="1:10" ht="52.5" customHeight="1">
      <c r="A54" s="2502">
        <v>287212</v>
      </c>
      <c r="B54" s="2304">
        <v>705.245</v>
      </c>
      <c r="C54" s="2308" t="s">
        <v>2110</v>
      </c>
      <c r="D54" s="2301"/>
      <c r="E54" s="2175">
        <v>199163</v>
      </c>
      <c r="F54" s="2503">
        <v>199163</v>
      </c>
      <c r="G54" s="2503">
        <v>0</v>
      </c>
      <c r="H54" s="2503">
        <v>0</v>
      </c>
      <c r="I54" s="2503">
        <v>0</v>
      </c>
      <c r="J54" s="1789" t="s">
        <v>2111</v>
      </c>
    </row>
    <row r="55" spans="1:10" ht="54" customHeight="1">
      <c r="A55" s="2502">
        <v>287213</v>
      </c>
      <c r="B55" s="2304">
        <v>425.38099999999997</v>
      </c>
      <c r="C55" s="2349" t="s">
        <v>1951</v>
      </c>
      <c r="D55" s="2301"/>
      <c r="E55" s="2175">
        <v>1377710</v>
      </c>
      <c r="F55" s="2503">
        <v>1377710</v>
      </c>
      <c r="G55" s="2175">
        <v>0</v>
      </c>
      <c r="H55" s="2175">
        <v>0</v>
      </c>
      <c r="I55" s="2175">
        <v>0</v>
      </c>
      <c r="J55" s="2498" t="s">
        <v>1801</v>
      </c>
    </row>
    <row r="56" spans="1:10" ht="77.25" customHeight="1">
      <c r="A56" s="2502">
        <v>287225</v>
      </c>
      <c r="B56" s="2304">
        <v>605.10299999999995</v>
      </c>
      <c r="C56" s="2349" t="s">
        <v>1455</v>
      </c>
      <c r="D56" s="2301"/>
      <c r="E56" s="2175">
        <v>-98676</v>
      </c>
      <c r="F56" s="2503">
        <v>-98676</v>
      </c>
      <c r="G56" s="2175">
        <v>0</v>
      </c>
      <c r="H56" s="2175">
        <v>0</v>
      </c>
      <c r="I56" s="2175">
        <v>0</v>
      </c>
      <c r="J56" s="2498" t="s">
        <v>1456</v>
      </c>
    </row>
    <row r="57" spans="1:10" ht="12.75">
      <c r="A57" s="2502">
        <v>287227</v>
      </c>
      <c r="B57" s="2304">
        <v>705.53099999999995</v>
      </c>
      <c r="C57" s="2349" t="s">
        <v>1950</v>
      </c>
      <c r="D57" s="2301"/>
      <c r="E57" s="2175">
        <v>6015245</v>
      </c>
      <c r="F57" s="2503">
        <v>6015245</v>
      </c>
      <c r="G57" s="2175">
        <v>0</v>
      </c>
      <c r="H57" s="2175">
        <v>0</v>
      </c>
      <c r="I57" s="2175">
        <v>0</v>
      </c>
      <c r="J57" s="2498" t="s">
        <v>1958</v>
      </c>
    </row>
    <row r="58" spans="1:10" ht="12.75">
      <c r="A58" s="2502">
        <v>287229</v>
      </c>
      <c r="B58" s="2304">
        <v>705.52700000000004</v>
      </c>
      <c r="C58" s="2349" t="s">
        <v>1949</v>
      </c>
      <c r="D58" s="2301"/>
      <c r="E58" s="2175">
        <v>461911</v>
      </c>
      <c r="F58" s="2503">
        <v>461911</v>
      </c>
      <c r="G58" s="2175">
        <v>0</v>
      </c>
      <c r="H58" s="2175">
        <v>0</v>
      </c>
      <c r="I58" s="2175">
        <v>0</v>
      </c>
      <c r="J58" s="2498" t="s">
        <v>1959</v>
      </c>
    </row>
    <row r="59" spans="1:10" ht="51" customHeight="1">
      <c r="A59" s="2502">
        <v>287230</v>
      </c>
      <c r="B59" s="2304">
        <v>705.52099999999996</v>
      </c>
      <c r="C59" s="2349" t="s">
        <v>2112</v>
      </c>
      <c r="D59" s="2301"/>
      <c r="E59" s="2175">
        <v>1209170</v>
      </c>
      <c r="F59" s="2503">
        <v>1209170</v>
      </c>
      <c r="G59" s="2175">
        <v>0</v>
      </c>
      <c r="H59" s="2175">
        <v>0</v>
      </c>
      <c r="I59" s="2175">
        <v>0</v>
      </c>
      <c r="J59" s="2498" t="s">
        <v>2113</v>
      </c>
    </row>
    <row r="60" spans="1:10" ht="12.75">
      <c r="A60" s="2502">
        <v>287231</v>
      </c>
      <c r="B60" s="2304">
        <v>705.51900000000001</v>
      </c>
      <c r="C60" s="2349" t="s">
        <v>1948</v>
      </c>
      <c r="D60" s="2301"/>
      <c r="E60" s="2175">
        <v>3363876</v>
      </c>
      <c r="F60" s="2503">
        <v>3363876</v>
      </c>
      <c r="G60" s="2175">
        <v>0</v>
      </c>
      <c r="H60" s="2175">
        <v>0</v>
      </c>
      <c r="I60" s="2175">
        <v>0</v>
      </c>
      <c r="J60" s="2498" t="s">
        <v>1947</v>
      </c>
    </row>
    <row r="61" spans="1:10" ht="54" customHeight="1">
      <c r="A61" s="2502">
        <v>287232</v>
      </c>
      <c r="B61" s="2304">
        <v>705.51700000000005</v>
      </c>
      <c r="C61" s="2349" t="s">
        <v>2114</v>
      </c>
      <c r="D61" s="2301"/>
      <c r="E61" s="2175">
        <v>1836865</v>
      </c>
      <c r="F61" s="2503">
        <v>1836865</v>
      </c>
      <c r="G61" s="2175">
        <v>0</v>
      </c>
      <c r="H61" s="2175">
        <v>0</v>
      </c>
      <c r="I61" s="2175">
        <v>0</v>
      </c>
      <c r="J61" s="2498" t="s">
        <v>2115</v>
      </c>
    </row>
    <row r="62" spans="1:10" ht="26.25" customHeight="1">
      <c r="A62" s="2502">
        <v>287233</v>
      </c>
      <c r="B62" s="2304">
        <v>705.51499999999999</v>
      </c>
      <c r="C62" s="2349" t="s">
        <v>1740</v>
      </c>
      <c r="D62" s="2301"/>
      <c r="E62" s="2175">
        <v>7608767</v>
      </c>
      <c r="F62" s="2503">
        <v>7608767</v>
      </c>
      <c r="G62" s="2175">
        <v>0</v>
      </c>
      <c r="H62" s="2175">
        <v>0</v>
      </c>
      <c r="I62" s="2175">
        <v>0</v>
      </c>
      <c r="J62" s="2498" t="s">
        <v>1741</v>
      </c>
    </row>
    <row r="63" spans="1:10" ht="55.5" customHeight="1">
      <c r="A63" s="2502">
        <v>287237</v>
      </c>
      <c r="B63" s="2304">
        <v>705.755</v>
      </c>
      <c r="C63" s="2349" t="s">
        <v>1457</v>
      </c>
      <c r="D63" s="2301"/>
      <c r="E63" s="2175">
        <v>0</v>
      </c>
      <c r="F63" s="2503">
        <v>0</v>
      </c>
      <c r="G63" s="2175">
        <v>0</v>
      </c>
      <c r="H63" s="2175">
        <v>0</v>
      </c>
      <c r="I63" s="2175">
        <v>0</v>
      </c>
      <c r="J63" s="2498" t="s">
        <v>1803</v>
      </c>
    </row>
    <row r="64" spans="1:10" ht="26.25" customHeight="1">
      <c r="A64" s="2502">
        <v>287238</v>
      </c>
      <c r="B64" s="2304">
        <v>705.42</v>
      </c>
      <c r="C64" s="2349" t="s">
        <v>1946</v>
      </c>
      <c r="D64" s="2301"/>
      <c r="E64" s="2175">
        <v>156295</v>
      </c>
      <c r="F64" s="2503">
        <v>156295</v>
      </c>
      <c r="G64" s="2175">
        <v>0</v>
      </c>
      <c r="H64" s="2175">
        <v>0</v>
      </c>
      <c r="I64" s="2175">
        <v>0</v>
      </c>
      <c r="J64" s="2498" t="s">
        <v>1964</v>
      </c>
    </row>
    <row r="65" spans="1:10" ht="26.25" customHeight="1">
      <c r="A65" s="2502">
        <v>287239</v>
      </c>
      <c r="B65" s="2304">
        <v>705.6</v>
      </c>
      <c r="C65" s="2349" t="s">
        <v>1454</v>
      </c>
      <c r="D65" s="2301"/>
      <c r="E65" s="2175">
        <v>0</v>
      </c>
      <c r="F65" s="2503">
        <v>0</v>
      </c>
      <c r="G65" s="2175">
        <v>0</v>
      </c>
      <c r="H65" s="2175">
        <v>0</v>
      </c>
      <c r="I65" s="2175">
        <v>0</v>
      </c>
      <c r="J65" s="1789" t="s">
        <v>1163</v>
      </c>
    </row>
    <row r="66" spans="1:10" ht="25.5">
      <c r="A66" s="2502">
        <v>287253</v>
      </c>
      <c r="B66" s="2304">
        <v>705.4</v>
      </c>
      <c r="C66" s="2349" t="s">
        <v>1742</v>
      </c>
      <c r="D66" s="2301"/>
      <c r="E66" s="2175">
        <v>3332911</v>
      </c>
      <c r="F66" s="2503">
        <v>3332911</v>
      </c>
      <c r="G66" s="2175">
        <v>0</v>
      </c>
      <c r="H66" s="2175">
        <v>0</v>
      </c>
      <c r="I66" s="2175">
        <v>0</v>
      </c>
      <c r="J66" s="1789" t="s">
        <v>1164</v>
      </c>
    </row>
    <row r="67" spans="1:10" ht="25.5" customHeight="1">
      <c r="A67" s="2502">
        <v>287255</v>
      </c>
      <c r="B67" s="2304">
        <v>705.45100000000002</v>
      </c>
      <c r="C67" s="2308" t="s">
        <v>1458</v>
      </c>
      <c r="D67" s="2301"/>
      <c r="E67" s="2175">
        <v>0</v>
      </c>
      <c r="F67" s="2503">
        <v>0</v>
      </c>
      <c r="G67" s="2175">
        <v>0</v>
      </c>
      <c r="H67" s="2175">
        <v>0</v>
      </c>
      <c r="I67" s="2175">
        <v>0</v>
      </c>
      <c r="J67" s="1789" t="s">
        <v>1165</v>
      </c>
    </row>
    <row r="68" spans="1:10" ht="27" customHeight="1">
      <c r="A68" s="2502">
        <v>287257</v>
      </c>
      <c r="B68" s="2304">
        <v>705.45299999999997</v>
      </c>
      <c r="C68" s="2308" t="s">
        <v>1459</v>
      </c>
      <c r="D68" s="2301"/>
      <c r="E68" s="2175">
        <v>210859</v>
      </c>
      <c r="F68" s="2503">
        <v>210859</v>
      </c>
      <c r="G68" s="2175">
        <v>0</v>
      </c>
      <c r="H68" s="2175">
        <v>0</v>
      </c>
      <c r="I68" s="2175">
        <v>0</v>
      </c>
      <c r="J68" s="1789" t="s">
        <v>1166</v>
      </c>
    </row>
    <row r="69" spans="1:10" ht="25.5" customHeight="1">
      <c r="A69" s="2502">
        <v>287258</v>
      </c>
      <c r="B69" s="2304">
        <v>705.45399999999995</v>
      </c>
      <c r="C69" s="2308" t="s">
        <v>1460</v>
      </c>
      <c r="D69" s="2301"/>
      <c r="E69" s="2175">
        <v>1177557</v>
      </c>
      <c r="F69" s="2503">
        <v>1177557</v>
      </c>
      <c r="G69" s="2175">
        <v>0</v>
      </c>
      <c r="H69" s="2175">
        <v>0</v>
      </c>
      <c r="I69" s="2175">
        <v>0</v>
      </c>
      <c r="J69" s="1789" t="s">
        <v>1167</v>
      </c>
    </row>
    <row r="70" spans="1:10" ht="27" customHeight="1">
      <c r="A70" s="2502">
        <v>287259</v>
      </c>
      <c r="B70" s="2304">
        <v>705.45500000000004</v>
      </c>
      <c r="C70" s="2308" t="s">
        <v>1630</v>
      </c>
      <c r="D70" s="2301"/>
      <c r="E70" s="2175">
        <v>33666</v>
      </c>
      <c r="F70" s="2503">
        <v>33666</v>
      </c>
      <c r="G70" s="2175">
        <v>0</v>
      </c>
      <c r="H70" s="2175">
        <v>0</v>
      </c>
      <c r="I70" s="2175">
        <v>0</v>
      </c>
      <c r="J70" s="1789" t="s">
        <v>1168</v>
      </c>
    </row>
    <row r="71" spans="1:10" ht="25.5">
      <c r="A71" s="2502">
        <v>287262</v>
      </c>
      <c r="B71" s="2304">
        <v>100.1</v>
      </c>
      <c r="C71" s="2308" t="s">
        <v>1461</v>
      </c>
      <c r="D71" s="2301"/>
      <c r="E71" s="2175">
        <v>2963801</v>
      </c>
      <c r="F71" s="2503">
        <v>2963801</v>
      </c>
      <c r="G71" s="2175">
        <v>0</v>
      </c>
      <c r="H71" s="2175">
        <v>0</v>
      </c>
      <c r="I71" s="2175">
        <v>0</v>
      </c>
      <c r="J71" s="1789" t="s">
        <v>1169</v>
      </c>
    </row>
    <row r="72" spans="1:10" ht="25.5">
      <c r="A72" s="2502">
        <v>287268</v>
      </c>
      <c r="B72" s="2304">
        <v>415.70600000000002</v>
      </c>
      <c r="C72" s="2308" t="s">
        <v>1945</v>
      </c>
      <c r="D72" s="2301"/>
      <c r="E72" s="2175">
        <v>175610</v>
      </c>
      <c r="F72" s="2503">
        <v>175610</v>
      </c>
      <c r="G72" s="2175">
        <v>0</v>
      </c>
      <c r="H72" s="2175">
        <v>0</v>
      </c>
      <c r="I72" s="2175">
        <v>0</v>
      </c>
      <c r="J72" s="1789" t="s">
        <v>1944</v>
      </c>
    </row>
    <row r="73" spans="1:10" ht="40.5" customHeight="1">
      <c r="A73" s="2502">
        <v>287271</v>
      </c>
      <c r="B73" s="2304">
        <v>705.33600000000001</v>
      </c>
      <c r="C73" s="2308" t="s">
        <v>2116</v>
      </c>
      <c r="D73" s="2301"/>
      <c r="E73" s="2175">
        <v>154906</v>
      </c>
      <c r="F73" s="2503">
        <v>154906</v>
      </c>
      <c r="G73" s="2175">
        <v>0</v>
      </c>
      <c r="H73" s="2175">
        <v>0</v>
      </c>
      <c r="I73" s="2175">
        <v>0</v>
      </c>
      <c r="J73" s="1789" t="s">
        <v>2117</v>
      </c>
    </row>
    <row r="74" spans="1:10" ht="51" customHeight="1">
      <c r="A74" s="2502">
        <v>287272</v>
      </c>
      <c r="B74" s="2304">
        <v>705.33699999999999</v>
      </c>
      <c r="C74" s="2308" t="s">
        <v>2118</v>
      </c>
      <c r="D74" s="2301"/>
      <c r="E74" s="2175">
        <v>198605</v>
      </c>
      <c r="F74" s="2503">
        <v>198605</v>
      </c>
      <c r="G74" s="2175">
        <v>0</v>
      </c>
      <c r="H74" s="2175">
        <v>0</v>
      </c>
      <c r="I74" s="2175">
        <v>0</v>
      </c>
      <c r="J74" s="1789" t="s">
        <v>2119</v>
      </c>
    </row>
    <row r="75" spans="1:10" ht="12.75">
      <c r="A75" s="2502">
        <v>287274</v>
      </c>
      <c r="B75" s="2304">
        <v>705.26099999999997</v>
      </c>
      <c r="C75" s="2349" t="s">
        <v>1943</v>
      </c>
      <c r="D75" s="2301"/>
      <c r="E75" s="2175">
        <v>12913</v>
      </c>
      <c r="F75" s="2503">
        <v>12913</v>
      </c>
      <c r="G75" s="2175">
        <v>0</v>
      </c>
      <c r="H75" s="2175">
        <v>0</v>
      </c>
      <c r="I75" s="2175">
        <v>0</v>
      </c>
      <c r="J75" s="2497" t="s">
        <v>1942</v>
      </c>
    </row>
    <row r="76" spans="1:10" ht="25.5">
      <c r="A76" s="2502">
        <v>287284</v>
      </c>
      <c r="B76" s="2304">
        <v>610.14700000000005</v>
      </c>
      <c r="C76" s="2308" t="s">
        <v>1462</v>
      </c>
      <c r="D76" s="2301"/>
      <c r="E76" s="2175">
        <v>104188</v>
      </c>
      <c r="F76" s="2503">
        <v>104188</v>
      </c>
      <c r="G76" s="2175">
        <v>0</v>
      </c>
      <c r="H76" s="2175">
        <v>0</v>
      </c>
      <c r="I76" s="2175">
        <v>0</v>
      </c>
      <c r="J76" s="1789" t="s">
        <v>1170</v>
      </c>
    </row>
    <row r="77" spans="1:10" ht="25.5">
      <c r="A77" s="2502">
        <v>287288</v>
      </c>
      <c r="B77" s="2304">
        <v>415.80399999999997</v>
      </c>
      <c r="C77" s="2308" t="s">
        <v>1463</v>
      </c>
      <c r="D77" s="2301"/>
      <c r="E77" s="2175">
        <v>0</v>
      </c>
      <c r="F77" s="2503">
        <v>0</v>
      </c>
      <c r="G77" s="2175">
        <v>0</v>
      </c>
      <c r="H77" s="2175">
        <v>0</v>
      </c>
      <c r="I77" s="2175">
        <v>0</v>
      </c>
      <c r="J77" s="1789" t="s">
        <v>1171</v>
      </c>
    </row>
    <row r="78" spans="1:10" ht="39" customHeight="1">
      <c r="A78" s="2502">
        <v>287299</v>
      </c>
      <c r="B78" s="2304">
        <v>705.26499999999999</v>
      </c>
      <c r="C78" s="2349" t="s">
        <v>1447</v>
      </c>
      <c r="D78" s="2301"/>
      <c r="E78" s="2175">
        <v>1247406</v>
      </c>
      <c r="F78" s="2503">
        <v>1247406</v>
      </c>
      <c r="G78" s="2175">
        <v>0</v>
      </c>
      <c r="H78" s="2175">
        <v>0</v>
      </c>
      <c r="I78" s="2175">
        <v>0</v>
      </c>
      <c r="J78" s="2497" t="s">
        <v>1941</v>
      </c>
    </row>
    <row r="79" spans="1:10" ht="39" customHeight="1">
      <c r="A79" s="2502">
        <v>287304</v>
      </c>
      <c r="B79" s="2304">
        <v>610.14599999999996</v>
      </c>
      <c r="C79" s="2308" t="s">
        <v>1464</v>
      </c>
      <c r="D79" s="2301"/>
      <c r="E79" s="2175">
        <v>-100363</v>
      </c>
      <c r="F79" s="2503">
        <v>-100363</v>
      </c>
      <c r="G79" s="2175">
        <v>0</v>
      </c>
      <c r="H79" s="2175">
        <v>0</v>
      </c>
      <c r="I79" s="2175">
        <v>0</v>
      </c>
      <c r="J79" s="1789" t="s">
        <v>1173</v>
      </c>
    </row>
    <row r="80" spans="1:10" ht="25.5">
      <c r="A80" s="2502">
        <v>287312</v>
      </c>
      <c r="B80" s="2304">
        <v>105.402</v>
      </c>
      <c r="C80" s="2308" t="s">
        <v>1465</v>
      </c>
      <c r="D80" s="2301"/>
      <c r="E80" s="2175">
        <v>852229</v>
      </c>
      <c r="F80" s="2503">
        <v>852229</v>
      </c>
      <c r="G80" s="2175">
        <v>0</v>
      </c>
      <c r="H80" s="2175">
        <v>0</v>
      </c>
      <c r="I80" s="2175">
        <v>0</v>
      </c>
      <c r="J80" s="1789" t="s">
        <v>1174</v>
      </c>
    </row>
    <row r="81" spans="1:10" ht="63" customHeight="1">
      <c r="A81" s="2502">
        <v>287316</v>
      </c>
      <c r="B81" s="2304">
        <v>715.72</v>
      </c>
      <c r="C81" s="2349" t="s">
        <v>1940</v>
      </c>
      <c r="D81" s="2301"/>
      <c r="E81" s="2175">
        <v>446030</v>
      </c>
      <c r="F81" s="2503">
        <v>446030</v>
      </c>
      <c r="G81" s="2175">
        <v>0</v>
      </c>
      <c r="H81" s="2175">
        <v>0</v>
      </c>
      <c r="I81" s="2175">
        <v>0</v>
      </c>
      <c r="J81" s="2497" t="s">
        <v>1939</v>
      </c>
    </row>
    <row r="82" spans="1:10" ht="51" customHeight="1">
      <c r="A82" s="2502">
        <v>287320</v>
      </c>
      <c r="B82" s="2304">
        <v>910.56</v>
      </c>
      <c r="C82" s="2308" t="s">
        <v>1466</v>
      </c>
      <c r="D82" s="2301"/>
      <c r="E82" s="2175">
        <v>0</v>
      </c>
      <c r="F82" s="2503">
        <v>0</v>
      </c>
      <c r="G82" s="2175">
        <v>0</v>
      </c>
      <c r="H82" s="2175">
        <v>0</v>
      </c>
      <c r="I82" s="2175">
        <v>0</v>
      </c>
      <c r="J82" s="1789" t="s">
        <v>1176</v>
      </c>
    </row>
    <row r="83" spans="1:10" ht="39.75" customHeight="1">
      <c r="A83" s="2502">
        <v>287374</v>
      </c>
      <c r="B83" s="2304">
        <v>100.105</v>
      </c>
      <c r="C83" s="2308" t="s">
        <v>1177</v>
      </c>
      <c r="D83" s="2301"/>
      <c r="E83" s="2175">
        <v>23542</v>
      </c>
      <c r="F83" s="2503">
        <v>23542</v>
      </c>
      <c r="G83" s="2175">
        <v>0</v>
      </c>
      <c r="H83" s="2175">
        <v>0</v>
      </c>
      <c r="I83" s="2175">
        <v>0</v>
      </c>
      <c r="J83" s="1789" t="s">
        <v>1178</v>
      </c>
    </row>
    <row r="84" spans="1:10" ht="25.5">
      <c r="A84" s="2502">
        <v>287389</v>
      </c>
      <c r="B84" s="2304">
        <v>610.14499999999998</v>
      </c>
      <c r="C84" s="2349" t="s">
        <v>2120</v>
      </c>
      <c r="D84" s="2301"/>
      <c r="E84" s="2175">
        <v>1671552</v>
      </c>
      <c r="F84" s="2503">
        <v>1671552</v>
      </c>
      <c r="G84" s="2175">
        <v>0</v>
      </c>
      <c r="H84" s="2175">
        <v>0</v>
      </c>
      <c r="I84" s="2175">
        <v>0</v>
      </c>
      <c r="J84" s="2498" t="s">
        <v>1170</v>
      </c>
    </row>
    <row r="85" spans="1:10" ht="36.75" customHeight="1">
      <c r="A85" s="2502">
        <v>287438</v>
      </c>
      <c r="B85" s="2304">
        <v>415.8</v>
      </c>
      <c r="C85" s="2308" t="s">
        <v>1467</v>
      </c>
      <c r="D85" s="2301"/>
      <c r="E85" s="2175">
        <v>0</v>
      </c>
      <c r="F85" s="2503">
        <v>0</v>
      </c>
      <c r="G85" s="2175">
        <v>0</v>
      </c>
      <c r="H85" s="2175">
        <v>0</v>
      </c>
      <c r="I85" s="2175">
        <v>0</v>
      </c>
      <c r="J85" s="1789" t="s">
        <v>1179</v>
      </c>
    </row>
    <row r="86" spans="1:10" ht="26.25" customHeight="1">
      <c r="A86" s="2502">
        <v>287439</v>
      </c>
      <c r="B86" s="2304">
        <v>415.80500000000001</v>
      </c>
      <c r="C86" s="2308" t="s">
        <v>1468</v>
      </c>
      <c r="D86" s="2301"/>
      <c r="E86" s="2175">
        <v>0</v>
      </c>
      <c r="F86" s="2503">
        <v>0</v>
      </c>
      <c r="G86" s="2175">
        <v>0</v>
      </c>
      <c r="H86" s="2175">
        <v>0</v>
      </c>
      <c r="I86" s="2175">
        <v>0</v>
      </c>
      <c r="J86" s="1789" t="s">
        <v>1180</v>
      </c>
    </row>
    <row r="87" spans="1:10" ht="39" customHeight="1">
      <c r="A87" s="2502">
        <v>287440</v>
      </c>
      <c r="B87" s="2304">
        <v>415.80599999999998</v>
      </c>
      <c r="C87" s="2308" t="s">
        <v>1469</v>
      </c>
      <c r="D87" s="2301"/>
      <c r="E87" s="2175">
        <v>0</v>
      </c>
      <c r="F87" s="2503">
        <v>0</v>
      </c>
      <c r="G87" s="2175">
        <v>0</v>
      </c>
      <c r="H87" s="2175">
        <v>0</v>
      </c>
      <c r="I87" s="2175">
        <v>0</v>
      </c>
      <c r="J87" s="1789" t="s">
        <v>1181</v>
      </c>
    </row>
    <row r="88" spans="1:10" ht="51" customHeight="1">
      <c r="A88" s="2502">
        <v>287441</v>
      </c>
      <c r="B88" s="2304">
        <v>605.1</v>
      </c>
      <c r="C88" s="2308" t="s">
        <v>1470</v>
      </c>
      <c r="D88" s="2301"/>
      <c r="E88" s="2175">
        <v>2061769</v>
      </c>
      <c r="F88" s="2503">
        <v>2061769</v>
      </c>
      <c r="G88" s="2175">
        <v>0</v>
      </c>
      <c r="H88" s="2175">
        <v>0</v>
      </c>
      <c r="I88" s="2175">
        <v>0</v>
      </c>
      <c r="J88" s="1789" t="s">
        <v>1743</v>
      </c>
    </row>
    <row r="89" spans="1:10" ht="39.75" customHeight="1">
      <c r="A89" s="2502">
        <v>287442</v>
      </c>
      <c r="B89" s="2304">
        <v>610.13499999999999</v>
      </c>
      <c r="C89" s="2308" t="s">
        <v>562</v>
      </c>
      <c r="D89" s="2301"/>
      <c r="E89" s="2175">
        <v>0</v>
      </c>
      <c r="F89" s="2503">
        <v>0</v>
      </c>
      <c r="G89" s="2175">
        <v>0</v>
      </c>
      <c r="H89" s="2175">
        <v>0</v>
      </c>
      <c r="I89" s="2175">
        <v>0</v>
      </c>
      <c r="J89" s="1789" t="s">
        <v>1182</v>
      </c>
    </row>
    <row r="90" spans="1:10" ht="38.25">
      <c r="A90" s="2502">
        <v>287445</v>
      </c>
      <c r="B90" s="2304">
        <v>610.14200000000005</v>
      </c>
      <c r="C90" s="2349" t="s">
        <v>1938</v>
      </c>
      <c r="D90" s="2301"/>
      <c r="E90" s="2175">
        <v>600284</v>
      </c>
      <c r="F90" s="2503">
        <v>600284</v>
      </c>
      <c r="G90" s="2175">
        <v>0</v>
      </c>
      <c r="H90" s="2175">
        <v>0</v>
      </c>
      <c r="I90" s="2175">
        <v>0</v>
      </c>
      <c r="J90" s="2497" t="s">
        <v>1937</v>
      </c>
    </row>
    <row r="91" spans="1:10" ht="38.25">
      <c r="A91" s="2502">
        <v>287453</v>
      </c>
      <c r="B91" s="2304">
        <v>610.14300000000003</v>
      </c>
      <c r="C91" s="2349" t="s">
        <v>1446</v>
      </c>
      <c r="D91" s="2301"/>
      <c r="E91" s="2175">
        <v>761145</v>
      </c>
      <c r="F91" s="2503">
        <v>761145</v>
      </c>
      <c r="G91" s="2175">
        <v>0</v>
      </c>
      <c r="H91" s="2175">
        <v>0</v>
      </c>
      <c r="I91" s="2175">
        <v>0</v>
      </c>
      <c r="J91" s="2497" t="s">
        <v>1937</v>
      </c>
    </row>
    <row r="92" spans="1:10" ht="37.5" customHeight="1">
      <c r="A92" s="2502">
        <v>287473</v>
      </c>
      <c r="B92" s="2304">
        <v>705.27</v>
      </c>
      <c r="C92" s="2349" t="s">
        <v>1936</v>
      </c>
      <c r="D92" s="2301"/>
      <c r="E92" s="2175">
        <v>966416</v>
      </c>
      <c r="F92" s="2503">
        <v>966416</v>
      </c>
      <c r="G92" s="2175">
        <v>0</v>
      </c>
      <c r="H92" s="2175">
        <v>0</v>
      </c>
      <c r="I92" s="2175">
        <v>0</v>
      </c>
      <c r="J92" s="2497" t="s">
        <v>1931</v>
      </c>
    </row>
    <row r="93" spans="1:10" ht="37.5" customHeight="1">
      <c r="A93" s="2502">
        <v>287474</v>
      </c>
      <c r="B93" s="2304">
        <v>705.27099999999996</v>
      </c>
      <c r="C93" s="2349" t="s">
        <v>1935</v>
      </c>
      <c r="D93" s="2301"/>
      <c r="E93" s="2175">
        <v>98007</v>
      </c>
      <c r="F93" s="2503">
        <v>98007</v>
      </c>
      <c r="G93" s="2175">
        <v>0</v>
      </c>
      <c r="H93" s="2175">
        <v>0</v>
      </c>
      <c r="I93" s="2175">
        <v>0</v>
      </c>
      <c r="J93" s="2497" t="s">
        <v>1931</v>
      </c>
    </row>
    <row r="94" spans="1:10" ht="39" customHeight="1">
      <c r="A94" s="2502">
        <v>287475</v>
      </c>
      <c r="B94" s="2304">
        <v>705.27200000000005</v>
      </c>
      <c r="C94" s="2349" t="s">
        <v>1934</v>
      </c>
      <c r="D94" s="2301"/>
      <c r="E94" s="2175">
        <v>87669</v>
      </c>
      <c r="F94" s="2503">
        <v>87669</v>
      </c>
      <c r="G94" s="2175">
        <v>0</v>
      </c>
      <c r="H94" s="2175">
        <v>0</v>
      </c>
      <c r="I94" s="2175">
        <v>0</v>
      </c>
      <c r="J94" s="2497" t="s">
        <v>1931</v>
      </c>
    </row>
    <row r="95" spans="1:10" ht="37.5" customHeight="1">
      <c r="A95" s="2502">
        <v>287476</v>
      </c>
      <c r="B95" s="2304">
        <v>705.27300000000002</v>
      </c>
      <c r="C95" s="2349" t="s">
        <v>1933</v>
      </c>
      <c r="D95" s="2301"/>
      <c r="E95" s="2175">
        <v>2558143</v>
      </c>
      <c r="F95" s="2503">
        <v>2558143</v>
      </c>
      <c r="G95" s="2175">
        <v>0</v>
      </c>
      <c r="H95" s="2175">
        <v>0</v>
      </c>
      <c r="I95" s="2175">
        <v>0</v>
      </c>
      <c r="J95" s="2497" t="s">
        <v>1931</v>
      </c>
    </row>
    <row r="96" spans="1:10" ht="39" customHeight="1">
      <c r="A96" s="2502">
        <v>287477</v>
      </c>
      <c r="B96" s="2304">
        <v>705.274</v>
      </c>
      <c r="C96" s="2349" t="s">
        <v>1932</v>
      </c>
      <c r="D96" s="2301"/>
      <c r="E96" s="2175">
        <v>57733</v>
      </c>
      <c r="F96" s="2503">
        <v>57733</v>
      </c>
      <c r="G96" s="2175">
        <v>0</v>
      </c>
      <c r="H96" s="2175">
        <v>0</v>
      </c>
      <c r="I96" s="2175">
        <v>0</v>
      </c>
      <c r="J96" s="2497" t="s">
        <v>1931</v>
      </c>
    </row>
    <row r="97" spans="1:10" ht="38.25" customHeight="1">
      <c r="A97" s="2502">
        <v>287478</v>
      </c>
      <c r="B97" s="2304">
        <v>705.27499999999998</v>
      </c>
      <c r="C97" s="2349" t="s">
        <v>1930</v>
      </c>
      <c r="D97" s="2301"/>
      <c r="E97" s="2175">
        <v>214116</v>
      </c>
      <c r="F97" s="2503">
        <v>214116</v>
      </c>
      <c r="G97" s="2175">
        <v>0</v>
      </c>
      <c r="H97" s="2175">
        <v>0</v>
      </c>
      <c r="I97" s="2175">
        <v>0</v>
      </c>
      <c r="J97" s="2497" t="s">
        <v>1184</v>
      </c>
    </row>
    <row r="98" spans="1:10" ht="38.25" customHeight="1">
      <c r="A98" s="2502">
        <v>287486</v>
      </c>
      <c r="B98" s="2304">
        <v>415.92599999999999</v>
      </c>
      <c r="C98" s="2349" t="s">
        <v>1744</v>
      </c>
      <c r="D98" s="2301"/>
      <c r="E98" s="2175">
        <v>1098152</v>
      </c>
      <c r="F98" s="2503">
        <v>1098152</v>
      </c>
      <c r="G98" s="2175">
        <v>0</v>
      </c>
      <c r="H98" s="2175">
        <v>0</v>
      </c>
      <c r="I98" s="2175">
        <v>0</v>
      </c>
      <c r="J98" s="2497" t="s">
        <v>1745</v>
      </c>
    </row>
    <row r="99" spans="1:10" ht="38.25" customHeight="1">
      <c r="A99" s="2502">
        <v>287487</v>
      </c>
      <c r="B99" s="2304">
        <v>415.92700000000002</v>
      </c>
      <c r="C99" s="2308" t="s">
        <v>1744</v>
      </c>
      <c r="D99" s="2301"/>
      <c r="E99" s="2175">
        <v>-2523</v>
      </c>
      <c r="F99" s="2503">
        <v>-2523</v>
      </c>
      <c r="G99" s="2175">
        <v>0</v>
      </c>
      <c r="H99" s="2175">
        <v>0</v>
      </c>
      <c r="I99" s="2175">
        <v>0</v>
      </c>
      <c r="J99" s="1789" t="s">
        <v>1746</v>
      </c>
    </row>
    <row r="100" spans="1:10" ht="12.75">
      <c r="A100" s="2505" t="s">
        <v>1471</v>
      </c>
      <c r="B100" s="2304"/>
      <c r="C100" s="2308"/>
      <c r="D100" s="2301"/>
      <c r="E100" s="2175">
        <v>0</v>
      </c>
      <c r="F100" s="2503">
        <v>0</v>
      </c>
      <c r="G100" s="2175">
        <v>0</v>
      </c>
      <c r="H100" s="2175">
        <v>0</v>
      </c>
      <c r="I100" s="2175">
        <v>0</v>
      </c>
      <c r="J100" s="1789"/>
    </row>
    <row r="101" spans="1:10" ht="12.75">
      <c r="A101" s="2502">
        <v>287280</v>
      </c>
      <c r="B101" s="2359" t="s">
        <v>1474</v>
      </c>
      <c r="C101" s="2308"/>
      <c r="D101" s="2301"/>
      <c r="E101" s="2175">
        <v>310658</v>
      </c>
      <c r="F101" s="2503">
        <v>310658</v>
      </c>
      <c r="G101" s="2175">
        <v>0</v>
      </c>
      <c r="H101" s="2175">
        <v>0</v>
      </c>
      <c r="I101" s="2175">
        <v>0</v>
      </c>
      <c r="J101" s="1789" t="s">
        <v>1929</v>
      </c>
    </row>
    <row r="102" spans="1:10" ht="12.75">
      <c r="A102" s="2502">
        <v>287437</v>
      </c>
      <c r="B102" s="2359" t="s">
        <v>1475</v>
      </c>
      <c r="C102" s="2308"/>
      <c r="D102" s="2301"/>
      <c r="E102" s="2175">
        <v>79743358</v>
      </c>
      <c r="F102" s="2503">
        <v>79743358</v>
      </c>
      <c r="G102" s="2175">
        <v>0</v>
      </c>
      <c r="H102" s="2175">
        <v>0</v>
      </c>
      <c r="I102" s="2175">
        <v>0</v>
      </c>
      <c r="J102" s="1789" t="s">
        <v>1928</v>
      </c>
    </row>
    <row r="103" spans="1:10" ht="25.5">
      <c r="A103" s="2502">
        <v>287449</v>
      </c>
      <c r="B103" s="2359" t="s">
        <v>1476</v>
      </c>
      <c r="C103" s="2308"/>
      <c r="D103" s="2301"/>
      <c r="E103" s="2175">
        <v>-28018906</v>
      </c>
      <c r="F103" s="2503">
        <v>-28018906</v>
      </c>
      <c r="G103" s="2175">
        <v>0</v>
      </c>
      <c r="H103" s="2175">
        <v>0</v>
      </c>
      <c r="I103" s="2175">
        <v>0</v>
      </c>
      <c r="J103" s="1789" t="s">
        <v>1927</v>
      </c>
    </row>
    <row r="104" spans="1:10" ht="25.5">
      <c r="A104" s="2502">
        <v>287371</v>
      </c>
      <c r="B104" s="2359" t="s">
        <v>1477</v>
      </c>
      <c r="C104" s="2308"/>
      <c r="D104" s="2301"/>
      <c r="E104" s="2175">
        <v>2104918</v>
      </c>
      <c r="F104" s="2503">
        <v>2104918</v>
      </c>
      <c r="G104" s="2175">
        <v>0</v>
      </c>
      <c r="H104" s="2175">
        <v>0</v>
      </c>
      <c r="I104" s="2175">
        <v>0</v>
      </c>
      <c r="J104" s="2498" t="s">
        <v>1653</v>
      </c>
    </row>
    <row r="105" spans="1:10" ht="12.75">
      <c r="A105" s="2502">
        <v>287491</v>
      </c>
      <c r="B105" s="2359" t="s">
        <v>1478</v>
      </c>
      <c r="C105" s="2308"/>
      <c r="D105" s="2301"/>
      <c r="E105" s="2175">
        <v>2136632</v>
      </c>
      <c r="F105" s="2503">
        <v>2136632</v>
      </c>
      <c r="G105" s="2175">
        <v>0</v>
      </c>
      <c r="H105" s="2175">
        <v>0</v>
      </c>
      <c r="I105" s="2175">
        <v>0</v>
      </c>
      <c r="J105" s="1789" t="s">
        <v>1926</v>
      </c>
    </row>
    <row r="106" spans="1:10" ht="25.5">
      <c r="A106" s="2502">
        <v>287497</v>
      </c>
      <c r="B106" s="2359" t="s">
        <v>1479</v>
      </c>
      <c r="C106" s="2308"/>
      <c r="D106" s="2301"/>
      <c r="E106" s="2175">
        <v>837770</v>
      </c>
      <c r="F106" s="2503">
        <v>837770</v>
      </c>
      <c r="G106" s="2175">
        <v>0</v>
      </c>
      <c r="H106" s="2175">
        <v>0</v>
      </c>
      <c r="I106" s="2175">
        <v>0</v>
      </c>
      <c r="J106" s="2498" t="s">
        <v>1654</v>
      </c>
    </row>
    <row r="107" spans="1:10" ht="12.75">
      <c r="A107" s="2502">
        <v>287494</v>
      </c>
      <c r="B107" s="2359" t="s">
        <v>1480</v>
      </c>
      <c r="C107" s="2308"/>
      <c r="D107" s="2301"/>
      <c r="E107" s="2175">
        <v>11489339</v>
      </c>
      <c r="F107" s="2503">
        <v>11489339</v>
      </c>
      <c r="G107" s="2175">
        <v>0</v>
      </c>
      <c r="H107" s="2175">
        <v>0</v>
      </c>
      <c r="I107" s="2175">
        <v>0</v>
      </c>
      <c r="J107" s="1789" t="s">
        <v>1925</v>
      </c>
    </row>
    <row r="108" spans="1:10" ht="12.75">
      <c r="A108" s="2502">
        <v>287269</v>
      </c>
      <c r="B108" s="2359" t="s">
        <v>1481</v>
      </c>
      <c r="C108" s="2308"/>
      <c r="D108" s="2301"/>
      <c r="E108" s="2175">
        <v>181414</v>
      </c>
      <c r="F108" s="2503">
        <v>181414</v>
      </c>
      <c r="G108" s="2175">
        <v>0</v>
      </c>
      <c r="H108" s="2175">
        <v>0</v>
      </c>
      <c r="I108" s="2175">
        <v>0</v>
      </c>
      <c r="J108" s="1789" t="s">
        <v>1924</v>
      </c>
    </row>
    <row r="109" spans="1:10" ht="12.75">
      <c r="A109" s="2502">
        <v>287275</v>
      </c>
      <c r="B109" s="2359" t="s">
        <v>1482</v>
      </c>
      <c r="C109" s="2308"/>
      <c r="D109" s="2301"/>
      <c r="E109" s="2175">
        <v>0</v>
      </c>
      <c r="F109" s="2503">
        <v>0</v>
      </c>
      <c r="G109" s="2175">
        <v>0</v>
      </c>
      <c r="H109" s="2175">
        <v>0</v>
      </c>
      <c r="I109" s="2175">
        <v>0</v>
      </c>
      <c r="J109" s="1789" t="s">
        <v>1923</v>
      </c>
    </row>
    <row r="110" spans="1:10" ht="12.75">
      <c r="A110" s="2502">
        <v>287281</v>
      </c>
      <c r="B110" s="2359" t="s">
        <v>1483</v>
      </c>
      <c r="C110" s="2308"/>
      <c r="D110" s="2301"/>
      <c r="E110" s="2175">
        <v>316327</v>
      </c>
      <c r="F110" s="2503">
        <v>316327</v>
      </c>
      <c r="G110" s="2175">
        <v>0</v>
      </c>
      <c r="H110" s="2175">
        <v>0</v>
      </c>
      <c r="I110" s="2175">
        <v>0</v>
      </c>
      <c r="J110" s="1789" t="s">
        <v>1922</v>
      </c>
    </row>
    <row r="111" spans="1:10" ht="12.75">
      <c r="A111" s="2502"/>
      <c r="B111" s="2304"/>
      <c r="C111" s="2308"/>
      <c r="D111" s="2301"/>
      <c r="E111" s="2175">
        <v>0</v>
      </c>
      <c r="F111" s="2175">
        <v>0</v>
      </c>
      <c r="G111" s="2175">
        <v>0</v>
      </c>
      <c r="H111" s="2175">
        <v>0</v>
      </c>
      <c r="I111" s="2175">
        <v>0</v>
      </c>
      <c r="J111" s="1789"/>
    </row>
    <row r="112" spans="1:10" ht="12.75">
      <c r="A112" s="2505" t="s">
        <v>1484</v>
      </c>
      <c r="B112" s="2304"/>
      <c r="C112" s="2308"/>
      <c r="D112" s="2301"/>
      <c r="E112" s="2175">
        <v>0</v>
      </c>
      <c r="F112" s="2175">
        <v>0</v>
      </c>
      <c r="G112" s="2175">
        <v>0</v>
      </c>
      <c r="H112" s="2175">
        <v>0</v>
      </c>
      <c r="I112" s="2175">
        <v>0</v>
      </c>
      <c r="J112" s="1789"/>
    </row>
    <row r="113" spans="1:10" ht="25.5">
      <c r="A113" s="2502">
        <v>287970</v>
      </c>
      <c r="B113" s="2359">
        <v>415.815</v>
      </c>
      <c r="C113" s="2349" t="s">
        <v>1921</v>
      </c>
      <c r="D113" s="2301"/>
      <c r="E113" s="2175">
        <v>0</v>
      </c>
      <c r="F113" s="2503">
        <v>0</v>
      </c>
      <c r="G113" s="2175">
        <v>0</v>
      </c>
      <c r="H113" s="2175">
        <v>0</v>
      </c>
      <c r="I113" s="2175">
        <v>0</v>
      </c>
      <c r="J113" s="1789" t="s">
        <v>1748</v>
      </c>
    </row>
    <row r="114" spans="1:10" ht="22.5" customHeight="1">
      <c r="A114" s="2502">
        <v>287498</v>
      </c>
      <c r="B114" s="2359">
        <v>425.14</v>
      </c>
      <c r="C114" s="2308" t="s">
        <v>1485</v>
      </c>
      <c r="D114" s="2301"/>
      <c r="E114" s="2175">
        <v>0</v>
      </c>
      <c r="F114" s="2503">
        <v>0</v>
      </c>
      <c r="G114" s="2175">
        <v>0</v>
      </c>
      <c r="H114" s="2175">
        <v>0</v>
      </c>
      <c r="I114" s="2175">
        <v>0</v>
      </c>
      <c r="J114" s="1789" t="s">
        <v>1220</v>
      </c>
    </row>
    <row r="115" spans="1:10" ht="29.25" customHeight="1">
      <c r="A115" s="2502">
        <v>287341</v>
      </c>
      <c r="B115" s="2359">
        <v>910.53</v>
      </c>
      <c r="C115" s="2308" t="s">
        <v>1486</v>
      </c>
      <c r="D115" s="2301"/>
      <c r="E115" s="2175">
        <v>0</v>
      </c>
      <c r="F115" s="2503">
        <v>0</v>
      </c>
      <c r="G115" s="2175">
        <v>0</v>
      </c>
      <c r="H115" s="2175">
        <v>0</v>
      </c>
      <c r="I115" s="2175">
        <v>0</v>
      </c>
      <c r="J115" s="1789" t="s">
        <v>1201</v>
      </c>
    </row>
    <row r="116" spans="1:10" s="437" customFormat="1" ht="12.75">
      <c r="A116" s="2502"/>
      <c r="B116" s="2359"/>
      <c r="C116" s="2308"/>
      <c r="D116" s="2301"/>
      <c r="E116" s="2175">
        <v>0</v>
      </c>
      <c r="F116" s="2175">
        <v>0</v>
      </c>
      <c r="G116" s="2175">
        <v>0</v>
      </c>
      <c r="H116" s="2175">
        <v>0</v>
      </c>
      <c r="I116" s="2175">
        <v>0</v>
      </c>
      <c r="J116" s="1789"/>
    </row>
    <row r="117" spans="1:10" ht="12.75">
      <c r="A117" s="2505" t="s">
        <v>1487</v>
      </c>
      <c r="B117" s="2304"/>
      <c r="C117" s="2308"/>
      <c r="D117" s="2301"/>
      <c r="E117" s="2175">
        <v>0</v>
      </c>
      <c r="F117" s="2175">
        <v>0</v>
      </c>
      <c r="G117" s="2175">
        <v>0</v>
      </c>
      <c r="H117" s="2175">
        <v>0</v>
      </c>
      <c r="I117" s="2175">
        <v>0</v>
      </c>
      <c r="J117" s="1789"/>
    </row>
    <row r="118" spans="1:10" ht="25.5">
      <c r="A118" s="2502">
        <v>287339</v>
      </c>
      <c r="B118" s="2359">
        <v>105.4</v>
      </c>
      <c r="C118" s="2308" t="s">
        <v>566</v>
      </c>
      <c r="D118" s="2301"/>
      <c r="E118" s="2175">
        <v>77524010</v>
      </c>
      <c r="F118" s="2503">
        <v>77524010</v>
      </c>
      <c r="G118" s="2175">
        <v>0</v>
      </c>
      <c r="H118" s="2175">
        <v>0</v>
      </c>
      <c r="I118" s="2175">
        <v>0</v>
      </c>
      <c r="J118" s="1789" t="s">
        <v>1199</v>
      </c>
    </row>
    <row r="119" spans="1:10" ht="12.75">
      <c r="A119" s="2502"/>
      <c r="B119" s="2304"/>
      <c r="C119" s="2308"/>
      <c r="D119" s="2301"/>
      <c r="E119" s="2175">
        <v>0</v>
      </c>
      <c r="F119" s="2175">
        <v>0</v>
      </c>
      <c r="G119" s="2175">
        <v>0</v>
      </c>
      <c r="H119" s="2175">
        <v>0</v>
      </c>
      <c r="I119" s="2175">
        <v>0</v>
      </c>
      <c r="J119" s="1789"/>
    </row>
    <row r="120" spans="1:10" ht="12.75">
      <c r="A120" s="2505" t="s">
        <v>563</v>
      </c>
      <c r="B120" s="2358"/>
      <c r="C120" s="2308"/>
      <c r="D120" s="2301"/>
      <c r="E120" s="2175">
        <v>0</v>
      </c>
      <c r="F120" s="2175">
        <v>0</v>
      </c>
      <c r="G120" s="2175">
        <v>0</v>
      </c>
      <c r="H120" s="2175">
        <v>0</v>
      </c>
      <c r="I120" s="2175">
        <v>0</v>
      </c>
      <c r="J120" s="1789"/>
    </row>
    <row r="121" spans="1:10" ht="12.75">
      <c r="A121" s="2502">
        <v>287210</v>
      </c>
      <c r="B121" s="2304">
        <v>505.11500000000001</v>
      </c>
      <c r="C121" s="2349" t="s">
        <v>1918</v>
      </c>
      <c r="D121" s="2301"/>
      <c r="E121" s="2175">
        <v>95248</v>
      </c>
      <c r="F121" s="2503">
        <v>95248</v>
      </c>
      <c r="G121" s="2175">
        <v>0</v>
      </c>
      <c r="H121" s="2175">
        <v>0</v>
      </c>
      <c r="I121" s="2175">
        <v>0</v>
      </c>
      <c r="J121" s="2497" t="s">
        <v>1917</v>
      </c>
    </row>
    <row r="122" spans="1:10" ht="12.75">
      <c r="A122" s="2502">
        <v>287211</v>
      </c>
      <c r="B122" s="2304">
        <v>425.226</v>
      </c>
      <c r="C122" s="2349" t="s">
        <v>1916</v>
      </c>
      <c r="D122" s="2301"/>
      <c r="E122" s="2175">
        <v>158129</v>
      </c>
      <c r="F122" s="2503">
        <v>158129</v>
      </c>
      <c r="G122" s="2175">
        <v>0</v>
      </c>
      <c r="H122" s="2175">
        <v>0</v>
      </c>
      <c r="I122" s="2175">
        <v>0</v>
      </c>
      <c r="J122" s="2497" t="s">
        <v>1915</v>
      </c>
    </row>
    <row r="123" spans="1:10" ht="12.75">
      <c r="A123" s="2502">
        <v>287214</v>
      </c>
      <c r="B123" s="2304">
        <v>910.245</v>
      </c>
      <c r="C123" s="2349" t="s">
        <v>1914</v>
      </c>
      <c r="D123" s="2301"/>
      <c r="E123" s="2175">
        <v>1753017</v>
      </c>
      <c r="F123" s="2503">
        <v>1753017</v>
      </c>
      <c r="G123" s="2175">
        <v>0</v>
      </c>
      <c r="H123" s="2175">
        <v>0</v>
      </c>
      <c r="I123" s="2175">
        <v>0</v>
      </c>
      <c r="J123" s="2497" t="s">
        <v>1913</v>
      </c>
    </row>
    <row r="124" spans="1:10" ht="12.75">
      <c r="A124" s="2502">
        <v>287216</v>
      </c>
      <c r="B124" s="2304">
        <v>605.71500000000003</v>
      </c>
      <c r="C124" s="2349" t="s">
        <v>1912</v>
      </c>
      <c r="D124" s="2301"/>
      <c r="E124" s="2175">
        <v>2250758</v>
      </c>
      <c r="F124" s="2503">
        <v>2250758</v>
      </c>
      <c r="G124" s="2175">
        <v>0</v>
      </c>
      <c r="H124" s="2175">
        <v>0</v>
      </c>
      <c r="I124" s="2175">
        <v>0</v>
      </c>
      <c r="J124" s="2497" t="s">
        <v>1911</v>
      </c>
    </row>
    <row r="125" spans="1:10" ht="12.75">
      <c r="A125" s="2502">
        <v>287217</v>
      </c>
      <c r="B125" s="2304">
        <v>910.93700000000001</v>
      </c>
      <c r="C125" s="2349" t="s">
        <v>1910</v>
      </c>
      <c r="D125" s="2301"/>
      <c r="E125" s="2175">
        <v>0</v>
      </c>
      <c r="F125" s="2503">
        <v>0</v>
      </c>
      <c r="G125" s="2175">
        <v>0</v>
      </c>
      <c r="H125" s="2175">
        <v>0</v>
      </c>
      <c r="I125" s="2175">
        <v>0</v>
      </c>
      <c r="J125" s="2497" t="s">
        <v>1909</v>
      </c>
    </row>
    <row r="126" spans="1:10" ht="27" customHeight="1">
      <c r="A126" s="2502">
        <v>287218</v>
      </c>
      <c r="B126" s="2304">
        <v>715.80499999999995</v>
      </c>
      <c r="C126" s="2349" t="s">
        <v>1908</v>
      </c>
      <c r="D126" s="2301"/>
      <c r="E126" s="2175">
        <v>570811</v>
      </c>
      <c r="F126" s="2503">
        <v>570811</v>
      </c>
      <c r="G126" s="2175">
        <v>0</v>
      </c>
      <c r="H126" s="2175">
        <v>0</v>
      </c>
      <c r="I126" s="2175">
        <v>0</v>
      </c>
      <c r="J126" s="2497" t="s">
        <v>1895</v>
      </c>
    </row>
    <row r="127" spans="1:10" ht="25.5">
      <c r="A127" s="2502">
        <v>287219</v>
      </c>
      <c r="B127" s="2304">
        <v>715.81</v>
      </c>
      <c r="C127" s="2349" t="s">
        <v>1907</v>
      </c>
      <c r="D127" s="2301"/>
      <c r="E127" s="2175">
        <v>331401</v>
      </c>
      <c r="F127" s="2503">
        <v>331401</v>
      </c>
      <c r="G127" s="2175">
        <v>0</v>
      </c>
      <c r="H127" s="2175">
        <v>0</v>
      </c>
      <c r="I127" s="2175">
        <v>0</v>
      </c>
      <c r="J127" s="2497" t="s">
        <v>1897</v>
      </c>
    </row>
    <row r="128" spans="1:10" ht="25.5">
      <c r="A128" s="2502">
        <v>287240</v>
      </c>
      <c r="B128" s="2304">
        <v>605.30100000000004</v>
      </c>
      <c r="C128" s="2308" t="s">
        <v>1501</v>
      </c>
      <c r="D128" s="2301"/>
      <c r="E128" s="2175">
        <v>9924217</v>
      </c>
      <c r="F128" s="2503">
        <v>9924217</v>
      </c>
      <c r="G128" s="2175">
        <v>0</v>
      </c>
      <c r="H128" s="2175">
        <v>0</v>
      </c>
      <c r="I128" s="2175">
        <v>0</v>
      </c>
      <c r="J128" s="2497" t="s">
        <v>1187</v>
      </c>
    </row>
    <row r="129" spans="1:10" ht="25.5">
      <c r="A129" s="2502">
        <v>287241</v>
      </c>
      <c r="B129" s="2304">
        <v>605.30200000000002</v>
      </c>
      <c r="C129" s="2308" t="s">
        <v>1502</v>
      </c>
      <c r="D129" s="2301"/>
      <c r="E129" s="2175">
        <v>1075282</v>
      </c>
      <c r="F129" s="2503">
        <v>1075282</v>
      </c>
      <c r="G129" s="2175">
        <v>0</v>
      </c>
      <c r="H129" s="2175">
        <v>0</v>
      </c>
      <c r="I129" s="2175">
        <v>0</v>
      </c>
      <c r="J129" s="1789" t="s">
        <v>1188</v>
      </c>
    </row>
    <row r="130" spans="1:10" ht="24.75" customHeight="1">
      <c r="A130" s="2502">
        <v>287270</v>
      </c>
      <c r="B130" s="2304" t="s">
        <v>564</v>
      </c>
      <c r="C130" s="2349" t="s">
        <v>1906</v>
      </c>
      <c r="D130" s="2301"/>
      <c r="E130" s="2175">
        <v>-12229025</v>
      </c>
      <c r="F130" s="2503">
        <v>-12229025</v>
      </c>
      <c r="G130" s="2175">
        <v>0</v>
      </c>
      <c r="H130" s="2175">
        <v>0</v>
      </c>
      <c r="I130" s="2175">
        <v>0</v>
      </c>
      <c r="J130" s="2497" t="s">
        <v>1905</v>
      </c>
    </row>
    <row r="131" spans="1:10" ht="50.25" customHeight="1">
      <c r="A131" s="2502">
        <v>287289</v>
      </c>
      <c r="B131" s="2304">
        <v>425.13</v>
      </c>
      <c r="C131" s="2308" t="s">
        <v>1503</v>
      </c>
      <c r="D131" s="2301"/>
      <c r="E131" s="2175">
        <v>0</v>
      </c>
      <c r="F131" s="2503">
        <v>0</v>
      </c>
      <c r="G131" s="2175">
        <v>0</v>
      </c>
      <c r="H131" s="2175">
        <v>0</v>
      </c>
      <c r="I131" s="2175">
        <v>0</v>
      </c>
      <c r="J131" s="1789" t="s">
        <v>1192</v>
      </c>
    </row>
    <row r="132" spans="1:10" ht="25.5">
      <c r="A132" s="2502">
        <v>287290</v>
      </c>
      <c r="B132" s="2304">
        <v>425.15</v>
      </c>
      <c r="C132" s="2308" t="s">
        <v>1504</v>
      </c>
      <c r="D132" s="2301"/>
      <c r="E132" s="2175">
        <v>390071</v>
      </c>
      <c r="F132" s="2503">
        <v>390071</v>
      </c>
      <c r="G132" s="2175">
        <v>0</v>
      </c>
      <c r="H132" s="2175">
        <v>0</v>
      </c>
      <c r="I132" s="2175">
        <v>0</v>
      </c>
      <c r="J132" s="1789" t="s">
        <v>1193</v>
      </c>
    </row>
    <row r="133" spans="1:10" ht="65.25" customHeight="1">
      <c r="A133" s="2502">
        <v>287297</v>
      </c>
      <c r="B133" s="2304">
        <v>505.15499999999997</v>
      </c>
      <c r="C133" s="2308" t="s">
        <v>565</v>
      </c>
      <c r="D133" s="2301"/>
      <c r="E133" s="2175">
        <v>0</v>
      </c>
      <c r="F133" s="2503">
        <v>0</v>
      </c>
      <c r="G133" s="2175">
        <v>0</v>
      </c>
      <c r="H133" s="2175">
        <v>0</v>
      </c>
      <c r="I133" s="2175">
        <v>0</v>
      </c>
      <c r="J133" s="1789" t="s">
        <v>1194</v>
      </c>
    </row>
    <row r="134" spans="1:10" ht="25.5">
      <c r="A134" s="2502">
        <v>287298</v>
      </c>
      <c r="B134" s="2304">
        <v>205.21</v>
      </c>
      <c r="C134" s="2308" t="s">
        <v>1505</v>
      </c>
      <c r="D134" s="2301"/>
      <c r="E134" s="2175">
        <v>774200</v>
      </c>
      <c r="F134" s="2503">
        <v>774200</v>
      </c>
      <c r="G134" s="2175">
        <v>0</v>
      </c>
      <c r="H134" s="2175">
        <v>0</v>
      </c>
      <c r="I134" s="2175">
        <v>0</v>
      </c>
      <c r="J134" s="2497" t="s">
        <v>1804</v>
      </c>
    </row>
    <row r="135" spans="1:10" ht="15" customHeight="1">
      <c r="A135" s="2502">
        <v>287321</v>
      </c>
      <c r="B135" s="2304">
        <v>100.1</v>
      </c>
      <c r="C135" s="2308" t="s">
        <v>1195</v>
      </c>
      <c r="D135" s="2301"/>
      <c r="E135" s="2175">
        <v>5501768</v>
      </c>
      <c r="F135" s="2503">
        <v>5501768</v>
      </c>
      <c r="G135" s="2175">
        <v>0</v>
      </c>
      <c r="H135" s="2175">
        <v>0</v>
      </c>
      <c r="I135" s="2175">
        <v>0</v>
      </c>
      <c r="J135" s="1789" t="s">
        <v>1196</v>
      </c>
    </row>
    <row r="136" spans="1:10" ht="25.5" customHeight="1">
      <c r="A136" s="2502">
        <v>287337</v>
      </c>
      <c r="B136" s="2304">
        <v>715.10500000000002</v>
      </c>
      <c r="C136" s="2308" t="s">
        <v>1506</v>
      </c>
      <c r="D136" s="2301"/>
      <c r="E136" s="2175">
        <v>211464</v>
      </c>
      <c r="F136" s="2503">
        <v>211464</v>
      </c>
      <c r="G136" s="2175">
        <v>0</v>
      </c>
      <c r="H136" s="2175">
        <v>0</v>
      </c>
      <c r="I136" s="2175">
        <v>0</v>
      </c>
      <c r="J136" s="1789" t="s">
        <v>1197</v>
      </c>
    </row>
    <row r="137" spans="1:10" ht="51" customHeight="1">
      <c r="A137" s="2502">
        <v>287338</v>
      </c>
      <c r="B137" s="2304">
        <v>415.11</v>
      </c>
      <c r="C137" s="2308" t="s">
        <v>1507</v>
      </c>
      <c r="D137" s="2301"/>
      <c r="E137" s="2175">
        <v>135938</v>
      </c>
      <c r="F137" s="2503">
        <v>0</v>
      </c>
      <c r="G137" s="2175">
        <v>135938</v>
      </c>
      <c r="H137" s="2175">
        <v>0</v>
      </c>
      <c r="I137" s="2175">
        <v>0</v>
      </c>
      <c r="J137" s="1789" t="s">
        <v>2145</v>
      </c>
    </row>
    <row r="138" spans="1:10" ht="25.5">
      <c r="A138" s="2502">
        <v>287340</v>
      </c>
      <c r="B138" s="2304">
        <v>220.1</v>
      </c>
      <c r="C138" s="2349" t="s">
        <v>1904</v>
      </c>
      <c r="D138" s="2301"/>
      <c r="E138" s="2175">
        <v>2988505</v>
      </c>
      <c r="F138" s="2503">
        <v>2988505</v>
      </c>
      <c r="G138" s="2175">
        <v>0</v>
      </c>
      <c r="H138" s="2175">
        <v>0</v>
      </c>
      <c r="I138" s="2175">
        <v>0</v>
      </c>
      <c r="J138" s="2497" t="s">
        <v>1903</v>
      </c>
    </row>
    <row r="139" spans="1:10" ht="25.5" customHeight="1">
      <c r="A139" s="2502">
        <v>287343</v>
      </c>
      <c r="B139" s="2304">
        <v>415.12</v>
      </c>
      <c r="C139" s="2308" t="s">
        <v>1508</v>
      </c>
      <c r="D139" s="2301"/>
      <c r="E139" s="2175">
        <v>0</v>
      </c>
      <c r="F139" s="2503">
        <v>0</v>
      </c>
      <c r="G139" s="2175">
        <v>0</v>
      </c>
      <c r="H139" s="2175">
        <v>0</v>
      </c>
      <c r="I139" s="2175">
        <v>0</v>
      </c>
      <c r="J139" s="1789" t="s">
        <v>1202</v>
      </c>
    </row>
    <row r="140" spans="1:10" ht="39.75" customHeight="1">
      <c r="A140" s="2502">
        <v>287344</v>
      </c>
      <c r="B140" s="2304">
        <v>715.8</v>
      </c>
      <c r="C140" s="2308" t="s">
        <v>567</v>
      </c>
      <c r="D140" s="2301"/>
      <c r="E140" s="2175">
        <v>0</v>
      </c>
      <c r="F140" s="2503">
        <v>0</v>
      </c>
      <c r="G140" s="2175">
        <v>0</v>
      </c>
      <c r="H140" s="2175">
        <v>0</v>
      </c>
      <c r="I140" s="2175">
        <v>0</v>
      </c>
      <c r="J140" s="1789" t="s">
        <v>1203</v>
      </c>
    </row>
    <row r="141" spans="1:10" ht="27.75" customHeight="1">
      <c r="A141" s="2502">
        <v>287345</v>
      </c>
      <c r="B141" s="2304">
        <v>145.03</v>
      </c>
      <c r="C141" s="2308" t="s">
        <v>1509</v>
      </c>
      <c r="D141" s="2301"/>
      <c r="E141" s="2175">
        <v>0</v>
      </c>
      <c r="F141" s="2503">
        <v>0</v>
      </c>
      <c r="G141" s="2175">
        <v>0</v>
      </c>
      <c r="H141" s="2175">
        <v>0</v>
      </c>
      <c r="I141" s="2175">
        <v>0</v>
      </c>
      <c r="J141" s="1789" t="s">
        <v>1204</v>
      </c>
    </row>
    <row r="142" spans="1:10" ht="18" customHeight="1">
      <c r="A142" s="2502">
        <v>287349</v>
      </c>
      <c r="B142" s="2304">
        <v>505.1</v>
      </c>
      <c r="C142" s="2349" t="s">
        <v>1494</v>
      </c>
      <c r="D142" s="2301"/>
      <c r="E142" s="2175">
        <v>0</v>
      </c>
      <c r="F142" s="2503">
        <v>0</v>
      </c>
      <c r="G142" s="2175">
        <v>0</v>
      </c>
      <c r="H142" s="2175">
        <v>0</v>
      </c>
      <c r="I142" s="2175">
        <v>0</v>
      </c>
      <c r="J142" s="2497" t="s">
        <v>1205</v>
      </c>
    </row>
    <row r="143" spans="1:10" ht="12.75">
      <c r="A143" s="2502">
        <v>287354</v>
      </c>
      <c r="B143" s="2304">
        <v>505.15</v>
      </c>
      <c r="C143" s="2349" t="s">
        <v>1495</v>
      </c>
      <c r="D143" s="2301"/>
      <c r="E143" s="2175">
        <v>2727850</v>
      </c>
      <c r="F143" s="2503">
        <v>2727850</v>
      </c>
      <c r="G143" s="2175">
        <v>0</v>
      </c>
      <c r="H143" s="2175">
        <v>0</v>
      </c>
      <c r="I143" s="2175">
        <v>0</v>
      </c>
      <c r="J143" s="2497" t="s">
        <v>1206</v>
      </c>
    </row>
    <row r="144" spans="1:10" ht="25.5">
      <c r="A144" s="2502">
        <v>287357</v>
      </c>
      <c r="B144" s="2304">
        <v>425.2</v>
      </c>
      <c r="C144" s="2308" t="s">
        <v>1510</v>
      </c>
      <c r="D144" s="2301"/>
      <c r="E144" s="2175">
        <v>0</v>
      </c>
      <c r="F144" s="2503">
        <v>0</v>
      </c>
      <c r="G144" s="2175">
        <v>0</v>
      </c>
      <c r="H144" s="2175">
        <v>0</v>
      </c>
      <c r="I144" s="2175">
        <v>0</v>
      </c>
      <c r="J144" s="1789" t="s">
        <v>1207</v>
      </c>
    </row>
    <row r="145" spans="1:10" ht="12.75">
      <c r="A145" s="2502">
        <v>287370</v>
      </c>
      <c r="B145" s="2304">
        <v>425.21499999999997</v>
      </c>
      <c r="C145" s="2308" t="s">
        <v>1511</v>
      </c>
      <c r="D145" s="2301"/>
      <c r="E145" s="2175">
        <v>1100625</v>
      </c>
      <c r="F145" s="2503">
        <v>1100625</v>
      </c>
      <c r="G145" s="2175">
        <v>0</v>
      </c>
      <c r="H145" s="2175">
        <v>0</v>
      </c>
      <c r="I145" s="2175">
        <v>0</v>
      </c>
      <c r="J145" s="1789" t="s">
        <v>1208</v>
      </c>
    </row>
    <row r="146" spans="1:10" ht="25.5">
      <c r="A146" s="2502">
        <v>287391</v>
      </c>
      <c r="B146" s="2304">
        <v>425.32</v>
      </c>
      <c r="C146" s="2349" t="s">
        <v>1493</v>
      </c>
      <c r="D146" s="2301"/>
      <c r="E146" s="2175">
        <v>9410239</v>
      </c>
      <c r="F146" s="2503">
        <v>9410239</v>
      </c>
      <c r="G146" s="2175">
        <v>0</v>
      </c>
      <c r="H146" s="2175">
        <v>0</v>
      </c>
      <c r="I146" s="2175">
        <v>0</v>
      </c>
      <c r="J146" s="2497" t="s">
        <v>1902</v>
      </c>
    </row>
    <row r="147" spans="1:10" ht="25.5">
      <c r="A147" s="2502">
        <v>287392</v>
      </c>
      <c r="B147" s="2304">
        <v>425.12</v>
      </c>
      <c r="C147" s="2308" t="s">
        <v>568</v>
      </c>
      <c r="D147" s="2301"/>
      <c r="E147" s="2175">
        <v>6395892</v>
      </c>
      <c r="F147" s="2503">
        <v>6395892</v>
      </c>
      <c r="G147" s="2175">
        <v>0</v>
      </c>
      <c r="H147" s="2175">
        <v>0</v>
      </c>
      <c r="I147" s="2175">
        <v>0</v>
      </c>
      <c r="J147" s="1789" t="s">
        <v>1211</v>
      </c>
    </row>
    <row r="148" spans="1:10" ht="26.25" customHeight="1">
      <c r="A148" s="2502">
        <v>287393</v>
      </c>
      <c r="B148" s="2304">
        <v>425.11</v>
      </c>
      <c r="C148" s="2308" t="s">
        <v>1749</v>
      </c>
      <c r="D148" s="2301"/>
      <c r="E148" s="2175">
        <v>303841</v>
      </c>
      <c r="F148" s="2503">
        <v>303841</v>
      </c>
      <c r="G148" s="2175">
        <v>0</v>
      </c>
      <c r="H148" s="2175">
        <v>0</v>
      </c>
      <c r="I148" s="2175">
        <v>0</v>
      </c>
      <c r="J148" s="1789" t="s">
        <v>1750</v>
      </c>
    </row>
    <row r="149" spans="1:10" ht="24.75" customHeight="1">
      <c r="A149" s="2502">
        <v>287415</v>
      </c>
      <c r="B149" s="2304">
        <v>205.2</v>
      </c>
      <c r="C149" s="2349" t="s">
        <v>1491</v>
      </c>
      <c r="D149" s="2301"/>
      <c r="E149" s="2175">
        <v>1231523</v>
      </c>
      <c r="F149" s="2503">
        <v>1231523</v>
      </c>
      <c r="G149" s="2175">
        <v>0</v>
      </c>
      <c r="H149" s="2175">
        <v>0</v>
      </c>
      <c r="I149" s="2175">
        <v>0</v>
      </c>
      <c r="J149" s="2497" t="s">
        <v>1213</v>
      </c>
    </row>
    <row r="150" spans="1:10" ht="24.75" customHeight="1">
      <c r="A150" s="2502">
        <v>287417</v>
      </c>
      <c r="B150" s="2304">
        <v>605.71</v>
      </c>
      <c r="C150" s="2308" t="s">
        <v>569</v>
      </c>
      <c r="D150" s="2301"/>
      <c r="E150" s="2175">
        <v>3231000</v>
      </c>
      <c r="F150" s="2503">
        <v>3231000</v>
      </c>
      <c r="G150" s="2175">
        <v>0</v>
      </c>
      <c r="H150" s="2175">
        <v>0</v>
      </c>
      <c r="I150" s="2175">
        <v>0</v>
      </c>
      <c r="J150" s="1789" t="s">
        <v>1214</v>
      </c>
    </row>
    <row r="151" spans="1:10" ht="24.75" customHeight="1">
      <c r="A151" s="2502">
        <v>287430</v>
      </c>
      <c r="B151" s="2304">
        <v>505.125</v>
      </c>
      <c r="C151" s="2349" t="s">
        <v>570</v>
      </c>
      <c r="D151" s="2301"/>
      <c r="E151" s="2175">
        <v>1349810</v>
      </c>
      <c r="F151" s="2503">
        <v>1349810</v>
      </c>
      <c r="G151" s="2175">
        <v>0</v>
      </c>
      <c r="H151" s="2175">
        <v>0</v>
      </c>
      <c r="I151" s="2175">
        <v>0</v>
      </c>
      <c r="J151" s="2497" t="s">
        <v>1901</v>
      </c>
    </row>
    <row r="152" spans="1:10" ht="27" customHeight="1">
      <c r="A152" s="2502">
        <v>287479</v>
      </c>
      <c r="B152" s="2304">
        <v>105.221</v>
      </c>
      <c r="C152" s="2308" t="s">
        <v>1512</v>
      </c>
      <c r="D152" s="2301"/>
      <c r="E152" s="2175">
        <v>35895726</v>
      </c>
      <c r="F152" s="2503">
        <v>35895726</v>
      </c>
      <c r="G152" s="2175">
        <v>0</v>
      </c>
      <c r="H152" s="2175">
        <v>0</v>
      </c>
      <c r="I152" s="2175">
        <v>0</v>
      </c>
      <c r="J152" s="1789" t="s">
        <v>1218</v>
      </c>
    </row>
    <row r="153" spans="1:10" ht="25.5">
      <c r="A153" s="2502">
        <v>287482</v>
      </c>
      <c r="B153" s="2304">
        <v>205.02500000000001</v>
      </c>
      <c r="C153" s="2349" t="s">
        <v>1490</v>
      </c>
      <c r="D153" s="2301"/>
      <c r="E153" s="2175">
        <v>144815</v>
      </c>
      <c r="F153" s="2503">
        <v>144815</v>
      </c>
      <c r="G153" s="2175">
        <v>0</v>
      </c>
      <c r="H153" s="2175">
        <v>0</v>
      </c>
      <c r="I153" s="2175">
        <v>0</v>
      </c>
      <c r="J153" s="2497" t="s">
        <v>1219</v>
      </c>
    </row>
    <row r="154" spans="1:10" ht="40.5" customHeight="1">
      <c r="A154" s="2502">
        <v>287489</v>
      </c>
      <c r="B154" s="2304">
        <v>910.51499999999999</v>
      </c>
      <c r="C154" s="2308" t="s">
        <v>1513</v>
      </c>
      <c r="D154" s="2301"/>
      <c r="E154" s="2175">
        <v>122716</v>
      </c>
      <c r="F154" s="2503">
        <v>122716</v>
      </c>
      <c r="G154" s="2175">
        <v>0</v>
      </c>
      <c r="H154" s="2175">
        <v>0</v>
      </c>
      <c r="I154" s="2175">
        <v>0</v>
      </c>
      <c r="J154" s="2498" t="s">
        <v>1655</v>
      </c>
    </row>
    <row r="155" spans="1:10" ht="12.75">
      <c r="A155" s="2502">
        <v>287807</v>
      </c>
      <c r="B155" s="2304" t="s">
        <v>564</v>
      </c>
      <c r="C155" s="2308" t="s">
        <v>1514</v>
      </c>
      <c r="D155" s="2301"/>
      <c r="E155" s="2175">
        <v>541711</v>
      </c>
      <c r="F155" s="2503">
        <v>541711</v>
      </c>
      <c r="G155" s="2175">
        <v>0</v>
      </c>
      <c r="H155" s="2175">
        <v>0</v>
      </c>
      <c r="I155" s="2175">
        <v>0</v>
      </c>
      <c r="J155" s="1789" t="s">
        <v>1221</v>
      </c>
    </row>
    <row r="156" spans="1:10" ht="12.75">
      <c r="A156" s="2502">
        <v>287817</v>
      </c>
      <c r="B156" s="2304" t="s">
        <v>564</v>
      </c>
      <c r="C156" s="2308" t="s">
        <v>1515</v>
      </c>
      <c r="D156" s="2301"/>
      <c r="E156" s="2175">
        <v>797414</v>
      </c>
      <c r="F156" s="2503">
        <v>797414</v>
      </c>
      <c r="G156" s="2175">
        <v>0</v>
      </c>
      <c r="H156" s="2175">
        <v>0</v>
      </c>
      <c r="I156" s="2175">
        <v>0</v>
      </c>
      <c r="J156" s="1789" t="s">
        <v>1222</v>
      </c>
    </row>
    <row r="157" spans="1:10" ht="12.75">
      <c r="A157" s="2502">
        <v>287827</v>
      </c>
      <c r="B157" s="2304" t="s">
        <v>564</v>
      </c>
      <c r="C157" s="2308" t="s">
        <v>1516</v>
      </c>
      <c r="D157" s="2301"/>
      <c r="E157" s="2175">
        <v>70269</v>
      </c>
      <c r="F157" s="2503">
        <v>70269</v>
      </c>
      <c r="G157" s="2175">
        <v>0</v>
      </c>
      <c r="H157" s="2175">
        <v>0</v>
      </c>
      <c r="I157" s="2175">
        <v>0</v>
      </c>
      <c r="J157" s="1789" t="s">
        <v>1223</v>
      </c>
    </row>
    <row r="158" spans="1:10" ht="12.75">
      <c r="A158" s="2502">
        <v>287837</v>
      </c>
      <c r="B158" s="2304" t="s">
        <v>564</v>
      </c>
      <c r="C158" s="2308" t="s">
        <v>1517</v>
      </c>
      <c r="D158" s="2301"/>
      <c r="E158" s="2175">
        <v>103438</v>
      </c>
      <c r="F158" s="2503">
        <v>103438</v>
      </c>
      <c r="G158" s="2175">
        <v>0</v>
      </c>
      <c r="H158" s="2175">
        <v>0</v>
      </c>
      <c r="I158" s="2175">
        <v>0</v>
      </c>
      <c r="J158" s="1789" t="s">
        <v>1224</v>
      </c>
    </row>
    <row r="159" spans="1:10" s="1343" customFormat="1" ht="12.75">
      <c r="A159" s="2502"/>
      <c r="B159" s="2304"/>
      <c r="C159" s="2308"/>
      <c r="D159" s="2301"/>
      <c r="E159" s="2175"/>
      <c r="F159" s="2175"/>
      <c r="G159" s="2175"/>
      <c r="H159" s="2175"/>
      <c r="I159" s="2175"/>
      <c r="J159" s="1789"/>
    </row>
    <row r="160" spans="1:10" s="1343" customFormat="1" ht="12.75">
      <c r="A160" s="2502"/>
      <c r="B160" s="2304"/>
      <c r="C160" s="2308"/>
      <c r="D160" s="2301"/>
      <c r="E160" s="2175"/>
      <c r="F160" s="2175"/>
      <c r="G160" s="2175"/>
      <c r="H160" s="2175"/>
      <c r="I160" s="2175"/>
      <c r="J160" s="1789"/>
    </row>
    <row r="161" spans="1:10" s="1343" customFormat="1" ht="12.75">
      <c r="A161" s="2360" t="s">
        <v>439</v>
      </c>
      <c r="B161" s="2506"/>
      <c r="C161" s="2507"/>
      <c r="D161" s="2508"/>
      <c r="E161" s="2175">
        <v>5</v>
      </c>
      <c r="F161" s="2175">
        <f>E161</f>
        <v>5</v>
      </c>
      <c r="G161" s="2175"/>
      <c r="H161" s="2175"/>
      <c r="I161" s="2175"/>
      <c r="J161" s="2354"/>
    </row>
    <row r="162" spans="1:10" ht="12.75">
      <c r="A162" s="2325" t="s">
        <v>71</v>
      </c>
      <c r="B162" s="2509"/>
      <c r="C162" s="2506"/>
      <c r="D162" s="2510"/>
      <c r="E162" s="2318">
        <f>SUM(E32:E161)</f>
        <v>541859342</v>
      </c>
      <c r="F162" s="2318">
        <f>SUM(F32:F161)</f>
        <v>507204186</v>
      </c>
      <c r="G162" s="2318">
        <f>SUM(G32:G161)</f>
        <v>135938</v>
      </c>
      <c r="H162" s="2318">
        <f>SUM(H32:H161)</f>
        <v>0</v>
      </c>
      <c r="I162" s="2318">
        <f>SUM(I32:I161)</f>
        <v>34519218</v>
      </c>
      <c r="J162" s="2318"/>
    </row>
    <row r="163" spans="1:10" ht="12.75">
      <c r="A163" s="2361" t="s">
        <v>198</v>
      </c>
      <c r="B163" s="2362"/>
      <c r="C163" s="2341"/>
      <c r="D163" s="2342"/>
      <c r="E163" s="2175">
        <f>+E71+E83+E135</f>
        <v>8489111</v>
      </c>
      <c r="F163" s="2175">
        <f>+F71+F83+F135</f>
        <v>8489111</v>
      </c>
      <c r="G163" s="2175">
        <f>+G71+G83+G135</f>
        <v>0</v>
      </c>
      <c r="H163" s="2175">
        <f>+H71+H83+H135</f>
        <v>0</v>
      </c>
      <c r="I163" s="2175">
        <f>+I71+I83+I135</f>
        <v>0</v>
      </c>
      <c r="J163" s="2320"/>
    </row>
    <row r="164" spans="1:10" ht="12.75">
      <c r="A164" s="2511" t="s">
        <v>199</v>
      </c>
      <c r="B164" s="2364"/>
      <c r="C164" s="2355"/>
      <c r="D164" s="2356"/>
      <c r="E164" s="2175">
        <f>+E43</f>
        <v>4130208</v>
      </c>
      <c r="F164" s="2175">
        <f>+F43</f>
        <v>0</v>
      </c>
      <c r="G164" s="2175">
        <f>+G43</f>
        <v>0</v>
      </c>
      <c r="H164" s="2175">
        <f>+H43</f>
        <v>0</v>
      </c>
      <c r="I164" s="2175">
        <f>+I43</f>
        <v>4130208</v>
      </c>
      <c r="J164" s="2320"/>
    </row>
    <row r="165" spans="1:10" ht="12.75">
      <c r="A165" s="2325" t="s">
        <v>282</v>
      </c>
      <c r="B165" s="2509"/>
      <c r="C165" s="2506"/>
      <c r="D165" s="2510"/>
      <c r="E165" s="2318">
        <f>+E162-E163-E164</f>
        <v>529240023</v>
      </c>
      <c r="F165" s="2318">
        <f>+F162-F163-F164</f>
        <v>498715075</v>
      </c>
      <c r="G165" s="2318">
        <f>+G162-G163-G164</f>
        <v>135938</v>
      </c>
      <c r="H165" s="2318">
        <f>+H162-H163-H164</f>
        <v>0</v>
      </c>
      <c r="I165" s="2318">
        <f>+I162-I163-I164</f>
        <v>30389010</v>
      </c>
      <c r="J165" s="2320"/>
    </row>
    <row r="166" spans="1:10" ht="15">
      <c r="A166" s="2512"/>
      <c r="B166" s="2512"/>
      <c r="C166" s="2513"/>
      <c r="D166" s="2513"/>
      <c r="E166" s="1382"/>
      <c r="F166" s="2514"/>
      <c r="G166" s="1382"/>
      <c r="H166" s="2515"/>
      <c r="I166" s="2516"/>
      <c r="J166" s="2517"/>
    </row>
    <row r="167" spans="1:10">
      <c r="A167" s="2512"/>
      <c r="B167" s="2512"/>
      <c r="C167" s="2518" t="s">
        <v>64</v>
      </c>
      <c r="D167" s="2519"/>
      <c r="E167" s="2519"/>
      <c r="F167" s="2520"/>
      <c r="G167" s="2521"/>
      <c r="H167" s="2522"/>
      <c r="I167" s="2517"/>
      <c r="J167" s="1379"/>
    </row>
    <row r="168" spans="1:10">
      <c r="A168" s="2512"/>
      <c r="B168" s="2512"/>
      <c r="C168" s="2523" t="s">
        <v>132</v>
      </c>
      <c r="D168" s="2524"/>
      <c r="E168" s="2524"/>
      <c r="F168" s="2524"/>
      <c r="G168" s="2524"/>
      <c r="H168" s="2525"/>
      <c r="I168" s="2526"/>
      <c r="J168" s="1379"/>
    </row>
    <row r="169" spans="1:10">
      <c r="A169" s="2512"/>
      <c r="B169" s="2512"/>
      <c r="C169" s="2523" t="s">
        <v>133</v>
      </c>
      <c r="D169" s="1382"/>
      <c r="E169" s="1382"/>
      <c r="F169" s="1382"/>
      <c r="G169" s="2516"/>
      <c r="H169" s="2527"/>
      <c r="I169" s="2517"/>
      <c r="J169" s="1379"/>
    </row>
    <row r="170" spans="1:10">
      <c r="A170" s="2512"/>
      <c r="B170" s="2512"/>
      <c r="C170" s="2523" t="s">
        <v>262</v>
      </c>
      <c r="D170" s="1382"/>
      <c r="E170" s="1382"/>
      <c r="F170" s="1382"/>
      <c r="G170" s="2516"/>
      <c r="H170" s="2527"/>
      <c r="I170" s="2526"/>
      <c r="J170" s="1379"/>
    </row>
    <row r="171" spans="1:10">
      <c r="A171" s="2512"/>
      <c r="B171" s="2512"/>
      <c r="C171" s="2523" t="s">
        <v>264</v>
      </c>
      <c r="D171" s="1382"/>
      <c r="E171" s="1382"/>
      <c r="F171" s="1382"/>
      <c r="G171" s="2516"/>
      <c r="H171" s="2527"/>
      <c r="I171" s="2517"/>
      <c r="J171" s="1379"/>
    </row>
    <row r="172" spans="1:10">
      <c r="A172" s="2512"/>
      <c r="B172" s="2512"/>
      <c r="C172" s="2678" t="s">
        <v>18</v>
      </c>
      <c r="D172" s="2676"/>
      <c r="E172" s="2676"/>
      <c r="F172" s="2676"/>
      <c r="G172" s="2676"/>
      <c r="H172" s="2677"/>
      <c r="I172" s="2517"/>
      <c r="J172" s="1379"/>
    </row>
    <row r="173" spans="1:10">
      <c r="A173" s="2512"/>
      <c r="B173" s="2512"/>
      <c r="C173" s="2524"/>
      <c r="D173" s="2524"/>
      <c r="E173" s="2524"/>
      <c r="F173" s="2524"/>
      <c r="G173" s="2524"/>
      <c r="H173" s="2524"/>
      <c r="I173" s="2517"/>
      <c r="J173" s="1379"/>
    </row>
    <row r="174" spans="1:10" ht="15">
      <c r="A174" s="2512"/>
      <c r="B174" s="2512"/>
      <c r="C174" s="2528"/>
      <c r="D174" s="2529"/>
      <c r="E174" s="2529"/>
      <c r="F174" s="2529"/>
      <c r="G174" s="2529"/>
      <c r="H174" s="2529"/>
      <c r="I174" s="2517"/>
      <c r="J174" s="1379"/>
    </row>
    <row r="175" spans="1:10" s="1343" customFormat="1" ht="12.75">
      <c r="A175" s="1460" t="s">
        <v>365</v>
      </c>
      <c r="B175" s="1460"/>
      <c r="C175" s="2530"/>
      <c r="D175" s="2530"/>
      <c r="E175" s="2530"/>
      <c r="F175" s="2530"/>
      <c r="G175" s="2530"/>
      <c r="H175" s="2530"/>
      <c r="I175" s="2530"/>
      <c r="J175" s="2500"/>
    </row>
    <row r="176" spans="1:10" s="1343" customFormat="1" ht="12.75">
      <c r="A176" s="2531"/>
      <c r="B176" s="2531"/>
      <c r="C176" s="2532"/>
      <c r="D176" s="2533"/>
      <c r="E176" s="2533"/>
      <c r="F176" s="2533"/>
      <c r="G176" s="2533"/>
      <c r="H176" s="2533"/>
      <c r="I176" s="2533"/>
      <c r="J176" s="2500"/>
    </row>
    <row r="177" spans="1:10" s="1343" customFormat="1" ht="12.75">
      <c r="A177" s="2534" t="s">
        <v>662</v>
      </c>
      <c r="B177" s="2534"/>
      <c r="C177" s="2535"/>
      <c r="D177" s="2535"/>
      <c r="E177" s="2535"/>
      <c r="F177" s="2535"/>
      <c r="G177" s="2535"/>
      <c r="H177" s="2535"/>
      <c r="I177" s="2535"/>
      <c r="J177" s="2500"/>
    </row>
    <row r="178" spans="1:10" s="1343" customFormat="1" ht="15">
      <c r="A178" s="2536" t="s">
        <v>663</v>
      </c>
      <c r="B178" s="2537"/>
      <c r="C178" s="2533"/>
      <c r="D178" s="2533"/>
      <c r="E178" s="2533"/>
      <c r="F178" s="2533"/>
      <c r="G178" s="2533"/>
      <c r="H178" s="2533"/>
      <c r="I178" s="2533"/>
      <c r="J178" s="2500"/>
    </row>
    <row r="179" spans="1:10" s="1343" customFormat="1" ht="12.75">
      <c r="A179" s="2538"/>
      <c r="B179" s="2538"/>
      <c r="C179" s="2539" t="s">
        <v>227</v>
      </c>
      <c r="D179" s="2540"/>
      <c r="E179" s="2539" t="s">
        <v>283</v>
      </c>
      <c r="F179" s="2539" t="s">
        <v>215</v>
      </c>
      <c r="G179" s="2539" t="s">
        <v>228</v>
      </c>
      <c r="H179" s="2539" t="s">
        <v>226</v>
      </c>
      <c r="I179" s="2539" t="s">
        <v>107</v>
      </c>
      <c r="J179" s="2539" t="s">
        <v>229</v>
      </c>
    </row>
    <row r="180" spans="1:10" s="1343" customFormat="1" ht="12.75">
      <c r="A180" s="2538"/>
      <c r="B180" s="2538"/>
      <c r="C180" s="2541"/>
      <c r="D180" s="2500"/>
      <c r="E180" s="2541"/>
      <c r="F180" s="2542" t="s">
        <v>257</v>
      </c>
      <c r="G180" s="2541"/>
      <c r="H180" s="2542"/>
      <c r="I180" s="2542"/>
      <c r="J180" s="2541"/>
    </row>
    <row r="181" spans="1:10" s="1343" customFormat="1" ht="15">
      <c r="A181" s="2536"/>
      <c r="B181" s="2538"/>
      <c r="C181" s="2543"/>
      <c r="D181" s="2500"/>
      <c r="E181" s="2542" t="s">
        <v>282</v>
      </c>
      <c r="F181" s="2542" t="s">
        <v>258</v>
      </c>
      <c r="G181" s="2542" t="s">
        <v>57</v>
      </c>
      <c r="H181" s="2542" t="s">
        <v>61</v>
      </c>
      <c r="I181" s="2542" t="s">
        <v>63</v>
      </c>
      <c r="J181" s="2541"/>
    </row>
    <row r="182" spans="1:10" s="1343" customFormat="1" ht="12.75">
      <c r="A182" s="2538"/>
      <c r="B182" s="2538"/>
      <c r="C182" s="1382"/>
      <c r="D182" s="2500"/>
      <c r="E182" s="2542"/>
      <c r="F182" s="2542" t="s">
        <v>62</v>
      </c>
      <c r="G182" s="2542" t="s">
        <v>62</v>
      </c>
      <c r="H182" s="2542" t="s">
        <v>62</v>
      </c>
      <c r="I182" s="2542" t="s">
        <v>62</v>
      </c>
      <c r="J182" s="2542" t="s">
        <v>208</v>
      </c>
    </row>
    <row r="183" spans="1:10" s="1343" customFormat="1" ht="12.75">
      <c r="A183" s="2544" t="s">
        <v>573</v>
      </c>
      <c r="B183" s="2545"/>
      <c r="C183" s="2546"/>
      <c r="D183" s="2546"/>
      <c r="E183" s="2547"/>
      <c r="F183" s="2548"/>
      <c r="G183" s="2548"/>
      <c r="H183" s="2548"/>
      <c r="I183" s="2548"/>
      <c r="J183" s="2549"/>
    </row>
    <row r="184" spans="1:10" s="1343" customFormat="1" ht="12.75">
      <c r="A184" s="2330" t="s">
        <v>438</v>
      </c>
      <c r="B184" s="2550"/>
      <c r="C184" s="2551"/>
      <c r="D184" s="2551"/>
      <c r="E184" s="2552"/>
      <c r="F184" s="2553"/>
      <c r="G184" s="2553"/>
      <c r="H184" s="2553"/>
      <c r="I184" s="2553"/>
      <c r="J184" s="1835"/>
    </row>
    <row r="185" spans="1:10" s="1343" customFormat="1" ht="12.75">
      <c r="A185" s="2502">
        <v>287960</v>
      </c>
      <c r="B185" s="2304" t="s">
        <v>564</v>
      </c>
      <c r="C185" s="2308" t="s">
        <v>574</v>
      </c>
      <c r="D185" s="2301"/>
      <c r="E185" s="2176">
        <v>-306993377</v>
      </c>
      <c r="F185" s="2175">
        <f>E185</f>
        <v>-306993377</v>
      </c>
      <c r="G185" s="2175">
        <v>0</v>
      </c>
      <c r="H185" s="2175">
        <v>0</v>
      </c>
      <c r="I185" s="2175">
        <v>0</v>
      </c>
      <c r="J185" s="1811" t="s">
        <v>1518</v>
      </c>
    </row>
    <row r="186" spans="1:10" s="1343" customFormat="1" ht="12.75">
      <c r="A186" s="2554"/>
      <c r="B186" s="2304"/>
      <c r="C186" s="2308"/>
      <c r="D186" s="2301"/>
      <c r="E186" s="2176"/>
      <c r="F186" s="2176"/>
      <c r="G186" s="2176"/>
      <c r="H186" s="2176"/>
      <c r="I186" s="2176"/>
      <c r="J186" s="1811"/>
    </row>
    <row r="187" spans="1:10" s="1343" customFormat="1" ht="12.75">
      <c r="A187" s="2310" t="s">
        <v>439</v>
      </c>
      <c r="B187" s="2555"/>
      <c r="C187" s="2555"/>
      <c r="D187" s="2556"/>
      <c r="E187" s="2176"/>
      <c r="F187" s="2176"/>
      <c r="G187" s="2176"/>
      <c r="H187" s="2176"/>
      <c r="I187" s="2176"/>
      <c r="J187" s="2354"/>
    </row>
    <row r="188" spans="1:10" s="1343" customFormat="1" ht="12.75">
      <c r="A188" s="2325" t="s">
        <v>323</v>
      </c>
      <c r="B188" s="2509"/>
      <c r="C188" s="2506"/>
      <c r="D188" s="2510"/>
      <c r="E188" s="2317">
        <f>SUM(E185:E187)</f>
        <v>-306993377</v>
      </c>
      <c r="F188" s="2317">
        <f>SUM(F185:F187)</f>
        <v>-306993377</v>
      </c>
      <c r="G188" s="2317">
        <f>SUM(G185:G187)</f>
        <v>0</v>
      </c>
      <c r="H188" s="2317">
        <f>SUM(H185:H187)</f>
        <v>0</v>
      </c>
      <c r="I188" s="2317">
        <f>SUM(I185:I187)</f>
        <v>0</v>
      </c>
      <c r="J188" s="2548"/>
    </row>
    <row r="189" spans="1:10" s="1343" customFormat="1" ht="12.75">
      <c r="A189" s="2325" t="s">
        <v>198</v>
      </c>
      <c r="B189" s="2509"/>
      <c r="C189" s="2506"/>
      <c r="D189" s="2510"/>
      <c r="E189" s="2176"/>
      <c r="F189" s="2176"/>
      <c r="G189" s="2176"/>
      <c r="H189" s="2176"/>
      <c r="I189" s="2176"/>
      <c r="J189" s="2354"/>
    </row>
    <row r="190" spans="1:10" s="1343" customFormat="1" ht="12.75">
      <c r="A190" s="2325" t="s">
        <v>199</v>
      </c>
      <c r="B190" s="2509"/>
      <c r="C190" s="2506"/>
      <c r="D190" s="2510"/>
      <c r="E190" s="2176"/>
      <c r="F190" s="2176"/>
      <c r="G190" s="2176"/>
      <c r="H190" s="2176"/>
      <c r="I190" s="2176"/>
      <c r="J190" s="2354"/>
    </row>
    <row r="191" spans="1:10" s="1343" customFormat="1" ht="12.75">
      <c r="A191" s="2325" t="s">
        <v>282</v>
      </c>
      <c r="B191" s="2509"/>
      <c r="C191" s="2506"/>
      <c r="D191" s="2510"/>
      <c r="E191" s="2317">
        <f>+E188-E189-E190</f>
        <v>-306993377</v>
      </c>
      <c r="F191" s="2317">
        <f>+F188-F189-F190</f>
        <v>-306993377</v>
      </c>
      <c r="G191" s="2317">
        <f>+G188-G189-G190</f>
        <v>0</v>
      </c>
      <c r="H191" s="2317">
        <f>+H188-H189-H190</f>
        <v>0</v>
      </c>
      <c r="I191" s="2557">
        <f>+I188-I189-I190</f>
        <v>0</v>
      </c>
      <c r="J191" s="2354"/>
    </row>
    <row r="192" spans="1:10" ht="15">
      <c r="A192" s="2558"/>
      <c r="B192" s="2558"/>
      <c r="C192" s="2517"/>
      <c r="D192" s="1382"/>
      <c r="E192" s="1382"/>
      <c r="F192" s="1382"/>
      <c r="G192" s="1382"/>
      <c r="H192" s="1382"/>
      <c r="I192" s="2517"/>
      <c r="J192" s="1379"/>
    </row>
    <row r="193" spans="1:10" s="1343" customFormat="1" ht="12.75">
      <c r="A193" s="2559"/>
      <c r="B193" s="2559"/>
      <c r="C193" s="2518" t="s">
        <v>575</v>
      </c>
      <c r="D193" s="2323"/>
      <c r="E193" s="2323"/>
      <c r="F193" s="2323"/>
      <c r="G193" s="2560"/>
      <c r="H193" s="2561"/>
      <c r="I193" s="2533"/>
      <c r="J193" s="2500"/>
    </row>
    <row r="194" spans="1:10" s="1343" customFormat="1" ht="12.75">
      <c r="A194" s="2559"/>
      <c r="B194" s="2559"/>
      <c r="C194" s="2679" t="s">
        <v>132</v>
      </c>
      <c r="D194" s="2680"/>
      <c r="E194" s="2680"/>
      <c r="F194" s="2680"/>
      <c r="G194" s="2680"/>
      <c r="H194" s="2681"/>
      <c r="I194" s="2533"/>
      <c r="J194" s="2500"/>
    </row>
    <row r="195" spans="1:10" s="1343" customFormat="1" ht="12.75">
      <c r="A195" s="2559"/>
      <c r="B195" s="2559"/>
      <c r="C195" s="2523" t="s">
        <v>133</v>
      </c>
      <c r="D195" s="2355"/>
      <c r="E195" s="2355"/>
      <c r="F195" s="2355"/>
      <c r="G195" s="2562"/>
      <c r="H195" s="2563"/>
      <c r="I195" s="2533"/>
      <c r="J195" s="2500"/>
    </row>
    <row r="196" spans="1:10" s="1343" customFormat="1" ht="12.75">
      <c r="A196" s="2559"/>
      <c r="B196" s="2559"/>
      <c r="C196" s="2523" t="s">
        <v>262</v>
      </c>
      <c r="D196" s="2355"/>
      <c r="E196" s="2355"/>
      <c r="F196" s="2355"/>
      <c r="G196" s="2562"/>
      <c r="H196" s="2563"/>
      <c r="I196" s="2533"/>
      <c r="J196" s="2500"/>
    </row>
    <row r="197" spans="1:10" s="1343" customFormat="1" ht="12.75">
      <c r="A197" s="2559"/>
      <c r="B197" s="2559"/>
      <c r="C197" s="2523" t="s">
        <v>264</v>
      </c>
      <c r="D197" s="2355"/>
      <c r="E197" s="2355"/>
      <c r="F197" s="2355"/>
      <c r="G197" s="2562"/>
      <c r="H197" s="2563"/>
      <c r="I197" s="2533"/>
      <c r="J197" s="2500"/>
    </row>
    <row r="198" spans="1:10" s="1343" customFormat="1" ht="12.75">
      <c r="A198" s="2559"/>
      <c r="B198" s="2559"/>
      <c r="C198" s="2678" t="s">
        <v>18</v>
      </c>
      <c r="D198" s="2676"/>
      <c r="E198" s="2676"/>
      <c r="F198" s="2676"/>
      <c r="G198" s="2676"/>
      <c r="H198" s="2677"/>
      <c r="I198" s="2564"/>
      <c r="J198" s="2500"/>
    </row>
    <row r="199" spans="1:10" s="1343" customFormat="1" ht="12.75">
      <c r="A199" s="2559"/>
      <c r="B199" s="2559"/>
      <c r="C199" s="2524"/>
      <c r="D199" s="2524"/>
      <c r="E199" s="2524"/>
      <c r="F199" s="2524"/>
      <c r="G199" s="2524"/>
      <c r="H199" s="2524"/>
      <c r="I199" s="2564"/>
      <c r="J199" s="2500"/>
    </row>
    <row r="200" spans="1:10" s="1343" customFormat="1" ht="12.75">
      <c r="A200" s="2559"/>
      <c r="B200" s="2559"/>
      <c r="C200" s="2524"/>
      <c r="D200" s="2524"/>
      <c r="E200" s="2524"/>
      <c r="F200" s="2524"/>
      <c r="G200" s="2524"/>
      <c r="H200" s="2524"/>
      <c r="I200" s="2564"/>
      <c r="J200" s="2500"/>
    </row>
    <row r="201" spans="1:10" s="1343" customFormat="1" ht="12.75">
      <c r="A201" s="1460" t="s">
        <v>365</v>
      </c>
      <c r="B201" s="2538"/>
      <c r="C201" s="2565"/>
      <c r="D201" s="2565"/>
      <c r="E201" s="2565"/>
      <c r="F201" s="2565"/>
      <c r="G201" s="2565"/>
      <c r="H201" s="2565"/>
      <c r="I201" s="2564"/>
      <c r="J201" s="2500"/>
    </row>
    <row r="202" spans="1:10" s="1343" customFormat="1" ht="12.75">
      <c r="A202" s="2531"/>
      <c r="B202" s="2538"/>
      <c r="C202" s="2565"/>
      <c r="D202" s="2565"/>
      <c r="E202" s="2565"/>
      <c r="F202" s="2565"/>
      <c r="G202" s="2565"/>
      <c r="H202" s="2565"/>
      <c r="I202" s="2564"/>
      <c r="J202" s="2500"/>
    </row>
    <row r="203" spans="1:10" s="1343" customFormat="1" ht="12.75">
      <c r="A203" s="2534" t="s">
        <v>662</v>
      </c>
      <c r="B203" s="2538"/>
      <c r="C203" s="2565"/>
      <c r="D203" s="2565"/>
      <c r="E203" s="2565"/>
      <c r="F203" s="2565"/>
      <c r="G203" s="2565"/>
      <c r="H203" s="2565"/>
      <c r="I203" s="2564"/>
      <c r="J203" s="2500"/>
    </row>
    <row r="204" spans="1:10" s="1343" customFormat="1" ht="12.75">
      <c r="A204" s="2538"/>
      <c r="B204" s="2538"/>
      <c r="C204" s="2565"/>
      <c r="D204" s="2565"/>
      <c r="E204" s="2565"/>
      <c r="F204" s="2565"/>
      <c r="G204" s="2565"/>
      <c r="H204" s="2565"/>
      <c r="I204" s="2564"/>
      <c r="J204" s="2500"/>
    </row>
    <row r="205" spans="1:10" ht="15">
      <c r="A205" s="2536" t="s">
        <v>542</v>
      </c>
      <c r="B205" s="2566"/>
      <c r="C205" s="2528"/>
      <c r="D205" s="2529"/>
      <c r="E205" s="2529"/>
      <c r="F205" s="2529"/>
      <c r="G205" s="2529"/>
      <c r="H205" s="2529"/>
      <c r="I205" s="2528"/>
      <c r="J205" s="1379"/>
    </row>
    <row r="206" spans="1:10" ht="15">
      <c r="A206" s="2536"/>
      <c r="B206" s="2536"/>
      <c r="C206" s="2517"/>
      <c r="D206" s="1382"/>
      <c r="E206" s="1382"/>
      <c r="F206" s="1382"/>
      <c r="G206" s="1382"/>
      <c r="H206" s="1382"/>
      <c r="I206" s="2517"/>
      <c r="J206" s="1379"/>
    </row>
    <row r="207" spans="1:10" ht="15">
      <c r="A207" s="2567"/>
      <c r="B207" s="2567"/>
      <c r="C207" s="2539" t="s">
        <v>227</v>
      </c>
      <c r="D207" s="2540"/>
      <c r="E207" s="2539" t="s">
        <v>283</v>
      </c>
      <c r="F207" s="2539" t="s">
        <v>215</v>
      </c>
      <c r="G207" s="2539" t="s">
        <v>228</v>
      </c>
      <c r="H207" s="2539" t="s">
        <v>226</v>
      </c>
      <c r="I207" s="2539" t="s">
        <v>107</v>
      </c>
      <c r="J207" s="2539" t="s">
        <v>229</v>
      </c>
    </row>
    <row r="208" spans="1:10" ht="15">
      <c r="A208" s="2567"/>
      <c r="B208" s="2567"/>
      <c r="C208" s="2567"/>
      <c r="D208" s="1379"/>
      <c r="E208" s="2025"/>
      <c r="F208" s="2025" t="s">
        <v>257</v>
      </c>
      <c r="G208" s="2025"/>
      <c r="H208" s="2025"/>
      <c r="I208" s="2025"/>
      <c r="J208" s="2567"/>
    </row>
    <row r="209" spans="1:10" ht="15">
      <c r="A209" s="2536"/>
      <c r="B209" s="2536"/>
      <c r="C209" s="2567"/>
      <c r="D209" s="1379"/>
      <c r="E209" s="2025" t="s">
        <v>282</v>
      </c>
      <c r="F209" s="2025" t="s">
        <v>258</v>
      </c>
      <c r="G209" s="2025" t="s">
        <v>57</v>
      </c>
      <c r="H209" s="2025" t="s">
        <v>61</v>
      </c>
      <c r="I209" s="2025" t="s">
        <v>63</v>
      </c>
      <c r="J209" s="2567"/>
    </row>
    <row r="210" spans="1:10" ht="15">
      <c r="A210" s="2567"/>
      <c r="B210" s="2567"/>
      <c r="C210" s="2567"/>
      <c r="D210" s="1379"/>
      <c r="E210" s="2025"/>
      <c r="F210" s="2025" t="s">
        <v>62</v>
      </c>
      <c r="G210" s="2025" t="s">
        <v>62</v>
      </c>
      <c r="H210" s="2025" t="s">
        <v>62</v>
      </c>
      <c r="I210" s="2025" t="s">
        <v>62</v>
      </c>
      <c r="J210" s="2567" t="s">
        <v>208</v>
      </c>
    </row>
    <row r="211" spans="1:10" ht="15">
      <c r="A211" s="2568" t="s">
        <v>255</v>
      </c>
      <c r="B211" s="2569"/>
      <c r="C211" s="2570"/>
      <c r="D211" s="2571"/>
      <c r="E211" s="2572"/>
      <c r="F211" s="2318"/>
      <c r="G211" s="2318"/>
      <c r="H211" s="2318"/>
      <c r="I211" s="2318"/>
      <c r="J211" s="2573"/>
    </row>
    <row r="212" spans="1:10" ht="39.75" customHeight="1">
      <c r="A212" s="2502">
        <v>287605</v>
      </c>
      <c r="B212" s="2304">
        <v>105.14700000000001</v>
      </c>
      <c r="C212" s="2305" t="s">
        <v>583</v>
      </c>
      <c r="D212" s="2298"/>
      <c r="E212" s="2175">
        <v>-172878</v>
      </c>
      <c r="F212" s="2175">
        <f>E212</f>
        <v>-172878</v>
      </c>
      <c r="G212" s="2175">
        <v>0</v>
      </c>
      <c r="H212" s="2175">
        <v>0</v>
      </c>
      <c r="I212" s="2175">
        <v>0</v>
      </c>
      <c r="J212" s="1789" t="s">
        <v>1241</v>
      </c>
    </row>
    <row r="213" spans="1:10" ht="25.5">
      <c r="A213" s="2502">
        <v>287599</v>
      </c>
      <c r="B213" s="2304">
        <v>105.16</v>
      </c>
      <c r="C213" s="2305" t="s">
        <v>2121</v>
      </c>
      <c r="D213" s="2298"/>
      <c r="E213" s="2175">
        <v>-7381982</v>
      </c>
      <c r="F213" s="2175">
        <f>E213</f>
        <v>-7381982</v>
      </c>
      <c r="G213" s="2175">
        <v>0</v>
      </c>
      <c r="H213" s="2175">
        <v>0</v>
      </c>
      <c r="I213" s="2175">
        <v>0</v>
      </c>
      <c r="J213" s="2497" t="s">
        <v>2147</v>
      </c>
    </row>
    <row r="214" spans="1:10" ht="24.75" customHeight="1">
      <c r="A214" s="2502">
        <v>287766</v>
      </c>
      <c r="B214" s="2304">
        <v>610.101</v>
      </c>
      <c r="C214" s="2305" t="s">
        <v>588</v>
      </c>
      <c r="D214" s="2298"/>
      <c r="E214" s="2175">
        <v>144343</v>
      </c>
      <c r="F214" s="2175">
        <f>E214</f>
        <v>144343</v>
      </c>
      <c r="G214" s="2175">
        <v>0</v>
      </c>
      <c r="H214" s="2175">
        <v>0</v>
      </c>
      <c r="I214" s="2175">
        <v>0</v>
      </c>
      <c r="J214" s="1811" t="s">
        <v>1254</v>
      </c>
    </row>
    <row r="215" spans="1:10" ht="12.75">
      <c r="A215" s="2502">
        <v>287610</v>
      </c>
      <c r="B215" s="2304">
        <v>105.40300000000001</v>
      </c>
      <c r="C215" s="2305" t="s">
        <v>1519</v>
      </c>
      <c r="D215" s="2298"/>
      <c r="E215" s="2175">
        <v>-47380346</v>
      </c>
      <c r="F215" s="2175">
        <f>E215</f>
        <v>-47380346</v>
      </c>
      <c r="G215" s="2175">
        <v>0</v>
      </c>
      <c r="H215" s="2175">
        <v>0</v>
      </c>
      <c r="I215" s="2175">
        <v>0</v>
      </c>
      <c r="J215" s="1789" t="s">
        <v>1225</v>
      </c>
    </row>
    <row r="216" spans="1:10" ht="25.5">
      <c r="A216" s="2502">
        <v>287605</v>
      </c>
      <c r="B216" s="2304">
        <v>105.142</v>
      </c>
      <c r="C216" s="2305" t="s">
        <v>581</v>
      </c>
      <c r="D216" s="2298"/>
      <c r="E216" s="2175">
        <v>231316204</v>
      </c>
      <c r="F216" s="2175">
        <f>E216</f>
        <v>231316204</v>
      </c>
      <c r="G216" s="2175">
        <v>0</v>
      </c>
      <c r="H216" s="2175">
        <v>0</v>
      </c>
      <c r="I216" s="2175">
        <v>0</v>
      </c>
      <c r="J216" s="1789" t="s">
        <v>1239</v>
      </c>
    </row>
    <row r="217" spans="1:10" ht="39.75" customHeight="1">
      <c r="A217" s="2502">
        <v>287704</v>
      </c>
      <c r="B217" s="2304">
        <v>105.143</v>
      </c>
      <c r="C217" s="2305" t="s">
        <v>587</v>
      </c>
      <c r="D217" s="2298"/>
      <c r="E217" s="2175">
        <v>-1541184</v>
      </c>
      <c r="F217" s="2175">
        <v>0</v>
      </c>
      <c r="G217" s="2175">
        <v>0</v>
      </c>
      <c r="H217" s="2175">
        <f>E217</f>
        <v>-1541184</v>
      </c>
      <c r="I217" s="2175">
        <v>0</v>
      </c>
      <c r="J217" s="1789" t="s">
        <v>1252</v>
      </c>
    </row>
    <row r="218" spans="1:10" ht="25.5">
      <c r="A218" s="2502">
        <v>287753</v>
      </c>
      <c r="B218" s="2304">
        <v>110.1</v>
      </c>
      <c r="C218" s="2305" t="s">
        <v>1520</v>
      </c>
      <c r="D218" s="2298"/>
      <c r="E218" s="2175">
        <v>0</v>
      </c>
      <c r="F218" s="2175">
        <f t="shared" ref="F218:F224" si="1">E218</f>
        <v>0</v>
      </c>
      <c r="G218" s="2175">
        <v>0</v>
      </c>
      <c r="H218" s="2175">
        <v>0</v>
      </c>
      <c r="I218" s="2175">
        <v>0</v>
      </c>
      <c r="J218" s="1789" t="s">
        <v>1253</v>
      </c>
    </row>
    <row r="219" spans="1:10" ht="12.75">
      <c r="A219" s="2502">
        <v>287605</v>
      </c>
      <c r="B219" s="2304">
        <v>105.12</v>
      </c>
      <c r="C219" s="2305" t="s">
        <v>576</v>
      </c>
      <c r="D219" s="2298"/>
      <c r="E219" s="2175">
        <v>2965864232</v>
      </c>
      <c r="F219" s="2175">
        <f t="shared" si="1"/>
        <v>2965864232</v>
      </c>
      <c r="G219" s="2175">
        <v>0</v>
      </c>
      <c r="H219" s="2175">
        <v>0</v>
      </c>
      <c r="I219" s="2175">
        <v>0</v>
      </c>
      <c r="J219" s="1789" t="s">
        <v>1229</v>
      </c>
    </row>
    <row r="220" spans="1:10" ht="12.75">
      <c r="A220" s="2502">
        <v>287605</v>
      </c>
      <c r="B220" s="2304">
        <v>105.47</v>
      </c>
      <c r="C220" s="2305" t="s">
        <v>1521</v>
      </c>
      <c r="D220" s="2298"/>
      <c r="E220" s="2175">
        <v>25390878</v>
      </c>
      <c r="F220" s="2175">
        <f t="shared" si="1"/>
        <v>25390878</v>
      </c>
      <c r="G220" s="2175">
        <v>0</v>
      </c>
      <c r="H220" s="2175">
        <v>0</v>
      </c>
      <c r="I220" s="2175">
        <v>0</v>
      </c>
      <c r="J220" s="1789" t="s">
        <v>1247</v>
      </c>
    </row>
    <row r="221" spans="1:10" ht="41.25" customHeight="1">
      <c r="A221" s="2502">
        <v>287605</v>
      </c>
      <c r="B221" s="2304">
        <v>105.146</v>
      </c>
      <c r="C221" s="2305" t="s">
        <v>582</v>
      </c>
      <c r="D221" s="2298"/>
      <c r="E221" s="2175">
        <v>5238233</v>
      </c>
      <c r="F221" s="2175">
        <f t="shared" si="1"/>
        <v>5238233</v>
      </c>
      <c r="G221" s="2175">
        <v>0</v>
      </c>
      <c r="H221" s="2175">
        <v>0</v>
      </c>
      <c r="I221" s="2175">
        <v>0</v>
      </c>
      <c r="J221" s="1789" t="s">
        <v>1240</v>
      </c>
    </row>
    <row r="222" spans="1:10" ht="21" customHeight="1">
      <c r="A222" s="2502">
        <v>287605</v>
      </c>
      <c r="B222" s="2304">
        <v>105.137</v>
      </c>
      <c r="C222" s="2305" t="s">
        <v>579</v>
      </c>
      <c r="D222" s="2298"/>
      <c r="E222" s="2175">
        <v>-24078328</v>
      </c>
      <c r="F222" s="2175">
        <f t="shared" si="1"/>
        <v>-24078328</v>
      </c>
      <c r="G222" s="2175">
        <v>0</v>
      </c>
      <c r="H222" s="2175">
        <v>0</v>
      </c>
      <c r="I222" s="2175">
        <v>0</v>
      </c>
      <c r="J222" s="1789" t="s">
        <v>1236</v>
      </c>
    </row>
    <row r="223" spans="1:10" ht="25.5" customHeight="1">
      <c r="A223" s="2502">
        <v>287605</v>
      </c>
      <c r="B223" s="2304">
        <v>105.1</v>
      </c>
      <c r="C223" s="2305" t="s">
        <v>1522</v>
      </c>
      <c r="D223" s="2298"/>
      <c r="E223" s="2175">
        <v>24587422</v>
      </c>
      <c r="F223" s="2175">
        <f t="shared" si="1"/>
        <v>24587422</v>
      </c>
      <c r="G223" s="2175">
        <v>0</v>
      </c>
      <c r="H223" s="2175">
        <v>0</v>
      </c>
      <c r="I223" s="2175">
        <v>0</v>
      </c>
      <c r="J223" s="1789" t="s">
        <v>1226</v>
      </c>
    </row>
    <row r="224" spans="1:10" ht="25.5">
      <c r="A224" s="2502">
        <v>287605</v>
      </c>
      <c r="B224" s="2304">
        <v>105.101</v>
      </c>
      <c r="C224" s="2305" t="s">
        <v>1523</v>
      </c>
      <c r="D224" s="2298"/>
      <c r="E224" s="2175">
        <v>2415886</v>
      </c>
      <c r="F224" s="2175">
        <f t="shared" si="1"/>
        <v>2415886</v>
      </c>
      <c r="G224" s="2175">
        <v>0</v>
      </c>
      <c r="H224" s="2175">
        <v>0</v>
      </c>
      <c r="I224" s="2175">
        <v>0</v>
      </c>
      <c r="J224" s="1789" t="s">
        <v>1227</v>
      </c>
    </row>
    <row r="225" spans="1:10" ht="12.75">
      <c r="A225" s="2502">
        <v>287605</v>
      </c>
      <c r="B225" s="2307"/>
      <c r="C225" s="2308" t="s">
        <v>673</v>
      </c>
      <c r="D225" s="2301"/>
      <c r="E225" s="2176">
        <f>SUM(F225:I225)</f>
        <v>0</v>
      </c>
      <c r="F225" s="2175">
        <v>1082027566</v>
      </c>
      <c r="G225" s="2175">
        <f>-F225</f>
        <v>-1082027566</v>
      </c>
      <c r="H225" s="2175">
        <v>0</v>
      </c>
      <c r="I225" s="2175">
        <v>0</v>
      </c>
      <c r="J225" s="1789" t="s">
        <v>1250</v>
      </c>
    </row>
    <row r="226" spans="1:10" ht="12.75">
      <c r="A226" s="2502">
        <v>287605</v>
      </c>
      <c r="B226" s="2307"/>
      <c r="C226" s="2308" t="s">
        <v>674</v>
      </c>
      <c r="D226" s="2301"/>
      <c r="E226" s="2176">
        <f>SUM(F226:I226)</f>
        <v>0</v>
      </c>
      <c r="F226" s="2175">
        <v>50466876</v>
      </c>
      <c r="G226" s="2175">
        <v>0</v>
      </c>
      <c r="H226" s="2175">
        <v>0</v>
      </c>
      <c r="I226" s="2175">
        <f>-F226</f>
        <v>-50466876</v>
      </c>
      <c r="J226" s="1789" t="s">
        <v>1370</v>
      </c>
    </row>
    <row r="227" spans="1:10" ht="12.75">
      <c r="A227" s="2502">
        <v>287605</v>
      </c>
      <c r="B227" s="2307"/>
      <c r="C227" s="2308" t="s">
        <v>675</v>
      </c>
      <c r="D227" s="2301"/>
      <c r="E227" s="2176">
        <f>SUM(F227:I227)</f>
        <v>0</v>
      </c>
      <c r="F227" s="2175">
        <v>189026852</v>
      </c>
      <c r="G227" s="2175">
        <v>0</v>
      </c>
      <c r="H227" s="2175">
        <v>0</v>
      </c>
      <c r="I227" s="2175">
        <f>-F227</f>
        <v>-189026852</v>
      </c>
      <c r="J227" s="1789" t="s">
        <v>1371</v>
      </c>
    </row>
    <row r="228" spans="1:10" ht="27" customHeight="1">
      <c r="A228" s="2502">
        <v>287608</v>
      </c>
      <c r="B228" s="2304">
        <v>105.22199999999999</v>
      </c>
      <c r="C228" s="2305" t="s">
        <v>1524</v>
      </c>
      <c r="D228" s="2298"/>
      <c r="E228" s="2175">
        <v>-3544255</v>
      </c>
      <c r="F228" s="2175">
        <v>0</v>
      </c>
      <c r="G228" s="2175">
        <v>0</v>
      </c>
      <c r="H228" s="2175">
        <f>E228</f>
        <v>-3544255</v>
      </c>
      <c r="I228" s="2175">
        <v>0</v>
      </c>
      <c r="J228" s="1789" t="s">
        <v>1218</v>
      </c>
    </row>
    <row r="229" spans="1:10" ht="27" customHeight="1">
      <c r="A229" s="2502">
        <v>287608</v>
      </c>
      <c r="B229" s="2304">
        <v>105.223</v>
      </c>
      <c r="C229" s="2305" t="s">
        <v>1525</v>
      </c>
      <c r="D229" s="2298"/>
      <c r="E229" s="2175">
        <v>1222372</v>
      </c>
      <c r="F229" s="2175">
        <v>0</v>
      </c>
      <c r="G229" s="2175">
        <v>0</v>
      </c>
      <c r="H229" s="2175">
        <f>+E229</f>
        <v>1222372</v>
      </c>
      <c r="I229" s="2175">
        <v>0</v>
      </c>
      <c r="J229" s="1789" t="s">
        <v>1251</v>
      </c>
    </row>
    <row r="230" spans="1:10" ht="51">
      <c r="A230" s="2502">
        <v>287605</v>
      </c>
      <c r="B230" s="2304">
        <v>105.16500000000001</v>
      </c>
      <c r="C230" s="2305" t="s">
        <v>584</v>
      </c>
      <c r="D230" s="2298"/>
      <c r="E230" s="2175">
        <v>-4834889</v>
      </c>
      <c r="F230" s="2175">
        <f t="shared" ref="F230:F243" si="2">E230</f>
        <v>-4834889</v>
      </c>
      <c r="G230" s="2175">
        <v>0</v>
      </c>
      <c r="H230" s="2175">
        <v>0</v>
      </c>
      <c r="I230" s="2175">
        <v>0</v>
      </c>
      <c r="J230" s="1789" t="s">
        <v>1244</v>
      </c>
    </row>
    <row r="231" spans="1:10" ht="51.75" customHeight="1">
      <c r="A231" s="2502">
        <v>287605</v>
      </c>
      <c r="B231" s="2304">
        <v>105.17</v>
      </c>
      <c r="C231" s="2305" t="s">
        <v>1526</v>
      </c>
      <c r="D231" s="2298"/>
      <c r="E231" s="2175">
        <v>-5858660</v>
      </c>
      <c r="F231" s="2175">
        <f t="shared" si="2"/>
        <v>-5858660</v>
      </c>
      <c r="G231" s="2175">
        <v>0</v>
      </c>
      <c r="H231" s="2175">
        <v>0</v>
      </c>
      <c r="I231" s="2175">
        <v>0</v>
      </c>
      <c r="J231" s="1789" t="s">
        <v>2141</v>
      </c>
    </row>
    <row r="232" spans="1:10" ht="25.5">
      <c r="A232" s="2502">
        <v>287605</v>
      </c>
      <c r="B232" s="2304">
        <v>105.15300000000001</v>
      </c>
      <c r="C232" s="2305" t="s">
        <v>1898</v>
      </c>
      <c r="D232" s="2298"/>
      <c r="E232" s="2175">
        <v>-331401</v>
      </c>
      <c r="F232" s="2175">
        <f t="shared" si="2"/>
        <v>-331401</v>
      </c>
      <c r="G232" s="2175">
        <v>0</v>
      </c>
      <c r="H232" s="2175">
        <v>0</v>
      </c>
      <c r="I232" s="2175">
        <v>0</v>
      </c>
      <c r="J232" s="2497" t="s">
        <v>1897</v>
      </c>
    </row>
    <row r="233" spans="1:10" ht="24.75" customHeight="1">
      <c r="A233" s="2502">
        <v>287605</v>
      </c>
      <c r="B233" s="2304">
        <v>105.151</v>
      </c>
      <c r="C233" s="2305" t="s">
        <v>1896</v>
      </c>
      <c r="D233" s="2298"/>
      <c r="E233" s="2175">
        <v>-2007594</v>
      </c>
      <c r="F233" s="2175">
        <f t="shared" si="2"/>
        <v>-2007594</v>
      </c>
      <c r="G233" s="2175">
        <v>0</v>
      </c>
      <c r="H233" s="2175">
        <v>0</v>
      </c>
      <c r="I233" s="2175">
        <v>0</v>
      </c>
      <c r="J233" s="2497" t="s">
        <v>1895</v>
      </c>
    </row>
    <row r="234" spans="1:10" ht="15" customHeight="1">
      <c r="A234" s="2502">
        <v>287605</v>
      </c>
      <c r="B234" s="2304">
        <v>105.13</v>
      </c>
      <c r="C234" s="2305" t="s">
        <v>1527</v>
      </c>
      <c r="D234" s="2298"/>
      <c r="E234" s="2175">
        <v>314856558</v>
      </c>
      <c r="F234" s="2175">
        <f t="shared" si="2"/>
        <v>314856558</v>
      </c>
      <c r="G234" s="2175">
        <v>0</v>
      </c>
      <c r="H234" s="2175">
        <v>0</v>
      </c>
      <c r="I234" s="2175">
        <v>0</v>
      </c>
      <c r="J234" s="1789" t="s">
        <v>1233</v>
      </c>
    </row>
    <row r="235" spans="1:10" ht="39.75" customHeight="1">
      <c r="A235" s="2502">
        <v>287605</v>
      </c>
      <c r="B235" s="2304">
        <v>105.175</v>
      </c>
      <c r="C235" s="2305" t="s">
        <v>1528</v>
      </c>
      <c r="D235" s="2298"/>
      <c r="E235" s="2175">
        <v>-263071040</v>
      </c>
      <c r="F235" s="2175">
        <f t="shared" si="2"/>
        <v>-263071040</v>
      </c>
      <c r="G235" s="2175">
        <v>0</v>
      </c>
      <c r="H235" s="2175">
        <v>0</v>
      </c>
      <c r="I235" s="2175">
        <v>0</v>
      </c>
      <c r="J235" s="1789" t="s">
        <v>1246</v>
      </c>
    </row>
    <row r="236" spans="1:10" ht="100.5" customHeight="1">
      <c r="A236" s="2502">
        <v>287224</v>
      </c>
      <c r="B236" s="2304">
        <v>145.03</v>
      </c>
      <c r="C236" s="2305" t="s">
        <v>1751</v>
      </c>
      <c r="D236" s="2298"/>
      <c r="E236" s="2175">
        <v>582847</v>
      </c>
      <c r="F236" s="2175">
        <f t="shared" si="2"/>
        <v>582847</v>
      </c>
      <c r="G236" s="2175">
        <v>0</v>
      </c>
      <c r="H236" s="2175">
        <v>0</v>
      </c>
      <c r="I236" s="2175">
        <v>0</v>
      </c>
      <c r="J236" s="1789" t="s">
        <v>2142</v>
      </c>
    </row>
    <row r="237" spans="1:10" ht="66.75" customHeight="1">
      <c r="A237" s="2502">
        <v>287605</v>
      </c>
      <c r="B237" s="2304">
        <v>105.14100000000001</v>
      </c>
      <c r="C237" s="2305" t="s">
        <v>1529</v>
      </c>
      <c r="D237" s="2298"/>
      <c r="E237" s="2175">
        <v>-240404737</v>
      </c>
      <c r="F237" s="2175">
        <f t="shared" si="2"/>
        <v>-240404737</v>
      </c>
      <c r="G237" s="2175">
        <v>0</v>
      </c>
      <c r="H237" s="2175">
        <v>0</v>
      </c>
      <c r="I237" s="2175">
        <v>0</v>
      </c>
      <c r="J237" s="1789" t="s">
        <v>1238</v>
      </c>
    </row>
    <row r="238" spans="1:10" ht="51.75" customHeight="1">
      <c r="A238" s="2502">
        <v>287605</v>
      </c>
      <c r="B238" s="2304">
        <v>105.11499999999999</v>
      </c>
      <c r="C238" s="2305" t="s">
        <v>1530</v>
      </c>
      <c r="D238" s="2298"/>
      <c r="E238" s="2175">
        <v>-107492703</v>
      </c>
      <c r="F238" s="2175">
        <f t="shared" si="2"/>
        <v>-107492703</v>
      </c>
      <c r="G238" s="2175">
        <v>0</v>
      </c>
      <c r="H238" s="2175">
        <v>0</v>
      </c>
      <c r="I238" s="2175">
        <v>0</v>
      </c>
      <c r="J238" s="1789" t="s">
        <v>1228</v>
      </c>
    </row>
    <row r="239" spans="1:10" ht="63" customHeight="1">
      <c r="A239" s="2502">
        <v>287605</v>
      </c>
      <c r="B239" s="2304">
        <v>105.139</v>
      </c>
      <c r="C239" s="2305" t="s">
        <v>1656</v>
      </c>
      <c r="D239" s="2298"/>
      <c r="E239" s="2175">
        <v>-102660353</v>
      </c>
      <c r="F239" s="2175">
        <f t="shared" si="2"/>
        <v>-102660353</v>
      </c>
      <c r="G239" s="2175">
        <v>0</v>
      </c>
      <c r="H239" s="2175">
        <v>0</v>
      </c>
      <c r="I239" s="2175">
        <v>0</v>
      </c>
      <c r="J239" s="1811" t="s">
        <v>1238</v>
      </c>
    </row>
    <row r="240" spans="1:10" ht="37.5" customHeight="1">
      <c r="A240" s="2502">
        <v>287928</v>
      </c>
      <c r="B240" s="2304">
        <v>425.31</v>
      </c>
      <c r="C240" s="2305" t="s">
        <v>1302</v>
      </c>
      <c r="D240" s="2298"/>
      <c r="E240" s="2175">
        <v>-7223964</v>
      </c>
      <c r="F240" s="2175">
        <f t="shared" si="2"/>
        <v>-7223964</v>
      </c>
      <c r="G240" s="2175">
        <v>0</v>
      </c>
      <c r="H240" s="2175">
        <v>0</v>
      </c>
      <c r="I240" s="2175">
        <v>0</v>
      </c>
      <c r="J240" s="1811" t="s">
        <v>1753</v>
      </c>
    </row>
    <row r="241" spans="1:10" ht="12.75">
      <c r="A241" s="2502">
        <v>287605</v>
      </c>
      <c r="B241" s="2304" t="s">
        <v>564</v>
      </c>
      <c r="C241" s="2305" t="s">
        <v>1531</v>
      </c>
      <c r="D241" s="2298"/>
      <c r="E241" s="2175">
        <v>0</v>
      </c>
      <c r="F241" s="2175">
        <f t="shared" si="2"/>
        <v>0</v>
      </c>
      <c r="G241" s="2175">
        <v>0</v>
      </c>
      <c r="H241" s="2175">
        <v>0</v>
      </c>
      <c r="I241" s="2175">
        <v>0</v>
      </c>
      <c r="J241" s="1789" t="s">
        <v>1185</v>
      </c>
    </row>
    <row r="242" spans="1:10" ht="12.75">
      <c r="A242" s="2502">
        <v>287605</v>
      </c>
      <c r="B242" s="2304">
        <v>105.125</v>
      </c>
      <c r="C242" s="2305" t="s">
        <v>578</v>
      </c>
      <c r="D242" s="2298"/>
      <c r="E242" s="2175">
        <v>-6570492708</v>
      </c>
      <c r="F242" s="2175">
        <f t="shared" si="2"/>
        <v>-6570492708</v>
      </c>
      <c r="G242" s="2175">
        <v>0</v>
      </c>
      <c r="H242" s="2175">
        <v>0</v>
      </c>
      <c r="I242" s="2175">
        <v>0</v>
      </c>
      <c r="J242" s="1789" t="s">
        <v>1232</v>
      </c>
    </row>
    <row r="243" spans="1:10" ht="12.75">
      <c r="A243" s="2502">
        <v>287605</v>
      </c>
      <c r="B243" s="2304">
        <v>105.152</v>
      </c>
      <c r="C243" s="2305" t="s">
        <v>1663</v>
      </c>
      <c r="D243" s="2298"/>
      <c r="E243" s="2175">
        <v>-85512735</v>
      </c>
      <c r="F243" s="2175">
        <f t="shared" si="2"/>
        <v>-85512735</v>
      </c>
      <c r="G243" s="2175">
        <v>0</v>
      </c>
      <c r="H243" s="2175">
        <v>0</v>
      </c>
      <c r="I243" s="2175">
        <v>0</v>
      </c>
      <c r="J243" s="1789" t="s">
        <v>1243</v>
      </c>
    </row>
    <row r="244" spans="1:10" ht="42" customHeight="1">
      <c r="A244" s="2502">
        <v>287605</v>
      </c>
      <c r="B244" s="2304">
        <v>105.129</v>
      </c>
      <c r="C244" s="2305" t="s">
        <v>1532</v>
      </c>
      <c r="D244" s="2298"/>
      <c r="E244" s="2175">
        <v>19374777</v>
      </c>
      <c r="F244" s="2175">
        <v>0</v>
      </c>
      <c r="G244" s="2175">
        <v>0</v>
      </c>
      <c r="H244" s="2175">
        <f>+E244</f>
        <v>19374777</v>
      </c>
      <c r="I244" s="2175">
        <v>0</v>
      </c>
      <c r="J244" s="1789" t="s">
        <v>1255</v>
      </c>
    </row>
    <row r="245" spans="1:10" ht="40.5" customHeight="1">
      <c r="A245" s="2502">
        <v>287605</v>
      </c>
      <c r="B245" s="2304">
        <v>105.148</v>
      </c>
      <c r="C245" s="2305" t="s">
        <v>1533</v>
      </c>
      <c r="D245" s="2298"/>
      <c r="E245" s="2175">
        <v>-473124</v>
      </c>
      <c r="F245" s="2175">
        <f t="shared" ref="F245:F265" si="3">E245</f>
        <v>-473124</v>
      </c>
      <c r="G245" s="2175">
        <v>0</v>
      </c>
      <c r="H245" s="2175">
        <v>0</v>
      </c>
      <c r="I245" s="2175">
        <v>0</v>
      </c>
      <c r="J245" s="1789" t="s">
        <v>1242</v>
      </c>
    </row>
    <row r="246" spans="1:10" ht="12.75">
      <c r="A246" s="2502">
        <v>287929</v>
      </c>
      <c r="B246" s="2304">
        <v>105.46</v>
      </c>
      <c r="C246" s="2305" t="s">
        <v>1534</v>
      </c>
      <c r="D246" s="2298"/>
      <c r="E246" s="2175">
        <v>-352661298</v>
      </c>
      <c r="F246" s="2175">
        <f t="shared" si="3"/>
        <v>-352661298</v>
      </c>
      <c r="G246" s="2175">
        <v>0</v>
      </c>
      <c r="H246" s="2175">
        <v>0</v>
      </c>
      <c r="I246" s="2175">
        <v>0</v>
      </c>
      <c r="J246" s="1789" t="s">
        <v>1225</v>
      </c>
    </row>
    <row r="247" spans="1:10" ht="25.5">
      <c r="A247" s="2502">
        <v>287740</v>
      </c>
      <c r="B247" s="2304">
        <v>110.2</v>
      </c>
      <c r="C247" s="2305" t="s">
        <v>1535</v>
      </c>
      <c r="D247" s="2298"/>
      <c r="E247" s="2175">
        <v>0</v>
      </c>
      <c r="F247" s="2175">
        <f t="shared" si="3"/>
        <v>0</v>
      </c>
      <c r="G247" s="2175">
        <v>0</v>
      </c>
      <c r="H247" s="2175">
        <v>0</v>
      </c>
      <c r="I247" s="2175">
        <v>0</v>
      </c>
      <c r="J247" s="1789" t="s">
        <v>1253</v>
      </c>
    </row>
    <row r="248" spans="1:10" ht="54" customHeight="1">
      <c r="A248" s="2502">
        <v>287605</v>
      </c>
      <c r="B248" s="2304">
        <v>320.20999999999998</v>
      </c>
      <c r="C248" s="2305" t="s">
        <v>585</v>
      </c>
      <c r="D248" s="2298"/>
      <c r="E248" s="2175">
        <v>-11916233</v>
      </c>
      <c r="F248" s="2175">
        <f t="shared" si="3"/>
        <v>-11916233</v>
      </c>
      <c r="G248" s="2175">
        <v>0</v>
      </c>
      <c r="H248" s="2175">
        <v>0</v>
      </c>
      <c r="I248" s="2175">
        <v>0</v>
      </c>
      <c r="J248" s="1789" t="s">
        <v>2143</v>
      </c>
    </row>
    <row r="249" spans="1:10" ht="51" customHeight="1">
      <c r="A249" s="2502">
        <v>287648</v>
      </c>
      <c r="B249" s="2304">
        <v>100.12</v>
      </c>
      <c r="C249" s="2305" t="s">
        <v>1536</v>
      </c>
      <c r="D249" s="2298"/>
      <c r="E249" s="2175">
        <v>-261127630</v>
      </c>
      <c r="F249" s="2175">
        <f t="shared" si="3"/>
        <v>-261127630</v>
      </c>
      <c r="G249" s="2175">
        <v>0</v>
      </c>
      <c r="H249" s="2175">
        <v>0</v>
      </c>
      <c r="I249" s="2175">
        <v>0</v>
      </c>
      <c r="J249" s="1789" t="s">
        <v>1228</v>
      </c>
    </row>
    <row r="250" spans="1:10" ht="50.25" customHeight="1">
      <c r="A250" s="2502">
        <v>287605</v>
      </c>
      <c r="B250" s="2304">
        <v>100.11</v>
      </c>
      <c r="C250" s="2305" t="s">
        <v>1754</v>
      </c>
      <c r="D250" s="2298"/>
      <c r="E250" s="2175">
        <v>-46635</v>
      </c>
      <c r="F250" s="2175">
        <f t="shared" si="3"/>
        <v>-46635</v>
      </c>
      <c r="G250" s="2175">
        <v>0</v>
      </c>
      <c r="H250" s="2175">
        <v>0</v>
      </c>
      <c r="I250" s="2175">
        <v>0</v>
      </c>
      <c r="J250" s="1789" t="s">
        <v>1755</v>
      </c>
    </row>
    <row r="251" spans="1:10" ht="26.25" customHeight="1">
      <c r="A251" s="2502">
        <v>287605</v>
      </c>
      <c r="B251" s="2304">
        <v>105.158</v>
      </c>
      <c r="C251" s="2305" t="s">
        <v>2122</v>
      </c>
      <c r="D251" s="2298"/>
      <c r="E251" s="2175">
        <v>298980</v>
      </c>
      <c r="F251" s="2175">
        <v>0</v>
      </c>
      <c r="G251" s="2175">
        <v>0</v>
      </c>
      <c r="H251" s="2175">
        <v>0</v>
      </c>
      <c r="I251" s="2175">
        <f>E251</f>
        <v>298980</v>
      </c>
      <c r="J251" s="2497" t="s">
        <v>2148</v>
      </c>
    </row>
    <row r="252" spans="1:10" ht="25.5">
      <c r="A252" s="2502">
        <v>287605</v>
      </c>
      <c r="B252" s="2304">
        <v>105.15900000000001</v>
      </c>
      <c r="C252" s="2305" t="s">
        <v>2123</v>
      </c>
      <c r="D252" s="2298"/>
      <c r="E252" s="2175">
        <v>7082992</v>
      </c>
      <c r="F252" s="2175">
        <v>0</v>
      </c>
      <c r="G252" s="2175">
        <f>+E252</f>
        <v>7082992</v>
      </c>
      <c r="H252" s="2175">
        <v>0</v>
      </c>
      <c r="I252" s="2175">
        <v>0</v>
      </c>
      <c r="J252" s="2497" t="s">
        <v>2148</v>
      </c>
    </row>
    <row r="253" spans="1:10" ht="25.5">
      <c r="A253" s="2502">
        <v>287605</v>
      </c>
      <c r="B253" s="2304">
        <v>105.131</v>
      </c>
      <c r="C253" s="2305" t="s">
        <v>586</v>
      </c>
      <c r="D253" s="2298"/>
      <c r="E253" s="2175">
        <v>306993377</v>
      </c>
      <c r="F253" s="2175">
        <f t="shared" si="3"/>
        <v>306993377</v>
      </c>
      <c r="G253" s="2175">
        <v>0</v>
      </c>
      <c r="H253" s="2175">
        <v>0</v>
      </c>
      <c r="I253" s="2175">
        <v>0</v>
      </c>
      <c r="J253" s="1789" t="s">
        <v>1249</v>
      </c>
    </row>
    <row r="254" spans="1:10" ht="52.5" customHeight="1">
      <c r="A254" s="2502">
        <v>287605</v>
      </c>
      <c r="B254" s="2304">
        <v>105.14</v>
      </c>
      <c r="C254" s="2305" t="s">
        <v>580</v>
      </c>
      <c r="D254" s="2298"/>
      <c r="E254" s="2175">
        <v>31988058</v>
      </c>
      <c r="F254" s="2175">
        <f t="shared" si="3"/>
        <v>31988058</v>
      </c>
      <c r="G254" s="2175">
        <v>0</v>
      </c>
      <c r="H254" s="2175">
        <v>0</v>
      </c>
      <c r="I254" s="2175">
        <v>0</v>
      </c>
      <c r="J254" s="1789" t="s">
        <v>1237</v>
      </c>
    </row>
    <row r="255" spans="1:10" ht="38.25">
      <c r="A255" s="2502">
        <v>287605</v>
      </c>
      <c r="B255" s="2304">
        <v>105.122</v>
      </c>
      <c r="C255" s="2305" t="s">
        <v>1537</v>
      </c>
      <c r="D255" s="2298"/>
      <c r="E255" s="2175">
        <v>-479472754</v>
      </c>
      <c r="F255" s="2175">
        <f t="shared" si="3"/>
        <v>-479472754</v>
      </c>
      <c r="G255" s="2175">
        <v>0</v>
      </c>
      <c r="H255" s="2175">
        <v>0</v>
      </c>
      <c r="I255" s="2175">
        <v>0</v>
      </c>
      <c r="J255" s="1789" t="s">
        <v>1230</v>
      </c>
    </row>
    <row r="256" spans="1:10" ht="49.5" customHeight="1">
      <c r="A256" s="2502">
        <v>287221</v>
      </c>
      <c r="B256" s="2304">
        <v>415.93299999999999</v>
      </c>
      <c r="C256" s="2305" t="s">
        <v>1756</v>
      </c>
      <c r="D256" s="2298"/>
      <c r="E256" s="2175">
        <v>-473513</v>
      </c>
      <c r="F256" s="2175">
        <f t="shared" si="3"/>
        <v>-473513</v>
      </c>
      <c r="G256" s="2175">
        <v>0</v>
      </c>
      <c r="H256" s="2175">
        <v>0</v>
      </c>
      <c r="I256" s="2175">
        <v>0</v>
      </c>
      <c r="J256" s="1789" t="s">
        <v>1757</v>
      </c>
    </row>
    <row r="257" spans="1:10" ht="49.5" customHeight="1">
      <c r="A257" s="2502">
        <v>287222</v>
      </c>
      <c r="B257" s="2304">
        <v>415.93400000000003</v>
      </c>
      <c r="C257" s="2305" t="s">
        <v>1758</v>
      </c>
      <c r="D257" s="2298"/>
      <c r="E257" s="2175">
        <v>-3425271</v>
      </c>
      <c r="F257" s="2175">
        <f t="shared" si="3"/>
        <v>-3425271</v>
      </c>
      <c r="G257" s="2175">
        <v>0</v>
      </c>
      <c r="H257" s="2175">
        <v>0</v>
      </c>
      <c r="I257" s="2175">
        <v>0</v>
      </c>
      <c r="J257" s="1789" t="s">
        <v>1759</v>
      </c>
    </row>
    <row r="258" spans="1:10" ht="52.5" customHeight="1">
      <c r="A258" s="2502">
        <v>287223</v>
      </c>
      <c r="B258" s="2304">
        <v>415.935</v>
      </c>
      <c r="C258" s="2305" t="s">
        <v>1760</v>
      </c>
      <c r="D258" s="2298"/>
      <c r="E258" s="2175">
        <v>-812494</v>
      </c>
      <c r="F258" s="2175">
        <f t="shared" si="3"/>
        <v>-812494</v>
      </c>
      <c r="G258" s="2175">
        <v>0</v>
      </c>
      <c r="H258" s="2175">
        <v>0</v>
      </c>
      <c r="I258" s="2175">
        <v>0</v>
      </c>
      <c r="J258" s="1789" t="s">
        <v>1761</v>
      </c>
    </row>
    <row r="259" spans="1:10" ht="12.75">
      <c r="A259" s="2502">
        <v>287313</v>
      </c>
      <c r="B259" s="2304">
        <v>105.45</v>
      </c>
      <c r="C259" s="2305" t="s">
        <v>1538</v>
      </c>
      <c r="D259" s="2298"/>
      <c r="E259" s="2175">
        <v>352661298</v>
      </c>
      <c r="F259" s="2175">
        <f t="shared" si="3"/>
        <v>352661298</v>
      </c>
      <c r="G259" s="2175">
        <v>0</v>
      </c>
      <c r="H259" s="2175">
        <v>0</v>
      </c>
      <c r="I259" s="2175">
        <v>0</v>
      </c>
      <c r="J259" s="1789" t="s">
        <v>1225</v>
      </c>
    </row>
    <row r="260" spans="1:10" ht="25.5">
      <c r="A260" s="2502">
        <v>287605</v>
      </c>
      <c r="B260" s="2304">
        <v>105.13500000000001</v>
      </c>
      <c r="C260" s="2305" t="s">
        <v>1234</v>
      </c>
      <c r="D260" s="2298"/>
      <c r="E260" s="2175">
        <v>333341</v>
      </c>
      <c r="F260" s="2175">
        <f t="shared" si="3"/>
        <v>333341</v>
      </c>
      <c r="G260" s="2175">
        <v>0</v>
      </c>
      <c r="H260" s="2175">
        <v>0</v>
      </c>
      <c r="I260" s="2175">
        <v>0</v>
      </c>
      <c r="J260" s="1789" t="s">
        <v>1235</v>
      </c>
    </row>
    <row r="261" spans="1:10" ht="89.25" customHeight="1">
      <c r="A261" s="2502">
        <v>287605</v>
      </c>
      <c r="B261" s="2304">
        <v>105.123</v>
      </c>
      <c r="C261" s="2305" t="s">
        <v>577</v>
      </c>
      <c r="D261" s="2298"/>
      <c r="E261" s="2175">
        <v>-238585871</v>
      </c>
      <c r="F261" s="2175">
        <f t="shared" si="3"/>
        <v>-238585871</v>
      </c>
      <c r="G261" s="2175">
        <v>0</v>
      </c>
      <c r="H261" s="2175">
        <v>0</v>
      </c>
      <c r="I261" s="2175">
        <v>0</v>
      </c>
      <c r="J261" s="1789" t="s">
        <v>1231</v>
      </c>
    </row>
    <row r="262" spans="1:10" ht="54" customHeight="1">
      <c r="A262" s="2502">
        <v>287605</v>
      </c>
      <c r="B262" s="2304">
        <v>105.116</v>
      </c>
      <c r="C262" s="2305" t="s">
        <v>1762</v>
      </c>
      <c r="D262" s="2298"/>
      <c r="E262" s="2175">
        <v>-6628</v>
      </c>
      <c r="F262" s="2175">
        <f t="shared" si="3"/>
        <v>-6628</v>
      </c>
      <c r="G262" s="2175">
        <v>0</v>
      </c>
      <c r="H262" s="2175">
        <v>0</v>
      </c>
      <c r="I262" s="2175">
        <v>0</v>
      </c>
      <c r="J262" s="1789" t="s">
        <v>1763</v>
      </c>
    </row>
    <row r="263" spans="1:10" ht="25.5">
      <c r="A263" s="2502">
        <v>287771</v>
      </c>
      <c r="B263" s="2304">
        <v>110.205</v>
      </c>
      <c r="C263" s="2305" t="s">
        <v>589</v>
      </c>
      <c r="D263" s="2298"/>
      <c r="E263" s="2175">
        <v>262597</v>
      </c>
      <c r="F263" s="2175">
        <f t="shared" si="3"/>
        <v>262597</v>
      </c>
      <c r="G263" s="2175">
        <v>0</v>
      </c>
      <c r="H263" s="2175">
        <v>0</v>
      </c>
      <c r="I263" s="2175">
        <v>0</v>
      </c>
      <c r="J263" s="1789" t="s">
        <v>1253</v>
      </c>
    </row>
    <row r="264" spans="1:10" s="1343" customFormat="1" ht="12.75">
      <c r="A264" s="2502">
        <v>287301</v>
      </c>
      <c r="B264" s="2304">
        <v>105.471</v>
      </c>
      <c r="C264" s="2305" t="s">
        <v>1539</v>
      </c>
      <c r="D264" s="2298"/>
      <c r="E264" s="2175">
        <v>13399273</v>
      </c>
      <c r="F264" s="2175">
        <f t="shared" si="3"/>
        <v>13399273</v>
      </c>
      <c r="G264" s="2175">
        <v>0</v>
      </c>
      <c r="H264" s="2175">
        <v>0</v>
      </c>
      <c r="I264" s="2175">
        <v>0</v>
      </c>
      <c r="J264" s="1789" t="s">
        <v>1805</v>
      </c>
    </row>
    <row r="265" spans="1:10" s="1343" customFormat="1" ht="15">
      <c r="A265" s="2310"/>
      <c r="B265" s="2310" t="s">
        <v>439</v>
      </c>
      <c r="C265" s="2569"/>
      <c r="D265" s="2571"/>
      <c r="E265" s="2176">
        <v>-3</v>
      </c>
      <c r="F265" s="2176">
        <f t="shared" si="3"/>
        <v>-3</v>
      </c>
      <c r="G265" s="2176"/>
      <c r="H265" s="2176"/>
      <c r="I265" s="2176"/>
      <c r="J265" s="2177"/>
    </row>
    <row r="266" spans="1:10" ht="12.75">
      <c r="A266" s="2313" t="s">
        <v>323</v>
      </c>
      <c r="B266" s="2574"/>
      <c r="C266" s="2506"/>
      <c r="D266" s="2510"/>
      <c r="E266" s="2317">
        <f>SUM(E212:E265)</f>
        <v>-4518977543</v>
      </c>
      <c r="F266" s="2317">
        <f>SUM(F212:F265)</f>
        <v>-3220349931</v>
      </c>
      <c r="G266" s="2317">
        <f>SUM(G212:G264)</f>
        <v>-1074944574</v>
      </c>
      <c r="H266" s="2317">
        <f>SUM(H212:H264)</f>
        <v>15511710</v>
      </c>
      <c r="I266" s="2317">
        <f>SUM(I212:I264)</f>
        <v>-239194748</v>
      </c>
      <c r="J266" s="2318"/>
    </row>
    <row r="267" spans="1:10" ht="12.75">
      <c r="A267" s="2313" t="s">
        <v>198</v>
      </c>
      <c r="B267" s="2574"/>
      <c r="C267" s="2506"/>
      <c r="D267" s="2510"/>
      <c r="E267" s="2319">
        <f>+E249</f>
        <v>-261127630</v>
      </c>
      <c r="F267" s="2319">
        <f>+F249</f>
        <v>-261127630</v>
      </c>
      <c r="G267" s="2319">
        <f>+G249</f>
        <v>0</v>
      </c>
      <c r="H267" s="2319">
        <f>+H249</f>
        <v>0</v>
      </c>
      <c r="I267" s="2319">
        <f>+I249</f>
        <v>0</v>
      </c>
      <c r="J267" s="2320"/>
    </row>
    <row r="268" spans="1:10" ht="12.75">
      <c r="A268" s="2575" t="s">
        <v>199</v>
      </c>
      <c r="B268" s="2576"/>
      <c r="C268" s="2323"/>
      <c r="D268" s="2577"/>
      <c r="E268" s="2319">
        <v>0</v>
      </c>
      <c r="F268" s="2319">
        <v>0</v>
      </c>
      <c r="G268" s="2319">
        <v>0</v>
      </c>
      <c r="H268" s="2319">
        <v>0</v>
      </c>
      <c r="I268" s="2319">
        <v>0</v>
      </c>
      <c r="J268" s="2320"/>
    </row>
    <row r="269" spans="1:10" ht="12.75">
      <c r="A269" s="2325" t="s">
        <v>282</v>
      </c>
      <c r="B269" s="2509"/>
      <c r="C269" s="2506"/>
      <c r="D269" s="2510"/>
      <c r="E269" s="2317">
        <f>+E266-E267-E268</f>
        <v>-4257849913</v>
      </c>
      <c r="F269" s="2317">
        <f>+F266-F267-F268</f>
        <v>-2959222301</v>
      </c>
      <c r="G269" s="2317">
        <f>+G266-G267-G268</f>
        <v>-1074944574</v>
      </c>
      <c r="H269" s="2317">
        <f>+H266-H267-H268</f>
        <v>15511710</v>
      </c>
      <c r="I269" s="2317">
        <f>+I266-I267-I268</f>
        <v>-239194748</v>
      </c>
      <c r="J269" s="2320"/>
    </row>
    <row r="270" spans="1:10" ht="15">
      <c r="A270" s="2578"/>
      <c r="B270" s="2578"/>
      <c r="C270" s="2558"/>
      <c r="D270" s="2579"/>
      <c r="E270" s="2579"/>
      <c r="F270" s="2579"/>
      <c r="G270" s="2580"/>
      <c r="H270" s="2580"/>
      <c r="I270" s="2517"/>
      <c r="J270" s="1379"/>
    </row>
    <row r="271" spans="1:10">
      <c r="A271" s="2578"/>
      <c r="B271" s="2578"/>
      <c r="C271" s="2518" t="s">
        <v>70</v>
      </c>
      <c r="D271" s="2323"/>
      <c r="E271" s="2323"/>
      <c r="F271" s="2323"/>
      <c r="G271" s="2560"/>
      <c r="H271" s="2561"/>
      <c r="I271" s="2517"/>
      <c r="J271" s="1379"/>
    </row>
    <row r="272" spans="1:10" ht="25.5">
      <c r="A272" s="2578"/>
      <c r="B272" s="2578"/>
      <c r="C272" s="2581" t="s">
        <v>132</v>
      </c>
      <c r="D272" s="2524"/>
      <c r="E272" s="2524"/>
      <c r="F272" s="2524"/>
      <c r="G272" s="2524"/>
      <c r="H272" s="2525"/>
      <c r="I272" s="2517"/>
      <c r="J272" s="1379"/>
    </row>
    <row r="273" spans="1:10">
      <c r="A273" s="2578"/>
      <c r="B273" s="2578"/>
      <c r="C273" s="2523" t="s">
        <v>133</v>
      </c>
      <c r="D273" s="2355"/>
      <c r="E273" s="2355"/>
      <c r="F273" s="2355"/>
      <c r="G273" s="2562"/>
      <c r="H273" s="2563"/>
      <c r="I273" s="2517"/>
      <c r="J273" s="1379"/>
    </row>
    <row r="274" spans="1:10">
      <c r="A274" s="2578"/>
      <c r="B274" s="2578"/>
      <c r="C274" s="2523" t="s">
        <v>262</v>
      </c>
      <c r="D274" s="2355"/>
      <c r="E274" s="2355"/>
      <c r="F274" s="2355"/>
      <c r="G274" s="2562"/>
      <c r="H274" s="2563"/>
      <c r="I274" s="2517"/>
      <c r="J274" s="1379"/>
    </row>
    <row r="275" spans="1:10">
      <c r="A275" s="2578"/>
      <c r="B275" s="2578"/>
      <c r="C275" s="2523" t="s">
        <v>264</v>
      </c>
      <c r="D275" s="2355"/>
      <c r="E275" s="2355"/>
      <c r="F275" s="2355"/>
      <c r="G275" s="2562"/>
      <c r="H275" s="2563"/>
      <c r="I275" s="2517"/>
      <c r="J275" s="1379"/>
    </row>
    <row r="276" spans="1:10">
      <c r="A276" s="2578"/>
      <c r="B276" s="2578"/>
      <c r="C276" s="2678" t="s">
        <v>18</v>
      </c>
      <c r="D276" s="2676"/>
      <c r="E276" s="2676"/>
      <c r="F276" s="2676"/>
      <c r="G276" s="2676"/>
      <c r="H276" s="2677"/>
      <c r="I276" s="2582"/>
      <c r="J276" s="1379"/>
    </row>
    <row r="277" spans="1:10">
      <c r="A277" s="2578"/>
      <c r="B277" s="2578"/>
      <c r="C277" s="2524"/>
      <c r="D277" s="2524"/>
      <c r="E277" s="2524"/>
      <c r="F277" s="2524"/>
      <c r="G277" s="2524"/>
      <c r="H277" s="2524"/>
      <c r="I277" s="2582"/>
      <c r="J277" s="1379"/>
    </row>
    <row r="278" spans="1:10" ht="15">
      <c r="A278" s="2583" t="s">
        <v>365</v>
      </c>
      <c r="B278" s="2583"/>
      <c r="C278" s="2584"/>
      <c r="D278" s="2562"/>
      <c r="E278" s="2562"/>
      <c r="F278" s="2562"/>
      <c r="G278" s="2562"/>
      <c r="H278" s="2562"/>
      <c r="I278" s="2585"/>
      <c r="J278" s="1379"/>
    </row>
    <row r="279" spans="1:10" ht="15">
      <c r="A279" s="2586"/>
      <c r="B279" s="2586"/>
      <c r="C279" s="2586"/>
      <c r="D279" s="2587"/>
      <c r="E279" s="2587"/>
      <c r="F279" s="2587"/>
      <c r="G279" s="2587"/>
      <c r="H279" s="2587"/>
      <c r="I279" s="2586"/>
      <c r="J279" s="1379"/>
    </row>
    <row r="280" spans="1:10">
      <c r="A280" s="2534" t="s">
        <v>662</v>
      </c>
      <c r="B280" s="2578"/>
      <c r="C280" s="2582"/>
      <c r="D280" s="2355"/>
      <c r="E280" s="2355"/>
      <c r="F280" s="2355"/>
      <c r="G280" s="2355"/>
      <c r="H280" s="2588"/>
      <c r="I280" s="2517"/>
      <c r="J280" s="1379"/>
    </row>
    <row r="281" spans="1:10" ht="15">
      <c r="A281" s="2536" t="s">
        <v>664</v>
      </c>
      <c r="B281" s="2578"/>
      <c r="C281" s="2582"/>
      <c r="D281" s="2355"/>
      <c r="E281" s="2355"/>
      <c r="F281" s="2355"/>
      <c r="G281" s="2355"/>
      <c r="H281" s="2588"/>
      <c r="I281" s="2517"/>
      <c r="J281" s="1379"/>
    </row>
    <row r="282" spans="1:10">
      <c r="A282" s="2578"/>
      <c r="B282" s="2578"/>
      <c r="C282" s="2539" t="s">
        <v>227</v>
      </c>
      <c r="D282" s="2540"/>
      <c r="E282" s="2539" t="s">
        <v>283</v>
      </c>
      <c r="F282" s="2539" t="s">
        <v>215</v>
      </c>
      <c r="G282" s="2539" t="s">
        <v>228</v>
      </c>
      <c r="H282" s="2539" t="s">
        <v>226</v>
      </c>
      <c r="I282" s="2539" t="s">
        <v>107</v>
      </c>
      <c r="J282" s="2539" t="s">
        <v>229</v>
      </c>
    </row>
    <row r="283" spans="1:10" s="437" customFormat="1">
      <c r="A283" s="2578"/>
      <c r="B283" s="2578"/>
      <c r="C283" s="2582"/>
      <c r="D283" s="1379"/>
      <c r="E283" s="1464"/>
      <c r="F283" s="2025" t="s">
        <v>257</v>
      </c>
      <c r="G283" s="1464"/>
      <c r="H283" s="2025"/>
      <c r="I283" s="2025"/>
      <c r="J283" s="2589"/>
    </row>
    <row r="284" spans="1:10" s="437" customFormat="1" ht="15">
      <c r="A284" s="2536"/>
      <c r="B284" s="2578"/>
      <c r="C284" s="2558"/>
      <c r="D284" s="1379"/>
      <c r="E284" s="2025" t="s">
        <v>282</v>
      </c>
      <c r="F284" s="2025" t="s">
        <v>258</v>
      </c>
      <c r="G284" s="2025" t="s">
        <v>57</v>
      </c>
      <c r="H284" s="2025" t="s">
        <v>61</v>
      </c>
      <c r="I284" s="2025" t="s">
        <v>63</v>
      </c>
      <c r="J284" s="2589"/>
    </row>
    <row r="285" spans="1:10" s="437" customFormat="1" ht="15">
      <c r="A285" s="2578"/>
      <c r="B285" s="2578"/>
      <c r="C285" s="2582"/>
      <c r="D285" s="1379"/>
      <c r="E285" s="2025"/>
      <c r="F285" s="2025" t="s">
        <v>62</v>
      </c>
      <c r="G285" s="2025" t="s">
        <v>62</v>
      </c>
      <c r="H285" s="2025" t="s">
        <v>62</v>
      </c>
      <c r="I285" s="2025" t="s">
        <v>62</v>
      </c>
      <c r="J285" s="2567" t="s">
        <v>208</v>
      </c>
    </row>
    <row r="286" spans="1:10" ht="15">
      <c r="A286" s="2568" t="s">
        <v>256</v>
      </c>
      <c r="B286" s="2569"/>
      <c r="C286" s="2569"/>
      <c r="D286" s="2590"/>
      <c r="E286" s="2591"/>
      <c r="F286" s="2591"/>
      <c r="G286" s="2591"/>
      <c r="H286" s="2591"/>
      <c r="I286" s="2591"/>
      <c r="J286" s="2573"/>
    </row>
    <row r="287" spans="1:10" ht="15">
      <c r="A287" s="2505" t="s">
        <v>1540</v>
      </c>
      <c r="B287" s="2592"/>
      <c r="C287" s="2569"/>
      <c r="D287" s="2590"/>
      <c r="E287" s="2591"/>
      <c r="F287" s="2591"/>
      <c r="G287" s="2591"/>
      <c r="H287" s="2591"/>
      <c r="I287" s="2591"/>
      <c r="J287" s="2573"/>
    </row>
    <row r="288" spans="1:10" ht="37.5" customHeight="1">
      <c r="A288" s="2502">
        <v>287847</v>
      </c>
      <c r="B288" s="2304">
        <v>415.423</v>
      </c>
      <c r="C288" s="2305" t="s">
        <v>1764</v>
      </c>
      <c r="D288" s="2298"/>
      <c r="E288" s="2175">
        <v>0</v>
      </c>
      <c r="F288" s="2175">
        <f>E288</f>
        <v>0</v>
      </c>
      <c r="G288" s="2175">
        <v>0</v>
      </c>
      <c r="H288" s="2175">
        <v>0</v>
      </c>
      <c r="I288" s="2175">
        <v>0</v>
      </c>
      <c r="J288" s="1789" t="s">
        <v>1892</v>
      </c>
    </row>
    <row r="289" spans="1:10" ht="26.25" customHeight="1">
      <c r="A289" s="2502">
        <v>287849</v>
      </c>
      <c r="B289" s="2304">
        <v>415.42399999999998</v>
      </c>
      <c r="C289" s="2305" t="s">
        <v>1765</v>
      </c>
      <c r="D289" s="2298"/>
      <c r="E289" s="2175">
        <v>18277019</v>
      </c>
      <c r="F289" s="2175">
        <f>E289</f>
        <v>18277019</v>
      </c>
      <c r="G289" s="2175">
        <v>0</v>
      </c>
      <c r="H289" s="2175">
        <v>0</v>
      </c>
      <c r="I289" s="2175">
        <v>0</v>
      </c>
      <c r="J289" s="1789" t="s">
        <v>1891</v>
      </c>
    </row>
    <row r="290" spans="1:10" ht="26.25" customHeight="1">
      <c r="A290" s="2502">
        <v>287841</v>
      </c>
      <c r="B290" s="2304">
        <v>415.411</v>
      </c>
      <c r="C290" s="2305" t="s">
        <v>1890</v>
      </c>
      <c r="D290" s="2298"/>
      <c r="E290" s="2175">
        <v>814151</v>
      </c>
      <c r="F290" s="2175">
        <f t="shared" ref="F290:F352" si="4">E290</f>
        <v>814151</v>
      </c>
      <c r="G290" s="2175">
        <v>0</v>
      </c>
      <c r="H290" s="2175">
        <v>0</v>
      </c>
      <c r="I290" s="2175">
        <v>0</v>
      </c>
      <c r="J290" s="2497" t="s">
        <v>1889</v>
      </c>
    </row>
    <row r="291" spans="1:10" ht="26.25" customHeight="1">
      <c r="A291" s="2502">
        <v>287842</v>
      </c>
      <c r="B291" s="2304">
        <v>415.41199999999998</v>
      </c>
      <c r="C291" s="2305" t="s">
        <v>1888</v>
      </c>
      <c r="D291" s="2298"/>
      <c r="E291" s="2175">
        <v>315696</v>
      </c>
      <c r="F291" s="2175">
        <f t="shared" si="4"/>
        <v>315696</v>
      </c>
      <c r="G291" s="2175">
        <v>0</v>
      </c>
      <c r="H291" s="2175">
        <v>0</v>
      </c>
      <c r="I291" s="2175">
        <v>0</v>
      </c>
      <c r="J291" s="2497" t="s">
        <v>1887</v>
      </c>
    </row>
    <row r="292" spans="1:10" ht="26.25" customHeight="1">
      <c r="A292" s="2502">
        <v>287843</v>
      </c>
      <c r="B292" s="2304">
        <v>415.41300000000001</v>
      </c>
      <c r="C292" s="2305" t="s">
        <v>1886</v>
      </c>
      <c r="D292" s="2298"/>
      <c r="E292" s="2175">
        <v>1444022</v>
      </c>
      <c r="F292" s="2175">
        <f t="shared" si="4"/>
        <v>1444022</v>
      </c>
      <c r="G292" s="2175">
        <v>0</v>
      </c>
      <c r="H292" s="2175">
        <v>0</v>
      </c>
      <c r="I292" s="2175">
        <v>0</v>
      </c>
      <c r="J292" s="2497" t="s">
        <v>1885</v>
      </c>
    </row>
    <row r="293" spans="1:10" ht="26.25" customHeight="1">
      <c r="A293" s="2502">
        <v>287844</v>
      </c>
      <c r="B293" s="2304">
        <v>415.41399999999999</v>
      </c>
      <c r="C293" s="2305" t="s">
        <v>1884</v>
      </c>
      <c r="D293" s="2298"/>
      <c r="E293" s="2175">
        <v>2513898</v>
      </c>
      <c r="F293" s="2175">
        <f t="shared" si="4"/>
        <v>2513898</v>
      </c>
      <c r="G293" s="2175">
        <v>0</v>
      </c>
      <c r="H293" s="2175">
        <v>0</v>
      </c>
      <c r="I293" s="2175">
        <v>0</v>
      </c>
      <c r="J293" s="2497" t="s">
        <v>1883</v>
      </c>
    </row>
    <row r="294" spans="1:10" ht="26.25" customHeight="1">
      <c r="A294" s="2502">
        <v>287845</v>
      </c>
      <c r="B294" s="2304">
        <v>415.41500000000002</v>
      </c>
      <c r="C294" s="2305" t="s">
        <v>1882</v>
      </c>
      <c r="D294" s="2298"/>
      <c r="E294" s="2175">
        <v>3651735</v>
      </c>
      <c r="F294" s="2175">
        <f t="shared" si="4"/>
        <v>3651735</v>
      </c>
      <c r="G294" s="2175">
        <v>0</v>
      </c>
      <c r="H294" s="2175">
        <v>0</v>
      </c>
      <c r="I294" s="2175">
        <v>0</v>
      </c>
      <c r="J294" s="2497" t="s">
        <v>1881</v>
      </c>
    </row>
    <row r="295" spans="1:10" ht="26.25" customHeight="1">
      <c r="A295" s="2502">
        <v>287846</v>
      </c>
      <c r="B295" s="2304">
        <v>415.416</v>
      </c>
      <c r="C295" s="2305" t="s">
        <v>1880</v>
      </c>
      <c r="D295" s="2298"/>
      <c r="E295" s="2175">
        <v>426370</v>
      </c>
      <c r="F295" s="2175">
        <f t="shared" si="4"/>
        <v>426370</v>
      </c>
      <c r="G295" s="2175">
        <v>0</v>
      </c>
      <c r="H295" s="2175">
        <v>0</v>
      </c>
      <c r="I295" s="2175">
        <v>0</v>
      </c>
      <c r="J295" s="2497" t="s">
        <v>1879</v>
      </c>
    </row>
    <row r="296" spans="1:10" ht="38.25">
      <c r="A296" s="2502">
        <v>287850</v>
      </c>
      <c r="B296" s="2304">
        <v>415.42500000000001</v>
      </c>
      <c r="C296" s="2305" t="s">
        <v>1878</v>
      </c>
      <c r="D296" s="2298"/>
      <c r="E296" s="2175">
        <v>1631505</v>
      </c>
      <c r="F296" s="2175">
        <f t="shared" si="4"/>
        <v>1631505</v>
      </c>
      <c r="G296" s="2175">
        <v>0</v>
      </c>
      <c r="H296" s="2175">
        <v>0</v>
      </c>
      <c r="I296" s="2175">
        <v>0</v>
      </c>
      <c r="J296" s="2497" t="s">
        <v>1877</v>
      </c>
    </row>
    <row r="297" spans="1:10" ht="39" customHeight="1">
      <c r="A297" s="2502">
        <v>287851</v>
      </c>
      <c r="B297" s="2304">
        <v>415.41699999999997</v>
      </c>
      <c r="C297" s="2305" t="s">
        <v>1876</v>
      </c>
      <c r="D297" s="2298"/>
      <c r="E297" s="2175">
        <v>687890</v>
      </c>
      <c r="F297" s="2175">
        <f t="shared" si="4"/>
        <v>687890</v>
      </c>
      <c r="G297" s="2175">
        <v>0</v>
      </c>
      <c r="H297" s="2175">
        <v>0</v>
      </c>
      <c r="I297" s="2175">
        <v>0</v>
      </c>
      <c r="J297" s="2497" t="s">
        <v>1875</v>
      </c>
    </row>
    <row r="298" spans="1:10" ht="39.75" customHeight="1">
      <c r="A298" s="2502">
        <v>287855</v>
      </c>
      <c r="B298" s="2304">
        <v>415.42099999999999</v>
      </c>
      <c r="C298" s="2305" t="s">
        <v>1874</v>
      </c>
      <c r="D298" s="2298"/>
      <c r="E298" s="2175">
        <v>3085411</v>
      </c>
      <c r="F298" s="2175">
        <f t="shared" si="4"/>
        <v>3085411</v>
      </c>
      <c r="G298" s="2175">
        <v>0</v>
      </c>
      <c r="H298" s="2175">
        <v>0</v>
      </c>
      <c r="I298" s="2175">
        <v>0</v>
      </c>
      <c r="J298" s="2497" t="s">
        <v>1873</v>
      </c>
    </row>
    <row r="299" spans="1:10" ht="25.5">
      <c r="A299" s="2502">
        <v>287747</v>
      </c>
      <c r="B299" s="2304">
        <v>705.24</v>
      </c>
      <c r="C299" s="2305" t="s">
        <v>1872</v>
      </c>
      <c r="D299" s="2298"/>
      <c r="E299" s="2175">
        <v>-250691</v>
      </c>
      <c r="F299" s="2175">
        <f t="shared" si="4"/>
        <v>-250691</v>
      </c>
      <c r="G299" s="2175">
        <v>0</v>
      </c>
      <c r="H299" s="2175">
        <v>0</v>
      </c>
      <c r="I299" s="2175">
        <v>0</v>
      </c>
      <c r="J299" s="2497" t="s">
        <v>1871</v>
      </c>
    </row>
    <row r="300" spans="1:10" ht="25.5">
      <c r="A300" s="2502">
        <v>287642</v>
      </c>
      <c r="B300" s="2304">
        <v>105.401</v>
      </c>
      <c r="C300" s="2305" t="s">
        <v>1541</v>
      </c>
      <c r="D300" s="2298"/>
      <c r="E300" s="2175">
        <v>-30995891</v>
      </c>
      <c r="F300" s="2175">
        <f t="shared" si="4"/>
        <v>-30995891</v>
      </c>
      <c r="G300" s="2175">
        <v>0</v>
      </c>
      <c r="H300" s="2175">
        <v>0</v>
      </c>
      <c r="I300" s="2175">
        <v>0</v>
      </c>
      <c r="J300" s="1789" t="s">
        <v>1270</v>
      </c>
    </row>
    <row r="301" spans="1:10" ht="52.5" customHeight="1">
      <c r="A301" s="2502">
        <v>287911</v>
      </c>
      <c r="B301" s="2304">
        <v>415.69900000000001</v>
      </c>
      <c r="C301" s="2305" t="s">
        <v>1766</v>
      </c>
      <c r="D301" s="2298"/>
      <c r="E301" s="2175">
        <v>-1277691</v>
      </c>
      <c r="F301" s="2175">
        <f t="shared" ref="F301:F308" si="5">E301</f>
        <v>-1277691</v>
      </c>
      <c r="G301" s="2175">
        <v>0</v>
      </c>
      <c r="H301" s="2175">
        <v>0</v>
      </c>
      <c r="I301" s="2175">
        <v>0</v>
      </c>
      <c r="J301" s="2497" t="s">
        <v>1870</v>
      </c>
    </row>
    <row r="302" spans="1:10" ht="25.5">
      <c r="A302" s="2502">
        <v>287997</v>
      </c>
      <c r="B302" s="2304">
        <v>415.86200000000002</v>
      </c>
      <c r="C302" s="2305" t="s">
        <v>1869</v>
      </c>
      <c r="D302" s="2298"/>
      <c r="E302" s="2175">
        <v>-3897</v>
      </c>
      <c r="F302" s="2175">
        <f t="shared" si="5"/>
        <v>-3897</v>
      </c>
      <c r="G302" s="2175">
        <v>0</v>
      </c>
      <c r="H302" s="2175">
        <v>0</v>
      </c>
      <c r="I302" s="2175">
        <v>0</v>
      </c>
      <c r="J302" s="2497" t="s">
        <v>1868</v>
      </c>
    </row>
    <row r="303" spans="1:10" ht="25.5">
      <c r="A303" s="2502">
        <v>287935</v>
      </c>
      <c r="B303" s="2304">
        <v>415.93599999999998</v>
      </c>
      <c r="C303" s="2305" t="s">
        <v>2124</v>
      </c>
      <c r="D303" s="2298"/>
      <c r="E303" s="2175">
        <v>-1309083</v>
      </c>
      <c r="F303" s="2175">
        <f t="shared" si="5"/>
        <v>-1309083</v>
      </c>
      <c r="G303" s="2175">
        <v>0</v>
      </c>
      <c r="H303" s="2175">
        <v>0</v>
      </c>
      <c r="I303" s="2175">
        <v>0</v>
      </c>
      <c r="J303" s="2497" t="s">
        <v>2125</v>
      </c>
    </row>
    <row r="304" spans="1:10" ht="39.75" customHeight="1">
      <c r="A304" s="2502">
        <v>286901</v>
      </c>
      <c r="B304" s="2304">
        <v>415.93799999999999</v>
      </c>
      <c r="C304" s="2305" t="s">
        <v>2126</v>
      </c>
      <c r="D304" s="2298"/>
      <c r="E304" s="2175">
        <v>19753</v>
      </c>
      <c r="F304" s="2175">
        <f t="shared" si="5"/>
        <v>19753</v>
      </c>
      <c r="G304" s="2175">
        <v>0</v>
      </c>
      <c r="H304" s="2175">
        <v>0</v>
      </c>
      <c r="I304" s="2175">
        <v>0</v>
      </c>
      <c r="J304" s="2497" t="s">
        <v>2127</v>
      </c>
    </row>
    <row r="305" spans="1:10" ht="39.75" customHeight="1">
      <c r="A305" s="2502">
        <v>286900</v>
      </c>
      <c r="B305" s="2304">
        <v>415.93700000000001</v>
      </c>
      <c r="C305" s="2305" t="s">
        <v>2128</v>
      </c>
      <c r="D305" s="2298"/>
      <c r="E305" s="2175">
        <v>105427</v>
      </c>
      <c r="F305" s="2175">
        <f t="shared" si="5"/>
        <v>105427</v>
      </c>
      <c r="G305" s="2175">
        <v>0</v>
      </c>
      <c r="H305" s="2175">
        <v>0</v>
      </c>
      <c r="I305" s="2175">
        <v>0</v>
      </c>
      <c r="J305" s="2497" t="s">
        <v>2129</v>
      </c>
    </row>
    <row r="306" spans="1:10" ht="42.75" customHeight="1">
      <c r="A306" s="2502">
        <v>287984</v>
      </c>
      <c r="B306" s="2304">
        <v>415.923</v>
      </c>
      <c r="C306" s="2305" t="s">
        <v>1768</v>
      </c>
      <c r="D306" s="2298"/>
      <c r="E306" s="2175">
        <v>-726593</v>
      </c>
      <c r="F306" s="2175">
        <f t="shared" si="5"/>
        <v>-726593</v>
      </c>
      <c r="G306" s="2175">
        <v>0</v>
      </c>
      <c r="H306" s="2175">
        <v>0</v>
      </c>
      <c r="I306" s="2175">
        <v>0</v>
      </c>
      <c r="J306" s="1789" t="s">
        <v>1769</v>
      </c>
    </row>
    <row r="307" spans="1:10" ht="42.75" customHeight="1">
      <c r="A307" s="2502">
        <v>287985</v>
      </c>
      <c r="B307" s="2304">
        <v>415.92399999999998</v>
      </c>
      <c r="C307" s="2305" t="s">
        <v>1770</v>
      </c>
      <c r="D307" s="2298"/>
      <c r="E307" s="2175">
        <v>-5229103</v>
      </c>
      <c r="F307" s="2175">
        <f t="shared" si="5"/>
        <v>-5229103</v>
      </c>
      <c r="G307" s="2175">
        <v>0</v>
      </c>
      <c r="H307" s="2175">
        <v>0</v>
      </c>
      <c r="I307" s="2175">
        <v>0</v>
      </c>
      <c r="J307" s="1789" t="s">
        <v>1771</v>
      </c>
    </row>
    <row r="308" spans="1:10" ht="42.75" customHeight="1">
      <c r="A308" s="2502">
        <v>287986</v>
      </c>
      <c r="B308" s="2304">
        <v>415.92500000000001</v>
      </c>
      <c r="C308" s="2305" t="s">
        <v>1772</v>
      </c>
      <c r="D308" s="2298"/>
      <c r="E308" s="2175">
        <v>-1758175</v>
      </c>
      <c r="F308" s="2175">
        <f t="shared" si="5"/>
        <v>-1758175</v>
      </c>
      <c r="G308" s="2175">
        <v>0</v>
      </c>
      <c r="H308" s="2175">
        <v>0</v>
      </c>
      <c r="I308" s="2175">
        <v>0</v>
      </c>
      <c r="J308" s="1789" t="s">
        <v>1773</v>
      </c>
    </row>
    <row r="309" spans="1:10" ht="38.25">
      <c r="A309" s="2502">
        <v>287760</v>
      </c>
      <c r="B309" s="2304">
        <v>415.89600000000002</v>
      </c>
      <c r="C309" s="2305" t="s">
        <v>1542</v>
      </c>
      <c r="D309" s="2298"/>
      <c r="E309" s="2175">
        <v>0</v>
      </c>
      <c r="F309" s="2175">
        <f t="shared" si="4"/>
        <v>0</v>
      </c>
      <c r="G309" s="2175">
        <v>0</v>
      </c>
      <c r="H309" s="2175">
        <v>0</v>
      </c>
      <c r="I309" s="2175">
        <v>0</v>
      </c>
      <c r="J309" s="1789" t="s">
        <v>1275</v>
      </c>
    </row>
    <row r="310" spans="1:10" ht="25.5">
      <c r="A310" s="2502">
        <v>287635</v>
      </c>
      <c r="B310" s="2304">
        <v>415.5</v>
      </c>
      <c r="C310" s="2305" t="s">
        <v>1543</v>
      </c>
      <c r="D310" s="2298"/>
      <c r="E310" s="2175">
        <v>-248483</v>
      </c>
      <c r="F310" s="2175">
        <f t="shared" si="4"/>
        <v>-248483</v>
      </c>
      <c r="G310" s="2175">
        <v>0</v>
      </c>
      <c r="H310" s="2175">
        <v>0</v>
      </c>
      <c r="I310" s="2175">
        <v>0</v>
      </c>
      <c r="J310" s="1789" t="s">
        <v>1267</v>
      </c>
    </row>
    <row r="311" spans="1:10" ht="39.75" customHeight="1">
      <c r="A311" s="2502">
        <v>287947</v>
      </c>
      <c r="B311" s="2304">
        <v>415.50099999999998</v>
      </c>
      <c r="C311" s="2305" t="s">
        <v>1544</v>
      </c>
      <c r="D311" s="2298"/>
      <c r="E311" s="2175">
        <v>7299</v>
      </c>
      <c r="F311" s="2175">
        <f t="shared" si="4"/>
        <v>7299</v>
      </c>
      <c r="G311" s="2175">
        <v>0</v>
      </c>
      <c r="H311" s="2175">
        <v>0</v>
      </c>
      <c r="I311" s="2175">
        <v>0</v>
      </c>
      <c r="J311" s="1789" t="s">
        <v>1291</v>
      </c>
    </row>
    <row r="312" spans="1:10" ht="39.75" customHeight="1">
      <c r="A312" s="2502">
        <v>287948</v>
      </c>
      <c r="B312" s="2304">
        <v>415.50200000000001</v>
      </c>
      <c r="C312" s="2305" t="s">
        <v>1545</v>
      </c>
      <c r="D312" s="2298"/>
      <c r="E312" s="2175">
        <v>11913</v>
      </c>
      <c r="F312" s="2175">
        <f t="shared" si="4"/>
        <v>11913</v>
      </c>
      <c r="G312" s="2175">
        <v>0</v>
      </c>
      <c r="H312" s="2175">
        <v>0</v>
      </c>
      <c r="I312" s="2175">
        <v>0</v>
      </c>
      <c r="J312" s="1789" t="s">
        <v>1292</v>
      </c>
    </row>
    <row r="313" spans="1:10" ht="39.75" customHeight="1">
      <c r="A313" s="2502">
        <v>287949</v>
      </c>
      <c r="B313" s="2304">
        <v>415.50299999999999</v>
      </c>
      <c r="C313" s="2305" t="s">
        <v>1546</v>
      </c>
      <c r="D313" s="2298"/>
      <c r="E313" s="2175">
        <v>21476</v>
      </c>
      <c r="F313" s="2175">
        <f t="shared" si="4"/>
        <v>21476</v>
      </c>
      <c r="G313" s="2175">
        <v>0</v>
      </c>
      <c r="H313" s="2175">
        <v>0</v>
      </c>
      <c r="I313" s="2175">
        <v>0</v>
      </c>
      <c r="J313" s="1789" t="s">
        <v>1293</v>
      </c>
    </row>
    <row r="314" spans="1:10" ht="39.75" customHeight="1">
      <c r="A314" s="2502">
        <v>287581</v>
      </c>
      <c r="B314" s="2304">
        <v>415.82400000000001</v>
      </c>
      <c r="C314" s="2305" t="s">
        <v>1547</v>
      </c>
      <c r="D314" s="2298"/>
      <c r="E314" s="2175">
        <v>69769</v>
      </c>
      <c r="F314" s="2175">
        <f t="shared" si="4"/>
        <v>69769</v>
      </c>
      <c r="G314" s="2175">
        <v>0</v>
      </c>
      <c r="H314" s="2175">
        <v>0</v>
      </c>
      <c r="I314" s="2175">
        <v>0</v>
      </c>
      <c r="J314" s="1789" t="s">
        <v>1260</v>
      </c>
    </row>
    <row r="315" spans="1:10" ht="39.75" customHeight="1">
      <c r="A315" s="2502">
        <v>287577</v>
      </c>
      <c r="B315" s="2304">
        <v>415.82</v>
      </c>
      <c r="C315" s="2305" t="s">
        <v>1548</v>
      </c>
      <c r="D315" s="2298"/>
      <c r="E315" s="2175">
        <v>770126</v>
      </c>
      <c r="F315" s="2175">
        <f t="shared" si="4"/>
        <v>770126</v>
      </c>
      <c r="G315" s="2175">
        <v>0</v>
      </c>
      <c r="H315" s="2175">
        <v>0</v>
      </c>
      <c r="I315" s="2175">
        <v>0</v>
      </c>
      <c r="J315" s="1789" t="s">
        <v>1258</v>
      </c>
    </row>
    <row r="316" spans="1:10" ht="39.75" customHeight="1">
      <c r="A316" s="2502">
        <v>286903</v>
      </c>
      <c r="B316" s="2304">
        <v>320.27100000000002</v>
      </c>
      <c r="C316" s="2305" t="s">
        <v>2130</v>
      </c>
      <c r="D316" s="2298"/>
      <c r="E316" s="2175">
        <v>1868309</v>
      </c>
      <c r="F316" s="2175">
        <f t="shared" si="4"/>
        <v>1868309</v>
      </c>
      <c r="G316" s="2175">
        <v>0</v>
      </c>
      <c r="H316" s="2175">
        <v>0</v>
      </c>
      <c r="I316" s="2175">
        <v>0</v>
      </c>
      <c r="J316" s="2497" t="s">
        <v>2139</v>
      </c>
    </row>
    <row r="317" spans="1:10" ht="27.75" customHeight="1">
      <c r="A317" s="2502">
        <v>287781</v>
      </c>
      <c r="B317" s="2304">
        <v>415.87</v>
      </c>
      <c r="C317" s="2305" t="s">
        <v>1551</v>
      </c>
      <c r="D317" s="2298"/>
      <c r="E317" s="2175">
        <v>-1804306</v>
      </c>
      <c r="F317" s="2175">
        <f t="shared" si="4"/>
        <v>-1804306</v>
      </c>
      <c r="G317" s="2175">
        <v>0</v>
      </c>
      <c r="H317" s="2175">
        <v>0</v>
      </c>
      <c r="I317" s="2175">
        <v>0</v>
      </c>
      <c r="J317" s="2498" t="s">
        <v>1552</v>
      </c>
    </row>
    <row r="318" spans="1:10" ht="27.75" customHeight="1">
      <c r="A318" s="2502">
        <v>287596</v>
      </c>
      <c r="B318" s="2304">
        <v>415.892</v>
      </c>
      <c r="C318" s="2305" t="s">
        <v>1555</v>
      </c>
      <c r="D318" s="2298"/>
      <c r="E318" s="2175">
        <v>-4698471</v>
      </c>
      <c r="F318" s="2175">
        <f t="shared" si="4"/>
        <v>-4698471</v>
      </c>
      <c r="G318" s="2175">
        <v>0</v>
      </c>
      <c r="H318" s="2175">
        <v>0</v>
      </c>
      <c r="I318" s="2175">
        <v>0</v>
      </c>
      <c r="J318" s="2498" t="s">
        <v>1556</v>
      </c>
    </row>
    <row r="319" spans="1:10" ht="27.75" customHeight="1">
      <c r="A319" s="2502">
        <v>287896</v>
      </c>
      <c r="B319" s="2304">
        <v>415.875</v>
      </c>
      <c r="C319" s="2305" t="s">
        <v>1559</v>
      </c>
      <c r="D319" s="2298"/>
      <c r="E319" s="2175">
        <v>-4882396</v>
      </c>
      <c r="F319" s="2175">
        <f t="shared" si="4"/>
        <v>-4882396</v>
      </c>
      <c r="G319" s="2175">
        <v>0</v>
      </c>
      <c r="H319" s="2175">
        <v>0</v>
      </c>
      <c r="I319" s="2175">
        <v>0</v>
      </c>
      <c r="J319" s="2498" t="s">
        <v>1560</v>
      </c>
    </row>
    <row r="320" spans="1:10" ht="40.5" customHeight="1">
      <c r="A320" s="2502">
        <v>287593</v>
      </c>
      <c r="B320" s="2304">
        <v>415.87400000000002</v>
      </c>
      <c r="C320" s="2305" t="s">
        <v>1563</v>
      </c>
      <c r="D320" s="2298"/>
      <c r="E320" s="2175">
        <v>-1095086</v>
      </c>
      <c r="F320" s="2175">
        <f t="shared" si="4"/>
        <v>-1095086</v>
      </c>
      <c r="G320" s="2175">
        <v>0</v>
      </c>
      <c r="H320" s="2175">
        <v>0</v>
      </c>
      <c r="I320" s="2175">
        <v>0</v>
      </c>
      <c r="J320" s="2498" t="s">
        <v>1564</v>
      </c>
    </row>
    <row r="321" spans="1:10" ht="25.5" customHeight="1">
      <c r="A321" s="2502">
        <v>287783</v>
      </c>
      <c r="B321" s="2304">
        <v>415.88</v>
      </c>
      <c r="C321" s="2305" t="s">
        <v>1565</v>
      </c>
      <c r="D321" s="2298"/>
      <c r="E321" s="2175">
        <v>0</v>
      </c>
      <c r="F321" s="2175">
        <f t="shared" si="4"/>
        <v>0</v>
      </c>
      <c r="G321" s="2175">
        <v>0</v>
      </c>
      <c r="H321" s="2175">
        <v>0</v>
      </c>
      <c r="I321" s="2175">
        <v>0</v>
      </c>
      <c r="J321" s="1789" t="s">
        <v>1277</v>
      </c>
    </row>
    <row r="322" spans="1:10" ht="27.75" customHeight="1">
      <c r="A322" s="2502">
        <v>287570</v>
      </c>
      <c r="B322" s="2304">
        <v>415.70100000000002</v>
      </c>
      <c r="C322" s="2305" t="s">
        <v>1566</v>
      </c>
      <c r="D322" s="2298"/>
      <c r="E322" s="2175">
        <v>-15409</v>
      </c>
      <c r="F322" s="2175">
        <f t="shared" si="4"/>
        <v>-15409</v>
      </c>
      <c r="G322" s="2175">
        <v>0</v>
      </c>
      <c r="H322" s="2175">
        <v>0</v>
      </c>
      <c r="I322" s="2175">
        <v>0</v>
      </c>
      <c r="J322" s="1789" t="s">
        <v>1256</v>
      </c>
    </row>
    <row r="323" spans="1:10" ht="26.25" customHeight="1">
      <c r="A323" s="2502">
        <v>287647</v>
      </c>
      <c r="B323" s="2304">
        <v>425.1</v>
      </c>
      <c r="C323" s="2305" t="s">
        <v>1567</v>
      </c>
      <c r="D323" s="2298"/>
      <c r="E323" s="2175">
        <v>-10196</v>
      </c>
      <c r="F323" s="2175">
        <f t="shared" si="4"/>
        <v>-10196</v>
      </c>
      <c r="G323" s="2175">
        <v>0</v>
      </c>
      <c r="H323" s="2175">
        <v>0</v>
      </c>
      <c r="I323" s="2175">
        <v>0</v>
      </c>
      <c r="J323" s="1789" t="s">
        <v>1271</v>
      </c>
    </row>
    <row r="324" spans="1:10" ht="26.25" customHeight="1">
      <c r="A324" s="2502">
        <v>287640</v>
      </c>
      <c r="B324" s="2304">
        <v>415.68</v>
      </c>
      <c r="C324" s="2305" t="s">
        <v>1568</v>
      </c>
      <c r="D324" s="2298"/>
      <c r="E324" s="2175">
        <v>-155946</v>
      </c>
      <c r="F324" s="2175">
        <f t="shared" si="4"/>
        <v>-155946</v>
      </c>
      <c r="G324" s="2175">
        <v>0</v>
      </c>
      <c r="H324" s="2175">
        <v>0</v>
      </c>
      <c r="I324" s="2175">
        <v>0</v>
      </c>
      <c r="J324" s="1789" t="s">
        <v>1269</v>
      </c>
    </row>
    <row r="325" spans="1:10" ht="25.5">
      <c r="A325" s="2502">
        <v>287861</v>
      </c>
      <c r="B325" s="2304">
        <v>415.85700000000003</v>
      </c>
      <c r="C325" s="2305" t="s">
        <v>1569</v>
      </c>
      <c r="D325" s="2298"/>
      <c r="E325" s="2175">
        <v>-99118</v>
      </c>
      <c r="F325" s="2175">
        <f t="shared" si="4"/>
        <v>-99118</v>
      </c>
      <c r="G325" s="2175">
        <v>0</v>
      </c>
      <c r="H325" s="2175">
        <v>0</v>
      </c>
      <c r="I325" s="2175">
        <v>0</v>
      </c>
      <c r="J325" s="1789" t="s">
        <v>1278</v>
      </c>
    </row>
    <row r="326" spans="1:10" ht="25.5">
      <c r="A326" s="2502">
        <v>287868</v>
      </c>
      <c r="B326" s="2304">
        <v>415.858</v>
      </c>
      <c r="C326" s="2305" t="s">
        <v>1570</v>
      </c>
      <c r="D326" s="2298"/>
      <c r="E326" s="2175">
        <v>-278816</v>
      </c>
      <c r="F326" s="2175">
        <f t="shared" si="4"/>
        <v>-278816</v>
      </c>
      <c r="G326" s="2175">
        <v>0</v>
      </c>
      <c r="H326" s="2175">
        <v>0</v>
      </c>
      <c r="I326" s="2175">
        <v>0</v>
      </c>
      <c r="J326" s="1789" t="s">
        <v>1281</v>
      </c>
    </row>
    <row r="327" spans="1:10" ht="41.25" customHeight="1">
      <c r="A327" s="2502">
        <v>287614</v>
      </c>
      <c r="B327" s="2304">
        <v>430.1</v>
      </c>
      <c r="C327" s="2305" t="s">
        <v>1573</v>
      </c>
      <c r="D327" s="2298"/>
      <c r="E327" s="2175">
        <v>-999098</v>
      </c>
      <c r="F327" s="2175">
        <f t="shared" si="4"/>
        <v>-999098</v>
      </c>
      <c r="G327" s="2175">
        <v>0</v>
      </c>
      <c r="H327" s="2175">
        <v>0</v>
      </c>
      <c r="I327" s="2175">
        <v>0</v>
      </c>
      <c r="J327" s="2498" t="s">
        <v>1574</v>
      </c>
    </row>
    <row r="328" spans="1:10" ht="41.25" customHeight="1">
      <c r="A328" s="2502">
        <v>287981</v>
      </c>
      <c r="B328" s="2304">
        <v>415.92</v>
      </c>
      <c r="C328" s="2305" t="s">
        <v>1774</v>
      </c>
      <c r="D328" s="2298"/>
      <c r="E328" s="2175">
        <v>-1898984</v>
      </c>
      <c r="F328" s="2175">
        <f t="shared" si="4"/>
        <v>-1898984</v>
      </c>
      <c r="G328" s="2175">
        <v>0</v>
      </c>
      <c r="H328" s="2175">
        <v>0</v>
      </c>
      <c r="I328" s="2175">
        <v>0</v>
      </c>
      <c r="J328" s="2498" t="s">
        <v>1775</v>
      </c>
    </row>
    <row r="329" spans="1:10" ht="41.25" customHeight="1">
      <c r="A329" s="2502">
        <v>287982</v>
      </c>
      <c r="B329" s="2304">
        <v>415.92099999999999</v>
      </c>
      <c r="C329" s="2305" t="s">
        <v>1776</v>
      </c>
      <c r="D329" s="2298"/>
      <c r="E329" s="2175">
        <v>-704608</v>
      </c>
      <c r="F329" s="2175">
        <f t="shared" si="4"/>
        <v>-704608</v>
      </c>
      <c r="G329" s="2175">
        <v>0</v>
      </c>
      <c r="H329" s="2175">
        <v>0</v>
      </c>
      <c r="I329" s="2175">
        <v>0</v>
      </c>
      <c r="J329" s="2498" t="s">
        <v>1777</v>
      </c>
    </row>
    <row r="330" spans="1:10" ht="41.25" customHeight="1">
      <c r="A330" s="2502">
        <v>287983</v>
      </c>
      <c r="B330" s="2304">
        <v>415.92200000000003</v>
      </c>
      <c r="C330" s="2305" t="s">
        <v>1778</v>
      </c>
      <c r="D330" s="2298"/>
      <c r="E330" s="2175">
        <v>-2433330</v>
      </c>
      <c r="F330" s="2175">
        <f t="shared" si="4"/>
        <v>-2433330</v>
      </c>
      <c r="G330" s="2175">
        <v>0</v>
      </c>
      <c r="H330" s="2175">
        <v>0</v>
      </c>
      <c r="I330" s="2175">
        <v>0</v>
      </c>
      <c r="J330" s="2498" t="s">
        <v>1779</v>
      </c>
    </row>
    <row r="331" spans="1:10" ht="25.5">
      <c r="A331" s="2502">
        <v>287576</v>
      </c>
      <c r="B331" s="2304">
        <v>430.11</v>
      </c>
      <c r="C331" s="2305" t="s">
        <v>1575</v>
      </c>
      <c r="D331" s="2298"/>
      <c r="E331" s="2175">
        <v>-1671552</v>
      </c>
      <c r="F331" s="2175">
        <f t="shared" si="4"/>
        <v>-1671552</v>
      </c>
      <c r="G331" s="2175">
        <v>0</v>
      </c>
      <c r="H331" s="2175">
        <v>0</v>
      </c>
      <c r="I331" s="2175">
        <v>0</v>
      </c>
      <c r="J331" s="1789" t="s">
        <v>1170</v>
      </c>
    </row>
    <row r="332" spans="1:10" ht="52.5" customHeight="1">
      <c r="A332" s="2502">
        <v>287648</v>
      </c>
      <c r="B332" s="2304">
        <v>100.12</v>
      </c>
      <c r="C332" s="2305" t="s">
        <v>1576</v>
      </c>
      <c r="D332" s="2298"/>
      <c r="E332" s="2175">
        <v>-159713363</v>
      </c>
      <c r="F332" s="2175">
        <f t="shared" si="4"/>
        <v>-159713363</v>
      </c>
      <c r="G332" s="2175">
        <v>0</v>
      </c>
      <c r="H332" s="2175">
        <v>0</v>
      </c>
      <c r="I332" s="2175">
        <v>0</v>
      </c>
      <c r="J332" s="1789" t="s">
        <v>1228</v>
      </c>
    </row>
    <row r="333" spans="1:10" ht="39.75" customHeight="1">
      <c r="A333" s="2502">
        <v>287946</v>
      </c>
      <c r="B333" s="2304">
        <v>100.105</v>
      </c>
      <c r="C333" s="2305" t="s">
        <v>1780</v>
      </c>
      <c r="D333" s="2298"/>
      <c r="E333" s="2175">
        <v>0</v>
      </c>
      <c r="F333" s="2175">
        <f t="shared" si="4"/>
        <v>0</v>
      </c>
      <c r="G333" s="2175">
        <v>0</v>
      </c>
      <c r="H333" s="2175">
        <v>0</v>
      </c>
      <c r="I333" s="2175">
        <v>0</v>
      </c>
      <c r="J333" s="1789" t="s">
        <v>1781</v>
      </c>
    </row>
    <row r="334" spans="1:10" ht="50.25" customHeight="1">
      <c r="A334" s="2502">
        <v>287840</v>
      </c>
      <c r="B334" s="2304">
        <v>415.41</v>
      </c>
      <c r="C334" s="2305" t="s">
        <v>1782</v>
      </c>
      <c r="D334" s="2298"/>
      <c r="E334" s="2175">
        <v>-96007511</v>
      </c>
      <c r="F334" s="2175">
        <f t="shared" si="4"/>
        <v>-96007511</v>
      </c>
      <c r="G334" s="2175">
        <v>0</v>
      </c>
      <c r="H334" s="2175">
        <v>0</v>
      </c>
      <c r="I334" s="2175">
        <v>0</v>
      </c>
      <c r="J334" s="1789" t="s">
        <v>1783</v>
      </c>
    </row>
    <row r="335" spans="1:10" ht="39" customHeight="1">
      <c r="A335" s="2502">
        <v>287634</v>
      </c>
      <c r="B335" s="2304">
        <v>415.3</v>
      </c>
      <c r="C335" s="2305" t="s">
        <v>1577</v>
      </c>
      <c r="D335" s="2298"/>
      <c r="E335" s="2175">
        <v>-19205744</v>
      </c>
      <c r="F335" s="2175">
        <f t="shared" si="4"/>
        <v>-19205744</v>
      </c>
      <c r="G335" s="2175">
        <v>0</v>
      </c>
      <c r="H335" s="2175">
        <v>0</v>
      </c>
      <c r="I335" s="2175">
        <v>0</v>
      </c>
      <c r="J335" s="1789" t="s">
        <v>1266</v>
      </c>
    </row>
    <row r="336" spans="1:10" ht="26.25" customHeight="1">
      <c r="A336" s="2502">
        <v>287591</v>
      </c>
      <c r="B336" s="2304">
        <v>415.30099999999999</v>
      </c>
      <c r="C336" s="2305" t="s">
        <v>1578</v>
      </c>
      <c r="D336" s="2298"/>
      <c r="E336" s="2175">
        <v>635797</v>
      </c>
      <c r="F336" s="2175">
        <f t="shared" si="4"/>
        <v>635797</v>
      </c>
      <c r="G336" s="2175">
        <v>0</v>
      </c>
      <c r="H336" s="2175">
        <v>0</v>
      </c>
      <c r="I336" s="2175">
        <v>0</v>
      </c>
      <c r="J336" s="1789" t="s">
        <v>1264</v>
      </c>
    </row>
    <row r="337" spans="1:10" ht="25.5">
      <c r="A337" s="2502">
        <v>287738</v>
      </c>
      <c r="B337" s="2304">
        <v>320.27</v>
      </c>
      <c r="C337" s="2305" t="s">
        <v>1579</v>
      </c>
      <c r="D337" s="2298"/>
      <c r="E337" s="2175">
        <v>-188918570</v>
      </c>
      <c r="F337" s="2175">
        <f t="shared" si="4"/>
        <v>-188918570</v>
      </c>
      <c r="G337" s="2175">
        <v>0</v>
      </c>
      <c r="H337" s="2175">
        <v>0</v>
      </c>
      <c r="I337" s="2175">
        <v>0</v>
      </c>
      <c r="J337" s="1789" t="s">
        <v>1273</v>
      </c>
    </row>
    <row r="338" spans="1:10" ht="25.5">
      <c r="A338" s="2502">
        <v>287739</v>
      </c>
      <c r="B338" s="2304">
        <v>320.27999999999997</v>
      </c>
      <c r="C338" s="2305" t="s">
        <v>1580</v>
      </c>
      <c r="D338" s="2298"/>
      <c r="E338" s="2175">
        <v>-9840938</v>
      </c>
      <c r="F338" s="2175">
        <f t="shared" si="4"/>
        <v>-9840938</v>
      </c>
      <c r="G338" s="2175">
        <v>0</v>
      </c>
      <c r="H338" s="2175">
        <v>0</v>
      </c>
      <c r="I338" s="2175">
        <v>0</v>
      </c>
      <c r="J338" s="1789" t="s">
        <v>1274</v>
      </c>
    </row>
    <row r="339" spans="1:10" ht="66" customHeight="1">
      <c r="A339" s="2502">
        <v>287975</v>
      </c>
      <c r="B339" s="2304">
        <v>415.65499999999997</v>
      </c>
      <c r="C339" s="2305" t="s">
        <v>1867</v>
      </c>
      <c r="D339" s="2298"/>
      <c r="E339" s="2175">
        <v>0</v>
      </c>
      <c r="F339" s="2175">
        <f t="shared" si="4"/>
        <v>0</v>
      </c>
      <c r="G339" s="2175">
        <v>0</v>
      </c>
      <c r="H339" s="2175">
        <v>0</v>
      </c>
      <c r="I339" s="2175">
        <v>0</v>
      </c>
      <c r="J339" s="2498" t="s">
        <v>1866</v>
      </c>
    </row>
    <row r="340" spans="1:10" ht="27.75" customHeight="1">
      <c r="A340" s="2502">
        <v>287597</v>
      </c>
      <c r="B340" s="2304">
        <v>415.70299999999997</v>
      </c>
      <c r="C340" s="2305" t="s">
        <v>1583</v>
      </c>
      <c r="D340" s="2298"/>
      <c r="E340" s="2175">
        <v>-137098</v>
      </c>
      <c r="F340" s="2175">
        <f t="shared" si="4"/>
        <v>-137098</v>
      </c>
      <c r="G340" s="2175">
        <v>0</v>
      </c>
      <c r="H340" s="2175">
        <v>0</v>
      </c>
      <c r="I340" s="2175">
        <v>0</v>
      </c>
      <c r="J340" s="1789" t="s">
        <v>1265</v>
      </c>
    </row>
    <row r="341" spans="1:10" ht="12.75">
      <c r="A341" s="2502">
        <v>287897</v>
      </c>
      <c r="B341" s="2304">
        <v>425.4</v>
      </c>
      <c r="C341" s="2305" t="s">
        <v>1584</v>
      </c>
      <c r="D341" s="2298"/>
      <c r="E341" s="2175">
        <v>-8666125</v>
      </c>
      <c r="F341" s="2175">
        <f t="shared" si="4"/>
        <v>-8666125</v>
      </c>
      <c r="G341" s="2175">
        <v>0</v>
      </c>
      <c r="H341" s="2175">
        <v>0</v>
      </c>
      <c r="I341" s="2175">
        <v>0</v>
      </c>
      <c r="J341" s="1789" t="s">
        <v>1306</v>
      </c>
    </row>
    <row r="342" spans="1:10" ht="25.5" customHeight="1">
      <c r="A342" s="2502">
        <v>287571</v>
      </c>
      <c r="B342" s="2304">
        <v>415.702</v>
      </c>
      <c r="C342" s="2305" t="s">
        <v>1585</v>
      </c>
      <c r="D342" s="2298"/>
      <c r="E342" s="2175">
        <v>-318949</v>
      </c>
      <c r="F342" s="2175">
        <f t="shared" si="4"/>
        <v>-318949</v>
      </c>
      <c r="G342" s="2175">
        <v>0</v>
      </c>
      <c r="H342" s="2175">
        <v>0</v>
      </c>
      <c r="I342" s="2175">
        <v>0</v>
      </c>
      <c r="J342" s="1789" t="s">
        <v>1257</v>
      </c>
    </row>
    <row r="343" spans="1:10" ht="54" customHeight="1">
      <c r="A343" s="2502">
        <v>287903</v>
      </c>
      <c r="B343" s="2304">
        <v>415.87900000000002</v>
      </c>
      <c r="C343" s="2305" t="s">
        <v>1586</v>
      </c>
      <c r="D343" s="2298"/>
      <c r="E343" s="2175">
        <v>-36824</v>
      </c>
      <c r="F343" s="2175">
        <f t="shared" si="4"/>
        <v>-36824</v>
      </c>
      <c r="G343" s="2175">
        <v>0</v>
      </c>
      <c r="H343" s="2175">
        <v>0</v>
      </c>
      <c r="I343" s="2175">
        <v>0</v>
      </c>
      <c r="J343" s="2498" t="s">
        <v>1587</v>
      </c>
    </row>
    <row r="344" spans="1:10" ht="27.75" customHeight="1">
      <c r="A344" s="2502">
        <v>287979</v>
      </c>
      <c r="B344" s="2304">
        <v>415.91699999999997</v>
      </c>
      <c r="C344" s="2305" t="s">
        <v>1588</v>
      </c>
      <c r="D344" s="2298"/>
      <c r="E344" s="2175">
        <v>0</v>
      </c>
      <c r="F344" s="2175">
        <f t="shared" si="4"/>
        <v>0</v>
      </c>
      <c r="G344" s="2175">
        <v>0</v>
      </c>
      <c r="H344" s="2175">
        <v>0</v>
      </c>
      <c r="I344" s="2175">
        <v>0</v>
      </c>
      <c r="J344" s="2498" t="s">
        <v>1589</v>
      </c>
    </row>
    <row r="345" spans="1:10" ht="15" customHeight="1">
      <c r="A345" s="2502">
        <v>287974</v>
      </c>
      <c r="B345" s="2304">
        <v>415.916</v>
      </c>
      <c r="C345" s="2305" t="s">
        <v>1590</v>
      </c>
      <c r="D345" s="2298"/>
      <c r="E345" s="2175">
        <v>0</v>
      </c>
      <c r="F345" s="2175">
        <f t="shared" si="4"/>
        <v>0</v>
      </c>
      <c r="G345" s="2175">
        <v>0</v>
      </c>
      <c r="H345" s="2175">
        <v>0</v>
      </c>
      <c r="I345" s="2175">
        <v>0</v>
      </c>
      <c r="J345" s="1789" t="s">
        <v>1313</v>
      </c>
    </row>
    <row r="346" spans="1:10" ht="15" customHeight="1">
      <c r="A346" s="2502">
        <v>287968</v>
      </c>
      <c r="B346" s="2304">
        <v>415.91399999999999</v>
      </c>
      <c r="C346" s="2305" t="s">
        <v>1591</v>
      </c>
      <c r="D346" s="2298"/>
      <c r="E346" s="2175">
        <v>0</v>
      </c>
      <c r="F346" s="2175">
        <f t="shared" si="4"/>
        <v>0</v>
      </c>
      <c r="G346" s="2175">
        <v>0</v>
      </c>
      <c r="H346" s="2175">
        <v>0</v>
      </c>
      <c r="I346" s="2175">
        <v>0</v>
      </c>
      <c r="J346" s="1789" t="s">
        <v>1310</v>
      </c>
    </row>
    <row r="347" spans="1:10" ht="15" customHeight="1">
      <c r="A347" s="2502">
        <v>287969</v>
      </c>
      <c r="B347" s="2304">
        <v>415.91500000000002</v>
      </c>
      <c r="C347" s="2305" t="s">
        <v>1592</v>
      </c>
      <c r="D347" s="2298"/>
      <c r="E347" s="2175">
        <v>0</v>
      </c>
      <c r="F347" s="2175">
        <f t="shared" si="4"/>
        <v>0</v>
      </c>
      <c r="G347" s="2175">
        <v>0</v>
      </c>
      <c r="H347" s="2175">
        <v>0</v>
      </c>
      <c r="I347" s="2175">
        <v>0</v>
      </c>
      <c r="J347" s="1789" t="s">
        <v>1311</v>
      </c>
    </row>
    <row r="348" spans="1:10" ht="39" customHeight="1">
      <c r="A348" s="2502">
        <v>287977</v>
      </c>
      <c r="B348" s="2304">
        <v>415.88499999999999</v>
      </c>
      <c r="C348" s="2305" t="s">
        <v>1593</v>
      </c>
      <c r="D348" s="2298"/>
      <c r="E348" s="2175">
        <v>0</v>
      </c>
      <c r="F348" s="2175">
        <f t="shared" si="4"/>
        <v>0</v>
      </c>
      <c r="G348" s="2175">
        <v>0</v>
      </c>
      <c r="H348" s="2175">
        <v>0</v>
      </c>
      <c r="I348" s="2175">
        <v>0</v>
      </c>
      <c r="J348" s="2498" t="s">
        <v>1657</v>
      </c>
    </row>
    <row r="349" spans="1:10" ht="29.25" customHeight="1">
      <c r="A349" s="2502">
        <v>287919</v>
      </c>
      <c r="B349" s="2304">
        <v>425.10500000000002</v>
      </c>
      <c r="C349" s="2305" t="s">
        <v>1595</v>
      </c>
      <c r="D349" s="2298"/>
      <c r="E349" s="2175">
        <v>-107364</v>
      </c>
      <c r="F349" s="2175">
        <f t="shared" si="4"/>
        <v>-107364</v>
      </c>
      <c r="G349" s="2175">
        <v>0</v>
      </c>
      <c r="H349" s="2175">
        <v>0</v>
      </c>
      <c r="I349" s="2175">
        <v>0</v>
      </c>
      <c r="J349" s="2498" t="s">
        <v>1966</v>
      </c>
    </row>
    <row r="350" spans="1:10" ht="38.25">
      <c r="A350" s="2502">
        <v>287904</v>
      </c>
      <c r="B350" s="2304">
        <v>415.84500000000003</v>
      </c>
      <c r="C350" s="2305" t="s">
        <v>1596</v>
      </c>
      <c r="D350" s="2298"/>
      <c r="E350" s="2175">
        <v>0</v>
      </c>
      <c r="F350" s="2175">
        <f t="shared" si="4"/>
        <v>0</v>
      </c>
      <c r="G350" s="2175">
        <v>0</v>
      </c>
      <c r="H350" s="2175">
        <v>0</v>
      </c>
      <c r="I350" s="2175">
        <v>0</v>
      </c>
      <c r="J350" s="2498" t="s">
        <v>1597</v>
      </c>
    </row>
    <row r="351" spans="1:10" ht="25.5">
      <c r="A351" s="2502">
        <v>287942</v>
      </c>
      <c r="B351" s="2304">
        <v>430.11200000000002</v>
      </c>
      <c r="C351" s="2305" t="s">
        <v>1598</v>
      </c>
      <c r="D351" s="2298"/>
      <c r="E351" s="2175">
        <v>-104188</v>
      </c>
      <c r="F351" s="2175">
        <f t="shared" si="4"/>
        <v>-104188</v>
      </c>
      <c r="G351" s="2175">
        <v>0</v>
      </c>
      <c r="H351" s="2175">
        <v>0</v>
      </c>
      <c r="I351" s="2175">
        <v>0</v>
      </c>
      <c r="J351" s="1789" t="s">
        <v>1170</v>
      </c>
    </row>
    <row r="352" spans="1:10" ht="37.5" customHeight="1">
      <c r="A352" s="2502">
        <v>287579</v>
      </c>
      <c r="B352" s="2304">
        <v>415.822</v>
      </c>
      <c r="C352" s="2305" t="s">
        <v>1599</v>
      </c>
      <c r="D352" s="2298"/>
      <c r="E352" s="2175">
        <v>-107469</v>
      </c>
      <c r="F352" s="2175">
        <f t="shared" si="4"/>
        <v>-107469</v>
      </c>
      <c r="G352" s="2175">
        <v>0</v>
      </c>
      <c r="H352" s="2175">
        <v>0</v>
      </c>
      <c r="I352" s="2175">
        <v>0</v>
      </c>
      <c r="J352" s="1789" t="s">
        <v>1259</v>
      </c>
    </row>
    <row r="353" spans="1:10" ht="26.25" customHeight="1">
      <c r="A353" s="2502">
        <v>287972</v>
      </c>
      <c r="B353" s="2304">
        <v>320.28500000000003</v>
      </c>
      <c r="C353" s="2305" t="s">
        <v>1600</v>
      </c>
      <c r="D353" s="2298"/>
      <c r="E353" s="2175">
        <v>-831466</v>
      </c>
      <c r="F353" s="2175">
        <v>0</v>
      </c>
      <c r="G353" s="2175">
        <v>0</v>
      </c>
      <c r="H353" s="2175">
        <v>0</v>
      </c>
      <c r="I353" s="2175">
        <f>E353</f>
        <v>-831466</v>
      </c>
      <c r="J353" s="1789" t="s">
        <v>1312</v>
      </c>
    </row>
    <row r="354" spans="1:10" ht="38.25" customHeight="1">
      <c r="A354" s="2502">
        <v>287675</v>
      </c>
      <c r="B354" s="2304">
        <v>740.1</v>
      </c>
      <c r="C354" s="2305" t="s">
        <v>2131</v>
      </c>
      <c r="D354" s="2298"/>
      <c r="E354" s="2175">
        <v>-2193336</v>
      </c>
      <c r="F354" s="2175">
        <f t="shared" ref="F354:F389" si="6">E354</f>
        <v>-2193336</v>
      </c>
      <c r="G354" s="2175">
        <v>0</v>
      </c>
      <c r="H354" s="2175">
        <v>0</v>
      </c>
      <c r="I354" s="2175">
        <v>0</v>
      </c>
      <c r="J354" s="1789" t="s">
        <v>1300</v>
      </c>
    </row>
    <row r="355" spans="1:10" ht="38.25" customHeight="1">
      <c r="A355" s="2502">
        <v>287588</v>
      </c>
      <c r="B355" s="2304">
        <v>415.83100000000002</v>
      </c>
      <c r="C355" s="2305" t="s">
        <v>1602</v>
      </c>
      <c r="D355" s="2298"/>
      <c r="E355" s="2175">
        <v>-13274</v>
      </c>
      <c r="F355" s="2175">
        <f t="shared" si="6"/>
        <v>-13274</v>
      </c>
      <c r="G355" s="2175">
        <v>0</v>
      </c>
      <c r="H355" s="2175">
        <v>0</v>
      </c>
      <c r="I355" s="2175">
        <v>0</v>
      </c>
      <c r="J355" s="1789" t="s">
        <v>1263</v>
      </c>
    </row>
    <row r="356" spans="1:10" ht="38.25" customHeight="1">
      <c r="A356" s="2502">
        <v>287584</v>
      </c>
      <c r="B356" s="2304">
        <v>415.827</v>
      </c>
      <c r="C356" s="2305" t="s">
        <v>1603</v>
      </c>
      <c r="D356" s="2298"/>
      <c r="E356" s="2175">
        <v>-146517</v>
      </c>
      <c r="F356" s="2175">
        <f t="shared" si="6"/>
        <v>-146517</v>
      </c>
      <c r="G356" s="2175">
        <v>0</v>
      </c>
      <c r="H356" s="2175">
        <v>0</v>
      </c>
      <c r="I356" s="2175">
        <v>0</v>
      </c>
      <c r="J356" s="1789" t="s">
        <v>1261</v>
      </c>
    </row>
    <row r="357" spans="1:10" ht="38.25" customHeight="1">
      <c r="A357" s="2502">
        <v>287586</v>
      </c>
      <c r="B357" s="2304">
        <v>415.82900000000001</v>
      </c>
      <c r="C357" s="2305" t="s">
        <v>1604</v>
      </c>
      <c r="D357" s="2298"/>
      <c r="E357" s="2175">
        <v>-105750</v>
      </c>
      <c r="F357" s="2175">
        <f t="shared" si="6"/>
        <v>-105750</v>
      </c>
      <c r="G357" s="2175">
        <v>0</v>
      </c>
      <c r="H357" s="2175">
        <v>0</v>
      </c>
      <c r="I357" s="2175">
        <v>0</v>
      </c>
      <c r="J357" s="1789" t="s">
        <v>1262</v>
      </c>
    </row>
    <row r="358" spans="1:10" ht="50.25" customHeight="1">
      <c r="A358" s="2502">
        <v>287779</v>
      </c>
      <c r="B358" s="2304">
        <v>415.85</v>
      </c>
      <c r="C358" s="2305" t="s">
        <v>1605</v>
      </c>
      <c r="D358" s="2298"/>
      <c r="E358" s="2175">
        <v>0</v>
      </c>
      <c r="F358" s="2175">
        <f t="shared" si="6"/>
        <v>0</v>
      </c>
      <c r="G358" s="2175">
        <v>0</v>
      </c>
      <c r="H358" s="2175">
        <v>0</v>
      </c>
      <c r="I358" s="2175">
        <v>0</v>
      </c>
      <c r="J358" s="1789" t="s">
        <v>1276</v>
      </c>
    </row>
    <row r="359" spans="1:10" ht="66" customHeight="1">
      <c r="A359" s="2502">
        <v>287864</v>
      </c>
      <c r="B359" s="2304">
        <v>415.85199999999998</v>
      </c>
      <c r="C359" s="2305" t="s">
        <v>1606</v>
      </c>
      <c r="D359" s="2298"/>
      <c r="E359" s="2175">
        <v>-39443</v>
      </c>
      <c r="F359" s="2175">
        <f t="shared" si="6"/>
        <v>-39443</v>
      </c>
      <c r="G359" s="2175">
        <v>0</v>
      </c>
      <c r="H359" s="2175">
        <v>0</v>
      </c>
      <c r="I359" s="2175">
        <v>0</v>
      </c>
      <c r="J359" s="1789" t="s">
        <v>1279</v>
      </c>
    </row>
    <row r="360" spans="1:10" ht="66" customHeight="1">
      <c r="A360" s="2502">
        <v>287866</v>
      </c>
      <c r="B360" s="2304">
        <v>415.85399999999998</v>
      </c>
      <c r="C360" s="2305" t="s">
        <v>1607</v>
      </c>
      <c r="D360" s="2298"/>
      <c r="E360" s="2175">
        <v>0</v>
      </c>
      <c r="F360" s="2175">
        <f t="shared" si="6"/>
        <v>0</v>
      </c>
      <c r="G360" s="2175">
        <v>0</v>
      </c>
      <c r="H360" s="2175">
        <v>0</v>
      </c>
      <c r="I360" s="2175">
        <v>0</v>
      </c>
      <c r="J360" s="1789" t="s">
        <v>1280</v>
      </c>
    </row>
    <row r="361" spans="1:10" ht="25.5">
      <c r="A361" s="2502">
        <v>287858</v>
      </c>
      <c r="B361" s="2304">
        <v>415.67599999999999</v>
      </c>
      <c r="C361" s="2305" t="s">
        <v>1786</v>
      </c>
      <c r="D361" s="2298"/>
      <c r="E361" s="2175">
        <v>-77806</v>
      </c>
      <c r="F361" s="2175">
        <f t="shared" si="6"/>
        <v>-77806</v>
      </c>
      <c r="G361" s="2175">
        <v>0</v>
      </c>
      <c r="H361" s="2175">
        <v>0</v>
      </c>
      <c r="I361" s="2175">
        <v>0</v>
      </c>
      <c r="J361" s="1789" t="s">
        <v>1787</v>
      </c>
    </row>
    <row r="362" spans="1:10" ht="25.5">
      <c r="A362" s="2502">
        <v>287996</v>
      </c>
      <c r="B362" s="2304">
        <v>415.67500000000001</v>
      </c>
      <c r="C362" s="2305" t="s">
        <v>1788</v>
      </c>
      <c r="D362" s="2298"/>
      <c r="E362" s="2175">
        <v>-225774</v>
      </c>
      <c r="F362" s="2175">
        <f t="shared" si="6"/>
        <v>-225774</v>
      </c>
      <c r="G362" s="2175">
        <v>0</v>
      </c>
      <c r="H362" s="2175">
        <v>0</v>
      </c>
      <c r="I362" s="2175">
        <v>0</v>
      </c>
      <c r="J362" s="1789" t="s">
        <v>1789</v>
      </c>
    </row>
    <row r="363" spans="1:10" ht="27.75" customHeight="1">
      <c r="A363" s="2502">
        <v>287601</v>
      </c>
      <c r="B363" s="2304">
        <v>415.67700000000002</v>
      </c>
      <c r="C363" s="2305" t="s">
        <v>1865</v>
      </c>
      <c r="D363" s="2298"/>
      <c r="E363" s="2175">
        <v>-36222</v>
      </c>
      <c r="F363" s="2175">
        <f t="shared" si="6"/>
        <v>-36222</v>
      </c>
      <c r="G363" s="2175">
        <v>0</v>
      </c>
      <c r="H363" s="2175">
        <v>0</v>
      </c>
      <c r="I363" s="2175">
        <v>0</v>
      </c>
      <c r="J363" s="2497" t="s">
        <v>1864</v>
      </c>
    </row>
    <row r="364" spans="1:10" ht="25.5" customHeight="1">
      <c r="A364" s="2502">
        <v>287932</v>
      </c>
      <c r="B364" s="2304">
        <v>415.89400000000001</v>
      </c>
      <c r="C364" s="2305" t="s">
        <v>1863</v>
      </c>
      <c r="D364" s="2298"/>
      <c r="E364" s="2175">
        <v>0</v>
      </c>
      <c r="F364" s="2175">
        <f t="shared" si="6"/>
        <v>0</v>
      </c>
      <c r="G364" s="2175">
        <v>0</v>
      </c>
      <c r="H364" s="2175">
        <v>0</v>
      </c>
      <c r="I364" s="2175">
        <v>0</v>
      </c>
      <c r="J364" s="2497" t="s">
        <v>1862</v>
      </c>
    </row>
    <row r="365" spans="1:10" ht="38.25">
      <c r="A365" s="2502">
        <v>287978</v>
      </c>
      <c r="B365" s="2304">
        <v>415.90600000000001</v>
      </c>
      <c r="C365" s="2305" t="s">
        <v>1609</v>
      </c>
      <c r="D365" s="2298"/>
      <c r="E365" s="2175">
        <v>0</v>
      </c>
      <c r="F365" s="2175">
        <f t="shared" si="6"/>
        <v>0</v>
      </c>
      <c r="G365" s="2175">
        <v>0</v>
      </c>
      <c r="H365" s="2175">
        <v>0</v>
      </c>
      <c r="I365" s="2175">
        <v>0</v>
      </c>
      <c r="J365" s="2498" t="s">
        <v>1807</v>
      </c>
    </row>
    <row r="366" spans="1:10" ht="38.25">
      <c r="A366" s="2502">
        <v>287887</v>
      </c>
      <c r="B366" s="2304">
        <v>415.88099999999997</v>
      </c>
      <c r="C366" s="2305" t="s">
        <v>1611</v>
      </c>
      <c r="D366" s="2298"/>
      <c r="E366" s="2175">
        <v>-1049758</v>
      </c>
      <c r="F366" s="2175">
        <f t="shared" si="6"/>
        <v>-1049758</v>
      </c>
      <c r="G366" s="2175">
        <v>0</v>
      </c>
      <c r="H366" s="2175">
        <v>0</v>
      </c>
      <c r="I366" s="2175">
        <v>0</v>
      </c>
      <c r="J366" s="2498" t="s">
        <v>1659</v>
      </c>
    </row>
    <row r="367" spans="1:10" ht="38.25">
      <c r="A367" s="2502">
        <v>287888</v>
      </c>
      <c r="B367" s="2304">
        <v>415.88200000000001</v>
      </c>
      <c r="C367" s="2305" t="s">
        <v>1792</v>
      </c>
      <c r="D367" s="2298"/>
      <c r="E367" s="2175">
        <v>-279396</v>
      </c>
      <c r="F367" s="2175">
        <f t="shared" si="6"/>
        <v>-279396</v>
      </c>
      <c r="G367" s="2175">
        <v>0</v>
      </c>
      <c r="H367" s="2175">
        <v>0</v>
      </c>
      <c r="I367" s="2175">
        <v>0</v>
      </c>
      <c r="J367" s="2498" t="s">
        <v>1793</v>
      </c>
    </row>
    <row r="368" spans="1:10" ht="40.5" customHeight="1">
      <c r="A368" s="2502">
        <v>287889</v>
      </c>
      <c r="B368" s="2304">
        <v>415.88299999999998</v>
      </c>
      <c r="C368" s="2305" t="s">
        <v>1613</v>
      </c>
      <c r="D368" s="2298"/>
      <c r="E368" s="2175">
        <v>0</v>
      </c>
      <c r="F368" s="2175">
        <f t="shared" si="6"/>
        <v>0</v>
      </c>
      <c r="G368" s="2175">
        <v>0</v>
      </c>
      <c r="H368" s="2175">
        <v>0</v>
      </c>
      <c r="I368" s="2175">
        <v>0</v>
      </c>
      <c r="J368" s="2498" t="s">
        <v>1661</v>
      </c>
    </row>
    <row r="369" spans="1:10" ht="37.5" customHeight="1">
      <c r="A369" s="2502">
        <v>286902</v>
      </c>
      <c r="B369" s="2304">
        <v>415.91800000000001</v>
      </c>
      <c r="C369" s="2305" t="s">
        <v>2132</v>
      </c>
      <c r="D369" s="2298"/>
      <c r="E369" s="2175">
        <v>-128858</v>
      </c>
      <c r="F369" s="2175">
        <f t="shared" si="6"/>
        <v>-128858</v>
      </c>
      <c r="G369" s="2175">
        <v>0</v>
      </c>
      <c r="H369" s="2175">
        <v>0</v>
      </c>
      <c r="I369" s="2175">
        <v>0</v>
      </c>
      <c r="J369" s="2498" t="s">
        <v>2133</v>
      </c>
    </row>
    <row r="370" spans="1:10" ht="38.25" customHeight="1">
      <c r="A370" s="2502">
        <v>287871</v>
      </c>
      <c r="B370" s="2304">
        <v>415.86599999999999</v>
      </c>
      <c r="C370" s="2305" t="s">
        <v>1616</v>
      </c>
      <c r="D370" s="2298"/>
      <c r="E370" s="2175">
        <v>-2104901</v>
      </c>
      <c r="F370" s="2175">
        <f t="shared" si="6"/>
        <v>-2104901</v>
      </c>
      <c r="G370" s="2175">
        <v>0</v>
      </c>
      <c r="H370" s="2175">
        <v>0</v>
      </c>
      <c r="I370" s="2175">
        <v>0</v>
      </c>
      <c r="J370" s="2498" t="s">
        <v>1617</v>
      </c>
    </row>
    <row r="371" spans="1:10" ht="38.25" customHeight="1">
      <c r="A371" s="2502">
        <v>287860</v>
      </c>
      <c r="B371" s="2304">
        <v>415.85500000000002</v>
      </c>
      <c r="C371" s="2305" t="s">
        <v>2134</v>
      </c>
      <c r="D371" s="2298"/>
      <c r="E371" s="2175">
        <v>-74894</v>
      </c>
      <c r="F371" s="2175">
        <f t="shared" si="6"/>
        <v>-74894</v>
      </c>
      <c r="G371" s="2175">
        <v>0</v>
      </c>
      <c r="H371" s="2175">
        <v>0</v>
      </c>
      <c r="I371" s="2175">
        <v>0</v>
      </c>
      <c r="J371" s="2498" t="s">
        <v>2140</v>
      </c>
    </row>
    <row r="372" spans="1:10" ht="53.25" customHeight="1">
      <c r="A372" s="2502">
        <v>287881</v>
      </c>
      <c r="B372" s="2304">
        <v>415.70499999999998</v>
      </c>
      <c r="C372" s="2305" t="s">
        <v>1618</v>
      </c>
      <c r="D372" s="2298"/>
      <c r="E372" s="2175">
        <v>0</v>
      </c>
      <c r="F372" s="2175">
        <f t="shared" si="6"/>
        <v>0</v>
      </c>
      <c r="G372" s="2175">
        <v>0</v>
      </c>
      <c r="H372" s="2175">
        <v>0</v>
      </c>
      <c r="I372" s="2175">
        <v>0</v>
      </c>
      <c r="J372" s="1789" t="s">
        <v>1289</v>
      </c>
    </row>
    <row r="373" spans="1:10" ht="27.75" customHeight="1">
      <c r="A373" s="2502">
        <v>287899</v>
      </c>
      <c r="B373" s="2304">
        <v>415.87799999999999</v>
      </c>
      <c r="C373" s="2305" t="s">
        <v>1619</v>
      </c>
      <c r="D373" s="2298"/>
      <c r="E373" s="2175">
        <v>-225808</v>
      </c>
      <c r="F373" s="2175">
        <f t="shared" si="6"/>
        <v>-225808</v>
      </c>
      <c r="G373" s="2175">
        <v>0</v>
      </c>
      <c r="H373" s="2175">
        <v>0</v>
      </c>
      <c r="I373" s="2175">
        <v>0</v>
      </c>
      <c r="J373" s="2498" t="s">
        <v>2144</v>
      </c>
    </row>
    <row r="374" spans="1:10" ht="41.25" customHeight="1">
      <c r="A374" s="2502">
        <v>287878</v>
      </c>
      <c r="B374" s="2304">
        <v>415.40600000000001</v>
      </c>
      <c r="C374" s="2305" t="s">
        <v>1621</v>
      </c>
      <c r="D374" s="2298"/>
      <c r="E374" s="2175">
        <v>0</v>
      </c>
      <c r="F374" s="2175">
        <f t="shared" si="6"/>
        <v>0</v>
      </c>
      <c r="G374" s="2175">
        <v>0</v>
      </c>
      <c r="H374" s="2175">
        <v>0</v>
      </c>
      <c r="I374" s="2175">
        <v>0</v>
      </c>
      <c r="J374" s="1789" t="s">
        <v>1287</v>
      </c>
    </row>
    <row r="375" spans="1:10" ht="15.75" customHeight="1">
      <c r="A375" s="2502">
        <v>287906</v>
      </c>
      <c r="B375" s="2304">
        <v>415.863</v>
      </c>
      <c r="C375" s="2305" t="s">
        <v>1861</v>
      </c>
      <c r="D375" s="2298"/>
      <c r="E375" s="2175">
        <v>-497911</v>
      </c>
      <c r="F375" s="2175">
        <f t="shared" si="6"/>
        <v>-497911</v>
      </c>
      <c r="G375" s="2175">
        <v>0</v>
      </c>
      <c r="H375" s="2175">
        <v>0</v>
      </c>
      <c r="I375" s="2175">
        <v>0</v>
      </c>
      <c r="J375" s="2497" t="s">
        <v>1860</v>
      </c>
    </row>
    <row r="376" spans="1:10" ht="25.5">
      <c r="A376" s="2502">
        <v>287639</v>
      </c>
      <c r="B376" s="2304">
        <v>415.51</v>
      </c>
      <c r="C376" s="2305" t="s">
        <v>1622</v>
      </c>
      <c r="D376" s="2298"/>
      <c r="E376" s="2175">
        <v>-80886</v>
      </c>
      <c r="F376" s="2175">
        <f t="shared" si="6"/>
        <v>-80886</v>
      </c>
      <c r="G376" s="2175">
        <v>0</v>
      </c>
      <c r="H376" s="2175">
        <v>0</v>
      </c>
      <c r="I376" s="2175">
        <v>0</v>
      </c>
      <c r="J376" s="1789" t="s">
        <v>1268</v>
      </c>
    </row>
    <row r="377" spans="1:10" ht="63.75" customHeight="1">
      <c r="A377" s="2502">
        <v>287872</v>
      </c>
      <c r="B377" s="2304">
        <v>720.84100000000001</v>
      </c>
      <c r="C377" s="2305" t="s">
        <v>1623</v>
      </c>
      <c r="D377" s="2298"/>
      <c r="E377" s="2175">
        <v>0</v>
      </c>
      <c r="F377" s="2175">
        <f t="shared" si="6"/>
        <v>0</v>
      </c>
      <c r="G377" s="2175">
        <v>0</v>
      </c>
      <c r="H377" s="2175">
        <v>0</v>
      </c>
      <c r="I377" s="2175">
        <v>0</v>
      </c>
      <c r="J377" s="1789" t="s">
        <v>1282</v>
      </c>
    </row>
    <row r="378" spans="1:10" ht="63" customHeight="1">
      <c r="A378" s="2502">
        <v>287873</v>
      </c>
      <c r="B378" s="2304">
        <v>720.84199999999998</v>
      </c>
      <c r="C378" s="2305" t="s">
        <v>1624</v>
      </c>
      <c r="D378" s="2298"/>
      <c r="E378" s="2175">
        <v>0</v>
      </c>
      <c r="F378" s="2175">
        <f t="shared" si="6"/>
        <v>0</v>
      </c>
      <c r="G378" s="2175">
        <v>0</v>
      </c>
      <c r="H378" s="2175">
        <v>0</v>
      </c>
      <c r="I378" s="2175">
        <v>0</v>
      </c>
      <c r="J378" s="1789" t="s">
        <v>1283</v>
      </c>
    </row>
    <row r="379" spans="1:10" ht="42" customHeight="1">
      <c r="A379" s="2502">
        <v>287857</v>
      </c>
      <c r="B379" s="2304">
        <v>415.54500000000002</v>
      </c>
      <c r="C379" s="2305" t="s">
        <v>1859</v>
      </c>
      <c r="D379" s="2298"/>
      <c r="E379" s="2175">
        <v>1302</v>
      </c>
      <c r="F379" s="2175">
        <f t="shared" si="6"/>
        <v>1302</v>
      </c>
      <c r="G379" s="2175">
        <v>0</v>
      </c>
      <c r="H379" s="2175">
        <v>0</v>
      </c>
      <c r="I379" s="2175">
        <v>0</v>
      </c>
      <c r="J379" s="2497" t="s">
        <v>1960</v>
      </c>
    </row>
    <row r="380" spans="1:10" ht="63" customHeight="1">
      <c r="A380" s="2502">
        <v>287874</v>
      </c>
      <c r="B380" s="2304">
        <v>720.84299999999996</v>
      </c>
      <c r="C380" s="2305" t="s">
        <v>1625</v>
      </c>
      <c r="D380" s="2298"/>
      <c r="E380" s="2175">
        <v>-339406</v>
      </c>
      <c r="F380" s="2175">
        <f t="shared" si="6"/>
        <v>-339406</v>
      </c>
      <c r="G380" s="2175">
        <v>0</v>
      </c>
      <c r="H380" s="2175">
        <v>0</v>
      </c>
      <c r="I380" s="2175">
        <v>0</v>
      </c>
      <c r="J380" s="1789" t="s">
        <v>1284</v>
      </c>
    </row>
    <row r="381" spans="1:10" ht="66" customHeight="1">
      <c r="A381" s="2502">
        <v>287875</v>
      </c>
      <c r="B381" s="2304">
        <v>720.84400000000005</v>
      </c>
      <c r="C381" s="2305" t="s">
        <v>1626</v>
      </c>
      <c r="D381" s="2298"/>
      <c r="E381" s="2175">
        <v>0</v>
      </c>
      <c r="F381" s="2175">
        <f t="shared" si="6"/>
        <v>0</v>
      </c>
      <c r="G381" s="2175">
        <v>0</v>
      </c>
      <c r="H381" s="2175">
        <v>0</v>
      </c>
      <c r="I381" s="2175">
        <v>0</v>
      </c>
      <c r="J381" s="1789" t="s">
        <v>1285</v>
      </c>
    </row>
    <row r="382" spans="1:10" ht="63.75" customHeight="1">
      <c r="A382" s="2502">
        <v>287877</v>
      </c>
      <c r="B382" s="2304">
        <v>720.846</v>
      </c>
      <c r="C382" s="2305" t="s">
        <v>1627</v>
      </c>
      <c r="D382" s="2298"/>
      <c r="E382" s="2175">
        <v>0</v>
      </c>
      <c r="F382" s="2175">
        <f t="shared" si="6"/>
        <v>0</v>
      </c>
      <c r="G382" s="2175">
        <v>0</v>
      </c>
      <c r="H382" s="2175">
        <v>0</v>
      </c>
      <c r="I382" s="2175">
        <v>0</v>
      </c>
      <c r="J382" s="1789" t="s">
        <v>1286</v>
      </c>
    </row>
    <row r="383" spans="1:10" ht="25.5">
      <c r="A383" s="2502">
        <v>287848</v>
      </c>
      <c r="B383" s="2304">
        <v>320.28100000000001</v>
      </c>
      <c r="C383" s="2305" t="s">
        <v>1858</v>
      </c>
      <c r="D383" s="2298"/>
      <c r="E383" s="2175">
        <v>-2717497</v>
      </c>
      <c r="F383" s="2175">
        <f t="shared" si="6"/>
        <v>-2717497</v>
      </c>
      <c r="G383" s="2175">
        <v>0</v>
      </c>
      <c r="H383" s="2175">
        <v>0</v>
      </c>
      <c r="I383" s="2175">
        <v>0</v>
      </c>
      <c r="J383" s="2497" t="s">
        <v>1857</v>
      </c>
    </row>
    <row r="384" spans="1:10" ht="39" customHeight="1">
      <c r="A384" s="2502">
        <v>287933</v>
      </c>
      <c r="B384" s="2304">
        <v>320.28199999999998</v>
      </c>
      <c r="C384" s="2305" t="s">
        <v>1856</v>
      </c>
      <c r="D384" s="2298"/>
      <c r="E384" s="2175">
        <v>-223539</v>
      </c>
      <c r="F384" s="2175">
        <f t="shared" si="6"/>
        <v>-223539</v>
      </c>
      <c r="G384" s="2175">
        <v>0</v>
      </c>
      <c r="H384" s="2175">
        <v>0</v>
      </c>
      <c r="I384" s="2175">
        <v>0</v>
      </c>
      <c r="J384" s="2497" t="s">
        <v>1961</v>
      </c>
    </row>
    <row r="385" spans="1:10" ht="39" customHeight="1">
      <c r="A385" s="2502">
        <v>287934</v>
      </c>
      <c r="B385" s="2304">
        <v>320.28300000000002</v>
      </c>
      <c r="C385" s="2305" t="s">
        <v>1855</v>
      </c>
      <c r="D385" s="2298"/>
      <c r="E385" s="2175">
        <v>-25326</v>
      </c>
      <c r="F385" s="2175">
        <f t="shared" si="6"/>
        <v>-25326</v>
      </c>
      <c r="G385" s="2175">
        <v>0</v>
      </c>
      <c r="H385" s="2175">
        <v>0</v>
      </c>
      <c r="I385" s="2175">
        <v>0</v>
      </c>
      <c r="J385" s="2497" t="s">
        <v>1854</v>
      </c>
    </row>
    <row r="386" spans="1:10" ht="24.75" customHeight="1">
      <c r="A386" s="2502">
        <v>287917</v>
      </c>
      <c r="B386" s="2304">
        <v>705.45100000000002</v>
      </c>
      <c r="C386" s="2305" t="s">
        <v>1629</v>
      </c>
      <c r="D386" s="2298"/>
      <c r="E386" s="2175">
        <v>-324339</v>
      </c>
      <c r="F386" s="2175">
        <f t="shared" si="6"/>
        <v>-324339</v>
      </c>
      <c r="G386" s="2175">
        <v>0</v>
      </c>
      <c r="H386" s="2175">
        <v>0</v>
      </c>
      <c r="I386" s="2175">
        <v>0</v>
      </c>
      <c r="J386" s="1789" t="s">
        <v>1165</v>
      </c>
    </row>
    <row r="387" spans="1:10" ht="24.75" customHeight="1">
      <c r="A387" s="2502">
        <v>287916</v>
      </c>
      <c r="B387" s="2304">
        <v>705.45500000000004</v>
      </c>
      <c r="C387" s="2305" t="s">
        <v>1630</v>
      </c>
      <c r="D387" s="2298"/>
      <c r="E387" s="2175">
        <v>0</v>
      </c>
      <c r="F387" s="2175">
        <f t="shared" si="6"/>
        <v>0</v>
      </c>
      <c r="G387" s="2175">
        <v>0</v>
      </c>
      <c r="H387" s="2175">
        <v>0</v>
      </c>
      <c r="I387" s="2175">
        <v>0</v>
      </c>
      <c r="J387" s="1789" t="s">
        <v>1168</v>
      </c>
    </row>
    <row r="388" spans="1:10" ht="38.25">
      <c r="A388" s="2502">
        <v>287649</v>
      </c>
      <c r="B388" s="2304">
        <v>730.17</v>
      </c>
      <c r="C388" s="2305" t="s">
        <v>1631</v>
      </c>
      <c r="D388" s="2298"/>
      <c r="E388" s="2175">
        <v>-27637520</v>
      </c>
      <c r="F388" s="2175">
        <f t="shared" si="6"/>
        <v>-27637520</v>
      </c>
      <c r="G388" s="2175">
        <v>0</v>
      </c>
      <c r="H388" s="2175">
        <v>0</v>
      </c>
      <c r="I388" s="2175">
        <v>0</v>
      </c>
      <c r="J388" s="1789" t="s">
        <v>1272</v>
      </c>
    </row>
    <row r="389" spans="1:10" ht="25.5">
      <c r="A389" s="2502">
        <v>287886</v>
      </c>
      <c r="B389" s="2304">
        <v>415.83699999999999</v>
      </c>
      <c r="C389" s="2305" t="s">
        <v>1632</v>
      </c>
      <c r="D389" s="2298"/>
      <c r="E389" s="2175">
        <v>-37161097</v>
      </c>
      <c r="F389" s="2175">
        <f t="shared" si="6"/>
        <v>-37161097</v>
      </c>
      <c r="G389" s="2175">
        <v>0</v>
      </c>
      <c r="H389" s="2175">
        <v>0</v>
      </c>
      <c r="I389" s="2175">
        <v>0</v>
      </c>
      <c r="J389" s="1789" t="s">
        <v>1290</v>
      </c>
    </row>
    <row r="390" spans="1:10" ht="12.75">
      <c r="A390" s="2505" t="s">
        <v>1633</v>
      </c>
      <c r="B390" s="2304"/>
      <c r="C390" s="2305"/>
      <c r="D390" s="2298"/>
      <c r="E390" s="2175"/>
      <c r="F390" s="2593"/>
      <c r="G390" s="2593"/>
      <c r="H390" s="2593"/>
      <c r="I390" s="2593"/>
      <c r="J390" s="1789"/>
    </row>
    <row r="391" spans="1:10" ht="38.25">
      <c r="A391" s="2554">
        <v>287995</v>
      </c>
      <c r="B391" s="2304">
        <v>720.55</v>
      </c>
      <c r="C391" s="2305" t="s">
        <v>556</v>
      </c>
      <c r="D391" s="2298"/>
      <c r="E391" s="2175">
        <v>0</v>
      </c>
      <c r="F391" s="2175">
        <v>0</v>
      </c>
      <c r="G391" s="2175">
        <v>0</v>
      </c>
      <c r="H391" s="2175">
        <v>0</v>
      </c>
      <c r="I391" s="2175">
        <f>E391</f>
        <v>0</v>
      </c>
      <c r="J391" s="1789" t="s">
        <v>1794</v>
      </c>
    </row>
    <row r="392" spans="1:10" ht="24.75" customHeight="1">
      <c r="A392" s="2502">
        <v>287891</v>
      </c>
      <c r="B392" s="2304">
        <v>505.18</v>
      </c>
      <c r="C392" s="2305" t="s">
        <v>572</v>
      </c>
      <c r="D392" s="2298"/>
      <c r="E392" s="2175">
        <v>0</v>
      </c>
      <c r="F392" s="2175">
        <f t="shared" ref="F392:F399" si="7">E392</f>
        <v>0</v>
      </c>
      <c r="G392" s="2175">
        <v>0</v>
      </c>
      <c r="H392" s="2175">
        <v>0</v>
      </c>
      <c r="I392" s="2175">
        <v>0</v>
      </c>
      <c r="J392" s="1789" t="s">
        <v>1795</v>
      </c>
    </row>
    <row r="393" spans="1:10" ht="25.5">
      <c r="A393" s="2502">
        <v>287650</v>
      </c>
      <c r="B393" s="2304">
        <v>205.1</v>
      </c>
      <c r="C393" s="2305" t="s">
        <v>571</v>
      </c>
      <c r="D393" s="2298"/>
      <c r="E393" s="2175">
        <v>-283663</v>
      </c>
      <c r="F393" s="2175">
        <f t="shared" si="7"/>
        <v>-283663</v>
      </c>
      <c r="G393" s="2175">
        <v>0</v>
      </c>
      <c r="H393" s="2175">
        <v>0</v>
      </c>
      <c r="I393" s="2175">
        <v>0</v>
      </c>
      <c r="J393" s="1789" t="s">
        <v>1808</v>
      </c>
    </row>
    <row r="394" spans="1:10" ht="39" customHeight="1">
      <c r="A394" s="2502">
        <v>287879</v>
      </c>
      <c r="B394" s="2304">
        <v>415.89800000000002</v>
      </c>
      <c r="C394" s="2305" t="s">
        <v>590</v>
      </c>
      <c r="D394" s="2298"/>
      <c r="E394" s="2175">
        <v>0</v>
      </c>
      <c r="F394" s="2175">
        <f t="shared" si="7"/>
        <v>0</v>
      </c>
      <c r="G394" s="2175">
        <v>0</v>
      </c>
      <c r="H394" s="2175">
        <v>0</v>
      </c>
      <c r="I394" s="2175">
        <v>0</v>
      </c>
      <c r="J394" s="1789" t="s">
        <v>1288</v>
      </c>
    </row>
    <row r="395" spans="1:10" ht="51.75" customHeight="1">
      <c r="A395" s="2502">
        <v>287661</v>
      </c>
      <c r="B395" s="2304">
        <v>425.36</v>
      </c>
      <c r="C395" s="2305" t="s">
        <v>593</v>
      </c>
      <c r="D395" s="2298"/>
      <c r="E395" s="2175">
        <v>-1276037</v>
      </c>
      <c r="F395" s="2175">
        <f t="shared" si="7"/>
        <v>-1276037</v>
      </c>
      <c r="G395" s="2175">
        <v>0</v>
      </c>
      <c r="H395" s="2175">
        <v>0</v>
      </c>
      <c r="I395" s="2175">
        <v>0</v>
      </c>
      <c r="J395" s="1789" t="s">
        <v>1295</v>
      </c>
    </row>
    <row r="396" spans="1:10" ht="27.75" customHeight="1">
      <c r="A396" s="2502">
        <v>287341</v>
      </c>
      <c r="B396" s="2304">
        <v>910.53</v>
      </c>
      <c r="C396" s="2349" t="s">
        <v>2135</v>
      </c>
      <c r="D396" s="2298"/>
      <c r="E396" s="2175">
        <v>12296299</v>
      </c>
      <c r="F396" s="2175">
        <f t="shared" si="7"/>
        <v>12296299</v>
      </c>
      <c r="G396" s="2175">
        <v>0</v>
      </c>
      <c r="H396" s="2175">
        <v>0</v>
      </c>
      <c r="I396" s="2175">
        <v>0</v>
      </c>
      <c r="J396" s="1789" t="s">
        <v>1201</v>
      </c>
    </row>
    <row r="397" spans="1:10" ht="25.5">
      <c r="A397" s="2502">
        <v>287970</v>
      </c>
      <c r="B397" s="2304">
        <v>415.815</v>
      </c>
      <c r="C397" s="2349" t="s">
        <v>2136</v>
      </c>
      <c r="D397" s="2298"/>
      <c r="E397" s="2175">
        <v>-12762164</v>
      </c>
      <c r="F397" s="2175">
        <f t="shared" si="7"/>
        <v>-12762164</v>
      </c>
      <c r="G397" s="2175">
        <v>0</v>
      </c>
      <c r="H397" s="2175">
        <v>0</v>
      </c>
      <c r="I397" s="2175">
        <v>0</v>
      </c>
      <c r="J397" s="1789" t="s">
        <v>1748</v>
      </c>
    </row>
    <row r="398" spans="1:10" ht="24.75" customHeight="1">
      <c r="A398" s="2502">
        <v>287750</v>
      </c>
      <c r="B398" s="2304">
        <v>425.31</v>
      </c>
      <c r="C398" s="2305" t="s">
        <v>1302</v>
      </c>
      <c r="D398" s="2298"/>
      <c r="E398" s="2175">
        <v>0</v>
      </c>
      <c r="F398" s="2175">
        <f t="shared" si="7"/>
        <v>0</v>
      </c>
      <c r="G398" s="2175">
        <v>0</v>
      </c>
      <c r="H398" s="2175">
        <v>0</v>
      </c>
      <c r="I398" s="2175">
        <v>0</v>
      </c>
      <c r="J398" s="1789" t="s">
        <v>1796</v>
      </c>
    </row>
    <row r="399" spans="1:10" ht="38.25" customHeight="1">
      <c r="A399" s="2502">
        <v>287656</v>
      </c>
      <c r="B399" s="2304">
        <v>425.28</v>
      </c>
      <c r="C399" s="2305" t="s">
        <v>592</v>
      </c>
      <c r="D399" s="2298"/>
      <c r="E399" s="2175">
        <v>-56482</v>
      </c>
      <c r="F399" s="2175">
        <f t="shared" si="7"/>
        <v>-56482</v>
      </c>
      <c r="G399" s="2175">
        <v>0</v>
      </c>
      <c r="H399" s="2175">
        <v>0</v>
      </c>
      <c r="I399" s="2175">
        <v>0</v>
      </c>
      <c r="J399" s="1789" t="s">
        <v>1294</v>
      </c>
    </row>
    <row r="400" spans="1:10" ht="25.5">
      <c r="A400" s="2502">
        <v>287967</v>
      </c>
      <c r="B400" s="2304">
        <v>320.29000000000002</v>
      </c>
      <c r="C400" s="2305" t="s">
        <v>1634</v>
      </c>
      <c r="D400" s="2298"/>
      <c r="E400" s="2175">
        <v>0</v>
      </c>
      <c r="F400" s="2175">
        <v>0</v>
      </c>
      <c r="G400" s="2175">
        <v>0</v>
      </c>
      <c r="H400" s="2175">
        <v>0</v>
      </c>
      <c r="I400" s="2175">
        <f>E400</f>
        <v>0</v>
      </c>
      <c r="J400" s="1789" t="s">
        <v>1309</v>
      </c>
    </row>
    <row r="401" spans="1:10" ht="37.5" customHeight="1">
      <c r="A401" s="2502">
        <v>287609</v>
      </c>
      <c r="B401" s="2304">
        <v>105.241</v>
      </c>
      <c r="C401" s="2305" t="s">
        <v>1635</v>
      </c>
      <c r="D401" s="2298"/>
      <c r="E401" s="2175">
        <v>0</v>
      </c>
      <c r="F401" s="2175">
        <f>E401</f>
        <v>0</v>
      </c>
      <c r="G401" s="2175">
        <v>0</v>
      </c>
      <c r="H401" s="2175">
        <v>0</v>
      </c>
      <c r="I401" s="2175">
        <v>0</v>
      </c>
      <c r="J401" s="1789" t="s">
        <v>1305</v>
      </c>
    </row>
    <row r="402" spans="1:10" ht="25.5">
      <c r="A402" s="2502">
        <v>287669</v>
      </c>
      <c r="B402" s="2304">
        <v>210.18</v>
      </c>
      <c r="C402" s="2305" t="s">
        <v>597</v>
      </c>
      <c r="D402" s="2298"/>
      <c r="E402" s="2175">
        <v>-1635455</v>
      </c>
      <c r="F402" s="2175">
        <f>E402</f>
        <v>-1635455</v>
      </c>
      <c r="G402" s="2175">
        <v>0</v>
      </c>
      <c r="H402" s="2175">
        <v>0</v>
      </c>
      <c r="I402" s="2175">
        <v>0</v>
      </c>
      <c r="J402" s="1789" t="s">
        <v>1299</v>
      </c>
    </row>
    <row r="403" spans="1:10" ht="38.25" customHeight="1">
      <c r="A403" s="2502">
        <v>287909</v>
      </c>
      <c r="B403" s="2304">
        <v>210.19499999999999</v>
      </c>
      <c r="C403" s="2305" t="s">
        <v>1407</v>
      </c>
      <c r="D403" s="2298"/>
      <c r="E403" s="2175">
        <v>0</v>
      </c>
      <c r="F403" s="2175">
        <f>E403</f>
        <v>0</v>
      </c>
      <c r="G403" s="2175">
        <v>0</v>
      </c>
      <c r="H403" s="2175">
        <v>0</v>
      </c>
      <c r="I403" s="2175">
        <v>0</v>
      </c>
      <c r="J403" s="2497" t="s">
        <v>2137</v>
      </c>
    </row>
    <row r="404" spans="1:10" ht="25.5">
      <c r="A404" s="2502">
        <v>287665</v>
      </c>
      <c r="B404" s="2304">
        <v>210.13</v>
      </c>
      <c r="C404" s="2305" t="s">
        <v>596</v>
      </c>
      <c r="D404" s="2298"/>
      <c r="E404" s="2175">
        <v>-101515</v>
      </c>
      <c r="F404" s="2175">
        <f>E404</f>
        <v>-101515</v>
      </c>
      <c r="G404" s="2175">
        <v>0</v>
      </c>
      <c r="H404" s="2175">
        <v>0</v>
      </c>
      <c r="I404" s="2175">
        <v>0</v>
      </c>
      <c r="J404" s="1789" t="s">
        <v>1298</v>
      </c>
    </row>
    <row r="405" spans="1:10" ht="25.5">
      <c r="A405" s="2502">
        <v>287662</v>
      </c>
      <c r="B405" s="2304">
        <v>210.1</v>
      </c>
      <c r="C405" s="2305" t="s">
        <v>594</v>
      </c>
      <c r="D405" s="2298"/>
      <c r="E405" s="2175">
        <v>-359635</v>
      </c>
      <c r="F405" s="2175">
        <f>E405</f>
        <v>-359635</v>
      </c>
      <c r="G405" s="2175">
        <v>0</v>
      </c>
      <c r="H405" s="2175">
        <v>0</v>
      </c>
      <c r="I405" s="2175">
        <v>0</v>
      </c>
      <c r="J405" s="1789" t="s">
        <v>1296</v>
      </c>
    </row>
    <row r="406" spans="1:10" ht="24.75" customHeight="1">
      <c r="A406" s="2502">
        <v>287708</v>
      </c>
      <c r="B406" s="2304">
        <v>210.2</v>
      </c>
      <c r="C406" s="2305" t="s">
        <v>598</v>
      </c>
      <c r="D406" s="2298"/>
      <c r="E406" s="2175">
        <v>-8420282</v>
      </c>
      <c r="F406" s="2175">
        <v>0</v>
      </c>
      <c r="G406" s="2175">
        <v>0</v>
      </c>
      <c r="H406" s="2175">
        <f>E406</f>
        <v>-8420282</v>
      </c>
      <c r="I406" s="2175">
        <v>0</v>
      </c>
      <c r="J406" s="1789" t="s">
        <v>1301</v>
      </c>
    </row>
    <row r="407" spans="1:10" ht="25.5">
      <c r="A407" s="2502">
        <v>287664</v>
      </c>
      <c r="B407" s="2304">
        <v>210.12</v>
      </c>
      <c r="C407" s="2305" t="s">
        <v>595</v>
      </c>
      <c r="D407" s="2298"/>
      <c r="E407" s="2175">
        <v>-1199462</v>
      </c>
      <c r="F407" s="2175">
        <f t="shared" ref="F407:F412" si="8">E407</f>
        <v>-1199462</v>
      </c>
      <c r="G407" s="2175">
        <v>0</v>
      </c>
      <c r="H407" s="2175">
        <v>0</v>
      </c>
      <c r="I407" s="2175">
        <v>0</v>
      </c>
      <c r="J407" s="1789" t="s">
        <v>1297</v>
      </c>
    </row>
    <row r="408" spans="1:10" ht="25.5">
      <c r="A408" s="2502">
        <v>287908</v>
      </c>
      <c r="B408" s="2304">
        <v>210.19</v>
      </c>
      <c r="C408" s="2305" t="s">
        <v>1799</v>
      </c>
      <c r="D408" s="2298"/>
      <c r="E408" s="2175">
        <v>-305067</v>
      </c>
      <c r="F408" s="2175">
        <f t="shared" si="8"/>
        <v>-305067</v>
      </c>
      <c r="G408" s="2175">
        <v>0</v>
      </c>
      <c r="H408" s="2175">
        <v>0</v>
      </c>
      <c r="I408" s="2175">
        <v>0</v>
      </c>
      <c r="J408" s="2497" t="s">
        <v>1853</v>
      </c>
    </row>
    <row r="409" spans="1:10" ht="65.25" customHeight="1">
      <c r="A409" s="2502">
        <v>287927</v>
      </c>
      <c r="B409" s="2304">
        <v>100.11</v>
      </c>
      <c r="C409" s="2305" t="s">
        <v>1800</v>
      </c>
      <c r="D409" s="2298"/>
      <c r="E409" s="2175">
        <v>-28524</v>
      </c>
      <c r="F409" s="2175">
        <f t="shared" si="8"/>
        <v>-28524</v>
      </c>
      <c r="G409" s="2175">
        <v>0</v>
      </c>
      <c r="H409" s="2175">
        <v>0</v>
      </c>
      <c r="I409" s="2175">
        <v>0</v>
      </c>
      <c r="J409" s="1789" t="s">
        <v>2138</v>
      </c>
    </row>
    <row r="410" spans="1:10" ht="53.25" customHeight="1">
      <c r="A410" s="2502">
        <v>287289</v>
      </c>
      <c r="B410" s="2304">
        <v>425.13</v>
      </c>
      <c r="C410" s="2305" t="s">
        <v>1503</v>
      </c>
      <c r="D410" s="2298"/>
      <c r="E410" s="2175">
        <v>-7154</v>
      </c>
      <c r="F410" s="2175">
        <f t="shared" si="8"/>
        <v>-7154</v>
      </c>
      <c r="G410" s="2175">
        <v>0</v>
      </c>
      <c r="H410" s="2175">
        <v>0</v>
      </c>
      <c r="I410" s="2175">
        <v>0</v>
      </c>
      <c r="J410" s="1789" t="s">
        <v>1192</v>
      </c>
    </row>
    <row r="411" spans="1:10" ht="37.5" customHeight="1">
      <c r="A411" s="2502">
        <v>287653</v>
      </c>
      <c r="B411" s="2304">
        <v>425.25</v>
      </c>
      <c r="C411" s="2305" t="s">
        <v>591</v>
      </c>
      <c r="D411" s="2298"/>
      <c r="E411" s="2175">
        <v>-18108</v>
      </c>
      <c r="F411" s="2175">
        <f t="shared" si="8"/>
        <v>-18108</v>
      </c>
      <c r="G411" s="2175">
        <v>0</v>
      </c>
      <c r="H411" s="2175">
        <v>0</v>
      </c>
      <c r="I411" s="2175">
        <v>0</v>
      </c>
      <c r="J411" s="1789" t="s">
        <v>1294</v>
      </c>
    </row>
    <row r="412" spans="1:10" ht="25.5">
      <c r="A412" s="2502">
        <v>287770</v>
      </c>
      <c r="B412" s="2304">
        <v>120.205</v>
      </c>
      <c r="C412" s="2305" t="s">
        <v>599</v>
      </c>
      <c r="D412" s="2298"/>
      <c r="E412" s="2175">
        <v>-1519523</v>
      </c>
      <c r="F412" s="2175">
        <f t="shared" si="8"/>
        <v>-1519523</v>
      </c>
      <c r="G412" s="2175">
        <v>0</v>
      </c>
      <c r="H412" s="2175">
        <v>0</v>
      </c>
      <c r="I412" s="2175">
        <v>0</v>
      </c>
      <c r="J412" s="1789" t="s">
        <v>1303</v>
      </c>
    </row>
    <row r="413" spans="1:10" ht="25.5">
      <c r="A413" s="2502">
        <v>287859</v>
      </c>
      <c r="B413" s="2304">
        <v>910.93499999999995</v>
      </c>
      <c r="C413" s="2305" t="s">
        <v>600</v>
      </c>
      <c r="D413" s="2298"/>
      <c r="E413" s="2175">
        <v>-379600</v>
      </c>
      <c r="F413" s="2175">
        <v>0</v>
      </c>
      <c r="G413" s="2175">
        <v>0</v>
      </c>
      <c r="H413" s="2175">
        <v>0</v>
      </c>
      <c r="I413" s="2175">
        <f>E413</f>
        <v>-379600</v>
      </c>
      <c r="J413" s="1789" t="s">
        <v>1304</v>
      </c>
    </row>
    <row r="414" spans="1:10" ht="21.75" customHeight="1">
      <c r="A414" s="2502">
        <v>287217</v>
      </c>
      <c r="B414" s="2304">
        <v>910.93700000000001</v>
      </c>
      <c r="C414" s="2305" t="s">
        <v>1910</v>
      </c>
      <c r="D414" s="2298"/>
      <c r="E414" s="2175">
        <v>-217136</v>
      </c>
      <c r="F414" s="2175">
        <v>0</v>
      </c>
      <c r="G414" s="2175">
        <v>0</v>
      </c>
      <c r="H414" s="2175">
        <v>0</v>
      </c>
      <c r="I414" s="2175">
        <f>E414</f>
        <v>-217136</v>
      </c>
      <c r="J414" s="1789" t="s">
        <v>1909</v>
      </c>
    </row>
    <row r="415" spans="1:10" ht="25.5">
      <c r="A415" s="2502">
        <v>287966</v>
      </c>
      <c r="B415" s="2304">
        <v>415.834</v>
      </c>
      <c r="C415" s="2305" t="s">
        <v>1638</v>
      </c>
      <c r="D415" s="2298"/>
      <c r="E415" s="2175">
        <v>-677587</v>
      </c>
      <c r="F415" s="2175">
        <f>E415</f>
        <v>-677587</v>
      </c>
      <c r="G415" s="2175">
        <v>0</v>
      </c>
      <c r="H415" s="2175">
        <v>0</v>
      </c>
      <c r="I415" s="2175">
        <v>0</v>
      </c>
      <c r="J415" s="1789" t="s">
        <v>1308</v>
      </c>
    </row>
    <row r="416" spans="1:10" ht="25.5">
      <c r="A416" s="2502">
        <v>287965</v>
      </c>
      <c r="B416" s="2304">
        <v>415.83600000000001</v>
      </c>
      <c r="C416" s="2305" t="s">
        <v>1307</v>
      </c>
      <c r="D416" s="2298"/>
      <c r="E416" s="2175">
        <v>0</v>
      </c>
      <c r="F416" s="2175">
        <f>E416</f>
        <v>0</v>
      </c>
      <c r="G416" s="2175">
        <v>0</v>
      </c>
      <c r="H416" s="2175">
        <v>0</v>
      </c>
      <c r="I416" s="2175">
        <v>0</v>
      </c>
      <c r="J416" s="1789" t="s">
        <v>1308</v>
      </c>
    </row>
    <row r="417" spans="1:10" ht="30" customHeight="1">
      <c r="A417" s="2502">
        <v>287492</v>
      </c>
      <c r="B417" s="2304" t="s">
        <v>564</v>
      </c>
      <c r="C417" s="2305" t="s">
        <v>1639</v>
      </c>
      <c r="D417" s="2298"/>
      <c r="E417" s="2175">
        <v>-293220</v>
      </c>
      <c r="F417" s="2175">
        <f>E417</f>
        <v>-293220</v>
      </c>
      <c r="G417" s="2175">
        <v>0</v>
      </c>
      <c r="H417" s="2175">
        <v>0</v>
      </c>
      <c r="I417" s="2175">
        <v>0</v>
      </c>
      <c r="J417" s="2497" t="s">
        <v>1662</v>
      </c>
    </row>
    <row r="418" spans="1:10" ht="15">
      <c r="A418" s="2568"/>
      <c r="B418" s="2569"/>
      <c r="C418" s="2569"/>
      <c r="D418" s="2590"/>
      <c r="E418" s="2591"/>
      <c r="F418" s="2591"/>
      <c r="G418" s="2591"/>
      <c r="H418" s="2591"/>
      <c r="I418" s="2591"/>
      <c r="J418" s="2573"/>
    </row>
    <row r="419" spans="1:10" ht="12.75">
      <c r="A419" s="2330"/>
      <c r="B419" s="2550"/>
      <c r="C419" s="2550"/>
      <c r="D419" s="2499"/>
      <c r="E419" s="2176"/>
      <c r="F419" s="2176"/>
      <c r="G419" s="2176"/>
      <c r="H419" s="2176"/>
      <c r="I419" s="2176"/>
      <c r="J419" s="1835"/>
    </row>
    <row r="420" spans="1:10" s="2500" customFormat="1" ht="12.75">
      <c r="A420" s="2332"/>
      <c r="B420" s="2333"/>
      <c r="C420" s="2334"/>
      <c r="D420" s="925"/>
      <c r="E420" s="2176"/>
      <c r="F420" s="2176"/>
      <c r="G420" s="2176"/>
      <c r="H420" s="2176"/>
      <c r="I420" s="2176"/>
      <c r="J420" s="1836"/>
    </row>
    <row r="421" spans="1:10" s="2500" customFormat="1" ht="12.75">
      <c r="A421" s="2332"/>
      <c r="B421" s="2594"/>
      <c r="C421" s="2595"/>
      <c r="D421" s="2501"/>
      <c r="E421" s="2176"/>
      <c r="F421" s="2176"/>
      <c r="G421" s="2176"/>
      <c r="H421" s="2176"/>
      <c r="I421" s="2176"/>
      <c r="J421" s="1789"/>
    </row>
    <row r="422" spans="1:10" s="1343" customFormat="1" ht="12.75">
      <c r="A422" s="2673" t="s">
        <v>439</v>
      </c>
      <c r="B422" s="2682"/>
      <c r="C422" s="2682"/>
      <c r="D422" s="2596"/>
      <c r="E422" s="2176">
        <v>7</v>
      </c>
      <c r="F422" s="2176">
        <f>E422</f>
        <v>7</v>
      </c>
      <c r="G422" s="2176"/>
      <c r="H422" s="2176"/>
      <c r="I422" s="2176"/>
      <c r="J422" s="1838"/>
    </row>
    <row r="423" spans="1:10" s="1380" customFormat="1" ht="12.75">
      <c r="A423" s="2325" t="s">
        <v>322</v>
      </c>
      <c r="B423" s="2509"/>
      <c r="C423" s="2506"/>
      <c r="D423" s="2510"/>
      <c r="E423" s="2317">
        <f>SUBTOTAL(9,E288:E422)</f>
        <v>-603137230</v>
      </c>
      <c r="F423" s="2317">
        <f>SUBTOTAL(9,F288:F422)</f>
        <v>-593288746</v>
      </c>
      <c r="G423" s="2317">
        <f>SUBTOTAL(9,G288:G422)</f>
        <v>0</v>
      </c>
      <c r="H423" s="2317">
        <f>SUBTOTAL(9,H288:H422)</f>
        <v>-8420282</v>
      </c>
      <c r="I423" s="2317">
        <f>SUBTOTAL(9,I288:I422)</f>
        <v>-1428202</v>
      </c>
      <c r="J423" s="2320"/>
    </row>
    <row r="424" spans="1:10" s="1380" customFormat="1" ht="12.75">
      <c r="A424" s="2325" t="s">
        <v>198</v>
      </c>
      <c r="B424" s="2509"/>
      <c r="C424" s="2506"/>
      <c r="D424" s="2510"/>
      <c r="E424" s="2338">
        <f>E332+E409</f>
        <v>-159741887</v>
      </c>
      <c r="F424" s="2338">
        <f>F332+F409</f>
        <v>-159741887</v>
      </c>
      <c r="G424" s="2338">
        <f>G332+G409</f>
        <v>0</v>
      </c>
      <c r="H424" s="2338">
        <f>H332+H409</f>
        <v>0</v>
      </c>
      <c r="I424" s="2338">
        <f>I332+I409</f>
        <v>0</v>
      </c>
      <c r="J424" s="2320"/>
    </row>
    <row r="425" spans="1:10" s="1380" customFormat="1" ht="12.75">
      <c r="A425" s="2325" t="s">
        <v>199</v>
      </c>
      <c r="B425" s="2509"/>
      <c r="C425" s="2506"/>
      <c r="D425" s="2510"/>
      <c r="E425" s="2338">
        <v>0</v>
      </c>
      <c r="F425" s="2338">
        <v>0</v>
      </c>
      <c r="G425" s="2338">
        <v>0</v>
      </c>
      <c r="H425" s="2338">
        <v>0</v>
      </c>
      <c r="I425" s="2338">
        <v>0</v>
      </c>
      <c r="J425" s="2320"/>
    </row>
    <row r="426" spans="1:10" s="1380" customFormat="1" ht="12.75">
      <c r="A426" s="2339" t="s">
        <v>282</v>
      </c>
      <c r="B426" s="2340"/>
      <c r="C426" s="2341"/>
      <c r="D426" s="2342"/>
      <c r="E426" s="2343">
        <f>SUM(E423-E424-E425)</f>
        <v>-443395343</v>
      </c>
      <c r="F426" s="2343">
        <f>SUM(F423-F424-F425)</f>
        <v>-433546859</v>
      </c>
      <c r="G426" s="2343">
        <f>SUM(G423-G424-G425)</f>
        <v>0</v>
      </c>
      <c r="H426" s="2343">
        <f>SUM(H423-H424-H425)</f>
        <v>-8420282</v>
      </c>
      <c r="I426" s="2343">
        <f>SUM(I423-I424-I425)</f>
        <v>-1428202</v>
      </c>
      <c r="J426" s="2320"/>
    </row>
    <row r="427" spans="1:10" s="1380" customFormat="1" ht="12.75">
      <c r="A427" s="2559"/>
      <c r="B427" s="2559"/>
      <c r="C427" s="2597"/>
      <c r="D427" s="2598"/>
      <c r="E427" s="2598"/>
      <c r="F427" s="2598"/>
      <c r="G427" s="2598"/>
      <c r="H427" s="2598"/>
      <c r="I427" s="1382"/>
      <c r="J427" s="1379"/>
    </row>
    <row r="428" spans="1:10" s="1380" customFormat="1" ht="12.75">
      <c r="A428" s="2559"/>
      <c r="B428" s="2559"/>
      <c r="C428" s="2518" t="s">
        <v>65</v>
      </c>
      <c r="D428" s="2323"/>
      <c r="E428" s="2323"/>
      <c r="F428" s="2323"/>
      <c r="G428" s="2560"/>
      <c r="H428" s="2561"/>
      <c r="I428" s="1382"/>
      <c r="J428" s="1379"/>
    </row>
    <row r="429" spans="1:10" s="1380" customFormat="1" ht="25.5">
      <c r="A429" s="2559"/>
      <c r="B429" s="2559"/>
      <c r="C429" s="2599" t="s">
        <v>132</v>
      </c>
      <c r="D429" s="1382"/>
      <c r="E429" s="1382"/>
      <c r="F429" s="1382"/>
      <c r="G429" s="1382"/>
      <c r="H429" s="2600"/>
      <c r="I429" s="1382"/>
      <c r="J429" s="1379"/>
    </row>
    <row r="430" spans="1:10" s="1380" customFormat="1" ht="12.75">
      <c r="A430" s="2559"/>
      <c r="B430" s="2559"/>
      <c r="C430" s="2523" t="s">
        <v>133</v>
      </c>
      <c r="D430" s="2355"/>
      <c r="E430" s="2355"/>
      <c r="F430" s="2355"/>
      <c r="G430" s="2562"/>
      <c r="H430" s="2563"/>
      <c r="I430" s="1382"/>
      <c r="J430" s="1379"/>
    </row>
    <row r="431" spans="1:10" s="1380" customFormat="1" ht="12.75">
      <c r="A431" s="2559"/>
      <c r="B431" s="2559"/>
      <c r="C431" s="2523" t="s">
        <v>262</v>
      </c>
      <c r="D431" s="2355"/>
      <c r="E431" s="2355"/>
      <c r="F431" s="2355"/>
      <c r="G431" s="2562"/>
      <c r="H431" s="2563"/>
      <c r="I431" s="1382"/>
      <c r="J431" s="1379"/>
    </row>
    <row r="432" spans="1:10" s="1380" customFormat="1" ht="12.75">
      <c r="A432" s="2559"/>
      <c r="B432" s="2559"/>
      <c r="C432" s="2523" t="s">
        <v>264</v>
      </c>
      <c r="D432" s="2355"/>
      <c r="E432" s="2355"/>
      <c r="F432" s="2355"/>
      <c r="G432" s="2355"/>
      <c r="H432" s="2356"/>
      <c r="I432" s="2601"/>
      <c r="J432" s="1379"/>
    </row>
    <row r="433" spans="1:10" s="1380" customFormat="1" ht="24.75" customHeight="1">
      <c r="A433" s="2559"/>
      <c r="B433" s="2559"/>
      <c r="C433" s="2675" t="s">
        <v>18</v>
      </c>
      <c r="D433" s="2676"/>
      <c r="E433" s="2676"/>
      <c r="F433" s="2676"/>
      <c r="G433" s="2676"/>
      <c r="H433" s="2677"/>
      <c r="I433" s="1382"/>
      <c r="J433" s="1379"/>
    </row>
    <row r="434" spans="1:10">
      <c r="A434" s="2578"/>
      <c r="B434" s="2578"/>
      <c r="C434" s="2582"/>
      <c r="D434" s="2602"/>
      <c r="E434" s="2602"/>
      <c r="F434" s="2602"/>
      <c r="G434" s="2602"/>
      <c r="H434" s="2602"/>
      <c r="I434" s="2582"/>
      <c r="J434" s="1380"/>
    </row>
    <row r="435" spans="1:10">
      <c r="A435" s="2578"/>
      <c r="B435" s="2578"/>
      <c r="C435" s="2582"/>
      <c r="D435" s="2602"/>
      <c r="E435" s="1841"/>
      <c r="F435" s="1841"/>
      <c r="G435" s="1326"/>
      <c r="H435" s="1326"/>
      <c r="I435" s="1373"/>
    </row>
    <row r="436" spans="1:10">
      <c r="A436" s="1369"/>
      <c r="B436" s="1369"/>
      <c r="C436" s="1373"/>
      <c r="D436" s="1308"/>
      <c r="E436" s="1841"/>
      <c r="F436" s="1841"/>
      <c r="G436" s="1326"/>
      <c r="H436" s="1326"/>
      <c r="I436" s="1373"/>
    </row>
    <row r="437" spans="1:10">
      <c r="A437" s="1369"/>
      <c r="B437" s="1369"/>
      <c r="C437" s="1373"/>
      <c r="D437" s="1308"/>
      <c r="E437" s="1841"/>
      <c r="F437" s="1841"/>
      <c r="G437" s="1326"/>
      <c r="H437" s="1326"/>
      <c r="I437" s="1373"/>
    </row>
    <row r="438" spans="1:10">
      <c r="A438" s="1369"/>
      <c r="B438" s="1369"/>
      <c r="C438" s="1373"/>
      <c r="D438" s="1308"/>
      <c r="E438" s="1841"/>
      <c r="F438" s="1841"/>
      <c r="G438" s="1326"/>
      <c r="H438" s="1326"/>
      <c r="I438" s="1373"/>
    </row>
    <row r="439" spans="1:10">
      <c r="A439" s="1369"/>
      <c r="B439" s="1369"/>
      <c r="C439" s="1373"/>
      <c r="D439" s="1308"/>
      <c r="E439" s="1841"/>
      <c r="F439" s="1841"/>
      <c r="G439" s="1326"/>
      <c r="H439" s="1326"/>
      <c r="I439" s="1373"/>
    </row>
    <row r="440" spans="1:10">
      <c r="A440" s="1369"/>
      <c r="B440" s="1369"/>
      <c r="C440" s="1373"/>
      <c r="D440" s="1308"/>
      <c r="E440" s="1841"/>
      <c r="F440" s="1841"/>
      <c r="G440" s="1326"/>
      <c r="H440" s="1326"/>
      <c r="I440" s="1373"/>
    </row>
    <row r="441" spans="1:10">
      <c r="A441" s="1369"/>
      <c r="B441" s="1369"/>
      <c r="C441" s="1373"/>
      <c r="D441" s="1308"/>
      <c r="E441" s="1841"/>
      <c r="F441" s="1841"/>
      <c r="G441" s="1326"/>
      <c r="H441" s="1326"/>
      <c r="I441" s="1373"/>
    </row>
    <row r="442" spans="1:10">
      <c r="A442" s="1369"/>
      <c r="B442" s="1369"/>
      <c r="C442" s="1373"/>
      <c r="D442" s="1308"/>
      <c r="E442" s="1841"/>
      <c r="F442" s="1841"/>
      <c r="G442" s="1326"/>
      <c r="H442" s="1326"/>
      <c r="I442" s="1373"/>
    </row>
    <row r="443" spans="1:10">
      <c r="A443" s="1373"/>
      <c r="B443" s="1373"/>
      <c r="C443" s="1373"/>
      <c r="D443" s="1308"/>
      <c r="E443" s="1841"/>
      <c r="F443" s="1841"/>
      <c r="G443" s="1326"/>
      <c r="H443" s="1326"/>
      <c r="I443" s="1373"/>
    </row>
    <row r="444" spans="1:10">
      <c r="A444" s="1369"/>
      <c r="B444" s="1369"/>
      <c r="C444" s="1373"/>
      <c r="D444" s="1308"/>
      <c r="E444" s="1841"/>
      <c r="F444" s="1841"/>
      <c r="G444" s="1326"/>
      <c r="H444" s="1326"/>
      <c r="I444" s="1373"/>
    </row>
    <row r="445" spans="1:10">
      <c r="A445" s="1373"/>
      <c r="B445" s="1373"/>
      <c r="C445" s="1373"/>
      <c r="D445" s="1308"/>
      <c r="E445" s="1841"/>
      <c r="F445" s="1841"/>
      <c r="G445" s="1326"/>
      <c r="H445" s="1326"/>
      <c r="I445" s="1373"/>
    </row>
    <row r="446" spans="1:10">
      <c r="A446" s="1369"/>
      <c r="B446" s="1369"/>
      <c r="C446" s="1373"/>
      <c r="D446" s="1308"/>
      <c r="E446" s="1326"/>
      <c r="F446" s="1326"/>
      <c r="G446" s="1326"/>
      <c r="H446" s="1326"/>
      <c r="I446" s="1373"/>
    </row>
    <row r="447" spans="1:10">
      <c r="A447" s="1369"/>
      <c r="B447" s="1369"/>
      <c r="C447" s="1373"/>
      <c r="D447" s="1308"/>
      <c r="E447" s="1326"/>
      <c r="F447" s="1326"/>
      <c r="G447" s="1326"/>
      <c r="H447" s="1326"/>
      <c r="I447" s="1373"/>
    </row>
    <row r="448" spans="1:10">
      <c r="A448" s="1369"/>
      <c r="B448" s="1369"/>
      <c r="C448" s="1373"/>
      <c r="D448" s="1308"/>
      <c r="E448" s="1326"/>
      <c r="F448" s="1326"/>
      <c r="G448" s="1326"/>
      <c r="H448" s="1326"/>
      <c r="I448" s="1373"/>
    </row>
    <row r="449" spans="1:9">
      <c r="A449" s="1369"/>
      <c r="B449" s="1369"/>
      <c r="C449" s="1373"/>
      <c r="D449" s="1308"/>
      <c r="E449" s="1326"/>
      <c r="F449" s="1326"/>
      <c r="G449" s="1326"/>
      <c r="H449" s="1326"/>
      <c r="I449" s="1373"/>
    </row>
    <row r="450" spans="1:9">
      <c r="A450" s="1369"/>
      <c r="B450" s="1369"/>
      <c r="C450" s="1373"/>
      <c r="D450" s="1308"/>
      <c r="E450" s="1326"/>
      <c r="F450" s="1326"/>
      <c r="G450" s="1326"/>
      <c r="H450" s="1326"/>
      <c r="I450" s="1373"/>
    </row>
    <row r="451" spans="1:9">
      <c r="A451" s="1369"/>
      <c r="B451" s="1369"/>
      <c r="C451" s="1373"/>
      <c r="D451" s="1308"/>
      <c r="E451" s="1326"/>
      <c r="F451" s="1326"/>
      <c r="G451" s="1326"/>
      <c r="H451" s="1326"/>
      <c r="I451" s="1373"/>
    </row>
    <row r="452" spans="1:9">
      <c r="A452" s="1369"/>
      <c r="B452" s="1369"/>
      <c r="C452" s="1373"/>
      <c r="D452" s="1308"/>
      <c r="E452" s="1326"/>
      <c r="F452" s="1326"/>
      <c r="G452" s="1326"/>
      <c r="H452" s="1326"/>
      <c r="I452" s="1373"/>
    </row>
    <row r="453" spans="1:9">
      <c r="A453" s="1369"/>
      <c r="B453" s="1369"/>
      <c r="C453" s="1373"/>
      <c r="D453" s="1308"/>
      <c r="E453" s="1326"/>
      <c r="F453" s="1326"/>
      <c r="G453" s="1326"/>
      <c r="H453" s="1326"/>
      <c r="I453" s="1373"/>
    </row>
    <row r="454" spans="1:9">
      <c r="A454" s="1369"/>
      <c r="B454" s="1369"/>
      <c r="C454" s="1373"/>
      <c r="D454" s="1308"/>
      <c r="E454" s="1326"/>
      <c r="F454" s="1326"/>
      <c r="G454" s="1326"/>
      <c r="H454" s="1326"/>
      <c r="I454" s="1373"/>
    </row>
    <row r="455" spans="1:9">
      <c r="A455" s="1369"/>
      <c r="B455" s="1369"/>
      <c r="C455" s="1373"/>
      <c r="D455" s="1308"/>
      <c r="E455" s="1326"/>
      <c r="F455" s="1326"/>
      <c r="G455" s="1326"/>
      <c r="H455" s="1326"/>
      <c r="I455" s="1373"/>
    </row>
    <row r="456" spans="1:9">
      <c r="A456" s="1369"/>
      <c r="B456" s="1369"/>
      <c r="C456" s="1373"/>
      <c r="D456" s="1308"/>
      <c r="E456" s="1326"/>
      <c r="F456" s="1326"/>
      <c r="G456" s="1326"/>
      <c r="H456" s="1326"/>
      <c r="I456" s="1373"/>
    </row>
    <row r="457" spans="1:9">
      <c r="A457" s="1369"/>
      <c r="B457" s="1369"/>
      <c r="C457" s="1373"/>
      <c r="D457" s="1308"/>
      <c r="E457" s="1326"/>
      <c r="F457" s="1326"/>
      <c r="G457" s="1326"/>
      <c r="H457" s="1326"/>
      <c r="I457" s="1373"/>
    </row>
    <row r="458" spans="1:9">
      <c r="A458" s="1369"/>
      <c r="B458" s="1369"/>
      <c r="C458" s="1373"/>
      <c r="D458" s="1308"/>
      <c r="E458" s="1326"/>
      <c r="F458" s="1326"/>
      <c r="G458" s="1326"/>
      <c r="H458" s="1326"/>
      <c r="I458" s="1373"/>
    </row>
    <row r="459" spans="1:9">
      <c r="A459" s="1369"/>
      <c r="B459" s="1369"/>
      <c r="C459" s="1373"/>
      <c r="D459" s="1308"/>
      <c r="E459" s="1326"/>
      <c r="F459" s="1326"/>
      <c r="G459" s="1326"/>
      <c r="H459" s="1326"/>
      <c r="I459" s="1373"/>
    </row>
    <row r="460" spans="1:9">
      <c r="A460" s="1369"/>
      <c r="B460" s="1369"/>
      <c r="C460" s="1373"/>
      <c r="D460" s="1308"/>
      <c r="E460" s="1326"/>
      <c r="F460" s="1326"/>
      <c r="G460" s="1326"/>
      <c r="H460" s="1326"/>
      <c r="I460" s="1373"/>
    </row>
    <row r="461" spans="1:9">
      <c r="A461" s="1369"/>
      <c r="B461" s="1369"/>
      <c r="C461" s="1373"/>
      <c r="D461" s="1308"/>
      <c r="E461" s="1326"/>
      <c r="F461" s="1326"/>
      <c r="G461" s="1326"/>
      <c r="H461" s="1326"/>
      <c r="I461" s="1373"/>
    </row>
    <row r="462" spans="1:9">
      <c r="A462" s="1369"/>
      <c r="B462" s="1369"/>
      <c r="C462" s="1373"/>
      <c r="D462" s="1308"/>
      <c r="E462" s="1326"/>
      <c r="F462" s="1326"/>
      <c r="G462" s="1326"/>
      <c r="H462" s="1326"/>
      <c r="I462" s="1373"/>
    </row>
    <row r="463" spans="1:9">
      <c r="A463" s="1369"/>
      <c r="B463" s="1369"/>
      <c r="C463" s="1373"/>
      <c r="D463" s="1308"/>
      <c r="E463" s="1326"/>
      <c r="F463" s="1326"/>
      <c r="G463" s="1326"/>
      <c r="H463" s="1326"/>
      <c r="I463" s="1373"/>
    </row>
    <row r="464" spans="1:9">
      <c r="A464" s="1369"/>
      <c r="B464" s="1369"/>
      <c r="C464" s="1373"/>
      <c r="D464" s="1308"/>
      <c r="E464" s="1326"/>
      <c r="F464" s="1326"/>
      <c r="G464" s="1326"/>
      <c r="H464" s="1326"/>
      <c r="I464" s="1373"/>
    </row>
    <row r="465" spans="1:9">
      <c r="A465" s="1369"/>
      <c r="B465" s="1369"/>
      <c r="C465" s="1373"/>
      <c r="D465" s="1308"/>
      <c r="E465" s="1326"/>
      <c r="F465" s="1326"/>
      <c r="G465" s="1326"/>
      <c r="H465" s="1326"/>
      <c r="I465" s="1373"/>
    </row>
    <row r="466" spans="1:9">
      <c r="A466" s="1369"/>
      <c r="B466" s="1369"/>
      <c r="C466" s="1373"/>
      <c r="D466" s="1308"/>
      <c r="E466" s="1326"/>
      <c r="F466" s="1326"/>
      <c r="G466" s="1326"/>
      <c r="H466" s="1326"/>
      <c r="I466" s="1373"/>
    </row>
    <row r="467" spans="1:9">
      <c r="A467" s="1369"/>
      <c r="B467" s="1369"/>
      <c r="C467" s="1373"/>
      <c r="D467" s="1308"/>
      <c r="E467" s="1326"/>
      <c r="F467" s="1326"/>
      <c r="G467" s="1326"/>
      <c r="H467" s="1326"/>
      <c r="I467" s="1373"/>
    </row>
    <row r="468" spans="1:9">
      <c r="A468" s="1369"/>
      <c r="B468" s="1369"/>
      <c r="C468" s="1373"/>
      <c r="D468" s="1308"/>
      <c r="E468" s="1326"/>
      <c r="F468" s="1326"/>
      <c r="G468" s="1326"/>
      <c r="H468" s="1326"/>
      <c r="I468" s="1373"/>
    </row>
    <row r="469" spans="1:9">
      <c r="A469" s="1369"/>
      <c r="B469" s="1369"/>
      <c r="C469" s="1373"/>
      <c r="D469" s="1308"/>
      <c r="E469" s="1326"/>
      <c r="F469" s="1326"/>
      <c r="G469" s="1326"/>
      <c r="H469" s="1326"/>
      <c r="I469" s="1373"/>
    </row>
    <row r="470" spans="1:9">
      <c r="A470" s="1369"/>
      <c r="B470" s="1369"/>
      <c r="C470" s="1373"/>
      <c r="D470" s="1308"/>
      <c r="E470" s="1326"/>
      <c r="F470" s="1326"/>
      <c r="G470" s="1326"/>
      <c r="H470" s="1326"/>
      <c r="I470" s="1373"/>
    </row>
    <row r="471" spans="1:9">
      <c r="A471" s="1369"/>
      <c r="B471" s="1369"/>
      <c r="C471" s="1373"/>
      <c r="D471" s="1308"/>
      <c r="E471" s="1326"/>
      <c r="F471" s="1326"/>
      <c r="G471" s="1326"/>
      <c r="H471" s="1326"/>
      <c r="I471" s="1373"/>
    </row>
    <row r="472" spans="1:9">
      <c r="A472" s="1369"/>
      <c r="B472" s="1369"/>
      <c r="C472" s="1373"/>
      <c r="D472" s="1308"/>
      <c r="E472" s="1326"/>
      <c r="F472" s="1326"/>
      <c r="G472" s="1326"/>
      <c r="H472" s="1326"/>
      <c r="I472" s="1373"/>
    </row>
    <row r="473" spans="1:9">
      <c r="A473" s="1369"/>
      <c r="B473" s="1369"/>
      <c r="C473" s="1373"/>
      <c r="D473" s="1308"/>
      <c r="E473" s="1326"/>
      <c r="F473" s="1326"/>
      <c r="G473" s="1326"/>
      <c r="H473" s="1326"/>
      <c r="I473" s="1373"/>
    </row>
    <row r="474" spans="1:9">
      <c r="A474" s="1369"/>
      <c r="B474" s="1369"/>
      <c r="C474" s="1373"/>
      <c r="D474" s="1308"/>
      <c r="E474" s="1326"/>
      <c r="F474" s="1326"/>
      <c r="G474" s="1326"/>
      <c r="H474" s="1326"/>
      <c r="I474" s="1373"/>
    </row>
    <row r="475" spans="1:9">
      <c r="A475" s="1369"/>
      <c r="B475" s="1369"/>
      <c r="C475" s="1373"/>
      <c r="D475" s="1308"/>
      <c r="E475" s="1326"/>
      <c r="F475" s="1326"/>
      <c r="G475" s="1326"/>
      <c r="H475" s="1326"/>
      <c r="I475" s="1373"/>
    </row>
    <row r="476" spans="1:9">
      <c r="A476" s="1369"/>
      <c r="B476" s="1369"/>
      <c r="C476" s="1373"/>
      <c r="D476" s="1308"/>
      <c r="E476" s="1326"/>
      <c r="F476" s="1326"/>
      <c r="G476" s="1326"/>
      <c r="H476" s="1326"/>
      <c r="I476" s="1373"/>
    </row>
    <row r="477" spans="1:9">
      <c r="A477" s="1369"/>
      <c r="B477" s="1369"/>
      <c r="C477" s="1373"/>
      <c r="D477" s="1308"/>
      <c r="E477" s="1326"/>
      <c r="F477" s="1326"/>
      <c r="G477" s="1326"/>
      <c r="H477" s="1326"/>
      <c r="I477" s="1373"/>
    </row>
    <row r="478" spans="1:9">
      <c r="A478" s="1369"/>
      <c r="B478" s="1369"/>
      <c r="C478" s="1373"/>
      <c r="D478" s="1308"/>
      <c r="E478" s="1326"/>
      <c r="F478" s="1326"/>
      <c r="G478" s="1326"/>
      <c r="H478" s="1326"/>
      <c r="I478" s="1373"/>
    </row>
    <row r="479" spans="1:9">
      <c r="A479" s="1369"/>
      <c r="B479" s="1369"/>
      <c r="C479" s="1373"/>
      <c r="D479" s="1308"/>
      <c r="E479" s="1326"/>
      <c r="F479" s="1326"/>
      <c r="G479" s="1326"/>
      <c r="H479" s="1326"/>
      <c r="I479" s="1373"/>
    </row>
    <row r="480" spans="1:9">
      <c r="A480" s="1369"/>
      <c r="B480" s="1369"/>
      <c r="C480" s="1373"/>
      <c r="D480" s="1308"/>
      <c r="E480" s="1326"/>
      <c r="F480" s="1326"/>
      <c r="G480" s="1326"/>
      <c r="H480" s="1326"/>
      <c r="I480" s="1373"/>
    </row>
    <row r="481" spans="1:9">
      <c r="A481" s="1369"/>
      <c r="B481" s="1369"/>
      <c r="C481" s="1373"/>
      <c r="D481" s="1308"/>
      <c r="E481" s="1326"/>
      <c r="F481" s="1326"/>
      <c r="G481" s="1326"/>
      <c r="H481" s="1326"/>
      <c r="I481" s="1373"/>
    </row>
    <row r="482" spans="1:9">
      <c r="A482" s="1369"/>
      <c r="B482" s="1369"/>
      <c r="C482" s="1373"/>
      <c r="D482" s="1308"/>
      <c r="E482" s="1326"/>
      <c r="F482" s="1326"/>
      <c r="G482" s="1326"/>
      <c r="H482" s="1326"/>
      <c r="I482" s="1373"/>
    </row>
    <row r="483" spans="1:9">
      <c r="A483" s="1369"/>
      <c r="B483" s="1369"/>
      <c r="C483" s="1373"/>
      <c r="D483" s="1308"/>
      <c r="E483" s="1326"/>
      <c r="F483" s="1326"/>
      <c r="G483" s="1326"/>
      <c r="H483" s="1326"/>
      <c r="I483" s="1373"/>
    </row>
    <row r="484" spans="1:9">
      <c r="A484" s="1369"/>
      <c r="B484" s="1369"/>
      <c r="C484" s="1373"/>
      <c r="D484" s="1308"/>
      <c r="E484" s="1326"/>
      <c r="F484" s="1326"/>
      <c r="G484" s="1326"/>
      <c r="H484" s="1326"/>
      <c r="I484" s="1373"/>
    </row>
    <row r="485" spans="1:9">
      <c r="A485" s="1369"/>
      <c r="B485" s="1369"/>
      <c r="C485" s="1373"/>
      <c r="D485" s="1308"/>
      <c r="E485" s="1326"/>
      <c r="F485" s="1326"/>
      <c r="G485" s="1326"/>
      <c r="H485" s="1326"/>
      <c r="I485" s="1373"/>
    </row>
    <row r="486" spans="1:9">
      <c r="A486" s="1369"/>
      <c r="B486" s="1369"/>
      <c r="C486" s="1373"/>
      <c r="D486" s="1308"/>
      <c r="E486" s="1326"/>
      <c r="F486" s="1326"/>
      <c r="G486" s="1326"/>
      <c r="H486" s="1326"/>
      <c r="I486" s="1373"/>
    </row>
    <row r="487" spans="1:9">
      <c r="A487" s="1369"/>
      <c r="B487" s="1369"/>
      <c r="C487" s="1373"/>
      <c r="D487" s="1308"/>
      <c r="E487" s="1326"/>
      <c r="F487" s="1326"/>
      <c r="G487" s="1326"/>
      <c r="H487" s="1326"/>
      <c r="I487" s="1373"/>
    </row>
    <row r="488" spans="1:9">
      <c r="A488" s="1369"/>
      <c r="B488" s="1369"/>
      <c r="C488" s="1373"/>
      <c r="D488" s="1308"/>
      <c r="E488" s="1326"/>
      <c r="F488" s="1326"/>
      <c r="G488" s="1326"/>
      <c r="H488" s="1326"/>
      <c r="I488" s="1373"/>
    </row>
    <row r="489" spans="1:9">
      <c r="A489" s="1369"/>
      <c r="B489" s="1369"/>
      <c r="C489" s="1373"/>
      <c r="D489" s="1308"/>
      <c r="E489" s="1326"/>
      <c r="F489" s="1326"/>
      <c r="G489" s="1326"/>
      <c r="H489" s="1326"/>
      <c r="I489" s="1373"/>
    </row>
    <row r="490" spans="1:9">
      <c r="A490" s="1369"/>
      <c r="B490" s="1369"/>
      <c r="C490" s="1373"/>
      <c r="D490" s="1308"/>
      <c r="E490" s="1326"/>
      <c r="F490" s="1326"/>
      <c r="G490" s="1326"/>
      <c r="H490" s="1326"/>
      <c r="I490" s="1373"/>
    </row>
    <row r="491" spans="1:9">
      <c r="A491" s="1369"/>
      <c r="B491" s="1369"/>
      <c r="C491" s="1373"/>
      <c r="D491" s="1308"/>
      <c r="E491" s="1326"/>
      <c r="F491" s="1326"/>
      <c r="G491" s="1326"/>
      <c r="H491" s="1326"/>
      <c r="I491" s="1373"/>
    </row>
    <row r="492" spans="1:9">
      <c r="A492" s="1369"/>
      <c r="B492" s="1369"/>
      <c r="C492" s="1373"/>
      <c r="D492" s="1308"/>
      <c r="E492" s="1326"/>
      <c r="F492" s="1326"/>
      <c r="G492" s="1326"/>
      <c r="H492" s="1326"/>
      <c r="I492" s="1373"/>
    </row>
    <row r="493" spans="1:9">
      <c r="A493" s="1369"/>
      <c r="B493" s="1369"/>
      <c r="C493" s="1373"/>
      <c r="D493" s="1308"/>
      <c r="E493" s="1326"/>
      <c r="F493" s="1326"/>
      <c r="G493" s="1326"/>
      <c r="H493" s="1326"/>
      <c r="I493" s="1373"/>
    </row>
    <row r="494" spans="1:9">
      <c r="A494" s="1369"/>
      <c r="B494" s="1369"/>
      <c r="C494" s="1373"/>
      <c r="D494" s="1308"/>
      <c r="E494" s="1326"/>
      <c r="F494" s="1326"/>
      <c r="G494" s="1326"/>
      <c r="H494" s="1326"/>
      <c r="I494" s="1373"/>
    </row>
    <row r="495" spans="1:9">
      <c r="A495" s="1369"/>
      <c r="B495" s="1369"/>
      <c r="C495" s="1373"/>
      <c r="D495" s="1308"/>
      <c r="E495" s="1326"/>
      <c r="F495" s="1326"/>
      <c r="G495" s="1326"/>
      <c r="H495" s="1326"/>
      <c r="I495" s="1373"/>
    </row>
    <row r="496" spans="1:9">
      <c r="A496" s="1369"/>
      <c r="B496" s="1369"/>
      <c r="C496" s="1373"/>
      <c r="D496" s="1308"/>
      <c r="E496" s="1326"/>
      <c r="F496" s="1326"/>
      <c r="G496" s="1326"/>
      <c r="H496" s="1326"/>
      <c r="I496" s="1373"/>
    </row>
    <row r="497" spans="1:9">
      <c r="A497" s="1369"/>
      <c r="B497" s="1369"/>
      <c r="C497" s="1373"/>
      <c r="D497" s="1308"/>
      <c r="E497" s="1326"/>
      <c r="F497" s="1326"/>
      <c r="G497" s="1326"/>
      <c r="H497" s="1326"/>
      <c r="I497" s="1373"/>
    </row>
    <row r="498" spans="1:9">
      <c r="A498" s="1369"/>
      <c r="B498" s="1369"/>
      <c r="C498" s="1373"/>
      <c r="D498" s="1308"/>
      <c r="E498" s="1326"/>
      <c r="F498" s="1326"/>
      <c r="G498" s="1326"/>
      <c r="H498" s="1326"/>
      <c r="I498" s="1373"/>
    </row>
    <row r="499" spans="1:9">
      <c r="A499" s="1369"/>
      <c r="B499" s="1369"/>
      <c r="C499" s="1373"/>
      <c r="D499" s="1308"/>
      <c r="E499" s="1326"/>
      <c r="F499" s="1326"/>
      <c r="G499" s="1326"/>
      <c r="H499" s="1326"/>
      <c r="I499" s="1373"/>
    </row>
    <row r="500" spans="1:9">
      <c r="A500" s="1369"/>
      <c r="B500" s="1369"/>
      <c r="C500" s="1373"/>
      <c r="D500" s="1308"/>
      <c r="E500" s="1326"/>
      <c r="F500" s="1326"/>
      <c r="G500" s="1326"/>
      <c r="H500" s="1326"/>
      <c r="I500" s="1373"/>
    </row>
    <row r="501" spans="1:9">
      <c r="A501" s="1369"/>
      <c r="B501" s="1369"/>
      <c r="C501" s="1373"/>
      <c r="D501" s="1308"/>
      <c r="E501" s="1326"/>
      <c r="F501" s="1326"/>
      <c r="G501" s="1326"/>
      <c r="H501" s="1326"/>
      <c r="I501" s="1373"/>
    </row>
    <row r="502" spans="1:9">
      <c r="A502" s="1369"/>
      <c r="B502" s="1369"/>
      <c r="C502" s="1373"/>
      <c r="D502" s="1308"/>
      <c r="E502" s="1326"/>
      <c r="F502" s="1326"/>
      <c r="G502" s="1326"/>
      <c r="H502" s="1326"/>
      <c r="I502" s="1373"/>
    </row>
    <row r="503" spans="1:9">
      <c r="A503" s="1369"/>
      <c r="B503" s="1369"/>
      <c r="C503" s="1373"/>
      <c r="D503" s="1308"/>
      <c r="E503" s="1326"/>
      <c r="F503" s="1326"/>
      <c r="G503" s="1326"/>
      <c r="H503" s="1326"/>
      <c r="I503" s="1373"/>
    </row>
    <row r="504" spans="1:9">
      <c r="A504" s="1369"/>
      <c r="B504" s="1369"/>
      <c r="C504" s="1373"/>
      <c r="D504" s="1308"/>
      <c r="E504" s="1326"/>
      <c r="F504" s="1326"/>
      <c r="G504" s="1326"/>
      <c r="H504" s="1326"/>
      <c r="I504" s="1373"/>
    </row>
    <row r="505" spans="1:9">
      <c r="A505" s="1369"/>
      <c r="B505" s="1369"/>
      <c r="C505" s="1373"/>
      <c r="D505" s="1308"/>
      <c r="E505" s="1326"/>
      <c r="F505" s="1326"/>
      <c r="G505" s="1326"/>
      <c r="H505" s="1326"/>
      <c r="I505" s="1373"/>
    </row>
    <row r="506" spans="1:9">
      <c r="A506" s="1369"/>
      <c r="B506" s="1369"/>
      <c r="C506" s="1373"/>
      <c r="D506" s="1308"/>
      <c r="E506" s="1326"/>
      <c r="F506" s="1326"/>
      <c r="G506" s="1326"/>
      <c r="H506" s="1326"/>
      <c r="I506" s="1373"/>
    </row>
    <row r="507" spans="1:9">
      <c r="A507" s="1369"/>
      <c r="B507" s="1369"/>
      <c r="C507" s="1373"/>
      <c r="D507" s="1308"/>
      <c r="E507" s="1326"/>
      <c r="F507" s="1326"/>
      <c r="G507" s="1326"/>
      <c r="H507" s="1326"/>
      <c r="I507" s="1373"/>
    </row>
    <row r="508" spans="1:9">
      <c r="A508" s="1369"/>
      <c r="B508" s="1369"/>
      <c r="C508" s="1373"/>
      <c r="D508" s="1308"/>
      <c r="E508" s="1326"/>
      <c r="F508" s="1326"/>
      <c r="G508" s="1326"/>
      <c r="H508" s="1326"/>
      <c r="I508" s="1373"/>
    </row>
    <row r="509" spans="1:9">
      <c r="A509" s="1369"/>
      <c r="B509" s="1369"/>
      <c r="C509" s="1373"/>
      <c r="D509" s="1308"/>
      <c r="E509" s="1326"/>
      <c r="F509" s="1326"/>
      <c r="G509" s="1326"/>
      <c r="H509" s="1326"/>
      <c r="I509" s="1373"/>
    </row>
    <row r="510" spans="1:9">
      <c r="A510" s="1369"/>
      <c r="B510" s="1369"/>
      <c r="C510" s="1373"/>
      <c r="D510" s="1308"/>
      <c r="E510" s="1326"/>
      <c r="F510" s="1326"/>
      <c r="G510" s="1326"/>
      <c r="H510" s="1326"/>
      <c r="I510" s="1373"/>
    </row>
    <row r="511" spans="1:9">
      <c r="A511" s="1369"/>
      <c r="B511" s="1369"/>
      <c r="C511" s="1373"/>
      <c r="D511" s="1308"/>
      <c r="E511" s="1326"/>
      <c r="F511" s="1326"/>
      <c r="G511" s="1326"/>
      <c r="H511" s="1326"/>
      <c r="I511" s="1373"/>
    </row>
    <row r="512" spans="1:9">
      <c r="A512" s="1369"/>
      <c r="B512" s="1369"/>
      <c r="C512" s="1373"/>
      <c r="D512" s="1308"/>
      <c r="E512" s="1326"/>
      <c r="F512" s="1326"/>
      <c r="G512" s="1326"/>
      <c r="H512" s="1326"/>
      <c r="I512" s="1373"/>
    </row>
    <row r="513" spans="1:9">
      <c r="A513" s="1369"/>
      <c r="B513" s="1369"/>
      <c r="C513" s="1373"/>
      <c r="D513" s="1308"/>
      <c r="E513" s="1326"/>
      <c r="F513" s="1326"/>
      <c r="G513" s="1326"/>
      <c r="H513" s="1326"/>
      <c r="I513" s="1373"/>
    </row>
    <row r="514" spans="1:9">
      <c r="A514" s="1369"/>
      <c r="B514" s="1369"/>
      <c r="C514" s="1373"/>
      <c r="D514" s="1308"/>
      <c r="E514" s="1326"/>
      <c r="F514" s="1326"/>
      <c r="G514" s="1326"/>
      <c r="H514" s="1326"/>
      <c r="I514" s="1373"/>
    </row>
    <row r="515" spans="1:9">
      <c r="A515" s="1369"/>
      <c r="B515" s="1369"/>
      <c r="C515" s="1373"/>
      <c r="D515" s="1308"/>
      <c r="E515" s="1326"/>
      <c r="F515" s="1326"/>
      <c r="G515" s="1326"/>
      <c r="H515" s="1326"/>
      <c r="I515" s="1373"/>
    </row>
    <row r="516" spans="1:9">
      <c r="A516" s="1369"/>
      <c r="B516" s="1369"/>
      <c r="C516" s="1373"/>
      <c r="D516" s="1308"/>
      <c r="E516" s="1326"/>
      <c r="F516" s="1326"/>
      <c r="G516" s="1326"/>
      <c r="H516" s="1326"/>
      <c r="I516" s="1373"/>
    </row>
    <row r="517" spans="1:9">
      <c r="A517" s="1369"/>
      <c r="B517" s="1369"/>
      <c r="C517" s="1373"/>
      <c r="D517" s="1308"/>
      <c r="E517" s="1326"/>
      <c r="F517" s="1326"/>
      <c r="G517" s="1326"/>
      <c r="H517" s="1326"/>
      <c r="I517" s="1373"/>
    </row>
    <row r="518" spans="1:9">
      <c r="A518" s="1369"/>
      <c r="B518" s="1369"/>
      <c r="C518" s="1373"/>
      <c r="D518" s="1308"/>
      <c r="E518" s="1326"/>
      <c r="F518" s="1326"/>
      <c r="G518" s="1326"/>
      <c r="H518" s="1326"/>
      <c r="I518" s="1373"/>
    </row>
    <row r="519" spans="1:9">
      <c r="A519" s="1369"/>
      <c r="B519" s="1369"/>
      <c r="C519" s="1373"/>
      <c r="D519" s="1308"/>
      <c r="E519" s="1326"/>
      <c r="F519" s="1326"/>
      <c r="G519" s="1326"/>
      <c r="H519" s="1326"/>
      <c r="I519" s="1373"/>
    </row>
    <row r="520" spans="1:9">
      <c r="A520" s="1369"/>
      <c r="B520" s="1369"/>
      <c r="C520" s="1373"/>
      <c r="D520" s="1308"/>
      <c r="E520" s="1326"/>
      <c r="F520" s="1326"/>
      <c r="G520" s="1326"/>
      <c r="H520" s="1326"/>
      <c r="I520" s="1373"/>
    </row>
    <row r="521" spans="1:9">
      <c r="A521" s="1369"/>
      <c r="B521" s="1369"/>
      <c r="C521" s="1373"/>
      <c r="D521" s="1308"/>
      <c r="E521" s="1326"/>
      <c r="F521" s="1326"/>
      <c r="G521" s="1326"/>
      <c r="H521" s="1326"/>
      <c r="I521" s="1373"/>
    </row>
    <row r="522" spans="1:9">
      <c r="A522" s="1369"/>
      <c r="B522" s="1369"/>
      <c r="C522" s="1373"/>
      <c r="D522" s="1308"/>
      <c r="E522" s="1326"/>
      <c r="F522" s="1326"/>
      <c r="G522" s="1326"/>
      <c r="H522" s="1326"/>
      <c r="I522" s="1373"/>
    </row>
    <row r="523" spans="1:9">
      <c r="A523" s="1369"/>
      <c r="B523" s="1369"/>
      <c r="C523" s="1373"/>
      <c r="D523" s="1308"/>
      <c r="E523" s="1326"/>
      <c r="F523" s="1326"/>
      <c r="G523" s="1326"/>
      <c r="H523" s="1326"/>
      <c r="I523" s="1373"/>
    </row>
    <row r="524" spans="1:9">
      <c r="A524" s="1369"/>
      <c r="B524" s="1369"/>
      <c r="C524" s="1373"/>
      <c r="D524" s="1308"/>
      <c r="E524" s="1326"/>
      <c r="F524" s="1326"/>
      <c r="G524" s="1326"/>
      <c r="H524" s="1326"/>
      <c r="I524" s="1373"/>
    </row>
    <row r="525" spans="1:9">
      <c r="A525" s="1369"/>
      <c r="B525" s="1369"/>
      <c r="C525" s="1373"/>
      <c r="D525" s="1308"/>
      <c r="E525" s="1326"/>
      <c r="F525" s="1326"/>
      <c r="G525" s="1326"/>
      <c r="H525" s="1326"/>
      <c r="I525" s="1373"/>
    </row>
    <row r="526" spans="1:9">
      <c r="A526" s="1369"/>
      <c r="B526" s="1369"/>
      <c r="C526" s="1373"/>
      <c r="D526" s="1308"/>
      <c r="E526" s="1326"/>
      <c r="F526" s="1326"/>
      <c r="G526" s="1326"/>
      <c r="H526" s="1326"/>
      <c r="I526" s="1373"/>
    </row>
    <row r="527" spans="1:9">
      <c r="A527" s="1369"/>
      <c r="B527" s="1369"/>
      <c r="C527" s="1373"/>
      <c r="D527" s="1308"/>
      <c r="E527" s="1326"/>
      <c r="F527" s="1326"/>
      <c r="G527" s="1326"/>
      <c r="H527" s="1326"/>
      <c r="I527" s="1373"/>
    </row>
    <row r="528" spans="1:9">
      <c r="A528" s="1369"/>
      <c r="B528" s="1369"/>
      <c r="C528" s="1373"/>
      <c r="D528" s="1308"/>
      <c r="E528" s="1326"/>
      <c r="F528" s="1326"/>
      <c r="G528" s="1326"/>
      <c r="H528" s="1326"/>
      <c r="I528" s="1373"/>
    </row>
    <row r="529" spans="1:9">
      <c r="A529" s="1369"/>
      <c r="B529" s="1369"/>
      <c r="C529" s="1373"/>
      <c r="D529" s="1308"/>
      <c r="E529" s="1326"/>
      <c r="F529" s="1326"/>
      <c r="G529" s="1326"/>
      <c r="H529" s="1326"/>
      <c r="I529" s="1373"/>
    </row>
    <row r="530" spans="1:9">
      <c r="A530" s="1369"/>
      <c r="B530" s="1369"/>
      <c r="C530" s="1373"/>
      <c r="D530" s="1308"/>
      <c r="E530" s="1326"/>
      <c r="F530" s="1326"/>
      <c r="G530" s="1326"/>
      <c r="H530" s="1326"/>
      <c r="I530" s="1373"/>
    </row>
    <row r="531" spans="1:9">
      <c r="A531" s="1369"/>
      <c r="B531" s="1369"/>
      <c r="C531" s="1373"/>
      <c r="D531" s="1308"/>
      <c r="E531" s="1326"/>
      <c r="F531" s="1326"/>
      <c r="G531" s="1326"/>
      <c r="H531" s="1326"/>
      <c r="I531" s="1373"/>
    </row>
    <row r="532" spans="1:9">
      <c r="A532" s="1369"/>
      <c r="B532" s="1369"/>
      <c r="C532" s="1373"/>
      <c r="D532" s="1308"/>
      <c r="E532" s="1326"/>
      <c r="F532" s="1326"/>
      <c r="G532" s="1326"/>
      <c r="H532" s="1326"/>
      <c r="I532" s="1373"/>
    </row>
    <row r="533" spans="1:9">
      <c r="A533" s="1369"/>
      <c r="B533" s="1369"/>
      <c r="C533" s="1373"/>
      <c r="D533" s="1308"/>
      <c r="E533" s="1326"/>
      <c r="F533" s="1326"/>
      <c r="G533" s="1326"/>
      <c r="H533" s="1326"/>
      <c r="I533" s="1373"/>
    </row>
    <row r="534" spans="1:9">
      <c r="A534" s="1369"/>
      <c r="B534" s="1369"/>
      <c r="C534" s="1373"/>
      <c r="D534" s="1308"/>
      <c r="E534" s="1326"/>
      <c r="F534" s="1326"/>
      <c r="G534" s="1326"/>
      <c r="H534" s="1326"/>
      <c r="I534" s="1373"/>
    </row>
    <row r="535" spans="1:9">
      <c r="A535" s="1369"/>
      <c r="B535" s="1369"/>
      <c r="C535" s="1373"/>
      <c r="D535" s="1308"/>
      <c r="E535" s="1326"/>
      <c r="F535" s="1326"/>
      <c r="G535" s="1326"/>
      <c r="H535" s="1326"/>
      <c r="I535" s="1373"/>
    </row>
    <row r="536" spans="1:9">
      <c r="A536" s="1369"/>
      <c r="B536" s="1369"/>
      <c r="C536" s="1373"/>
      <c r="D536" s="1308"/>
      <c r="E536" s="1326"/>
      <c r="F536" s="1326"/>
      <c r="G536" s="1326"/>
      <c r="H536" s="1326"/>
      <c r="I536" s="1373"/>
    </row>
    <row r="537" spans="1:9">
      <c r="A537" s="1369"/>
      <c r="B537" s="1369"/>
      <c r="C537" s="1373"/>
      <c r="D537" s="1308"/>
      <c r="E537" s="1326"/>
      <c r="F537" s="1326"/>
      <c r="G537" s="1326"/>
      <c r="H537" s="1326"/>
      <c r="I537" s="1373"/>
    </row>
    <row r="538" spans="1:9">
      <c r="A538" s="1369"/>
      <c r="B538" s="1369"/>
      <c r="C538" s="1373"/>
      <c r="D538" s="1308"/>
      <c r="E538" s="1326"/>
      <c r="F538" s="1326"/>
      <c r="G538" s="1326"/>
      <c r="H538" s="1326"/>
      <c r="I538" s="1373"/>
    </row>
    <row r="539" spans="1:9">
      <c r="A539" s="1369"/>
      <c r="B539" s="1369"/>
      <c r="C539" s="1373"/>
      <c r="D539" s="1308"/>
      <c r="E539" s="1326"/>
      <c r="F539" s="1326"/>
      <c r="G539" s="1326"/>
      <c r="H539" s="1326"/>
      <c r="I539" s="1373"/>
    </row>
    <row r="540" spans="1:9">
      <c r="A540" s="1369"/>
      <c r="B540" s="1369"/>
      <c r="C540" s="1373"/>
      <c r="D540" s="1308"/>
      <c r="E540" s="1326"/>
      <c r="F540" s="1326"/>
      <c r="G540" s="1326"/>
      <c r="H540" s="1326"/>
      <c r="I540" s="1373"/>
    </row>
    <row r="541" spans="1:9">
      <c r="A541" s="1369"/>
      <c r="B541" s="1369"/>
      <c r="C541" s="1373"/>
      <c r="D541" s="1308"/>
      <c r="E541" s="1326"/>
      <c r="F541" s="1326"/>
      <c r="G541" s="1326"/>
      <c r="H541" s="1326"/>
      <c r="I541" s="1373"/>
    </row>
    <row r="542" spans="1:9">
      <c r="A542" s="1369"/>
      <c r="B542" s="1369"/>
      <c r="C542" s="1373"/>
      <c r="D542" s="1308"/>
      <c r="E542" s="1326"/>
      <c r="F542" s="1326"/>
      <c r="G542" s="1326"/>
      <c r="H542" s="1326"/>
      <c r="I542" s="1373"/>
    </row>
    <row r="543" spans="1:9">
      <c r="A543" s="1369"/>
      <c r="B543" s="1369"/>
      <c r="C543" s="1373"/>
      <c r="D543" s="1308"/>
      <c r="E543" s="1326"/>
      <c r="F543" s="1326"/>
      <c r="G543" s="1326"/>
      <c r="H543" s="1326"/>
      <c r="I543" s="1373"/>
    </row>
    <row r="544" spans="1:9">
      <c r="A544" s="1369"/>
      <c r="B544" s="1369"/>
      <c r="C544" s="1373"/>
      <c r="D544" s="1308"/>
      <c r="E544" s="1326"/>
      <c r="F544" s="1326"/>
      <c r="G544" s="1326"/>
      <c r="H544" s="1326"/>
      <c r="I544" s="1373"/>
    </row>
    <row r="545" spans="1:9">
      <c r="A545" s="1369"/>
      <c r="B545" s="1369"/>
      <c r="C545" s="1373"/>
      <c r="D545" s="1308"/>
      <c r="E545" s="1326"/>
      <c r="F545" s="1326"/>
      <c r="G545" s="1326"/>
      <c r="H545" s="1326"/>
      <c r="I545" s="1373"/>
    </row>
    <row r="546" spans="1:9">
      <c r="A546" s="1369"/>
      <c r="B546" s="1369"/>
      <c r="C546" s="1373"/>
      <c r="D546" s="1308"/>
      <c r="E546" s="1326"/>
      <c r="F546" s="1326"/>
      <c r="G546" s="1326"/>
      <c r="H546" s="1326"/>
      <c r="I546" s="1373"/>
    </row>
    <row r="547" spans="1:9">
      <c r="A547" s="1369"/>
      <c r="B547" s="1369"/>
      <c r="C547" s="1373"/>
      <c r="D547" s="1308"/>
      <c r="E547" s="1326"/>
      <c r="F547" s="1326"/>
      <c r="G547" s="1326"/>
      <c r="H547" s="1326"/>
      <c r="I547" s="1373"/>
    </row>
    <row r="548" spans="1:9">
      <c r="A548" s="1369"/>
      <c r="B548" s="1369"/>
      <c r="C548" s="1373"/>
      <c r="D548" s="1308"/>
      <c r="E548" s="1326"/>
      <c r="F548" s="1326"/>
      <c r="G548" s="1326"/>
      <c r="H548" s="1326"/>
      <c r="I548" s="1373"/>
    </row>
    <row r="549" spans="1:9">
      <c r="A549" s="1369"/>
      <c r="B549" s="1369"/>
      <c r="C549" s="1373"/>
      <c r="D549" s="1308"/>
      <c r="E549" s="1326"/>
      <c r="F549" s="1326"/>
      <c r="G549" s="1326"/>
      <c r="H549" s="1326"/>
      <c r="I549" s="1373"/>
    </row>
    <row r="550" spans="1:9">
      <c r="A550" s="1369"/>
      <c r="B550" s="1369"/>
      <c r="C550" s="1373"/>
      <c r="D550" s="1308"/>
      <c r="E550" s="1326"/>
      <c r="F550" s="1326"/>
      <c r="G550" s="1326"/>
      <c r="H550" s="1326"/>
      <c r="I550" s="1373"/>
    </row>
    <row r="551" spans="1:9">
      <c r="A551" s="1369"/>
      <c r="B551" s="1369"/>
      <c r="C551" s="1373"/>
      <c r="D551" s="1308"/>
      <c r="E551" s="1326"/>
      <c r="F551" s="1326"/>
      <c r="G551" s="1326"/>
      <c r="H551" s="1326"/>
      <c r="I551" s="1373"/>
    </row>
    <row r="552" spans="1:9">
      <c r="A552" s="1369"/>
      <c r="B552" s="1369"/>
      <c r="C552" s="1373"/>
      <c r="D552" s="1308"/>
      <c r="E552" s="1326"/>
      <c r="F552" s="1326"/>
      <c r="G552" s="1326"/>
      <c r="H552" s="1326"/>
      <c r="I552" s="1373"/>
    </row>
    <row r="553" spans="1:9">
      <c r="A553" s="1369"/>
      <c r="B553" s="1369"/>
      <c r="C553" s="1373"/>
      <c r="D553" s="1308"/>
      <c r="E553" s="1326"/>
      <c r="F553" s="1326"/>
      <c r="G553" s="1326"/>
      <c r="H553" s="1326"/>
      <c r="I553" s="1373"/>
    </row>
    <row r="554" spans="1:9">
      <c r="A554" s="1369"/>
      <c r="B554" s="1369"/>
      <c r="C554" s="1373"/>
      <c r="D554" s="1308"/>
      <c r="E554" s="1326"/>
      <c r="F554" s="1326"/>
      <c r="G554" s="1326"/>
      <c r="H554" s="1326"/>
      <c r="I554" s="1373"/>
    </row>
    <row r="555" spans="1:9">
      <c r="A555" s="1369"/>
      <c r="B555" s="1369"/>
      <c r="C555" s="1373"/>
      <c r="D555" s="1308"/>
      <c r="E555" s="1326"/>
      <c r="F555" s="1326"/>
      <c r="G555" s="1326"/>
      <c r="H555" s="1326"/>
      <c r="I555" s="1373"/>
    </row>
    <row r="556" spans="1:9">
      <c r="A556" s="1369"/>
      <c r="B556" s="1369"/>
      <c r="C556" s="1373"/>
      <c r="D556" s="1308"/>
      <c r="E556" s="1326"/>
      <c r="F556" s="1326"/>
      <c r="G556" s="1326"/>
      <c r="H556" s="1326"/>
      <c r="I556" s="1373"/>
    </row>
    <row r="557" spans="1:9">
      <c r="A557" s="1369"/>
      <c r="B557" s="1369"/>
      <c r="C557" s="1373"/>
      <c r="D557" s="1308"/>
      <c r="E557" s="1326"/>
      <c r="F557" s="1326"/>
      <c r="G557" s="1326"/>
      <c r="H557" s="1326"/>
      <c r="I557" s="1373"/>
    </row>
    <row r="558" spans="1:9">
      <c r="A558" s="1369"/>
      <c r="B558" s="1369"/>
      <c r="C558" s="1373"/>
      <c r="D558" s="1308"/>
      <c r="E558" s="1326"/>
      <c r="F558" s="1326"/>
      <c r="G558" s="1326"/>
      <c r="H558" s="1326"/>
      <c r="I558" s="1373"/>
    </row>
    <row r="559" spans="1:9">
      <c r="A559" s="1369"/>
      <c r="B559" s="1369"/>
      <c r="C559" s="1373"/>
      <c r="D559" s="1308"/>
      <c r="E559" s="1326"/>
      <c r="F559" s="1326"/>
      <c r="G559" s="1326"/>
      <c r="H559" s="1326"/>
      <c r="I559" s="1373"/>
    </row>
    <row r="560" spans="1:9">
      <c r="A560" s="1369"/>
      <c r="B560" s="1369"/>
      <c r="C560" s="1373"/>
      <c r="D560" s="1308"/>
      <c r="E560" s="1326"/>
      <c r="F560" s="1326"/>
      <c r="G560" s="1326"/>
      <c r="H560" s="1326"/>
      <c r="I560" s="1373"/>
    </row>
    <row r="561" spans="1:9">
      <c r="A561" s="1369"/>
      <c r="B561" s="1369"/>
      <c r="C561" s="1373"/>
      <c r="D561" s="1308"/>
      <c r="E561" s="1326"/>
      <c r="F561" s="1326"/>
      <c r="G561" s="1326"/>
      <c r="H561" s="1326"/>
      <c r="I561" s="1373"/>
    </row>
    <row r="562" spans="1:9">
      <c r="A562" s="1369"/>
      <c r="B562" s="1369"/>
      <c r="C562" s="1373"/>
      <c r="D562" s="1308"/>
      <c r="E562" s="1326"/>
      <c r="F562" s="1326"/>
      <c r="G562" s="1326"/>
      <c r="H562" s="1326"/>
      <c r="I562" s="1373"/>
    </row>
    <row r="563" spans="1:9">
      <c r="A563" s="1369"/>
      <c r="B563" s="1369"/>
      <c r="C563" s="1373"/>
      <c r="D563" s="1308"/>
      <c r="E563" s="1326"/>
      <c r="F563" s="1326"/>
      <c r="G563" s="1326"/>
      <c r="H563" s="1326"/>
      <c r="I563" s="1373"/>
    </row>
    <row r="564" spans="1:9">
      <c r="A564" s="1369"/>
      <c r="B564" s="1369"/>
      <c r="C564" s="1373"/>
      <c r="D564" s="1308"/>
      <c r="E564" s="1326"/>
      <c r="F564" s="1326"/>
      <c r="G564" s="1326"/>
      <c r="H564" s="1326"/>
      <c r="I564" s="1373"/>
    </row>
    <row r="565" spans="1:9">
      <c r="A565" s="1369"/>
      <c r="B565" s="1369"/>
      <c r="C565" s="1373"/>
      <c r="D565" s="1308"/>
      <c r="E565" s="1326"/>
      <c r="F565" s="1326"/>
      <c r="G565" s="1326"/>
      <c r="H565" s="1326"/>
      <c r="I565" s="1373"/>
    </row>
    <row r="566" spans="1:9">
      <c r="A566" s="1369"/>
      <c r="B566" s="1369"/>
      <c r="C566" s="1373"/>
      <c r="D566" s="1308"/>
      <c r="E566" s="1326"/>
      <c r="F566" s="1326"/>
      <c r="G566" s="1326"/>
      <c r="H566" s="1326"/>
      <c r="I566" s="1373"/>
    </row>
    <row r="567" spans="1:9">
      <c r="A567" s="1369"/>
      <c r="B567" s="1369"/>
      <c r="C567" s="1373"/>
      <c r="D567" s="1308"/>
      <c r="E567" s="1326"/>
      <c r="F567" s="1326"/>
      <c r="G567" s="1326"/>
      <c r="H567" s="1326"/>
      <c r="I567" s="1373"/>
    </row>
    <row r="568" spans="1:9">
      <c r="A568" s="1369"/>
      <c r="B568" s="1369"/>
      <c r="C568" s="1373"/>
      <c r="D568" s="1308"/>
      <c r="E568" s="1326"/>
      <c r="F568" s="1326"/>
      <c r="G568" s="1326"/>
      <c r="H568" s="1326"/>
      <c r="I568" s="1373"/>
    </row>
    <row r="569" spans="1:9">
      <c r="A569" s="1369"/>
      <c r="B569" s="1369"/>
      <c r="C569" s="1373"/>
      <c r="D569" s="1308"/>
      <c r="E569" s="1326"/>
      <c r="F569" s="1326"/>
      <c r="G569" s="1326"/>
      <c r="H569" s="1326"/>
      <c r="I569" s="1373"/>
    </row>
    <row r="570" spans="1:9">
      <c r="A570" s="1369"/>
      <c r="B570" s="1369"/>
      <c r="C570" s="1373"/>
      <c r="D570" s="1308"/>
      <c r="E570" s="1326"/>
      <c r="F570" s="1326"/>
      <c r="G570" s="1326"/>
      <c r="H570" s="1326"/>
      <c r="I570" s="1373"/>
    </row>
    <row r="571" spans="1:9">
      <c r="A571" s="1369"/>
      <c r="B571" s="1369"/>
      <c r="C571" s="1373"/>
      <c r="D571" s="1308"/>
      <c r="E571" s="1326"/>
      <c r="F571" s="1326"/>
      <c r="G571" s="1326"/>
      <c r="H571" s="1326"/>
      <c r="I571" s="1373"/>
    </row>
    <row r="572" spans="1:9">
      <c r="A572" s="1369"/>
      <c r="B572" s="1369"/>
      <c r="C572" s="1373"/>
      <c r="D572" s="1308"/>
      <c r="E572" s="1326"/>
      <c r="F572" s="1326"/>
      <c r="G572" s="1326"/>
      <c r="H572" s="1326"/>
      <c r="I572" s="1373"/>
    </row>
    <row r="573" spans="1:9">
      <c r="A573" s="1369"/>
      <c r="B573" s="1369"/>
      <c r="C573" s="1373"/>
      <c r="D573" s="1308"/>
      <c r="E573" s="1326"/>
      <c r="F573" s="1326"/>
      <c r="G573" s="1326"/>
      <c r="H573" s="1326"/>
      <c r="I573" s="1373"/>
    </row>
    <row r="574" spans="1:9">
      <c r="A574" s="1369"/>
      <c r="B574" s="1369"/>
      <c r="C574" s="1373"/>
      <c r="D574" s="1308"/>
      <c r="E574" s="1326"/>
      <c r="F574" s="1326"/>
      <c r="G574" s="1326"/>
      <c r="H574" s="1326"/>
      <c r="I574" s="1373"/>
    </row>
    <row r="575" spans="1:9">
      <c r="A575" s="1369"/>
      <c r="B575" s="1369"/>
      <c r="C575" s="1373"/>
      <c r="D575" s="1308"/>
      <c r="E575" s="1326"/>
      <c r="F575" s="1326"/>
      <c r="G575" s="1326"/>
      <c r="H575" s="1326"/>
      <c r="I575" s="1373"/>
    </row>
    <row r="576" spans="1:9">
      <c r="A576" s="1369"/>
      <c r="B576" s="1369"/>
      <c r="C576" s="1373"/>
      <c r="D576" s="1308"/>
      <c r="E576" s="1326"/>
      <c r="F576" s="1326"/>
      <c r="G576" s="1326"/>
      <c r="H576" s="1326"/>
      <c r="I576" s="1373"/>
    </row>
    <row r="577" spans="1:9">
      <c r="A577" s="1369"/>
      <c r="B577" s="1369"/>
      <c r="C577" s="1373"/>
      <c r="D577" s="1308"/>
      <c r="E577" s="1326"/>
      <c r="F577" s="1326"/>
      <c r="G577" s="1326"/>
      <c r="H577" s="1326"/>
      <c r="I577" s="1373"/>
    </row>
    <row r="578" spans="1:9">
      <c r="A578" s="1369"/>
      <c r="B578" s="1369"/>
      <c r="C578" s="1373"/>
      <c r="D578" s="1308"/>
      <c r="E578" s="1326"/>
      <c r="F578" s="1326"/>
      <c r="G578" s="1326"/>
      <c r="H578" s="1326"/>
      <c r="I578" s="1373"/>
    </row>
    <row r="579" spans="1:9">
      <c r="A579" s="1369"/>
      <c r="B579" s="1369"/>
      <c r="C579" s="1373"/>
      <c r="D579" s="1308"/>
      <c r="E579" s="1326"/>
      <c r="F579" s="1326"/>
      <c r="G579" s="1326"/>
      <c r="H579" s="1326"/>
      <c r="I579" s="1373"/>
    </row>
    <row r="580" spans="1:9">
      <c r="A580" s="1369"/>
      <c r="B580" s="1369"/>
      <c r="C580" s="1373"/>
      <c r="D580" s="1308"/>
      <c r="E580" s="1326"/>
      <c r="F580" s="1326"/>
      <c r="G580" s="1326"/>
      <c r="H580" s="1326"/>
      <c r="I580" s="1373"/>
    </row>
    <row r="581" spans="1:9">
      <c r="A581" s="1369"/>
      <c r="B581" s="1369"/>
      <c r="C581" s="1373"/>
      <c r="D581" s="1308"/>
      <c r="E581" s="1326"/>
      <c r="F581" s="1326"/>
      <c r="G581" s="1326"/>
      <c r="H581" s="1326"/>
      <c r="I581" s="1373"/>
    </row>
    <row r="582" spans="1:9">
      <c r="A582" s="1369"/>
      <c r="B582" s="1369"/>
      <c r="C582" s="1373"/>
      <c r="D582" s="1308"/>
      <c r="E582" s="1326"/>
      <c r="F582" s="1326"/>
      <c r="G582" s="1326"/>
      <c r="H582" s="1326"/>
      <c r="I582" s="1373"/>
    </row>
    <row r="583" spans="1:9">
      <c r="A583" s="1369"/>
      <c r="B583" s="1369"/>
      <c r="C583" s="1373"/>
      <c r="D583" s="1308"/>
      <c r="E583" s="1326"/>
      <c r="F583" s="1326"/>
      <c r="G583" s="1326"/>
      <c r="H583" s="1326"/>
      <c r="I583" s="1373"/>
    </row>
    <row r="584" spans="1:9">
      <c r="A584" s="1369"/>
      <c r="B584" s="1369"/>
      <c r="C584" s="1373"/>
      <c r="D584" s="1308"/>
      <c r="E584" s="1326"/>
      <c r="F584" s="1326"/>
      <c r="G584" s="1326"/>
      <c r="H584" s="1326"/>
      <c r="I584" s="1373"/>
    </row>
    <row r="585" spans="1:9">
      <c r="A585" s="1369"/>
      <c r="B585" s="1369"/>
      <c r="C585" s="1373"/>
      <c r="D585" s="1308"/>
      <c r="E585" s="1326"/>
      <c r="F585" s="1326"/>
      <c r="G585" s="1326"/>
      <c r="H585" s="1326"/>
      <c r="I585" s="1373"/>
    </row>
    <row r="586" spans="1:9">
      <c r="A586" s="1369"/>
      <c r="B586" s="1369"/>
      <c r="C586" s="1373"/>
      <c r="D586" s="1308"/>
      <c r="E586" s="1326"/>
      <c r="F586" s="1326"/>
      <c r="G586" s="1326"/>
      <c r="H586" s="1326"/>
      <c r="I586" s="1373"/>
    </row>
    <row r="587" spans="1:9">
      <c r="A587" s="1369"/>
      <c r="B587" s="1369"/>
      <c r="C587" s="1373"/>
      <c r="D587" s="1308"/>
      <c r="E587" s="1326"/>
      <c r="F587" s="1326"/>
      <c r="G587" s="1326"/>
      <c r="H587" s="1326"/>
      <c r="I587" s="1373"/>
    </row>
    <row r="588" spans="1:9">
      <c r="A588" s="1369"/>
      <c r="B588" s="1369"/>
      <c r="C588" s="1373"/>
      <c r="D588" s="1308"/>
      <c r="E588" s="1326"/>
      <c r="F588" s="1326"/>
      <c r="G588" s="1326"/>
      <c r="H588" s="1326"/>
      <c r="I588" s="1373"/>
    </row>
    <row r="589" spans="1:9">
      <c r="A589" s="1369"/>
      <c r="B589" s="1369"/>
      <c r="C589" s="1373"/>
      <c r="D589" s="1308"/>
      <c r="E589" s="1326"/>
      <c r="F589" s="1326"/>
      <c r="G589" s="1326"/>
      <c r="H589" s="1326"/>
      <c r="I589" s="1373"/>
    </row>
    <row r="590" spans="1:9">
      <c r="A590" s="1369"/>
      <c r="B590" s="1369"/>
      <c r="C590" s="1373"/>
      <c r="D590" s="1308"/>
      <c r="E590" s="1326"/>
      <c r="F590" s="1326"/>
      <c r="G590" s="1326"/>
      <c r="H590" s="1326"/>
      <c r="I590" s="1373"/>
    </row>
    <row r="591" spans="1:9">
      <c r="A591" s="1369"/>
      <c r="B591" s="1369"/>
      <c r="C591" s="1373"/>
      <c r="D591" s="1308"/>
      <c r="E591" s="1326"/>
      <c r="F591" s="1326"/>
      <c r="G591" s="1326"/>
      <c r="H591" s="1326"/>
      <c r="I591" s="1373"/>
    </row>
    <row r="592" spans="1:9">
      <c r="A592" s="1369"/>
      <c r="B592" s="1369"/>
      <c r="C592" s="1373"/>
      <c r="D592" s="1308"/>
      <c r="E592" s="1326"/>
      <c r="F592" s="1326"/>
      <c r="G592" s="1326"/>
      <c r="H592" s="1326"/>
      <c r="I592" s="1373"/>
    </row>
    <row r="593" spans="1:9">
      <c r="A593" s="1369"/>
      <c r="B593" s="1369"/>
      <c r="C593" s="1373"/>
      <c r="D593" s="1308"/>
      <c r="E593" s="1326"/>
      <c r="F593" s="1326"/>
      <c r="G593" s="1326"/>
      <c r="H593" s="1326"/>
      <c r="I593" s="1373"/>
    </row>
    <row r="594" spans="1:9">
      <c r="A594" s="1369"/>
      <c r="B594" s="1369"/>
      <c r="C594" s="1373"/>
      <c r="D594" s="1308"/>
      <c r="E594" s="1326"/>
      <c r="F594" s="1326"/>
      <c r="G594" s="1326"/>
      <c r="H594" s="1326"/>
      <c r="I594" s="1373"/>
    </row>
    <row r="595" spans="1:9">
      <c r="A595" s="1369"/>
      <c r="B595" s="1369"/>
      <c r="C595" s="1373"/>
      <c r="D595" s="1308"/>
      <c r="E595" s="1326"/>
      <c r="F595" s="1326"/>
      <c r="G595" s="1326"/>
      <c r="H595" s="1326"/>
      <c r="I595" s="1373"/>
    </row>
    <row r="596" spans="1:9">
      <c r="A596" s="1369"/>
      <c r="B596" s="1369"/>
      <c r="C596" s="1373"/>
      <c r="D596" s="1308"/>
      <c r="E596" s="1326"/>
      <c r="F596" s="1326"/>
      <c r="G596" s="1326"/>
      <c r="H596" s="1326"/>
      <c r="I596" s="1373"/>
    </row>
    <row r="597" spans="1:9">
      <c r="A597" s="1369"/>
      <c r="B597" s="1369"/>
      <c r="C597" s="1373"/>
      <c r="D597" s="1308"/>
      <c r="E597" s="1326"/>
      <c r="F597" s="1326"/>
      <c r="G597" s="1326"/>
      <c r="H597" s="1326"/>
      <c r="I597" s="1373"/>
    </row>
    <row r="598" spans="1:9">
      <c r="A598" s="1369"/>
      <c r="B598" s="1369"/>
      <c r="C598" s="1373"/>
      <c r="D598" s="1308"/>
      <c r="E598" s="1326"/>
      <c r="F598" s="1326"/>
      <c r="G598" s="1326"/>
      <c r="H598" s="1326"/>
      <c r="I598" s="1373"/>
    </row>
    <row r="599" spans="1:9">
      <c r="A599" s="1369"/>
      <c r="B599" s="1369"/>
      <c r="C599" s="1373"/>
      <c r="D599" s="1308"/>
      <c r="E599" s="1326"/>
      <c r="F599" s="1326"/>
      <c r="G599" s="1326"/>
      <c r="H599" s="1326"/>
      <c r="I599" s="1373"/>
    </row>
    <row r="600" spans="1:9">
      <c r="A600" s="1369"/>
      <c r="B600" s="1369"/>
      <c r="C600" s="1373"/>
      <c r="D600" s="1308"/>
      <c r="E600" s="1326"/>
      <c r="F600" s="1326"/>
      <c r="G600" s="1326"/>
      <c r="H600" s="1326"/>
      <c r="I600" s="1373"/>
    </row>
    <row r="601" spans="1:9">
      <c r="A601" s="1369"/>
      <c r="B601" s="1369"/>
      <c r="C601" s="1373"/>
      <c r="D601" s="1308"/>
      <c r="E601" s="1326"/>
      <c r="F601" s="1326"/>
      <c r="G601" s="1326"/>
      <c r="H601" s="1326"/>
      <c r="I601" s="1373"/>
    </row>
    <row r="602" spans="1:9">
      <c r="A602" s="1369"/>
      <c r="B602" s="1369"/>
      <c r="C602" s="1373"/>
      <c r="D602" s="1308"/>
      <c r="E602" s="1326"/>
      <c r="F602" s="1326"/>
      <c r="G602" s="1326"/>
      <c r="H602" s="1326"/>
      <c r="I602" s="1373"/>
    </row>
    <row r="603" spans="1:9">
      <c r="A603" s="1369"/>
      <c r="B603" s="1369"/>
      <c r="C603" s="1373"/>
      <c r="D603" s="1308"/>
      <c r="E603" s="1326"/>
      <c r="F603" s="1326"/>
      <c r="G603" s="1326"/>
      <c r="H603" s="1326"/>
      <c r="I603" s="1373"/>
    </row>
    <row r="604" spans="1:9">
      <c r="A604" s="1369"/>
      <c r="B604" s="1369"/>
      <c r="C604" s="1373"/>
      <c r="D604" s="1308"/>
      <c r="E604" s="1326"/>
      <c r="F604" s="1326"/>
      <c r="G604" s="1326"/>
      <c r="H604" s="1326"/>
      <c r="I604" s="1373"/>
    </row>
    <row r="605" spans="1:9">
      <c r="A605" s="1369"/>
      <c r="B605" s="1369"/>
      <c r="C605" s="1373"/>
      <c r="D605" s="1308"/>
      <c r="E605" s="1326"/>
      <c r="F605" s="1326"/>
      <c r="G605" s="1326"/>
      <c r="H605" s="1326"/>
      <c r="I605" s="1373"/>
    </row>
    <row r="606" spans="1:9">
      <c r="A606" s="1369"/>
      <c r="B606" s="1369"/>
      <c r="C606" s="1373"/>
      <c r="D606" s="1308"/>
      <c r="E606" s="1326"/>
      <c r="F606" s="1326"/>
      <c r="G606" s="1326"/>
      <c r="H606" s="1326"/>
      <c r="I606" s="1373"/>
    </row>
    <row r="607" spans="1:9">
      <c r="A607" s="1369"/>
      <c r="B607" s="1369"/>
      <c r="C607" s="1373"/>
      <c r="D607" s="1308"/>
      <c r="E607" s="1326"/>
      <c r="F607" s="1326"/>
      <c r="G607" s="1326"/>
      <c r="H607" s="1326"/>
      <c r="I607" s="1373"/>
    </row>
    <row r="608" spans="1:9">
      <c r="A608" s="1369"/>
      <c r="B608" s="1369"/>
      <c r="C608" s="1373"/>
      <c r="D608" s="1308"/>
      <c r="E608" s="1326"/>
      <c r="F608" s="1326"/>
      <c r="G608" s="1326"/>
      <c r="H608" s="1326"/>
      <c r="I608" s="1373"/>
    </row>
    <row r="609" spans="1:9">
      <c r="A609" s="1369"/>
      <c r="B609" s="1369"/>
      <c r="C609" s="1373"/>
      <c r="D609" s="1308"/>
      <c r="E609" s="1326"/>
      <c r="F609" s="1326"/>
      <c r="G609" s="1326"/>
      <c r="H609" s="1326"/>
      <c r="I609" s="1373"/>
    </row>
    <row r="610" spans="1:9">
      <c r="A610" s="1369"/>
      <c r="B610" s="1369"/>
      <c r="C610" s="1373"/>
      <c r="D610" s="1308"/>
      <c r="E610" s="1326"/>
      <c r="F610" s="1326"/>
      <c r="G610" s="1326"/>
      <c r="H610" s="1326"/>
      <c r="I610" s="1373"/>
    </row>
    <row r="611" spans="1:9">
      <c r="A611" s="1369"/>
      <c r="B611" s="1369"/>
      <c r="C611" s="1373"/>
      <c r="D611" s="1308"/>
      <c r="E611" s="1326"/>
      <c r="F611" s="1326"/>
      <c r="G611" s="1326"/>
      <c r="H611" s="1326"/>
      <c r="I611" s="1373"/>
    </row>
    <row r="612" spans="1:9">
      <c r="A612" s="1369"/>
      <c r="B612" s="1369"/>
      <c r="C612" s="1373"/>
      <c r="D612" s="1308"/>
      <c r="E612" s="1326"/>
      <c r="F612" s="1326"/>
      <c r="G612" s="1326"/>
      <c r="H612" s="1326"/>
      <c r="I612" s="1373"/>
    </row>
    <row r="613" spans="1:9">
      <c r="A613" s="1369"/>
      <c r="B613" s="1369"/>
      <c r="C613" s="1373"/>
      <c r="D613" s="1308"/>
      <c r="E613" s="1326"/>
      <c r="F613" s="1326"/>
      <c r="G613" s="1326"/>
      <c r="H613" s="1326"/>
      <c r="I613" s="1373"/>
    </row>
    <row r="614" spans="1:9">
      <c r="A614" s="1369"/>
      <c r="B614" s="1369"/>
      <c r="C614" s="1373"/>
      <c r="D614" s="1308"/>
      <c r="E614" s="1326"/>
      <c r="F614" s="1326"/>
      <c r="G614" s="1326"/>
      <c r="H614" s="1326"/>
      <c r="I614" s="1373"/>
    </row>
    <row r="615" spans="1:9">
      <c r="A615" s="1369"/>
      <c r="B615" s="1369"/>
      <c r="C615" s="1373"/>
      <c r="D615" s="1308"/>
      <c r="E615" s="1326"/>
      <c r="F615" s="1326"/>
      <c r="G615" s="1326"/>
      <c r="H615" s="1326"/>
      <c r="I615" s="1373"/>
    </row>
    <row r="616" spans="1:9">
      <c r="A616" s="1369"/>
      <c r="B616" s="1369"/>
      <c r="C616" s="1373"/>
      <c r="D616" s="1308"/>
      <c r="E616" s="1326"/>
      <c r="F616" s="1326"/>
      <c r="G616" s="1326"/>
      <c r="H616" s="1326"/>
      <c r="I616" s="1373"/>
    </row>
    <row r="617" spans="1:9">
      <c r="A617" s="1369"/>
      <c r="B617" s="1369"/>
      <c r="C617" s="1373"/>
      <c r="D617" s="1308"/>
      <c r="E617" s="1326"/>
      <c r="F617" s="1326"/>
      <c r="G617" s="1326"/>
      <c r="H617" s="1326"/>
      <c r="I617" s="1373"/>
    </row>
    <row r="618" spans="1:9">
      <c r="A618" s="1369"/>
      <c r="B618" s="1369"/>
      <c r="C618" s="1373"/>
      <c r="D618" s="1308"/>
      <c r="E618" s="1326"/>
      <c r="F618" s="1326"/>
      <c r="G618" s="1326"/>
      <c r="H618" s="1326"/>
      <c r="I618" s="1373"/>
    </row>
    <row r="619" spans="1:9">
      <c r="A619" s="1369"/>
      <c r="B619" s="1369"/>
      <c r="C619" s="1373"/>
      <c r="D619" s="1308"/>
      <c r="E619" s="1326"/>
      <c r="F619" s="1326"/>
      <c r="G619" s="1326"/>
      <c r="H619" s="1326"/>
      <c r="I619" s="1373"/>
    </row>
    <row r="620" spans="1:9">
      <c r="A620" s="1369"/>
      <c r="B620" s="1369"/>
      <c r="C620" s="1373"/>
      <c r="D620" s="1308"/>
      <c r="E620" s="1326"/>
      <c r="F620" s="1326"/>
      <c r="G620" s="1326"/>
      <c r="H620" s="1326"/>
      <c r="I620" s="1373"/>
    </row>
    <row r="621" spans="1:9">
      <c r="A621" s="1369"/>
      <c r="B621" s="1369"/>
      <c r="C621" s="1373"/>
      <c r="D621" s="1308"/>
      <c r="E621" s="1326"/>
      <c r="F621" s="1326"/>
      <c r="G621" s="1326"/>
      <c r="H621" s="1326"/>
      <c r="I621" s="1373"/>
    </row>
    <row r="622" spans="1:9">
      <c r="A622" s="1369"/>
      <c r="B622" s="1369"/>
      <c r="C622" s="1373"/>
      <c r="D622" s="1308"/>
      <c r="E622" s="1326"/>
      <c r="F622" s="1326"/>
      <c r="G622" s="1326"/>
      <c r="H622" s="1326"/>
      <c r="I622" s="1373"/>
    </row>
    <row r="623" spans="1:9">
      <c r="A623" s="1369"/>
      <c r="B623" s="1369"/>
      <c r="C623" s="1373"/>
      <c r="D623" s="1308"/>
      <c r="E623" s="1326"/>
      <c r="F623" s="1326"/>
      <c r="G623" s="1326"/>
      <c r="H623" s="1326"/>
      <c r="I623" s="1373"/>
    </row>
    <row r="624" spans="1:9">
      <c r="A624" s="1369"/>
      <c r="B624" s="1369"/>
      <c r="C624" s="1373"/>
      <c r="D624" s="1308"/>
      <c r="E624" s="1326"/>
      <c r="F624" s="1326"/>
      <c r="G624" s="1326"/>
      <c r="H624" s="1326"/>
      <c r="I624" s="1373"/>
    </row>
    <row r="625" spans="1:9">
      <c r="A625" s="1369"/>
      <c r="B625" s="1369"/>
      <c r="C625" s="1373"/>
      <c r="D625" s="1308"/>
      <c r="E625" s="1326"/>
      <c r="F625" s="1326"/>
      <c r="G625" s="1326"/>
      <c r="H625" s="1326"/>
      <c r="I625" s="1373"/>
    </row>
    <row r="626" spans="1:9">
      <c r="A626" s="1369"/>
      <c r="B626" s="1369"/>
      <c r="C626" s="1373"/>
      <c r="D626" s="1308"/>
      <c r="E626" s="1326"/>
      <c r="F626" s="1326"/>
      <c r="G626" s="1326"/>
      <c r="H626" s="1326"/>
      <c r="I626" s="1373"/>
    </row>
    <row r="627" spans="1:9">
      <c r="A627" s="1369"/>
      <c r="B627" s="1369"/>
      <c r="C627" s="1373"/>
      <c r="D627" s="1308"/>
      <c r="E627" s="1326"/>
      <c r="F627" s="1326"/>
      <c r="G627" s="1326"/>
      <c r="H627" s="1326"/>
      <c r="I627" s="1373"/>
    </row>
    <row r="628" spans="1:9">
      <c r="A628" s="1369"/>
      <c r="B628" s="1369"/>
      <c r="C628" s="1373"/>
      <c r="D628" s="1308"/>
      <c r="E628" s="1326"/>
      <c r="F628" s="1326"/>
      <c r="G628" s="1326"/>
      <c r="H628" s="1326"/>
      <c r="I628" s="1373"/>
    </row>
    <row r="629" spans="1:9">
      <c r="A629" s="1369"/>
      <c r="B629" s="1369"/>
      <c r="C629" s="1373"/>
      <c r="D629" s="1308"/>
      <c r="E629" s="1326"/>
      <c r="F629" s="1326"/>
      <c r="G629" s="1326"/>
      <c r="H629" s="1326"/>
      <c r="I629" s="1373"/>
    </row>
    <row r="630" spans="1:9">
      <c r="A630" s="1369"/>
      <c r="B630" s="1369"/>
      <c r="C630" s="1373"/>
      <c r="D630" s="1308"/>
      <c r="E630" s="1326"/>
      <c r="F630" s="1326"/>
      <c r="G630" s="1326"/>
      <c r="H630" s="1326"/>
      <c r="I630" s="1373"/>
    </row>
    <row r="631" spans="1:9">
      <c r="A631" s="1369"/>
      <c r="B631" s="1369"/>
      <c r="C631" s="1373"/>
      <c r="D631" s="1308"/>
      <c r="E631" s="1326"/>
      <c r="F631" s="1326"/>
      <c r="G631" s="1326"/>
      <c r="H631" s="1326"/>
      <c r="I631" s="1373"/>
    </row>
    <row r="632" spans="1:9">
      <c r="A632" s="1369"/>
      <c r="B632" s="1369"/>
      <c r="C632" s="1373"/>
      <c r="D632" s="1308"/>
      <c r="E632" s="1326"/>
      <c r="F632" s="1326"/>
      <c r="G632" s="1326"/>
      <c r="H632" s="1326"/>
      <c r="I632" s="1373"/>
    </row>
    <row r="633" spans="1:9">
      <c r="A633" s="1369"/>
      <c r="B633" s="1369"/>
      <c r="C633" s="1373"/>
      <c r="D633" s="1308"/>
      <c r="E633" s="1326"/>
      <c r="F633" s="1326"/>
      <c r="G633" s="1326"/>
      <c r="H633" s="1326"/>
      <c r="I633" s="1373"/>
    </row>
    <row r="634" spans="1:9">
      <c r="A634" s="1369"/>
      <c r="B634" s="1369"/>
      <c r="C634" s="1373"/>
      <c r="D634" s="1308"/>
      <c r="E634" s="1326"/>
      <c r="F634" s="1326"/>
      <c r="G634" s="1326"/>
      <c r="H634" s="1326"/>
      <c r="I634" s="1373"/>
    </row>
    <row r="635" spans="1:9">
      <c r="A635" s="1369"/>
      <c r="B635" s="1369"/>
      <c r="C635" s="1373"/>
      <c r="D635" s="1308"/>
      <c r="E635" s="1326"/>
      <c r="F635" s="1326"/>
      <c r="G635" s="1326"/>
      <c r="H635" s="1326"/>
      <c r="I635" s="1373"/>
    </row>
    <row r="636" spans="1:9">
      <c r="A636" s="1369"/>
      <c r="B636" s="1369"/>
      <c r="C636" s="1373"/>
      <c r="D636" s="1308"/>
      <c r="E636" s="1326"/>
      <c r="F636" s="1326"/>
      <c r="G636" s="1326"/>
      <c r="H636" s="1326"/>
      <c r="I636" s="1373"/>
    </row>
    <row r="637" spans="1:9">
      <c r="A637" s="1369"/>
      <c r="B637" s="1369"/>
      <c r="C637" s="1373"/>
      <c r="D637" s="1308"/>
      <c r="E637" s="1326"/>
      <c r="F637" s="1326"/>
      <c r="G637" s="1326"/>
      <c r="H637" s="1326"/>
      <c r="I637" s="1373"/>
    </row>
    <row r="638" spans="1:9">
      <c r="A638" s="1369"/>
      <c r="B638" s="1369"/>
      <c r="C638" s="1373"/>
      <c r="D638" s="1308"/>
      <c r="E638" s="1326"/>
      <c r="F638" s="1326"/>
      <c r="G638" s="1326"/>
      <c r="H638" s="1326"/>
      <c r="I638" s="1373"/>
    </row>
    <row r="639" spans="1:9">
      <c r="A639" s="1369"/>
      <c r="B639" s="1369"/>
      <c r="C639" s="1373"/>
      <c r="D639" s="1308"/>
      <c r="E639" s="1326"/>
      <c r="F639" s="1326"/>
      <c r="G639" s="1326"/>
      <c r="H639" s="1326"/>
      <c r="I639" s="1373"/>
    </row>
    <row r="640" spans="1:9">
      <c r="A640" s="1369"/>
      <c r="B640" s="1369"/>
      <c r="C640" s="1373"/>
      <c r="D640" s="1308"/>
      <c r="E640" s="1326"/>
      <c r="F640" s="1326"/>
      <c r="G640" s="1326"/>
      <c r="H640" s="1326"/>
      <c r="I640" s="1373"/>
    </row>
    <row r="641" spans="1:9">
      <c r="A641" s="1369"/>
      <c r="B641" s="1369"/>
      <c r="C641" s="1373"/>
      <c r="D641" s="1308"/>
      <c r="E641" s="1326"/>
      <c r="F641" s="1326"/>
      <c r="G641" s="1326"/>
      <c r="H641" s="1326"/>
      <c r="I641" s="1373"/>
    </row>
    <row r="642" spans="1:9">
      <c r="A642" s="1369"/>
      <c r="B642" s="1369"/>
      <c r="C642" s="1373"/>
      <c r="D642" s="1308"/>
      <c r="E642" s="1326"/>
      <c r="F642" s="1326"/>
      <c r="G642" s="1326"/>
      <c r="H642" s="1326"/>
      <c r="I642" s="1373"/>
    </row>
    <row r="643" spans="1:9">
      <c r="A643" s="1369"/>
      <c r="B643" s="1369"/>
      <c r="C643" s="1373"/>
      <c r="D643" s="1308"/>
      <c r="E643" s="1326"/>
      <c r="F643" s="1326"/>
      <c r="G643" s="1326"/>
      <c r="H643" s="1326"/>
      <c r="I643" s="1373"/>
    </row>
    <row r="644" spans="1:9">
      <c r="A644" s="1369"/>
      <c r="B644" s="1369"/>
      <c r="C644" s="1373"/>
      <c r="D644" s="1308"/>
      <c r="E644" s="1326"/>
      <c r="F644" s="1326"/>
      <c r="G644" s="1326"/>
      <c r="H644" s="1326"/>
      <c r="I644" s="1373"/>
    </row>
    <row r="645" spans="1:9">
      <c r="A645" s="1369"/>
      <c r="B645" s="1369"/>
      <c r="C645" s="1373"/>
      <c r="D645" s="1308"/>
      <c r="E645" s="1326"/>
      <c r="F645" s="1326"/>
      <c r="G645" s="1326"/>
      <c r="H645" s="1326"/>
      <c r="I645" s="1373"/>
    </row>
    <row r="646" spans="1:9">
      <c r="A646" s="1369"/>
      <c r="B646" s="1369"/>
      <c r="C646" s="1373"/>
      <c r="D646" s="1308"/>
      <c r="E646" s="1326"/>
      <c r="F646" s="1326"/>
      <c r="G646" s="1326"/>
      <c r="H646" s="1326"/>
      <c r="I646" s="1373"/>
    </row>
    <row r="647" spans="1:9">
      <c r="A647" s="1369"/>
      <c r="B647" s="1369"/>
      <c r="C647" s="1373"/>
      <c r="D647" s="1308"/>
      <c r="E647" s="1326"/>
      <c r="F647" s="1326"/>
      <c r="G647" s="1326"/>
      <c r="H647" s="1326"/>
      <c r="I647" s="1373"/>
    </row>
    <row r="648" spans="1:9">
      <c r="A648" s="1369"/>
      <c r="B648" s="1369"/>
      <c r="C648" s="1373"/>
      <c r="D648" s="1308"/>
      <c r="E648" s="1326"/>
      <c r="F648" s="1326"/>
      <c r="G648" s="1326"/>
      <c r="H648" s="1326"/>
      <c r="I648" s="1373"/>
    </row>
    <row r="649" spans="1:9">
      <c r="A649" s="1369"/>
      <c r="B649" s="1369"/>
      <c r="C649" s="1373"/>
      <c r="D649" s="1308"/>
      <c r="E649" s="1326"/>
      <c r="F649" s="1326"/>
      <c r="G649" s="1326"/>
      <c r="H649" s="1326"/>
      <c r="I649" s="1373"/>
    </row>
    <row r="650" spans="1:9">
      <c r="A650" s="1369"/>
      <c r="B650" s="1369"/>
      <c r="C650" s="1373"/>
      <c r="D650" s="1308"/>
      <c r="E650" s="1326"/>
      <c r="F650" s="1326"/>
      <c r="G650" s="1326"/>
      <c r="H650" s="1326"/>
      <c r="I650" s="1373"/>
    </row>
    <row r="651" spans="1:9">
      <c r="A651" s="1369"/>
      <c r="B651" s="1369"/>
      <c r="C651" s="1373"/>
      <c r="D651" s="1308"/>
      <c r="E651" s="1326"/>
      <c r="F651" s="1326"/>
      <c r="G651" s="1326"/>
      <c r="H651" s="1326"/>
      <c r="I651" s="1373"/>
    </row>
    <row r="652" spans="1:9">
      <c r="A652" s="1369"/>
      <c r="B652" s="1369"/>
      <c r="C652" s="1373"/>
      <c r="D652" s="1308"/>
      <c r="E652" s="1326"/>
      <c r="F652" s="1326"/>
      <c r="G652" s="1326"/>
      <c r="H652" s="1326"/>
      <c r="I652" s="1373"/>
    </row>
    <row r="653" spans="1:9">
      <c r="A653" s="1369"/>
      <c r="B653" s="1369"/>
      <c r="C653" s="1373"/>
      <c r="D653" s="1308"/>
      <c r="E653" s="1326"/>
      <c r="F653" s="1326"/>
      <c r="G653" s="1326"/>
      <c r="H653" s="1326"/>
      <c r="I653" s="1373"/>
    </row>
    <row r="654" spans="1:9">
      <c r="A654" s="1369"/>
      <c r="B654" s="1369"/>
      <c r="C654" s="1373"/>
      <c r="D654" s="1308"/>
      <c r="E654" s="1326"/>
      <c r="F654" s="1326"/>
      <c r="G654" s="1326"/>
      <c r="H654" s="1326"/>
      <c r="I654" s="1373"/>
    </row>
    <row r="655" spans="1:9">
      <c r="A655" s="1369"/>
      <c r="B655" s="1369"/>
      <c r="C655" s="1373"/>
      <c r="D655" s="1308"/>
      <c r="E655" s="1326"/>
      <c r="F655" s="1326"/>
      <c r="G655" s="1326"/>
      <c r="H655" s="1326"/>
      <c r="I655" s="1373"/>
    </row>
    <row r="656" spans="1:9">
      <c r="A656" s="1369"/>
      <c r="B656" s="1369"/>
      <c r="C656" s="1373"/>
      <c r="D656" s="1308"/>
      <c r="E656" s="1326"/>
      <c r="F656" s="1326"/>
      <c r="G656" s="1326"/>
      <c r="H656" s="1326"/>
      <c r="I656" s="1373"/>
    </row>
    <row r="657" spans="1:9">
      <c r="A657" s="1369"/>
      <c r="B657" s="1369"/>
      <c r="C657" s="1373"/>
      <c r="D657" s="1308"/>
      <c r="E657" s="1326"/>
      <c r="F657" s="1326"/>
      <c r="G657" s="1326"/>
      <c r="H657" s="1326"/>
      <c r="I657" s="1373"/>
    </row>
    <row r="658" spans="1:9">
      <c r="A658" s="1369"/>
      <c r="B658" s="1369"/>
      <c r="C658" s="1373"/>
      <c r="D658" s="1308"/>
      <c r="E658" s="1326"/>
      <c r="F658" s="1326"/>
      <c r="G658" s="1326"/>
      <c r="H658" s="1326"/>
      <c r="I658" s="1373"/>
    </row>
    <row r="659" spans="1:9">
      <c r="A659" s="1369"/>
      <c r="B659" s="1369"/>
      <c r="C659" s="1373"/>
      <c r="D659" s="1308"/>
      <c r="E659" s="1326"/>
      <c r="F659" s="1326"/>
      <c r="G659" s="1326"/>
      <c r="H659" s="1326"/>
      <c r="I659" s="1373"/>
    </row>
    <row r="660" spans="1:9">
      <c r="A660" s="1369"/>
      <c r="B660" s="1369"/>
      <c r="C660" s="1373"/>
      <c r="D660" s="1308"/>
      <c r="E660" s="1326"/>
      <c r="F660" s="1326"/>
      <c r="G660" s="1326"/>
      <c r="H660" s="1326"/>
      <c r="I660" s="1373"/>
    </row>
    <row r="661" spans="1:9">
      <c r="A661" s="1369"/>
      <c r="B661" s="1369"/>
      <c r="C661" s="1373"/>
      <c r="D661" s="1308"/>
      <c r="E661" s="1326"/>
      <c r="F661" s="1326"/>
      <c r="G661" s="1326"/>
      <c r="H661" s="1326"/>
      <c r="I661" s="1373"/>
    </row>
    <row r="662" spans="1:9">
      <c r="A662" s="1369"/>
      <c r="B662" s="1369"/>
      <c r="C662" s="1373"/>
      <c r="D662" s="1308"/>
      <c r="E662" s="1326"/>
      <c r="F662" s="1326"/>
      <c r="G662" s="1326"/>
      <c r="H662" s="1326"/>
      <c r="I662" s="1373"/>
    </row>
    <row r="663" spans="1:9">
      <c r="A663" s="1369"/>
      <c r="B663" s="1369"/>
      <c r="C663" s="1373"/>
      <c r="D663" s="1308"/>
      <c r="E663" s="1326"/>
      <c r="F663" s="1326"/>
      <c r="G663" s="1326"/>
      <c r="H663" s="1326"/>
      <c r="I663" s="1373"/>
    </row>
    <row r="664" spans="1:9">
      <c r="A664" s="1369"/>
      <c r="B664" s="1369"/>
      <c r="C664" s="1373"/>
      <c r="D664" s="1308"/>
      <c r="E664" s="1326"/>
      <c r="F664" s="1326"/>
      <c r="G664" s="1326"/>
      <c r="H664" s="1326"/>
      <c r="I664" s="1373"/>
    </row>
    <row r="665" spans="1:9">
      <c r="A665" s="1369"/>
      <c r="B665" s="1369"/>
      <c r="C665" s="1373"/>
      <c r="D665" s="1308"/>
      <c r="E665" s="1326"/>
      <c r="F665" s="1326"/>
      <c r="G665" s="1326"/>
      <c r="H665" s="1326"/>
      <c r="I665" s="1373"/>
    </row>
    <row r="666" spans="1:9">
      <c r="A666" s="1369"/>
      <c r="B666" s="1369"/>
      <c r="C666" s="1373"/>
      <c r="D666" s="1308"/>
      <c r="E666" s="1326"/>
      <c r="F666" s="1326"/>
      <c r="G666" s="1326"/>
      <c r="H666" s="1326"/>
      <c r="I666" s="1373"/>
    </row>
    <row r="667" spans="1:9">
      <c r="A667" s="1369"/>
      <c r="B667" s="1369"/>
      <c r="C667" s="1373"/>
      <c r="D667" s="1308"/>
      <c r="E667" s="1326"/>
      <c r="F667" s="1326"/>
      <c r="G667" s="1326"/>
      <c r="H667" s="1326"/>
      <c r="I667" s="1373"/>
    </row>
    <row r="668" spans="1:9">
      <c r="A668" s="1369"/>
      <c r="B668" s="1369"/>
      <c r="C668" s="1373"/>
      <c r="D668" s="1308"/>
      <c r="E668" s="1326"/>
      <c r="F668" s="1326"/>
      <c r="G668" s="1326"/>
      <c r="H668" s="1326"/>
      <c r="I668" s="1373"/>
    </row>
    <row r="669" spans="1:9">
      <c r="A669" s="1369"/>
      <c r="B669" s="1369"/>
      <c r="C669" s="1373"/>
      <c r="D669" s="1308"/>
      <c r="E669" s="1326"/>
      <c r="F669" s="1326"/>
      <c r="G669" s="1326"/>
      <c r="H669" s="1326"/>
      <c r="I669" s="1373"/>
    </row>
    <row r="670" spans="1:9">
      <c r="A670" s="1369"/>
      <c r="B670" s="1369"/>
      <c r="C670" s="1373"/>
      <c r="D670" s="1308"/>
      <c r="E670" s="1326"/>
      <c r="F670" s="1326"/>
      <c r="G670" s="1326"/>
      <c r="H670" s="1326"/>
      <c r="I670" s="1373"/>
    </row>
    <row r="671" spans="1:9">
      <c r="A671" s="1369"/>
      <c r="B671" s="1369"/>
      <c r="C671" s="1373"/>
      <c r="D671" s="1308"/>
      <c r="E671" s="1326"/>
      <c r="F671" s="1326"/>
      <c r="G671" s="1326"/>
      <c r="H671" s="1326"/>
      <c r="I671" s="1373"/>
    </row>
    <row r="672" spans="1:9">
      <c r="A672" s="1369"/>
      <c r="B672" s="1369"/>
      <c r="C672" s="1373"/>
      <c r="D672" s="1308"/>
      <c r="E672" s="1326"/>
      <c r="F672" s="1326"/>
      <c r="G672" s="1326"/>
      <c r="H672" s="1326"/>
      <c r="I672" s="1373"/>
    </row>
    <row r="673" spans="1:9">
      <c r="A673" s="1369"/>
      <c r="B673" s="1369"/>
      <c r="C673" s="1373"/>
      <c r="D673" s="1308"/>
      <c r="E673" s="1326"/>
      <c r="F673" s="1326"/>
      <c r="G673" s="1326"/>
      <c r="H673" s="1326"/>
      <c r="I673" s="1373"/>
    </row>
    <row r="674" spans="1:9">
      <c r="A674" s="1369"/>
      <c r="B674" s="1369"/>
      <c r="C674" s="1373"/>
      <c r="D674" s="1308"/>
      <c r="E674" s="1326"/>
      <c r="F674" s="1326"/>
      <c r="G674" s="1326"/>
      <c r="H674" s="1326"/>
      <c r="I674" s="1373"/>
    </row>
    <row r="675" spans="1:9">
      <c r="A675" s="1369"/>
      <c r="B675" s="1369"/>
      <c r="C675" s="1373"/>
      <c r="D675" s="1308"/>
      <c r="E675" s="1326"/>
      <c r="F675" s="1326"/>
      <c r="G675" s="1326"/>
      <c r="H675" s="1326"/>
      <c r="I675" s="1373"/>
    </row>
    <row r="676" spans="1:9">
      <c r="A676" s="1369"/>
      <c r="B676" s="1369"/>
      <c r="C676" s="1373"/>
      <c r="D676" s="1308"/>
      <c r="E676" s="1326"/>
      <c r="F676" s="1326"/>
      <c r="G676" s="1326"/>
      <c r="H676" s="1326"/>
      <c r="I676" s="1373"/>
    </row>
    <row r="677" spans="1:9">
      <c r="A677" s="1369"/>
      <c r="B677" s="1369"/>
      <c r="C677" s="1373"/>
      <c r="D677" s="1308"/>
      <c r="E677" s="1326"/>
      <c r="F677" s="1326"/>
      <c r="G677" s="1326"/>
      <c r="H677" s="1326"/>
      <c r="I677" s="1373"/>
    </row>
    <row r="678" spans="1:9">
      <c r="A678" s="1369"/>
      <c r="B678" s="1369"/>
      <c r="C678" s="1373"/>
      <c r="D678" s="1308"/>
      <c r="E678" s="1326"/>
      <c r="F678" s="1326"/>
      <c r="G678" s="1326"/>
      <c r="H678" s="1326"/>
      <c r="I678" s="1373"/>
    </row>
    <row r="679" spans="1:9">
      <c r="A679" s="1369"/>
      <c r="B679" s="1369"/>
      <c r="C679" s="1373"/>
      <c r="D679" s="1308"/>
      <c r="E679" s="1326"/>
      <c r="F679" s="1326"/>
      <c r="G679" s="1326"/>
      <c r="H679" s="1326"/>
      <c r="I679" s="1373"/>
    </row>
    <row r="680" spans="1:9">
      <c r="A680" s="1369"/>
      <c r="B680" s="1369"/>
      <c r="C680" s="1373"/>
      <c r="D680" s="1308"/>
      <c r="E680" s="1326"/>
      <c r="F680" s="1326"/>
      <c r="G680" s="1326"/>
      <c r="H680" s="1326"/>
      <c r="I680" s="1373"/>
    </row>
    <row r="681" spans="1:9">
      <c r="A681" s="1369"/>
      <c r="B681" s="1369"/>
      <c r="C681" s="1373"/>
      <c r="D681" s="1308"/>
      <c r="E681" s="1326"/>
      <c r="F681" s="1326"/>
      <c r="G681" s="1326"/>
      <c r="H681" s="1326"/>
      <c r="I681" s="1373"/>
    </row>
    <row r="682" spans="1:9">
      <c r="A682" s="1369"/>
      <c r="B682" s="1369"/>
      <c r="C682" s="1373"/>
      <c r="D682" s="1308"/>
      <c r="E682" s="1326"/>
      <c r="F682" s="1326"/>
      <c r="G682" s="1326"/>
      <c r="H682" s="1326"/>
      <c r="I682" s="1373"/>
    </row>
    <row r="683" spans="1:9">
      <c r="A683" s="1369"/>
      <c r="B683" s="1369"/>
      <c r="C683" s="1373"/>
      <c r="D683" s="1308"/>
      <c r="E683" s="1326"/>
      <c r="F683" s="1326"/>
      <c r="G683" s="1326"/>
      <c r="H683" s="1326"/>
      <c r="I683" s="1373"/>
    </row>
    <row r="684" spans="1:9">
      <c r="A684" s="1369"/>
      <c r="B684" s="1369"/>
      <c r="C684" s="1373"/>
      <c r="D684" s="1308"/>
      <c r="E684" s="1326"/>
      <c r="F684" s="1326"/>
      <c r="G684" s="1326"/>
      <c r="H684" s="1326"/>
      <c r="I684" s="1373"/>
    </row>
    <row r="685" spans="1:9">
      <c r="A685" s="1369"/>
      <c r="B685" s="1369"/>
      <c r="C685" s="1373"/>
      <c r="D685" s="1308"/>
      <c r="E685" s="1326"/>
      <c r="F685" s="1326"/>
      <c r="G685" s="1326"/>
      <c r="H685" s="1326"/>
      <c r="I685" s="1373"/>
    </row>
    <row r="686" spans="1:9">
      <c r="A686" s="1369"/>
      <c r="B686" s="1369"/>
      <c r="C686" s="1373"/>
      <c r="D686" s="1308"/>
      <c r="E686" s="1326"/>
      <c r="F686" s="1326"/>
      <c r="G686" s="1326"/>
      <c r="H686" s="1326"/>
      <c r="I686" s="1373"/>
    </row>
    <row r="687" spans="1:9">
      <c r="A687" s="1369"/>
      <c r="B687" s="1369"/>
      <c r="C687" s="1373"/>
      <c r="D687" s="1308"/>
      <c r="E687" s="1326"/>
      <c r="F687" s="1326"/>
      <c r="G687" s="1326"/>
      <c r="H687" s="1326"/>
      <c r="I687" s="1373"/>
    </row>
    <row r="688" spans="1:9">
      <c r="A688" s="1369"/>
      <c r="B688" s="1369"/>
      <c r="C688" s="1373"/>
      <c r="D688" s="1308"/>
      <c r="E688" s="1326"/>
      <c r="F688" s="1326"/>
      <c r="G688" s="1326"/>
      <c r="H688" s="1326"/>
      <c r="I688" s="1373"/>
    </row>
    <row r="689" spans="1:9">
      <c r="A689" s="1369"/>
      <c r="B689" s="1369"/>
      <c r="C689" s="1373"/>
      <c r="D689" s="1308"/>
      <c r="E689" s="1326"/>
      <c r="F689" s="1326"/>
      <c r="G689" s="1326"/>
      <c r="H689" s="1326"/>
      <c r="I689" s="1373"/>
    </row>
    <row r="690" spans="1:9">
      <c r="A690" s="1369"/>
      <c r="B690" s="1369"/>
      <c r="C690" s="1373"/>
      <c r="D690" s="1308"/>
      <c r="E690" s="1326"/>
      <c r="F690" s="1326"/>
      <c r="G690" s="1326"/>
      <c r="H690" s="1326"/>
      <c r="I690" s="1373"/>
    </row>
    <row r="691" spans="1:9">
      <c r="A691" s="1369"/>
      <c r="B691" s="1369"/>
      <c r="C691" s="1373"/>
      <c r="D691" s="1308"/>
      <c r="E691" s="1326"/>
      <c r="F691" s="1326"/>
      <c r="G691" s="1326"/>
      <c r="H691" s="1326"/>
      <c r="I691" s="1373"/>
    </row>
    <row r="692" spans="1:9">
      <c r="A692" s="1369"/>
      <c r="B692" s="1369"/>
      <c r="C692" s="1373"/>
      <c r="D692" s="1308"/>
      <c r="E692" s="1326"/>
      <c r="F692" s="1326"/>
      <c r="G692" s="1326"/>
      <c r="H692" s="1326"/>
      <c r="I692" s="1373"/>
    </row>
    <row r="693" spans="1:9">
      <c r="A693" s="1369"/>
      <c r="B693" s="1369"/>
      <c r="C693" s="1373"/>
      <c r="D693" s="1308"/>
      <c r="E693" s="1326"/>
      <c r="F693" s="1326"/>
      <c r="G693" s="1326"/>
      <c r="H693" s="1326"/>
      <c r="I693" s="1373"/>
    </row>
    <row r="694" spans="1:9">
      <c r="A694" s="1369"/>
      <c r="B694" s="1369"/>
      <c r="C694" s="1373"/>
      <c r="D694" s="1308"/>
      <c r="E694" s="1326"/>
      <c r="F694" s="1326"/>
      <c r="G694" s="1326"/>
      <c r="H694" s="1326"/>
      <c r="I694" s="1373"/>
    </row>
    <row r="695" spans="1:9">
      <c r="A695" s="1369"/>
      <c r="B695" s="1369"/>
      <c r="C695" s="1373"/>
      <c r="D695" s="1308"/>
      <c r="E695" s="1326"/>
      <c r="F695" s="1326"/>
      <c r="G695" s="1326"/>
      <c r="H695" s="1326"/>
      <c r="I695" s="1373"/>
    </row>
    <row r="696" spans="1:9">
      <c r="A696" s="1369"/>
      <c r="B696" s="1369"/>
      <c r="C696" s="1373"/>
      <c r="D696" s="1308"/>
      <c r="E696" s="1326"/>
      <c r="F696" s="1326"/>
      <c r="G696" s="1326"/>
      <c r="H696" s="1326"/>
      <c r="I696" s="1373"/>
    </row>
    <row r="697" spans="1:9">
      <c r="A697" s="1369"/>
      <c r="B697" s="1369"/>
      <c r="C697" s="1373"/>
      <c r="D697" s="1308"/>
      <c r="E697" s="1326"/>
      <c r="F697" s="1326"/>
      <c r="G697" s="1326"/>
      <c r="H697" s="1326"/>
      <c r="I697" s="1373"/>
    </row>
    <row r="698" spans="1:9">
      <c r="A698" s="1369"/>
      <c r="B698" s="1369"/>
      <c r="C698" s="1373"/>
      <c r="D698" s="1308"/>
      <c r="E698" s="1326"/>
      <c r="F698" s="1326"/>
      <c r="G698" s="1326"/>
      <c r="H698" s="1326"/>
      <c r="I698" s="1373"/>
    </row>
    <row r="699" spans="1:9">
      <c r="A699" s="1369"/>
      <c r="B699" s="1369"/>
      <c r="C699" s="1373"/>
      <c r="D699" s="1308"/>
      <c r="E699" s="1326"/>
      <c r="F699" s="1326"/>
      <c r="G699" s="1326"/>
      <c r="H699" s="1326"/>
      <c r="I699" s="1373"/>
    </row>
    <row r="700" spans="1:9">
      <c r="A700" s="1369"/>
      <c r="B700" s="1369"/>
      <c r="C700" s="1373"/>
      <c r="D700" s="1308"/>
      <c r="E700" s="1326"/>
      <c r="F700" s="1326"/>
      <c r="G700" s="1326"/>
      <c r="H700" s="1326"/>
      <c r="I700" s="1373"/>
    </row>
    <row r="701" spans="1:9">
      <c r="A701" s="1369"/>
      <c r="B701" s="1369"/>
      <c r="C701" s="1373"/>
      <c r="D701" s="1308"/>
      <c r="E701" s="1326"/>
      <c r="F701" s="1326"/>
      <c r="G701" s="1326"/>
      <c r="H701" s="1326"/>
      <c r="I701" s="1373"/>
    </row>
    <row r="702" spans="1:9">
      <c r="A702" s="1369"/>
      <c r="B702" s="1369"/>
      <c r="C702" s="1373"/>
      <c r="D702" s="1308"/>
      <c r="E702" s="1326"/>
      <c r="F702" s="1326"/>
      <c r="G702" s="1326"/>
      <c r="H702" s="1326"/>
      <c r="I702" s="1373"/>
    </row>
    <row r="703" spans="1:9">
      <c r="A703" s="1369"/>
      <c r="B703" s="1369"/>
      <c r="C703" s="1373"/>
      <c r="D703" s="1308"/>
      <c r="E703" s="1326"/>
      <c r="F703" s="1326"/>
      <c r="G703" s="1326"/>
      <c r="H703" s="1326"/>
      <c r="I703" s="1373"/>
    </row>
    <row r="704" spans="1:9">
      <c r="A704" s="1369"/>
      <c r="B704" s="1369"/>
      <c r="C704" s="1373"/>
      <c r="D704" s="1308"/>
      <c r="E704" s="1326"/>
      <c r="F704" s="1326"/>
      <c r="G704" s="1326"/>
      <c r="H704" s="1326"/>
      <c r="I704" s="1373"/>
    </row>
    <row r="705" spans="1:9">
      <c r="A705" s="1369"/>
      <c r="B705" s="1369"/>
      <c r="C705" s="1373"/>
      <c r="D705" s="1308"/>
      <c r="E705" s="1326"/>
      <c r="F705" s="1326"/>
      <c r="G705" s="1326"/>
      <c r="H705" s="1326"/>
      <c r="I705" s="1373"/>
    </row>
    <row r="706" spans="1:9">
      <c r="A706" s="1369"/>
      <c r="B706" s="1369"/>
      <c r="C706" s="1373"/>
      <c r="D706" s="1308"/>
      <c r="E706" s="1326"/>
      <c r="F706" s="1326"/>
      <c r="G706" s="1326"/>
      <c r="H706" s="1326"/>
      <c r="I706" s="1373"/>
    </row>
    <row r="707" spans="1:9">
      <c r="A707" s="1369"/>
      <c r="B707" s="1369"/>
      <c r="C707" s="1373"/>
      <c r="D707" s="1308"/>
      <c r="E707" s="1326"/>
      <c r="F707" s="1326"/>
      <c r="G707" s="1326"/>
      <c r="H707" s="1326"/>
      <c r="I707" s="1373"/>
    </row>
    <row r="708" spans="1:9">
      <c r="A708" s="1369"/>
      <c r="B708" s="1369"/>
      <c r="C708" s="1373"/>
      <c r="D708" s="1308"/>
      <c r="E708" s="1326"/>
      <c r="F708" s="1326"/>
      <c r="G708" s="1326"/>
      <c r="H708" s="1326"/>
      <c r="I708" s="1373"/>
    </row>
    <row r="709" spans="1:9">
      <c r="A709" s="1369"/>
      <c r="B709" s="1369"/>
      <c r="C709" s="1373"/>
      <c r="D709" s="1308"/>
      <c r="E709" s="1326"/>
      <c r="F709" s="1326"/>
      <c r="G709" s="1326"/>
      <c r="H709" s="1326"/>
      <c r="I709" s="1373"/>
    </row>
    <row r="710" spans="1:9">
      <c r="A710" s="1369"/>
      <c r="B710" s="1369"/>
      <c r="C710" s="1373"/>
      <c r="D710" s="1308"/>
      <c r="E710" s="1326"/>
      <c r="F710" s="1326"/>
      <c r="G710" s="1326"/>
      <c r="H710" s="1326"/>
      <c r="I710" s="1373"/>
    </row>
    <row r="711" spans="1:9">
      <c r="A711" s="1369"/>
      <c r="B711" s="1369"/>
      <c r="C711" s="1373"/>
      <c r="D711" s="1308"/>
      <c r="E711" s="1326"/>
      <c r="F711" s="1326"/>
      <c r="G711" s="1326"/>
      <c r="H711" s="1326"/>
      <c r="I711" s="1373"/>
    </row>
    <row r="712" spans="1:9">
      <c r="A712" s="1369"/>
      <c r="B712" s="1369"/>
      <c r="C712" s="1373"/>
      <c r="D712" s="1308"/>
      <c r="E712" s="1326"/>
      <c r="F712" s="1326"/>
      <c r="G712" s="1326"/>
      <c r="H712" s="1326"/>
      <c r="I712" s="1373"/>
    </row>
    <row r="713" spans="1:9">
      <c r="A713" s="1369"/>
      <c r="B713" s="1369"/>
      <c r="C713" s="1373"/>
      <c r="D713" s="1308"/>
      <c r="E713" s="1326"/>
      <c r="F713" s="1326"/>
      <c r="G713" s="1326"/>
      <c r="H713" s="1326"/>
      <c r="I713" s="1373"/>
    </row>
    <row r="714" spans="1:9">
      <c r="A714" s="1369"/>
      <c r="B714" s="1369"/>
      <c r="C714" s="1373"/>
      <c r="D714" s="1308"/>
      <c r="E714" s="1326"/>
      <c r="F714" s="1326"/>
      <c r="G714" s="1326"/>
      <c r="H714" s="1326"/>
      <c r="I714" s="1373"/>
    </row>
    <row r="715" spans="1:9">
      <c r="A715" s="1369"/>
      <c r="B715" s="1369"/>
      <c r="C715" s="1373"/>
      <c r="D715" s="1308"/>
      <c r="E715" s="1326"/>
      <c r="F715" s="1326"/>
      <c r="G715" s="1326"/>
      <c r="H715" s="1326"/>
      <c r="I715" s="1373"/>
    </row>
    <row r="716" spans="1:9">
      <c r="A716" s="1369"/>
      <c r="B716" s="1369"/>
      <c r="C716" s="1373"/>
      <c r="D716" s="1308"/>
      <c r="E716" s="1326"/>
      <c r="F716" s="1326"/>
      <c r="G716" s="1326"/>
      <c r="H716" s="1326"/>
      <c r="I716" s="1373"/>
    </row>
    <row r="717" spans="1:9">
      <c r="A717" s="1369"/>
      <c r="B717" s="1369"/>
      <c r="C717" s="1373"/>
      <c r="D717" s="1308"/>
      <c r="E717" s="1326"/>
      <c r="F717" s="1326"/>
      <c r="G717" s="1326"/>
      <c r="H717" s="1326"/>
      <c r="I717" s="1373"/>
    </row>
    <row r="718" spans="1:9">
      <c r="A718" s="1369"/>
      <c r="B718" s="1369"/>
      <c r="C718" s="1373"/>
      <c r="D718" s="1308"/>
      <c r="E718" s="1326"/>
      <c r="F718" s="1326"/>
      <c r="G718" s="1326"/>
      <c r="H718" s="1326"/>
      <c r="I718" s="1373"/>
    </row>
    <row r="719" spans="1:9">
      <c r="A719" s="1369"/>
      <c r="B719" s="1369"/>
      <c r="C719" s="1373"/>
      <c r="D719" s="1308"/>
      <c r="E719" s="1326"/>
      <c r="F719" s="1326"/>
      <c r="G719" s="1326"/>
      <c r="H719" s="1326"/>
      <c r="I719" s="1373"/>
    </row>
    <row r="720" spans="1:9">
      <c r="A720" s="1369"/>
      <c r="B720" s="1369"/>
      <c r="C720" s="1373"/>
      <c r="D720" s="1308"/>
      <c r="E720" s="1326"/>
      <c r="F720" s="1326"/>
      <c r="G720" s="1326"/>
      <c r="H720" s="1326"/>
      <c r="I720" s="1373"/>
    </row>
    <row r="721" spans="1:9">
      <c r="A721" s="1369"/>
      <c r="B721" s="1369"/>
      <c r="C721" s="1373"/>
      <c r="D721" s="1308"/>
      <c r="E721" s="1326"/>
      <c r="F721" s="1326"/>
      <c r="G721" s="1326"/>
      <c r="H721" s="1326"/>
      <c r="I721" s="1373"/>
    </row>
    <row r="722" spans="1:9">
      <c r="A722" s="1369"/>
      <c r="B722" s="1369"/>
      <c r="C722" s="1373"/>
      <c r="D722" s="1308"/>
      <c r="E722" s="1326"/>
      <c r="F722" s="1326"/>
      <c r="G722" s="1326"/>
      <c r="H722" s="1326"/>
      <c r="I722" s="1373"/>
    </row>
    <row r="723" spans="1:9">
      <c r="A723" s="1369"/>
      <c r="B723" s="1369"/>
      <c r="C723" s="1373"/>
      <c r="D723" s="1308"/>
      <c r="E723" s="1326"/>
      <c r="F723" s="1326"/>
      <c r="G723" s="1326"/>
      <c r="H723" s="1326"/>
      <c r="I723" s="1373"/>
    </row>
    <row r="724" spans="1:9">
      <c r="A724" s="1369"/>
      <c r="B724" s="1369"/>
      <c r="C724" s="1373"/>
      <c r="D724" s="1308"/>
      <c r="E724" s="1326"/>
      <c r="F724" s="1326"/>
      <c r="G724" s="1326"/>
      <c r="H724" s="1326"/>
      <c r="I724" s="1373"/>
    </row>
    <row r="725" spans="1:9">
      <c r="A725" s="1369"/>
      <c r="B725" s="1369"/>
      <c r="C725" s="1373"/>
      <c r="D725" s="1308"/>
      <c r="E725" s="1326"/>
      <c r="F725" s="1326"/>
      <c r="G725" s="1326"/>
      <c r="H725" s="1326"/>
      <c r="I725" s="1373"/>
    </row>
    <row r="726" spans="1:9">
      <c r="A726" s="1369"/>
      <c r="B726" s="1369"/>
      <c r="C726" s="1373"/>
      <c r="D726" s="1308"/>
      <c r="E726" s="1326"/>
      <c r="F726" s="1326"/>
      <c r="G726" s="1326"/>
      <c r="H726" s="1326"/>
      <c r="I726" s="1373"/>
    </row>
    <row r="727" spans="1:9">
      <c r="A727" s="1369"/>
      <c r="B727" s="1369"/>
      <c r="C727" s="1373"/>
      <c r="D727" s="1308"/>
      <c r="E727" s="1326"/>
      <c r="F727" s="1326"/>
      <c r="G727" s="1326"/>
      <c r="H727" s="1326"/>
      <c r="I727" s="1373"/>
    </row>
    <row r="728" spans="1:9">
      <c r="A728" s="1369"/>
      <c r="B728" s="1369"/>
      <c r="C728" s="1373"/>
      <c r="D728" s="1308"/>
      <c r="E728" s="1326"/>
      <c r="F728" s="1326"/>
      <c r="G728" s="1326"/>
      <c r="H728" s="1326"/>
      <c r="I728" s="1373"/>
    </row>
    <row r="729" spans="1:9">
      <c r="A729" s="1369"/>
      <c r="B729" s="1369"/>
      <c r="C729" s="1373"/>
      <c r="D729" s="1308"/>
      <c r="E729" s="1326"/>
      <c r="F729" s="1326"/>
      <c r="G729" s="1326"/>
      <c r="H729" s="1326"/>
      <c r="I729" s="1373"/>
    </row>
    <row r="730" spans="1:9">
      <c r="A730" s="1369"/>
      <c r="B730" s="1369"/>
      <c r="C730" s="1373"/>
      <c r="D730" s="1308"/>
      <c r="E730" s="1326"/>
      <c r="F730" s="1326"/>
      <c r="G730" s="1326"/>
      <c r="H730" s="1326"/>
      <c r="I730" s="1373"/>
    </row>
    <row r="731" spans="1:9">
      <c r="A731" s="1369"/>
      <c r="B731" s="1369"/>
      <c r="C731" s="1373"/>
      <c r="D731" s="1308"/>
      <c r="E731" s="1326"/>
      <c r="F731" s="1326"/>
      <c r="G731" s="1326"/>
      <c r="H731" s="1326"/>
      <c r="I731" s="1373"/>
    </row>
    <row r="732" spans="1:9">
      <c r="A732" s="1369"/>
      <c r="B732" s="1369"/>
      <c r="C732" s="1373"/>
      <c r="D732" s="1308"/>
      <c r="E732" s="1326"/>
      <c r="F732" s="1326"/>
      <c r="G732" s="1326"/>
      <c r="H732" s="1326"/>
      <c r="I732" s="1373"/>
    </row>
    <row r="733" spans="1:9">
      <c r="A733" s="1369"/>
      <c r="B733" s="1369"/>
      <c r="C733" s="1373"/>
      <c r="D733" s="1308"/>
      <c r="E733" s="1326"/>
      <c r="F733" s="1326"/>
      <c r="G733" s="1326"/>
      <c r="H733" s="1326"/>
      <c r="I733" s="1373"/>
    </row>
    <row r="734" spans="1:9">
      <c r="A734" s="1369"/>
      <c r="B734" s="1369"/>
      <c r="C734" s="1373"/>
      <c r="D734" s="1308"/>
      <c r="E734" s="1326"/>
      <c r="F734" s="1326"/>
      <c r="G734" s="1326"/>
      <c r="H734" s="1326"/>
      <c r="I734" s="1373"/>
    </row>
    <row r="735" spans="1:9">
      <c r="A735" s="1369"/>
      <c r="B735" s="1369"/>
      <c r="C735" s="1373"/>
      <c r="D735" s="1308"/>
      <c r="E735" s="1326"/>
      <c r="F735" s="1326"/>
      <c r="G735" s="1326"/>
      <c r="H735" s="1326"/>
      <c r="I735" s="1373"/>
    </row>
    <row r="736" spans="1:9">
      <c r="A736" s="1369"/>
      <c r="B736" s="1369"/>
      <c r="C736" s="1373"/>
      <c r="D736" s="1308"/>
      <c r="E736" s="1326"/>
      <c r="F736" s="1326"/>
      <c r="G736" s="1326"/>
      <c r="H736" s="1326"/>
      <c r="I736" s="1373"/>
    </row>
    <row r="737" spans="1:9">
      <c r="A737" s="1369"/>
      <c r="B737" s="1369"/>
      <c r="C737" s="1373"/>
      <c r="D737" s="1308"/>
      <c r="E737" s="1326"/>
      <c r="F737" s="1326"/>
      <c r="G737" s="1326"/>
      <c r="H737" s="1326"/>
      <c r="I737" s="1373"/>
    </row>
    <row r="738" spans="1:9">
      <c r="A738" s="1369"/>
      <c r="B738" s="1369"/>
      <c r="C738" s="1373"/>
      <c r="D738" s="1308"/>
      <c r="E738" s="1326"/>
      <c r="F738" s="1326"/>
      <c r="G738" s="1326"/>
      <c r="H738" s="1326"/>
      <c r="I738" s="1373"/>
    </row>
    <row r="739" spans="1:9">
      <c r="A739" s="1369"/>
      <c r="B739" s="1369"/>
      <c r="C739" s="1373"/>
      <c r="D739" s="1308"/>
      <c r="E739" s="1326"/>
      <c r="F739" s="1326"/>
      <c r="G739" s="1326"/>
      <c r="H739" s="1326"/>
      <c r="I739" s="1373"/>
    </row>
    <row r="740" spans="1:9">
      <c r="A740" s="1369"/>
      <c r="B740" s="1369"/>
      <c r="C740" s="1373"/>
      <c r="D740" s="1308"/>
      <c r="E740" s="1326"/>
      <c r="F740" s="1326"/>
      <c r="G740" s="1326"/>
      <c r="H740" s="1326"/>
      <c r="I740" s="1373"/>
    </row>
    <row r="741" spans="1:9">
      <c r="A741" s="1369"/>
      <c r="B741" s="1369"/>
      <c r="C741" s="1373"/>
      <c r="D741" s="1308"/>
      <c r="E741" s="1326"/>
      <c r="F741" s="1326"/>
      <c r="G741" s="1326"/>
      <c r="H741" s="1326"/>
      <c r="I741" s="1373"/>
    </row>
    <row r="742" spans="1:9">
      <c r="A742" s="1369"/>
      <c r="B742" s="1369"/>
      <c r="C742" s="1373"/>
      <c r="D742" s="1308"/>
      <c r="E742" s="1326"/>
      <c r="F742" s="1326"/>
      <c r="G742" s="1326"/>
      <c r="H742" s="1326"/>
      <c r="I742" s="1373"/>
    </row>
    <row r="743" spans="1:9">
      <c r="A743" s="1369"/>
      <c r="B743" s="1369"/>
      <c r="C743" s="1373"/>
      <c r="D743" s="1308"/>
      <c r="E743" s="1326"/>
      <c r="F743" s="1326"/>
      <c r="G743" s="1326"/>
      <c r="H743" s="1326"/>
      <c r="I743" s="1373"/>
    </row>
    <row r="744" spans="1:9">
      <c r="A744" s="1369"/>
      <c r="B744" s="1369"/>
      <c r="C744" s="1373"/>
      <c r="D744" s="1308"/>
      <c r="E744" s="1326"/>
      <c r="F744" s="1326"/>
      <c r="G744" s="1326"/>
      <c r="H744" s="1326"/>
      <c r="I744" s="1373"/>
    </row>
    <row r="745" spans="1:9">
      <c r="A745" s="1369"/>
      <c r="B745" s="1369"/>
      <c r="C745" s="1373"/>
      <c r="D745" s="1308"/>
      <c r="E745" s="1326"/>
      <c r="F745" s="1326"/>
      <c r="G745" s="1326"/>
      <c r="H745" s="1326"/>
      <c r="I745" s="1373"/>
    </row>
    <row r="746" spans="1:9">
      <c r="A746" s="1369"/>
      <c r="B746" s="1369"/>
      <c r="C746" s="1373"/>
      <c r="D746" s="1308"/>
      <c r="E746" s="1326"/>
      <c r="F746" s="1326"/>
      <c r="G746" s="1326"/>
      <c r="H746" s="1326"/>
      <c r="I746" s="1373"/>
    </row>
    <row r="747" spans="1:9">
      <c r="A747" s="1369"/>
      <c r="B747" s="1369"/>
      <c r="C747" s="1373"/>
      <c r="D747" s="1308"/>
      <c r="E747" s="1326"/>
      <c r="F747" s="1326"/>
      <c r="G747" s="1326"/>
      <c r="H747" s="1326"/>
      <c r="I747" s="1373"/>
    </row>
    <row r="748" spans="1:9">
      <c r="A748" s="1369"/>
      <c r="B748" s="1369"/>
      <c r="C748" s="1373"/>
      <c r="D748" s="1308"/>
      <c r="E748" s="1326"/>
      <c r="F748" s="1326"/>
      <c r="G748" s="1326"/>
      <c r="H748" s="1326"/>
      <c r="I748" s="1373"/>
    </row>
    <row r="749" spans="1:9">
      <c r="A749" s="1369"/>
      <c r="B749" s="1369"/>
      <c r="C749" s="1373"/>
      <c r="D749" s="1308"/>
      <c r="E749" s="1326"/>
      <c r="F749" s="1326"/>
      <c r="G749" s="1326"/>
      <c r="H749" s="1326"/>
      <c r="I749" s="1373"/>
    </row>
    <row r="750" spans="1:9">
      <c r="A750" s="1369"/>
      <c r="B750" s="1369"/>
      <c r="C750" s="1373"/>
      <c r="D750" s="1308"/>
      <c r="E750" s="1326"/>
      <c r="F750" s="1326"/>
      <c r="G750" s="1326"/>
      <c r="H750" s="1326"/>
      <c r="I750" s="1373"/>
    </row>
    <row r="751" spans="1:9">
      <c r="A751" s="1369"/>
      <c r="B751" s="1369"/>
      <c r="C751" s="1373"/>
      <c r="D751" s="1308"/>
      <c r="E751" s="1326"/>
      <c r="F751" s="1326"/>
      <c r="G751" s="1326"/>
      <c r="H751" s="1326"/>
      <c r="I751" s="1373"/>
    </row>
    <row r="752" spans="1:9">
      <c r="A752" s="1369"/>
      <c r="B752" s="1369"/>
      <c r="C752" s="1373"/>
      <c r="D752" s="1308"/>
      <c r="E752" s="1326"/>
      <c r="F752" s="1326"/>
      <c r="G752" s="1326"/>
      <c r="H752" s="1326"/>
      <c r="I752" s="1373"/>
    </row>
    <row r="753" spans="1:9">
      <c r="A753" s="1369"/>
      <c r="B753" s="1369"/>
      <c r="C753" s="1373"/>
      <c r="D753" s="1308"/>
      <c r="E753" s="1326"/>
      <c r="F753" s="1326"/>
      <c r="G753" s="1326"/>
      <c r="H753" s="1326"/>
      <c r="I753" s="1373"/>
    </row>
    <row r="754" spans="1:9">
      <c r="A754" s="1369"/>
      <c r="B754" s="1369"/>
      <c r="C754" s="1373"/>
      <c r="D754" s="1308"/>
      <c r="E754" s="1326"/>
      <c r="F754" s="1326"/>
      <c r="G754" s="1326"/>
      <c r="H754" s="1326"/>
      <c r="I754" s="1373"/>
    </row>
    <row r="755" spans="1:9">
      <c r="A755" s="1369"/>
      <c r="B755" s="1369"/>
      <c r="C755" s="1373"/>
      <c r="D755" s="1308"/>
      <c r="E755" s="1326"/>
      <c r="F755" s="1326"/>
      <c r="G755" s="1326"/>
      <c r="H755" s="1326"/>
      <c r="I755" s="1373"/>
    </row>
    <row r="756" spans="1:9">
      <c r="A756" s="1369"/>
      <c r="B756" s="1369"/>
      <c r="C756" s="1373"/>
      <c r="D756" s="1308"/>
      <c r="E756" s="1326"/>
      <c r="F756" s="1326"/>
      <c r="G756" s="1326"/>
      <c r="H756" s="1326"/>
      <c r="I756" s="1373"/>
    </row>
    <row r="757" spans="1:9">
      <c r="A757" s="1369"/>
      <c r="B757" s="1369"/>
      <c r="C757" s="1373"/>
      <c r="D757" s="1308"/>
      <c r="E757" s="1326"/>
      <c r="F757" s="1326"/>
      <c r="G757" s="1326"/>
      <c r="H757" s="1326"/>
      <c r="I757" s="1373"/>
    </row>
    <row r="758" spans="1:9">
      <c r="A758" s="1369"/>
      <c r="B758" s="1369"/>
      <c r="C758" s="1373"/>
      <c r="D758" s="1308"/>
      <c r="E758" s="1326"/>
      <c r="F758" s="1326"/>
      <c r="G758" s="1326"/>
      <c r="H758" s="1326"/>
      <c r="I758" s="1373"/>
    </row>
    <row r="759" spans="1:9">
      <c r="A759" s="1369"/>
      <c r="B759" s="1369"/>
      <c r="C759" s="1373"/>
      <c r="D759" s="1308"/>
      <c r="E759" s="1326"/>
      <c r="F759" s="1326"/>
      <c r="G759" s="1326"/>
      <c r="H759" s="1326"/>
      <c r="I759" s="1373"/>
    </row>
    <row r="760" spans="1:9">
      <c r="A760" s="1369"/>
      <c r="B760" s="1369"/>
      <c r="C760" s="1373"/>
      <c r="D760" s="1308"/>
      <c r="E760" s="1326"/>
      <c r="F760" s="1326"/>
      <c r="G760" s="1326"/>
      <c r="H760" s="1326"/>
      <c r="I760" s="1373"/>
    </row>
    <row r="761" spans="1:9">
      <c r="A761" s="1369"/>
      <c r="B761" s="1369"/>
      <c r="C761" s="1373"/>
      <c r="D761" s="1308"/>
      <c r="E761" s="1326"/>
      <c r="F761" s="1326"/>
      <c r="G761" s="1326"/>
      <c r="H761" s="1326"/>
      <c r="I761" s="1373"/>
    </row>
    <row r="762" spans="1:9">
      <c r="A762" s="1369"/>
      <c r="B762" s="1369"/>
      <c r="C762" s="1373"/>
      <c r="D762" s="1308"/>
      <c r="E762" s="1326"/>
      <c r="F762" s="1326"/>
      <c r="G762" s="1326"/>
      <c r="H762" s="1326"/>
      <c r="I762" s="1373"/>
    </row>
    <row r="763" spans="1:9">
      <c r="A763" s="1369"/>
      <c r="B763" s="1369"/>
      <c r="C763" s="1373"/>
      <c r="D763" s="1308"/>
      <c r="E763" s="1326"/>
      <c r="F763" s="1326"/>
      <c r="G763" s="1326"/>
      <c r="H763" s="1326"/>
      <c r="I763" s="1373"/>
    </row>
    <row r="764" spans="1:9">
      <c r="A764" s="1369"/>
      <c r="B764" s="1369"/>
      <c r="C764" s="1373"/>
      <c r="D764" s="1308"/>
      <c r="E764" s="1326"/>
      <c r="F764" s="1326"/>
      <c r="G764" s="1326"/>
      <c r="H764" s="1326"/>
      <c r="I764" s="1373"/>
    </row>
    <row r="765" spans="1:9">
      <c r="A765" s="1369"/>
      <c r="B765" s="1369"/>
      <c r="C765" s="1373"/>
      <c r="D765" s="1308"/>
      <c r="E765" s="1326"/>
      <c r="F765" s="1326"/>
      <c r="G765" s="1326"/>
      <c r="H765" s="1326"/>
      <c r="I765" s="1373"/>
    </row>
    <row r="766" spans="1:9">
      <c r="A766" s="1369"/>
      <c r="B766" s="1369"/>
      <c r="C766" s="1373"/>
      <c r="D766" s="1308"/>
      <c r="E766" s="1326"/>
      <c r="F766" s="1326"/>
      <c r="G766" s="1326"/>
      <c r="H766" s="1326"/>
      <c r="I766" s="1373"/>
    </row>
    <row r="767" spans="1:9">
      <c r="A767" s="1369"/>
      <c r="B767" s="1369"/>
      <c r="C767" s="1373"/>
      <c r="D767" s="1308"/>
      <c r="E767" s="1326"/>
      <c r="F767" s="1326"/>
      <c r="G767" s="1326"/>
      <c r="H767" s="1326"/>
      <c r="I767" s="1373"/>
    </row>
    <row r="768" spans="1:9">
      <c r="A768" s="1369"/>
      <c r="B768" s="1369"/>
      <c r="C768" s="1373"/>
      <c r="D768" s="1308"/>
      <c r="E768" s="1326"/>
      <c r="F768" s="1326"/>
      <c r="G768" s="1326"/>
      <c r="H768" s="1326"/>
      <c r="I768" s="1373"/>
    </row>
    <row r="769" spans="1:9">
      <c r="A769" s="1369"/>
      <c r="B769" s="1369"/>
      <c r="C769" s="1373"/>
      <c r="D769" s="1308"/>
      <c r="E769" s="1326"/>
      <c r="F769" s="1326"/>
      <c r="G769" s="1326"/>
      <c r="H769" s="1326"/>
      <c r="I769" s="1373"/>
    </row>
    <row r="770" spans="1:9">
      <c r="A770" s="1369"/>
      <c r="B770" s="1369"/>
      <c r="C770" s="1373"/>
      <c r="D770" s="1308"/>
      <c r="E770" s="1326"/>
      <c r="F770" s="1326"/>
      <c r="G770" s="1326"/>
      <c r="H770" s="1326"/>
      <c r="I770" s="1373"/>
    </row>
    <row r="771" spans="1:9">
      <c r="A771" s="1369"/>
      <c r="B771" s="1369"/>
      <c r="C771" s="1373"/>
      <c r="D771" s="1308"/>
      <c r="E771" s="1326"/>
      <c r="F771" s="1326"/>
      <c r="G771" s="1326"/>
      <c r="H771" s="1326"/>
      <c r="I771" s="1373"/>
    </row>
    <row r="772" spans="1:9">
      <c r="A772" s="1369"/>
      <c r="B772" s="1369"/>
      <c r="C772" s="1373"/>
      <c r="D772" s="1308"/>
      <c r="E772" s="1326"/>
      <c r="F772" s="1326"/>
      <c r="G772" s="1326"/>
      <c r="H772" s="1326"/>
      <c r="I772" s="1373"/>
    </row>
    <row r="773" spans="1:9">
      <c r="A773" s="1369"/>
      <c r="B773" s="1369"/>
      <c r="C773" s="1373"/>
      <c r="D773" s="1308"/>
      <c r="E773" s="1326"/>
      <c r="F773" s="1326"/>
      <c r="G773" s="1326"/>
      <c r="H773" s="1326"/>
      <c r="I773" s="1373"/>
    </row>
    <row r="774" spans="1:9">
      <c r="A774" s="1369"/>
      <c r="B774" s="1369"/>
      <c r="C774" s="1373"/>
      <c r="D774" s="1308"/>
      <c r="E774" s="1326"/>
      <c r="F774" s="1326"/>
      <c r="G774" s="1326"/>
      <c r="H774" s="1326"/>
      <c r="I774" s="1373"/>
    </row>
    <row r="775" spans="1:9">
      <c r="A775" s="1369"/>
      <c r="B775" s="1369"/>
      <c r="C775" s="1373"/>
      <c r="D775" s="1308"/>
      <c r="E775" s="1326"/>
      <c r="F775" s="1326"/>
      <c r="G775" s="1326"/>
      <c r="H775" s="1326"/>
      <c r="I775" s="1373"/>
    </row>
    <row r="776" spans="1:9">
      <c r="A776" s="1369"/>
      <c r="B776" s="1369"/>
      <c r="C776" s="1373"/>
      <c r="D776" s="1308"/>
      <c r="E776" s="1326"/>
      <c r="F776" s="1326"/>
      <c r="G776" s="1326"/>
      <c r="H776" s="1326"/>
      <c r="I776" s="1373"/>
    </row>
    <row r="777" spans="1:9">
      <c r="A777" s="1369"/>
      <c r="B777" s="1369"/>
      <c r="C777" s="1373"/>
      <c r="D777" s="1308"/>
      <c r="E777" s="1326"/>
      <c r="F777" s="1326"/>
      <c r="G777" s="1326"/>
      <c r="H777" s="1326"/>
      <c r="I777" s="1373"/>
    </row>
    <row r="778" spans="1:9">
      <c r="A778" s="1369"/>
      <c r="B778" s="1369"/>
      <c r="C778" s="1373"/>
      <c r="D778" s="1308"/>
      <c r="E778" s="1326"/>
      <c r="F778" s="1326"/>
      <c r="G778" s="1326"/>
      <c r="H778" s="1326"/>
      <c r="I778" s="1373"/>
    </row>
    <row r="779" spans="1:9">
      <c r="A779" s="1369"/>
      <c r="B779" s="1369"/>
      <c r="C779" s="1373"/>
      <c r="D779" s="1308"/>
      <c r="E779" s="1326"/>
      <c r="F779" s="1326"/>
      <c r="G779" s="1326"/>
      <c r="H779" s="1326"/>
      <c r="I779" s="1373"/>
    </row>
    <row r="780" spans="1:9">
      <c r="A780" s="1369"/>
      <c r="B780" s="1369"/>
      <c r="C780" s="1373"/>
      <c r="D780" s="1308"/>
      <c r="E780" s="1326"/>
      <c r="F780" s="1326"/>
      <c r="G780" s="1326"/>
      <c r="H780" s="1326"/>
      <c r="I780" s="1373"/>
    </row>
    <row r="781" spans="1:9">
      <c r="A781" s="1369"/>
      <c r="B781" s="1369"/>
      <c r="C781" s="1373"/>
      <c r="D781" s="1308"/>
      <c r="E781" s="1326"/>
      <c r="F781" s="1326"/>
      <c r="G781" s="1326"/>
      <c r="H781" s="1326"/>
      <c r="I781" s="1373"/>
    </row>
    <row r="782" spans="1:9">
      <c r="A782" s="1369"/>
      <c r="B782" s="1369"/>
      <c r="C782" s="1373"/>
      <c r="D782" s="1308"/>
      <c r="E782" s="1326"/>
      <c r="F782" s="1326"/>
      <c r="G782" s="1326"/>
      <c r="H782" s="1326"/>
      <c r="I782" s="1373"/>
    </row>
    <row r="783" spans="1:9">
      <c r="A783" s="1369"/>
      <c r="B783" s="1369"/>
      <c r="C783" s="1373"/>
      <c r="D783" s="1308"/>
      <c r="E783" s="1326"/>
      <c r="F783" s="1326"/>
      <c r="G783" s="1326"/>
      <c r="H783" s="1326"/>
      <c r="I783" s="1373"/>
    </row>
    <row r="784" spans="1:9">
      <c r="A784" s="1369"/>
      <c r="B784" s="1369"/>
      <c r="C784" s="1373"/>
      <c r="D784" s="1308"/>
      <c r="E784" s="1326"/>
      <c r="F784" s="1326"/>
      <c r="G784" s="1326"/>
      <c r="H784" s="1326"/>
      <c r="I784" s="1373"/>
    </row>
    <row r="785" spans="1:9">
      <c r="A785" s="1369"/>
      <c r="B785" s="1369"/>
      <c r="C785" s="1373"/>
      <c r="D785" s="1308"/>
      <c r="E785" s="1326"/>
      <c r="F785" s="1326"/>
      <c r="G785" s="1326"/>
      <c r="H785" s="1326"/>
      <c r="I785" s="1373"/>
    </row>
    <row r="786" spans="1:9">
      <c r="A786" s="1369"/>
      <c r="B786" s="1369"/>
      <c r="C786" s="1373"/>
      <c r="D786" s="1308"/>
      <c r="E786" s="1326"/>
      <c r="F786" s="1326"/>
      <c r="G786" s="1326"/>
      <c r="H786" s="1326"/>
      <c r="I786" s="1373"/>
    </row>
    <row r="787" spans="1:9">
      <c r="A787" s="1369"/>
      <c r="B787" s="1369"/>
      <c r="C787" s="1373"/>
      <c r="D787" s="1308"/>
      <c r="E787" s="1326"/>
      <c r="F787" s="1326"/>
      <c r="G787" s="1326"/>
      <c r="H787" s="1326"/>
      <c r="I787" s="1373"/>
    </row>
    <row r="788" spans="1:9">
      <c r="A788" s="1369"/>
      <c r="B788" s="1369"/>
      <c r="C788" s="1373"/>
      <c r="D788" s="1308"/>
      <c r="E788" s="1326"/>
      <c r="F788" s="1326"/>
      <c r="G788" s="1326"/>
      <c r="H788" s="1326"/>
      <c r="I788" s="1373"/>
    </row>
    <row r="789" spans="1:9">
      <c r="A789" s="1369"/>
      <c r="B789" s="1369"/>
      <c r="C789" s="1373"/>
      <c r="D789" s="1308"/>
      <c r="E789" s="1326"/>
      <c r="F789" s="1326"/>
      <c r="G789" s="1326"/>
      <c r="H789" s="1326"/>
      <c r="I789" s="1373"/>
    </row>
    <row r="790" spans="1:9">
      <c r="A790" s="1369"/>
      <c r="B790" s="1369"/>
      <c r="C790" s="1373"/>
      <c r="D790" s="1308"/>
      <c r="E790" s="1326"/>
      <c r="F790" s="1326"/>
      <c r="G790" s="1326"/>
      <c r="H790" s="1326"/>
      <c r="I790" s="1373"/>
    </row>
    <row r="791" spans="1:9">
      <c r="A791" s="1369"/>
      <c r="B791" s="1369"/>
      <c r="C791" s="1373"/>
      <c r="D791" s="1308"/>
      <c r="E791" s="1326"/>
      <c r="F791" s="1326"/>
      <c r="G791" s="1326"/>
      <c r="H791" s="1326"/>
      <c r="I791" s="1373"/>
    </row>
    <row r="792" spans="1:9">
      <c r="A792" s="1369"/>
      <c r="B792" s="1369"/>
      <c r="C792" s="1373"/>
      <c r="D792" s="1308"/>
      <c r="E792" s="1326"/>
      <c r="F792" s="1326"/>
      <c r="G792" s="1326"/>
      <c r="H792" s="1326"/>
      <c r="I792" s="1373"/>
    </row>
    <row r="793" spans="1:9">
      <c r="A793" s="1369"/>
      <c r="B793" s="1369"/>
      <c r="C793" s="1373"/>
      <c r="D793" s="1308"/>
      <c r="E793" s="1326"/>
      <c r="F793" s="1326"/>
      <c r="G793" s="1326"/>
      <c r="H793" s="1326"/>
      <c r="I793" s="1373"/>
    </row>
    <row r="794" spans="1:9">
      <c r="A794" s="1369"/>
      <c r="B794" s="1369"/>
      <c r="C794" s="1373"/>
      <c r="D794" s="1308"/>
      <c r="E794" s="1326"/>
      <c r="F794" s="1326"/>
      <c r="G794" s="1326"/>
      <c r="H794" s="1326"/>
      <c r="I794" s="1373"/>
    </row>
    <row r="795" spans="1:9">
      <c r="A795" s="1369"/>
      <c r="B795" s="1369"/>
      <c r="C795" s="1373"/>
      <c r="D795" s="1308"/>
      <c r="E795" s="1326"/>
      <c r="F795" s="1326"/>
      <c r="G795" s="1326"/>
      <c r="H795" s="1326"/>
      <c r="I795" s="1373"/>
    </row>
    <row r="796" spans="1:9">
      <c r="A796" s="1369"/>
      <c r="B796" s="1369"/>
      <c r="C796" s="1373"/>
      <c r="D796" s="1308"/>
      <c r="E796" s="1326"/>
      <c r="F796" s="1326"/>
      <c r="G796" s="1326"/>
      <c r="H796" s="1326"/>
      <c r="I796" s="1373"/>
    </row>
    <row r="797" spans="1:9">
      <c r="A797" s="1369"/>
      <c r="B797" s="1369"/>
      <c r="C797" s="1373"/>
      <c r="D797" s="1308"/>
      <c r="E797" s="1326"/>
      <c r="F797" s="1326"/>
      <c r="G797" s="1326"/>
      <c r="H797" s="1326"/>
      <c r="I797" s="1373"/>
    </row>
    <row r="798" spans="1:9">
      <c r="A798" s="1369"/>
      <c r="B798" s="1369"/>
      <c r="C798" s="1373"/>
      <c r="D798" s="1308"/>
      <c r="E798" s="1326"/>
      <c r="F798" s="1326"/>
      <c r="G798" s="1326"/>
      <c r="H798" s="1326"/>
      <c r="I798" s="1373"/>
    </row>
    <row r="799" spans="1:9">
      <c r="A799" s="1369"/>
      <c r="B799" s="1369"/>
      <c r="C799" s="1373"/>
      <c r="D799" s="1308"/>
      <c r="E799" s="1326"/>
      <c r="F799" s="1326"/>
      <c r="G799" s="1326"/>
      <c r="H799" s="1326"/>
      <c r="I799" s="1373"/>
    </row>
    <row r="800" spans="1:9">
      <c r="A800" s="1369"/>
      <c r="B800" s="1369"/>
      <c r="C800" s="1373"/>
      <c r="D800" s="1308"/>
      <c r="E800" s="1326"/>
      <c r="F800" s="1326"/>
      <c r="G800" s="1326"/>
      <c r="H800" s="1326"/>
      <c r="I800" s="1373"/>
    </row>
    <row r="801" spans="1:9">
      <c r="A801" s="1369"/>
      <c r="B801" s="1369"/>
      <c r="C801" s="1373"/>
      <c r="D801" s="1308"/>
      <c r="E801" s="1326"/>
      <c r="F801" s="1326"/>
      <c r="G801" s="1326"/>
      <c r="H801" s="1326"/>
      <c r="I801" s="1373"/>
    </row>
    <row r="802" spans="1:9">
      <c r="A802" s="1369"/>
      <c r="B802" s="1369"/>
      <c r="C802" s="1373"/>
      <c r="D802" s="1308"/>
      <c r="E802" s="1326"/>
      <c r="F802" s="1326"/>
      <c r="G802" s="1326"/>
      <c r="H802" s="1326"/>
      <c r="I802" s="1373"/>
    </row>
    <row r="803" spans="1:9">
      <c r="A803" s="1369"/>
      <c r="B803" s="1369"/>
      <c r="C803" s="1373"/>
      <c r="D803" s="1308"/>
      <c r="E803" s="1326"/>
      <c r="F803" s="1326"/>
      <c r="G803" s="1326"/>
      <c r="H803" s="1326"/>
      <c r="I803" s="1373"/>
    </row>
    <row r="804" spans="1:9">
      <c r="A804" s="1369"/>
      <c r="B804" s="1369"/>
      <c r="C804" s="1373"/>
      <c r="D804" s="1308"/>
      <c r="E804" s="1326"/>
      <c r="F804" s="1326"/>
      <c r="G804" s="1326"/>
      <c r="H804" s="1326"/>
      <c r="I804" s="1373"/>
    </row>
    <row r="805" spans="1:9">
      <c r="A805" s="1369"/>
      <c r="B805" s="1369"/>
      <c r="C805" s="1373"/>
      <c r="D805" s="1308"/>
      <c r="E805" s="1326"/>
      <c r="F805" s="1326"/>
      <c r="G805" s="1326"/>
      <c r="H805" s="1326"/>
      <c r="I805" s="1373"/>
    </row>
    <row r="806" spans="1:9">
      <c r="A806" s="1369"/>
      <c r="B806" s="1369"/>
      <c r="C806" s="1373"/>
      <c r="D806" s="1308"/>
      <c r="E806" s="1326"/>
      <c r="F806" s="1326"/>
      <c r="G806" s="1326"/>
      <c r="H806" s="1326"/>
      <c r="I806" s="1373"/>
    </row>
    <row r="807" spans="1:9">
      <c r="A807" s="1369"/>
      <c r="B807" s="1369"/>
      <c r="C807" s="1373"/>
      <c r="D807" s="1308"/>
      <c r="E807" s="1326"/>
      <c r="F807" s="1326"/>
      <c r="G807" s="1326"/>
      <c r="H807" s="1326"/>
      <c r="I807" s="1373"/>
    </row>
    <row r="808" spans="1:9">
      <c r="A808" s="1369"/>
      <c r="B808" s="1369"/>
      <c r="C808" s="1373"/>
      <c r="D808" s="1308"/>
      <c r="E808" s="1326"/>
      <c r="F808" s="1326"/>
      <c r="G808" s="1326"/>
      <c r="H808" s="1326"/>
      <c r="I808" s="1373"/>
    </row>
    <row r="809" spans="1:9">
      <c r="A809" s="1369"/>
      <c r="B809" s="1369"/>
      <c r="C809" s="1373"/>
      <c r="D809" s="1308"/>
      <c r="E809" s="1326"/>
      <c r="F809" s="1326"/>
      <c r="G809" s="1326"/>
      <c r="H809" s="1326"/>
      <c r="I809" s="1373"/>
    </row>
    <row r="810" spans="1:9">
      <c r="A810" s="1369"/>
      <c r="B810" s="1369"/>
      <c r="C810" s="1373"/>
      <c r="D810" s="1308"/>
      <c r="E810" s="1326"/>
      <c r="F810" s="1326"/>
      <c r="G810" s="1326"/>
      <c r="H810" s="1326"/>
      <c r="I810" s="1373"/>
    </row>
    <row r="811" spans="1:9">
      <c r="A811" s="1369"/>
      <c r="B811" s="1369"/>
      <c r="C811" s="1373"/>
      <c r="D811" s="1308"/>
      <c r="E811" s="1326"/>
      <c r="F811" s="1326"/>
      <c r="G811" s="1326"/>
      <c r="H811" s="1326"/>
      <c r="I811" s="1373"/>
    </row>
    <row r="812" spans="1:9">
      <c r="A812" s="1369"/>
      <c r="B812" s="1369"/>
      <c r="C812" s="1373"/>
      <c r="D812" s="1308"/>
      <c r="E812" s="1326"/>
      <c r="F812" s="1326"/>
      <c r="G812" s="1326"/>
      <c r="H812" s="1326"/>
      <c r="I812" s="1373"/>
    </row>
    <row r="813" spans="1:9">
      <c r="A813" s="1369"/>
      <c r="B813" s="1369"/>
      <c r="C813" s="1373"/>
      <c r="D813" s="1308"/>
      <c r="E813" s="1326"/>
      <c r="F813" s="1326"/>
      <c r="G813" s="1326"/>
      <c r="H813" s="1326"/>
      <c r="I813" s="1373"/>
    </row>
    <row r="814" spans="1:9">
      <c r="A814" s="1369"/>
      <c r="B814" s="1369"/>
      <c r="C814" s="1373"/>
      <c r="D814" s="1308"/>
      <c r="E814" s="1326"/>
      <c r="F814" s="1326"/>
      <c r="G814" s="1326"/>
      <c r="H814" s="1326"/>
      <c r="I814" s="1373"/>
    </row>
    <row r="815" spans="1:9">
      <c r="A815" s="1369"/>
      <c r="B815" s="1369"/>
      <c r="C815" s="1373"/>
      <c r="D815" s="1308"/>
      <c r="E815" s="1326"/>
      <c r="F815" s="1326"/>
      <c r="G815" s="1326"/>
      <c r="H815" s="1326"/>
      <c r="I815" s="1373"/>
    </row>
    <row r="816" spans="1:9">
      <c r="A816" s="1369"/>
      <c r="B816" s="1369"/>
      <c r="C816" s="1373"/>
      <c r="D816" s="1308"/>
      <c r="E816" s="1326"/>
      <c r="F816" s="1326"/>
      <c r="G816" s="1326"/>
      <c r="H816" s="1326"/>
      <c r="I816" s="1373"/>
    </row>
    <row r="817" spans="1:9">
      <c r="A817" s="1369"/>
      <c r="B817" s="1369"/>
      <c r="C817" s="1373"/>
      <c r="D817" s="1308"/>
      <c r="E817" s="1326"/>
      <c r="F817" s="1326"/>
      <c r="G817" s="1326"/>
      <c r="H817" s="1326"/>
      <c r="I817" s="1373"/>
    </row>
    <row r="818" spans="1:9">
      <c r="A818" s="1369"/>
      <c r="B818" s="1369"/>
      <c r="C818" s="1373"/>
      <c r="D818" s="1308"/>
      <c r="E818" s="1326"/>
      <c r="F818" s="1326"/>
      <c r="G818" s="1326"/>
      <c r="H818" s="1326"/>
      <c r="I818" s="1373"/>
    </row>
    <row r="819" spans="1:9">
      <c r="A819" s="1369"/>
      <c r="B819" s="1369"/>
      <c r="C819" s="1373"/>
      <c r="D819" s="1308"/>
      <c r="E819" s="1326"/>
      <c r="F819" s="1326"/>
      <c r="G819" s="1326"/>
      <c r="H819" s="1326"/>
      <c r="I819" s="1373"/>
    </row>
    <row r="820" spans="1:9">
      <c r="A820" s="1369"/>
      <c r="B820" s="1369"/>
      <c r="C820" s="1373"/>
      <c r="D820" s="1308"/>
      <c r="E820" s="1326"/>
      <c r="F820" s="1326"/>
      <c r="G820" s="1326"/>
      <c r="H820" s="1326"/>
      <c r="I820" s="1373"/>
    </row>
    <row r="821" spans="1:9">
      <c r="A821" s="1369"/>
      <c r="B821" s="1369"/>
      <c r="C821" s="1373"/>
      <c r="D821" s="1308"/>
      <c r="E821" s="1326"/>
      <c r="F821" s="1326"/>
      <c r="G821" s="1326"/>
      <c r="H821" s="1326"/>
      <c r="I821" s="1373"/>
    </row>
    <row r="822" spans="1:9">
      <c r="A822" s="1369"/>
      <c r="B822" s="1369"/>
      <c r="C822" s="1373"/>
      <c r="D822" s="1308"/>
      <c r="E822" s="1326"/>
      <c r="F822" s="1326"/>
      <c r="G822" s="1326"/>
      <c r="H822" s="1326"/>
      <c r="I822" s="1373"/>
    </row>
    <row r="823" spans="1:9">
      <c r="A823" s="1369"/>
      <c r="B823" s="1369"/>
      <c r="C823" s="1373"/>
      <c r="D823" s="1308"/>
      <c r="E823" s="1326"/>
      <c r="F823" s="1326"/>
      <c r="G823" s="1326"/>
      <c r="H823" s="1326"/>
      <c r="I823" s="1373"/>
    </row>
    <row r="824" spans="1:9">
      <c r="A824" s="1369"/>
      <c r="B824" s="1369"/>
      <c r="C824" s="1373"/>
      <c r="D824" s="1308"/>
      <c r="E824" s="1326"/>
      <c r="F824" s="1326"/>
      <c r="G824" s="1326"/>
      <c r="H824" s="1326"/>
      <c r="I824" s="1373"/>
    </row>
    <row r="825" spans="1:9">
      <c r="A825" s="1369"/>
      <c r="B825" s="1369"/>
      <c r="C825" s="1373"/>
      <c r="D825" s="1308"/>
      <c r="E825" s="1326"/>
      <c r="F825" s="1326"/>
      <c r="G825" s="1326"/>
      <c r="H825" s="1326"/>
      <c r="I825" s="1373"/>
    </row>
    <row r="826" spans="1:9">
      <c r="A826" s="1369"/>
      <c r="B826" s="1369"/>
      <c r="C826" s="1373"/>
      <c r="D826" s="1308"/>
      <c r="E826" s="1326"/>
      <c r="F826" s="1326"/>
      <c r="G826" s="1326"/>
      <c r="H826" s="1326"/>
      <c r="I826" s="1373"/>
    </row>
    <row r="827" spans="1:9">
      <c r="A827" s="1369"/>
      <c r="B827" s="1369"/>
      <c r="C827" s="1373"/>
      <c r="D827" s="1308"/>
      <c r="E827" s="1326"/>
      <c r="F827" s="1326"/>
      <c r="G827" s="1326"/>
      <c r="H827" s="1326"/>
      <c r="I827" s="1373"/>
    </row>
    <row r="828" spans="1:9">
      <c r="A828" s="1369"/>
      <c r="B828" s="1369"/>
      <c r="C828" s="1373"/>
      <c r="D828" s="1308"/>
      <c r="E828" s="1326"/>
      <c r="F828" s="1326"/>
      <c r="G828" s="1326"/>
      <c r="H828" s="1326"/>
      <c r="I828" s="1373"/>
    </row>
    <row r="829" spans="1:9">
      <c r="A829" s="1369"/>
      <c r="B829" s="1369"/>
      <c r="C829" s="1373"/>
      <c r="D829" s="1308"/>
      <c r="E829" s="1326"/>
      <c r="F829" s="1326"/>
      <c r="G829" s="1326"/>
      <c r="H829" s="1326"/>
      <c r="I829" s="1373"/>
    </row>
    <row r="830" spans="1:9">
      <c r="A830" s="1369"/>
      <c r="B830" s="1369"/>
      <c r="C830" s="1373"/>
      <c r="D830" s="1308"/>
      <c r="E830" s="1326"/>
      <c r="F830" s="1326"/>
      <c r="G830" s="1326"/>
      <c r="H830" s="1326"/>
      <c r="I830" s="1373"/>
    </row>
    <row r="831" spans="1:9">
      <c r="A831" s="1369"/>
      <c r="B831" s="1369"/>
      <c r="C831" s="1373"/>
      <c r="D831" s="1308"/>
      <c r="E831" s="1326"/>
      <c r="F831" s="1326"/>
      <c r="G831" s="1326"/>
      <c r="H831" s="1326"/>
      <c r="I831" s="1373"/>
    </row>
    <row r="832" spans="1:9">
      <c r="A832" s="1369"/>
      <c r="B832" s="1369"/>
      <c r="C832" s="1373"/>
      <c r="D832" s="1308"/>
      <c r="E832" s="1326"/>
      <c r="F832" s="1326"/>
      <c r="G832" s="1326"/>
      <c r="H832" s="1326"/>
      <c r="I832" s="1373"/>
    </row>
    <row r="833" spans="1:9">
      <c r="A833" s="1369"/>
      <c r="B833" s="1369"/>
      <c r="C833" s="1373"/>
      <c r="D833" s="1308"/>
      <c r="E833" s="1326"/>
      <c r="F833" s="1326"/>
      <c r="G833" s="1326"/>
      <c r="H833" s="1326"/>
      <c r="I833" s="1373"/>
    </row>
    <row r="834" spans="1:9">
      <c r="A834" s="1369"/>
      <c r="B834" s="1369"/>
      <c r="C834" s="1373"/>
      <c r="D834" s="1308"/>
      <c r="E834" s="1326"/>
      <c r="F834" s="1326"/>
      <c r="G834" s="1326"/>
      <c r="H834" s="1326"/>
      <c r="I834" s="1373"/>
    </row>
    <row r="835" spans="1:9">
      <c r="A835" s="1369"/>
      <c r="B835" s="1369"/>
      <c r="C835" s="1373"/>
      <c r="D835" s="1308"/>
      <c r="E835" s="1326"/>
      <c r="F835" s="1326"/>
      <c r="G835" s="1326"/>
      <c r="H835" s="1326"/>
      <c r="I835" s="1373"/>
    </row>
    <row r="836" spans="1:9">
      <c r="A836" s="1369"/>
      <c r="B836" s="1369"/>
      <c r="C836" s="1373"/>
      <c r="D836" s="1308"/>
      <c r="E836" s="1326"/>
      <c r="F836" s="1326"/>
      <c r="G836" s="1326"/>
      <c r="H836" s="1326"/>
      <c r="I836" s="1373"/>
    </row>
    <row r="837" spans="1:9">
      <c r="A837" s="1369"/>
      <c r="B837" s="1369"/>
      <c r="C837" s="1373"/>
      <c r="D837" s="1308"/>
      <c r="E837" s="1326"/>
      <c r="F837" s="1326"/>
      <c r="G837" s="1326"/>
      <c r="H837" s="1326"/>
      <c r="I837" s="1373"/>
    </row>
    <row r="838" spans="1:9">
      <c r="A838" s="1369"/>
      <c r="B838" s="1369"/>
      <c r="C838" s="1373"/>
      <c r="D838" s="1308"/>
      <c r="E838" s="1326"/>
      <c r="F838" s="1326"/>
      <c r="G838" s="1326"/>
      <c r="H838" s="1326"/>
      <c r="I838" s="1373"/>
    </row>
    <row r="839" spans="1:9">
      <c r="A839" s="1369"/>
      <c r="B839" s="1369"/>
      <c r="C839" s="1373"/>
      <c r="D839" s="1308"/>
      <c r="E839" s="1326"/>
      <c r="F839" s="1326"/>
      <c r="G839" s="1326"/>
      <c r="H839" s="1326"/>
      <c r="I839" s="1373"/>
    </row>
    <row r="840" spans="1:9">
      <c r="A840" s="1369"/>
      <c r="B840" s="1369"/>
      <c r="C840" s="1373"/>
      <c r="D840" s="1308"/>
      <c r="E840" s="1326"/>
      <c r="F840" s="1326"/>
      <c r="G840" s="1326"/>
      <c r="H840" s="1326"/>
      <c r="I840" s="1373"/>
    </row>
    <row r="841" spans="1:9">
      <c r="A841" s="1369"/>
      <c r="B841" s="1369"/>
      <c r="C841" s="1373"/>
      <c r="D841" s="1308"/>
      <c r="E841" s="1326"/>
      <c r="F841" s="1326"/>
      <c r="G841" s="1326"/>
      <c r="H841" s="1326"/>
      <c r="I841" s="1373"/>
    </row>
    <row r="842" spans="1:9">
      <c r="A842" s="1369"/>
      <c r="B842" s="1369"/>
      <c r="C842" s="1373"/>
      <c r="D842" s="1308"/>
      <c r="E842" s="1326"/>
      <c r="F842" s="1326"/>
      <c r="G842" s="1326"/>
      <c r="H842" s="1326"/>
      <c r="I842" s="1373"/>
    </row>
  </sheetData>
  <mergeCells count="6">
    <mergeCell ref="C433:H433"/>
    <mergeCell ref="C172:H172"/>
    <mergeCell ref="C194:H194"/>
    <mergeCell ref="C198:H198"/>
    <mergeCell ref="C276:H276"/>
    <mergeCell ref="A422:C422"/>
  </mergeCells>
  <pageMargins left="0.25" right="0.28000000000000003" top="0.63" bottom="0.18" header="0.7" footer="0.18"/>
  <pageSetup scale="49" fitToHeight="10" orientation="landscape" r:id="rId1"/>
  <rowBreaks count="1" manualBreakCount="1">
    <brk id="270" max="16383" man="1"/>
  </rowBreak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pageSetUpPr fitToPage="1"/>
  </sheetPr>
  <dimension ref="A1:S121"/>
  <sheetViews>
    <sheetView workbookViewId="0"/>
  </sheetViews>
  <sheetFormatPr defaultColWidth="9.140625" defaultRowHeight="12.75"/>
  <cols>
    <col min="1" max="2" width="4.7109375" style="437" customWidth="1"/>
    <col min="3" max="3" width="59.85546875" style="437" customWidth="1"/>
    <col min="4" max="4" width="14.7109375" style="437" customWidth="1"/>
    <col min="5" max="5" width="14.7109375" style="1390" customWidth="1"/>
    <col min="6" max="6" width="14.7109375" style="437" customWidth="1"/>
    <col min="7" max="7" width="13.42578125" style="437" bestFit="1" customWidth="1"/>
    <col min="8" max="8" width="16.5703125" style="437" customWidth="1"/>
    <col min="9" max="9" width="48.42578125" style="437" customWidth="1"/>
    <col min="10" max="10" width="5.140625" style="437" customWidth="1"/>
    <col min="11" max="11" width="26.42578125" style="1307" customWidth="1"/>
    <col min="12" max="14" width="9.140625" style="437"/>
    <col min="15" max="15" width="13.140625" style="437" bestFit="1" customWidth="1"/>
    <col min="16" max="17" width="9.140625" style="437"/>
    <col min="18" max="18" width="14.140625" style="437" bestFit="1" customWidth="1"/>
    <col min="19" max="16384" width="9.140625" style="437"/>
  </cols>
  <sheetData>
    <row r="1" spans="1:11" ht="18">
      <c r="A1" s="1387" t="s">
        <v>225</v>
      </c>
      <c r="B1" s="1387"/>
      <c r="C1" s="1387"/>
      <c r="D1" s="1387"/>
      <c r="E1" s="1387"/>
      <c r="F1" s="1387"/>
      <c r="G1" s="1387"/>
      <c r="H1" s="1388"/>
      <c r="J1" s="1307"/>
      <c r="K1" s="437"/>
    </row>
    <row r="2" spans="1:11" ht="16.5">
      <c r="A2" s="1558" t="s">
        <v>174</v>
      </c>
      <c r="B2" s="1389"/>
      <c r="C2" s="1389"/>
      <c r="D2" s="1389"/>
      <c r="E2" s="1389"/>
      <c r="F2" s="1389"/>
      <c r="G2" s="1389"/>
      <c r="H2" s="1388"/>
      <c r="J2" s="1307"/>
      <c r="K2" s="437"/>
    </row>
    <row r="3" spans="1:11">
      <c r="D3" s="1390"/>
      <c r="E3" s="437"/>
      <c r="J3" s="1307"/>
      <c r="K3" s="437"/>
    </row>
    <row r="4" spans="1:11">
      <c r="D4" s="1390"/>
      <c r="E4" s="437"/>
      <c r="J4" s="1307"/>
      <c r="K4" s="437"/>
    </row>
    <row r="5" spans="1:11">
      <c r="D5" s="829"/>
      <c r="E5" s="829"/>
      <c r="F5" s="829"/>
      <c r="G5" s="829"/>
      <c r="H5" s="829"/>
      <c r="J5" s="1307"/>
      <c r="K5" s="437"/>
    </row>
    <row r="6" spans="1:11" ht="25.5">
      <c r="A6" s="1391" t="s">
        <v>232</v>
      </c>
      <c r="B6" s="1391"/>
      <c r="C6" s="1392"/>
      <c r="D6" s="621" t="s">
        <v>934</v>
      </c>
      <c r="E6" s="614" t="s">
        <v>305</v>
      </c>
      <c r="F6" s="621" t="s">
        <v>935</v>
      </c>
      <c r="G6" s="829"/>
      <c r="H6" s="829"/>
      <c r="K6" s="437"/>
    </row>
    <row r="7" spans="1:11">
      <c r="D7" s="1393"/>
      <c r="E7" s="437"/>
      <c r="F7" s="829"/>
      <c r="G7" s="829"/>
      <c r="H7" s="607"/>
      <c r="K7" s="437"/>
    </row>
    <row r="8" spans="1:11" ht="25.5">
      <c r="A8" s="601"/>
      <c r="B8" s="1391" t="s">
        <v>72</v>
      </c>
      <c r="C8" s="1392"/>
      <c r="D8" s="1394"/>
      <c r="E8" s="1395" t="s">
        <v>277</v>
      </c>
      <c r="F8" s="614"/>
      <c r="G8" s="829"/>
      <c r="H8" s="607"/>
      <c r="K8" s="437"/>
    </row>
    <row r="9" spans="1:11" ht="12.75" customHeight="1">
      <c r="A9" s="601"/>
      <c r="B9" s="1396" t="s">
        <v>412</v>
      </c>
      <c r="C9" s="724"/>
      <c r="D9" s="1397">
        <f>SUM(G66:G75)</f>
        <v>139632313</v>
      </c>
      <c r="E9" s="1398"/>
      <c r="F9" s="832"/>
      <c r="G9" s="832"/>
      <c r="H9" s="1399"/>
      <c r="K9" s="437"/>
    </row>
    <row r="10" spans="1:11" ht="12.75" customHeight="1">
      <c r="A10" s="601"/>
      <c r="B10" s="1396" t="s">
        <v>348</v>
      </c>
      <c r="C10" s="724"/>
      <c r="D10" s="1397">
        <f>SUM(G76:G81)</f>
        <v>485516</v>
      </c>
      <c r="E10" s="1398"/>
      <c r="F10" s="832"/>
      <c r="G10" s="832"/>
      <c r="H10" s="1399"/>
      <c r="K10" s="437"/>
    </row>
    <row r="11" spans="1:11" ht="12.75" customHeight="1">
      <c r="A11" s="601"/>
      <c r="B11" s="1396"/>
      <c r="C11" s="1400"/>
      <c r="D11" s="1397"/>
      <c r="E11" s="437"/>
      <c r="H11" s="1399"/>
      <c r="K11" s="437"/>
    </row>
    <row r="12" spans="1:11" ht="12.75" customHeight="1">
      <c r="A12" s="601">
        <v>1</v>
      </c>
      <c r="B12" s="1401" t="s">
        <v>75</v>
      </c>
      <c r="C12" s="1402"/>
      <c r="D12" s="1403">
        <f>SUM(D9:D11)</f>
        <v>140117829</v>
      </c>
      <c r="E12" s="1565">
        <f>Allocator.net.plant</f>
        <v>0.26011327313078736</v>
      </c>
      <c r="F12" s="1403">
        <f>+D12*E12</f>
        <v>36446507.125169955</v>
      </c>
      <c r="G12" s="1404"/>
      <c r="H12" s="436"/>
      <c r="I12" s="436"/>
      <c r="K12" s="437"/>
    </row>
    <row r="13" spans="1:11" ht="12.75" customHeight="1">
      <c r="A13" s="601"/>
      <c r="D13" s="1405"/>
      <c r="E13" s="1406"/>
      <c r="F13" s="1406"/>
      <c r="G13" s="1406"/>
      <c r="H13" s="436"/>
      <c r="I13" s="436"/>
      <c r="K13" s="437"/>
    </row>
    <row r="14" spans="1:11" ht="25.5">
      <c r="A14" s="601"/>
      <c r="B14" s="1391" t="s">
        <v>73</v>
      </c>
      <c r="C14" s="1392"/>
      <c r="D14" s="1407"/>
      <c r="E14" s="1408" t="s">
        <v>271</v>
      </c>
      <c r="F14" s="1409"/>
      <c r="G14" s="1406"/>
      <c r="H14" s="1399"/>
      <c r="K14" s="437"/>
    </row>
    <row r="15" spans="1:11" ht="12.75" customHeight="1">
      <c r="A15" s="601"/>
      <c r="B15" s="1396" t="s">
        <v>36</v>
      </c>
      <c r="C15" s="724"/>
      <c r="D15" s="1410">
        <v>0</v>
      </c>
      <c r="E15" s="1411"/>
      <c r="F15" s="1411"/>
      <c r="G15" s="1411"/>
      <c r="H15" s="1399"/>
      <c r="K15" s="437"/>
    </row>
    <row r="16" spans="1:11" ht="12.75" customHeight="1">
      <c r="A16" s="601"/>
      <c r="B16" s="1396" t="s">
        <v>37</v>
      </c>
      <c r="C16" s="724"/>
      <c r="D16" s="1410">
        <v>0</v>
      </c>
      <c r="E16" s="437"/>
      <c r="H16" s="1399"/>
      <c r="K16" s="437"/>
    </row>
    <row r="17" spans="1:18" ht="12.75" customHeight="1">
      <c r="A17" s="601"/>
      <c r="B17" s="1396" t="s">
        <v>419</v>
      </c>
      <c r="C17" s="724"/>
      <c r="D17" s="1410">
        <v>0</v>
      </c>
      <c r="E17" s="437"/>
      <c r="H17" s="1399"/>
      <c r="K17" s="437"/>
    </row>
    <row r="18" spans="1:18" ht="12.75" customHeight="1">
      <c r="A18" s="601"/>
      <c r="B18" s="1396"/>
      <c r="C18" s="724"/>
      <c r="D18" s="1410"/>
      <c r="E18" s="437"/>
      <c r="H18" s="1412"/>
      <c r="K18" s="437"/>
    </row>
    <row r="19" spans="1:18" ht="12.75" customHeight="1">
      <c r="A19" s="601">
        <f>A12+1</f>
        <v>2</v>
      </c>
      <c r="B19" s="1401" t="s">
        <v>76</v>
      </c>
      <c r="C19" s="1402"/>
      <c r="D19" s="1403">
        <f>SUM(D15:D18)</f>
        <v>0</v>
      </c>
      <c r="E19" s="1566">
        <f>Allocator.wages.salary</f>
        <v>8.7245911656529326E-2</v>
      </c>
      <c r="F19" s="1403">
        <f>+E19*D19</f>
        <v>0</v>
      </c>
      <c r="G19" s="1404"/>
      <c r="H19" s="1412"/>
      <c r="K19" s="437"/>
    </row>
    <row r="20" spans="1:18" ht="12.75" customHeight="1">
      <c r="A20" s="601"/>
      <c r="B20" s="606"/>
      <c r="C20" s="1405"/>
      <c r="D20" s="1390"/>
      <c r="E20" s="832"/>
      <c r="H20" s="1412"/>
      <c r="K20" s="437"/>
    </row>
    <row r="21" spans="1:18" ht="12.75" customHeight="1">
      <c r="A21" s="601"/>
      <c r="D21" s="1390"/>
      <c r="E21" s="437"/>
      <c r="H21" s="1412"/>
      <c r="K21" s="437"/>
    </row>
    <row r="22" spans="1:18" ht="25.5">
      <c r="A22" s="601"/>
      <c r="B22" s="1391" t="s">
        <v>74</v>
      </c>
      <c r="C22" s="1392"/>
      <c r="D22" s="1413"/>
      <c r="E22" s="1395" t="s">
        <v>277</v>
      </c>
      <c r="F22" s="1392"/>
      <c r="H22" s="1412"/>
      <c r="K22" s="437"/>
    </row>
    <row r="23" spans="1:18" ht="12.75" customHeight="1">
      <c r="A23" s="601"/>
      <c r="B23" s="1396" t="s">
        <v>421</v>
      </c>
      <c r="C23" s="724"/>
      <c r="D23" s="1397">
        <f>G82</f>
        <v>71079</v>
      </c>
      <c r="E23" s="437" t="s">
        <v>0</v>
      </c>
      <c r="H23" s="1414"/>
      <c r="K23" s="437"/>
    </row>
    <row r="24" spans="1:18">
      <c r="A24" s="601"/>
      <c r="B24" s="1396"/>
      <c r="C24" s="724"/>
      <c r="D24" s="1415"/>
      <c r="E24" s="437"/>
      <c r="F24" s="1416"/>
      <c r="G24" s="1416"/>
      <c r="K24" s="437"/>
    </row>
    <row r="25" spans="1:18">
      <c r="A25" s="601">
        <f>A19+1</f>
        <v>3</v>
      </c>
      <c r="B25" s="1401" t="s">
        <v>77</v>
      </c>
      <c r="C25" s="1402"/>
      <c r="D25" s="1403">
        <f>SUM(D23:D24)</f>
        <v>71079</v>
      </c>
      <c r="E25" s="1565">
        <f>Allocator.net.plant</f>
        <v>0.26011327313078736</v>
      </c>
      <c r="F25" s="1403">
        <f>+E25*D25</f>
        <v>18488.591340863233</v>
      </c>
      <c r="G25" s="1404"/>
      <c r="K25" s="437"/>
    </row>
    <row r="26" spans="1:18">
      <c r="A26" s="601"/>
      <c r="D26" s="1390"/>
      <c r="E26" s="437"/>
      <c r="K26" s="437"/>
    </row>
    <row r="27" spans="1:18" ht="13.5" thickBot="1">
      <c r="A27" s="601">
        <f>A25+1</f>
        <v>4</v>
      </c>
      <c r="B27" s="1401" t="str">
        <f>"Appendix A input: Total Included Taxes (Lines "&amp;A12&amp;" + "&amp;A19&amp;" + "&amp;A25&amp;")"</f>
        <v>Appendix A input: Total Included Taxes (Lines 1 + 2 + 3)</v>
      </c>
      <c r="C27" s="1402"/>
      <c r="D27" s="1417">
        <f>D12+D19+D25</f>
        <v>140188908</v>
      </c>
      <c r="E27" s="1402"/>
      <c r="F27" s="1418">
        <f>+F25+F19+F12</f>
        <v>36464995.716510817</v>
      </c>
      <c r="G27" s="1404"/>
      <c r="H27" s="832" t="s">
        <v>1033</v>
      </c>
      <c r="K27" s="437"/>
    </row>
    <row r="28" spans="1:18" ht="13.5" thickTop="1">
      <c r="A28" s="601"/>
      <c r="C28" s="1419"/>
      <c r="D28" s="1390"/>
      <c r="E28" s="437"/>
      <c r="K28" s="437"/>
    </row>
    <row r="29" spans="1:18">
      <c r="A29" s="601"/>
      <c r="C29" s="1419"/>
      <c r="D29" s="1390"/>
      <c r="E29" s="1420"/>
      <c r="J29" s="1307"/>
      <c r="K29" s="832"/>
      <c r="N29" s="330"/>
      <c r="O29" s="832"/>
      <c r="P29" s="832"/>
      <c r="Q29" s="832"/>
      <c r="R29" s="832"/>
    </row>
    <row r="30" spans="1:18">
      <c r="A30" s="601"/>
      <c r="B30" s="1391" t="s">
        <v>78</v>
      </c>
      <c r="C30" s="1392"/>
      <c r="D30" s="1413"/>
      <c r="E30" s="437"/>
      <c r="F30" s="832"/>
      <c r="G30" s="832"/>
      <c r="H30" s="436"/>
      <c r="J30" s="1421"/>
      <c r="K30" s="437"/>
      <c r="N30" s="832"/>
      <c r="O30" s="832"/>
      <c r="P30" s="1422"/>
      <c r="Q30" s="832"/>
      <c r="R30" s="832"/>
    </row>
    <row r="31" spans="1:18">
      <c r="A31" s="601"/>
      <c r="B31" s="702" t="str">
        <f>C85</f>
        <v>Local Franchise</v>
      </c>
      <c r="C31" s="724"/>
      <c r="D31" s="1397">
        <f>G85</f>
        <v>32753838</v>
      </c>
      <c r="E31" s="1423"/>
      <c r="F31" s="832"/>
      <c r="G31" s="832"/>
      <c r="H31" s="436"/>
      <c r="J31" s="1307"/>
      <c r="K31" s="437"/>
      <c r="N31" s="832"/>
      <c r="O31" s="832"/>
      <c r="P31" s="1422"/>
      <c r="Q31" s="832"/>
      <c r="R31" s="832"/>
    </row>
    <row r="32" spans="1:18">
      <c r="A32" s="601"/>
      <c r="B32" s="702" t="str">
        <f t="shared" ref="B32:B38" si="0">C89</f>
        <v>Montana Energy License</v>
      </c>
      <c r="C32" s="724"/>
      <c r="D32" s="1397">
        <f t="shared" ref="D32:D38" si="1">G89</f>
        <v>214983</v>
      </c>
      <c r="E32" s="1424"/>
      <c r="F32" s="832"/>
      <c r="G32" s="832"/>
      <c r="H32" s="436"/>
      <c r="J32" s="1307"/>
      <c r="K32" s="437"/>
      <c r="N32" s="832"/>
      <c r="O32" s="832"/>
      <c r="P32" s="1422"/>
      <c r="Q32" s="832"/>
      <c r="R32" s="832"/>
    </row>
    <row r="33" spans="1:19">
      <c r="A33" s="601"/>
      <c r="B33" s="702" t="str">
        <f t="shared" si="0"/>
        <v>Montana Wholesale Energy</v>
      </c>
      <c r="C33" s="724"/>
      <c r="D33" s="1397">
        <f t="shared" si="1"/>
        <v>152601</v>
      </c>
      <c r="E33" s="1424"/>
      <c r="F33" s="832"/>
      <c r="G33" s="832"/>
      <c r="H33" s="436"/>
      <c r="J33" s="1307"/>
      <c r="K33" s="437"/>
      <c r="N33" s="832"/>
      <c r="O33" s="832"/>
      <c r="P33" s="1422"/>
      <c r="Q33" s="832"/>
      <c r="R33" s="832"/>
    </row>
    <row r="34" spans="1:19">
      <c r="A34" s="601"/>
      <c r="B34" s="702" t="str">
        <f t="shared" si="0"/>
        <v>Idaho Generation Tax (KWh)</v>
      </c>
      <c r="C34" s="724"/>
      <c r="D34" s="1397">
        <f t="shared" si="1"/>
        <v>44759</v>
      </c>
      <c r="E34" s="1425"/>
      <c r="F34" s="832"/>
      <c r="G34" s="832"/>
      <c r="H34" s="436"/>
      <c r="J34" s="1307"/>
      <c r="K34" s="437"/>
      <c r="N34" s="832"/>
      <c r="O34" s="832"/>
      <c r="P34" s="1422"/>
      <c r="Q34" s="832"/>
      <c r="R34" s="832"/>
    </row>
    <row r="35" spans="1:19">
      <c r="A35" s="601"/>
      <c r="B35" s="702" t="str">
        <f t="shared" si="0"/>
        <v>Oregon Department of Energy</v>
      </c>
      <c r="C35" s="1426"/>
      <c r="D35" s="1397">
        <f t="shared" si="1"/>
        <v>1475126</v>
      </c>
      <c r="E35" s="1424"/>
      <c r="F35" s="832"/>
      <c r="G35" s="832"/>
      <c r="H35" s="436"/>
      <c r="J35" s="1307"/>
      <c r="K35" s="437"/>
      <c r="N35" s="832"/>
      <c r="O35" s="832"/>
      <c r="P35" s="1422"/>
      <c r="Q35" s="832"/>
      <c r="R35" s="832"/>
    </row>
    <row r="36" spans="1:19">
      <c r="A36" s="601"/>
      <c r="B36" s="1427" t="str">
        <f t="shared" si="0"/>
        <v>Wyoming Wind Generation Tax</v>
      </c>
      <c r="C36" s="1426"/>
      <c r="D36" s="1397">
        <f t="shared" si="1"/>
        <v>2051320</v>
      </c>
      <c r="E36" s="1424"/>
      <c r="F36" s="832"/>
      <c r="G36" s="832"/>
      <c r="H36" s="436"/>
      <c r="J36" s="1307"/>
      <c r="K36" s="437"/>
      <c r="N36" s="832"/>
      <c r="O36" s="832"/>
      <c r="P36" s="1422"/>
      <c r="Q36" s="832"/>
      <c r="R36" s="832"/>
    </row>
    <row r="37" spans="1:19">
      <c r="A37" s="601"/>
      <c r="B37" s="702" t="str">
        <f t="shared" si="0"/>
        <v>Washington Public Utility Tax</v>
      </c>
      <c r="C37" s="702"/>
      <c r="D37" s="1397">
        <f t="shared" si="1"/>
        <v>12692327</v>
      </c>
      <c r="E37" s="1424"/>
      <c r="F37" s="832"/>
      <c r="G37" s="832"/>
      <c r="H37" s="436"/>
      <c r="J37" s="1307"/>
      <c r="K37" s="437"/>
    </row>
    <row r="38" spans="1:19">
      <c r="A38" s="601"/>
      <c r="B38" s="702" t="str">
        <f t="shared" si="0"/>
        <v>Other (Navajo Nation, Business &amp; Occupation, Other)</v>
      </c>
      <c r="C38" s="702"/>
      <c r="D38" s="1397">
        <f t="shared" si="1"/>
        <v>58673</v>
      </c>
      <c r="E38" s="1424"/>
      <c r="F38" s="832"/>
      <c r="G38" s="832"/>
      <c r="H38" s="436"/>
      <c r="J38" s="1307"/>
      <c r="K38" s="437"/>
    </row>
    <row r="39" spans="1:19">
      <c r="A39" s="601"/>
      <c r="B39" s="702"/>
      <c r="C39" s="702"/>
      <c r="D39" s="1397"/>
      <c r="E39" s="1424"/>
      <c r="F39" s="832"/>
      <c r="G39" s="832"/>
      <c r="H39" s="436"/>
      <c r="J39" s="1307"/>
      <c r="K39" s="437"/>
    </row>
    <row r="40" spans="1:19">
      <c r="A40" s="601">
        <f>A27+1</f>
        <v>5</v>
      </c>
      <c r="B40" s="1428" t="s">
        <v>1075</v>
      </c>
      <c r="C40" s="1428"/>
      <c r="D40" s="1403">
        <f>SUM(D31:D39)</f>
        <v>49443627</v>
      </c>
      <c r="E40" s="1429"/>
      <c r="F40" s="1429"/>
      <c r="G40" s="1429"/>
      <c r="H40" s="436"/>
      <c r="J40" s="1307"/>
      <c r="K40" s="437"/>
    </row>
    <row r="41" spans="1:19">
      <c r="A41" s="601"/>
      <c r="C41" s="832"/>
      <c r="D41" s="1430"/>
      <c r="E41" s="2645"/>
      <c r="H41" s="436"/>
      <c r="J41" s="1307"/>
      <c r="K41" s="437"/>
    </row>
    <row r="42" spans="1:19">
      <c r="A42" s="601">
        <f>+A40+1</f>
        <v>6</v>
      </c>
      <c r="B42" s="1431" t="str">
        <f>"Total Other Taxes Included and Excluded (Line "&amp;A27&amp;" + Line "&amp;A40&amp;")"</f>
        <v>Total Other Taxes Included and Excluded (Line 4 + Line 5)</v>
      </c>
      <c r="C42" s="1322"/>
      <c r="D42" s="1432">
        <f>D40+D27</f>
        <v>189632535</v>
      </c>
      <c r="E42" s="1429"/>
      <c r="F42" s="1429"/>
      <c r="G42" s="1429"/>
      <c r="H42" s="436"/>
      <c r="J42" s="1307"/>
      <c r="K42" s="437"/>
    </row>
    <row r="43" spans="1:19">
      <c r="A43" s="601"/>
      <c r="B43" s="832"/>
      <c r="C43" s="1311"/>
      <c r="D43" s="1433"/>
      <c r="E43" s="832"/>
      <c r="J43" s="1307"/>
      <c r="K43" s="437"/>
    </row>
    <row r="44" spans="1:19">
      <c r="B44" s="1431" t="s">
        <v>1147</v>
      </c>
      <c r="C44" s="1322"/>
      <c r="E44" s="1434"/>
      <c r="F44" s="1434"/>
      <c r="G44" s="1434"/>
      <c r="J44" s="1307"/>
      <c r="K44" s="437"/>
    </row>
    <row r="45" spans="1:19">
      <c r="A45" s="601">
        <f>+A42+1</f>
        <v>7</v>
      </c>
      <c r="B45" s="832"/>
      <c r="C45" s="1435" t="s">
        <v>1144</v>
      </c>
      <c r="D45" s="1436">
        <f>INDEX(Inputs_EndYrBal,MATCH(C45,Inputs_FF1_Map,0))</f>
        <v>189632535</v>
      </c>
      <c r="E45" s="1434"/>
      <c r="F45" s="1434"/>
      <c r="G45" s="1434"/>
      <c r="H45" s="832" t="s">
        <v>2165</v>
      </c>
      <c r="I45" s="832"/>
      <c r="J45" s="1299"/>
      <c r="K45" s="437"/>
    </row>
    <row r="46" spans="1:19">
      <c r="B46" s="832"/>
      <c r="C46" s="1300"/>
      <c r="D46" s="1437"/>
      <c r="E46" s="1434"/>
      <c r="F46" s="1434"/>
      <c r="G46" s="1434"/>
      <c r="H46" s="832"/>
      <c r="I46" s="832"/>
      <c r="J46" s="1299"/>
      <c r="K46" s="437"/>
    </row>
    <row r="47" spans="1:19">
      <c r="A47" s="601">
        <f>A45+1</f>
        <v>8</v>
      </c>
      <c r="B47" s="832"/>
      <c r="C47" s="1300" t="str">
        <f>"Difference  (Line "&amp;A42&amp;" - Line "&amp;A45&amp;")"</f>
        <v>Difference  (Line 6 - Line 7)</v>
      </c>
      <c r="D47" s="1438">
        <f>+D42-D45</f>
        <v>0</v>
      </c>
      <c r="E47" s="1439"/>
      <c r="G47" s="436"/>
      <c r="H47" s="1309" t="s">
        <v>1396</v>
      </c>
      <c r="I47" s="436"/>
      <c r="J47" s="1299"/>
      <c r="K47" s="437"/>
      <c r="M47" s="832"/>
      <c r="N47" s="321"/>
      <c r="O47" s="832"/>
      <c r="P47" s="832"/>
      <c r="Q47" s="832"/>
      <c r="R47" s="832"/>
      <c r="S47" s="832"/>
    </row>
    <row r="48" spans="1:19">
      <c r="B48" s="832"/>
      <c r="C48" s="1300"/>
      <c r="D48" s="1440"/>
      <c r="E48" s="1434"/>
      <c r="F48" s="1434"/>
      <c r="G48" s="1434"/>
      <c r="H48" s="832"/>
      <c r="I48" s="832"/>
      <c r="J48" s="1299"/>
      <c r="K48" s="437"/>
      <c r="M48" s="832"/>
      <c r="N48" s="832"/>
      <c r="O48" s="832"/>
      <c r="P48" s="832"/>
      <c r="Q48" s="832"/>
      <c r="R48" s="832"/>
      <c r="S48" s="832"/>
    </row>
    <row r="49" spans="2:19">
      <c r="B49" s="832" t="s">
        <v>291</v>
      </c>
      <c r="C49" s="832"/>
      <c r="D49" s="1420"/>
      <c r="E49" s="1441"/>
      <c r="F49" s="1441"/>
      <c r="G49" s="1441"/>
      <c r="H49" s="832"/>
      <c r="I49" s="832"/>
      <c r="J49" s="1299"/>
      <c r="K49" s="437"/>
      <c r="M49" s="832"/>
      <c r="N49" s="832"/>
      <c r="O49" s="832"/>
      <c r="P49" s="832"/>
      <c r="Q49" s="832"/>
      <c r="R49" s="832"/>
      <c r="S49" s="832"/>
    </row>
    <row r="50" spans="2:19">
      <c r="B50" s="832" t="s">
        <v>227</v>
      </c>
      <c r="C50" s="832" t="s">
        <v>39</v>
      </c>
      <c r="D50" s="1420"/>
      <c r="E50" s="1441"/>
      <c r="F50" s="1441"/>
      <c r="G50" s="1441"/>
      <c r="H50" s="832"/>
      <c r="I50" s="832"/>
      <c r="J50" s="1299"/>
      <c r="K50" s="437"/>
      <c r="M50" s="832"/>
      <c r="N50" s="832"/>
      <c r="O50" s="832"/>
      <c r="P50" s="832"/>
      <c r="Q50" s="832"/>
      <c r="R50" s="832"/>
      <c r="S50" s="832"/>
    </row>
    <row r="51" spans="2:19">
      <c r="B51" s="832"/>
      <c r="C51" s="1299" t="s">
        <v>40</v>
      </c>
      <c r="D51" s="1420"/>
      <c r="E51" s="832"/>
      <c r="F51" s="1441"/>
      <c r="G51" s="1441"/>
      <c r="H51" s="832"/>
      <c r="I51" s="832"/>
      <c r="J51" s="1299"/>
      <c r="K51" s="437"/>
    </row>
    <row r="52" spans="2:19">
      <c r="B52" s="832" t="s">
        <v>283</v>
      </c>
      <c r="C52" s="832" t="s">
        <v>203</v>
      </c>
      <c r="D52" s="1420"/>
      <c r="E52" s="832"/>
      <c r="F52" s="1441"/>
      <c r="G52" s="1441"/>
      <c r="H52" s="832"/>
      <c r="I52" s="832"/>
      <c r="J52" s="1299"/>
      <c r="K52" s="437"/>
    </row>
    <row r="53" spans="2:19">
      <c r="B53" s="832"/>
      <c r="C53" s="1299" t="s">
        <v>40</v>
      </c>
      <c r="D53" s="1420"/>
      <c r="E53" s="832"/>
      <c r="F53" s="1441"/>
      <c r="G53" s="1441"/>
      <c r="H53" s="832"/>
      <c r="I53" s="832"/>
      <c r="J53" s="1299"/>
      <c r="K53" s="437"/>
    </row>
    <row r="54" spans="2:19">
      <c r="B54" s="832" t="s">
        <v>215</v>
      </c>
      <c r="C54" s="832" t="s">
        <v>47</v>
      </c>
      <c r="D54" s="1420"/>
      <c r="E54" s="832"/>
      <c r="F54" s="1441"/>
      <c r="G54" s="1441"/>
      <c r="H54" s="832"/>
      <c r="I54" s="832"/>
      <c r="J54" s="1299"/>
      <c r="K54" s="437"/>
    </row>
    <row r="55" spans="2:19">
      <c r="B55" s="832" t="s">
        <v>228</v>
      </c>
      <c r="C55" s="1299" t="s">
        <v>41</v>
      </c>
      <c r="D55" s="1420"/>
      <c r="E55" s="832"/>
      <c r="F55" s="1441"/>
      <c r="G55" s="1441"/>
      <c r="H55" s="832"/>
      <c r="I55" s="832"/>
      <c r="J55" s="1299"/>
      <c r="K55" s="437"/>
    </row>
    <row r="56" spans="2:19">
      <c r="B56" s="832"/>
      <c r="C56" s="832" t="s">
        <v>42</v>
      </c>
      <c r="D56" s="1420"/>
      <c r="E56" s="832"/>
      <c r="F56" s="832"/>
      <c r="G56" s="832"/>
      <c r="H56" s="832"/>
      <c r="I56" s="832"/>
      <c r="J56" s="1299"/>
      <c r="K56" s="437"/>
    </row>
    <row r="57" spans="2:19">
      <c r="B57" s="832"/>
      <c r="C57" s="832" t="s">
        <v>1315</v>
      </c>
      <c r="D57" s="1390"/>
      <c r="E57" s="437"/>
      <c r="H57" s="832"/>
      <c r="I57" s="832"/>
      <c r="J57" s="1299"/>
      <c r="K57" s="437"/>
    </row>
    <row r="58" spans="2:19">
      <c r="B58" s="832" t="s">
        <v>226</v>
      </c>
      <c r="C58" s="832" t="s">
        <v>324</v>
      </c>
      <c r="D58" s="1390"/>
      <c r="E58" s="437"/>
      <c r="J58" s="1307"/>
      <c r="K58" s="437"/>
    </row>
    <row r="59" spans="2:19">
      <c r="C59" s="832"/>
      <c r="D59" s="1390"/>
      <c r="E59" s="437"/>
      <c r="J59" s="1307"/>
      <c r="K59" s="437"/>
    </row>
    <row r="60" spans="2:19">
      <c r="C60" s="832"/>
      <c r="D60" s="1390"/>
      <c r="E60" s="437"/>
      <c r="H60" s="1320"/>
      <c r="J60" s="1307"/>
      <c r="K60" s="437"/>
    </row>
    <row r="61" spans="2:19">
      <c r="C61" s="832"/>
      <c r="I61" s="1320"/>
    </row>
    <row r="62" spans="2:19" ht="13.5" thickBot="1">
      <c r="C62" s="832"/>
      <c r="I62" s="1320"/>
    </row>
    <row r="63" spans="2:19" ht="13.5" thickBot="1">
      <c r="B63" s="1442" t="s">
        <v>1839</v>
      </c>
      <c r="C63" s="1443"/>
      <c r="D63" s="1443"/>
      <c r="E63" s="1444"/>
      <c r="F63" s="1443"/>
      <c r="G63" s="1443"/>
      <c r="H63" s="1443"/>
      <c r="I63" s="1445"/>
      <c r="J63" s="1446"/>
    </row>
    <row r="64" spans="2:19">
      <c r="B64" s="1447"/>
      <c r="C64" s="1416"/>
      <c r="D64" s="1416"/>
      <c r="E64" s="1448"/>
      <c r="F64" s="1416"/>
      <c r="G64" s="1416"/>
      <c r="H64" s="1416"/>
      <c r="I64" s="1320"/>
      <c r="J64" s="1449"/>
    </row>
    <row r="65" spans="2:11">
      <c r="B65" s="1450"/>
      <c r="C65" s="1451"/>
      <c r="D65" s="830" t="s">
        <v>327</v>
      </c>
      <c r="E65" s="830" t="s">
        <v>8</v>
      </c>
      <c r="F65" s="830" t="s">
        <v>328</v>
      </c>
      <c r="G65" s="830" t="s">
        <v>1316</v>
      </c>
      <c r="H65" s="830"/>
      <c r="I65" s="1416"/>
      <c r="J65" s="1449"/>
      <c r="K65" s="437"/>
    </row>
    <row r="66" spans="2:11">
      <c r="B66" s="1452"/>
      <c r="C66" s="1758" t="s">
        <v>336</v>
      </c>
      <c r="D66" s="1453">
        <v>263</v>
      </c>
      <c r="E66" s="1453">
        <v>11</v>
      </c>
      <c r="F66" s="1454" t="s">
        <v>334</v>
      </c>
      <c r="G66" s="824">
        <v>3664096</v>
      </c>
      <c r="H66" s="1759">
        <v>2016</v>
      </c>
      <c r="I66" s="1311"/>
      <c r="J66" s="1449"/>
      <c r="K66" s="437"/>
    </row>
    <row r="67" spans="2:11">
      <c r="B67" s="1452"/>
      <c r="C67" s="1758" t="s">
        <v>337</v>
      </c>
      <c r="D67" s="1453">
        <v>263</v>
      </c>
      <c r="E67" s="1453">
        <v>16</v>
      </c>
      <c r="F67" s="1454" t="s">
        <v>334</v>
      </c>
      <c r="G67" s="824">
        <v>2162811</v>
      </c>
      <c r="H67" s="1759">
        <v>2016</v>
      </c>
      <c r="I67" s="1311"/>
      <c r="J67" s="1449"/>
      <c r="K67" s="437"/>
    </row>
    <row r="68" spans="2:11">
      <c r="B68" s="1452"/>
      <c r="C68" s="1758" t="s">
        <v>338</v>
      </c>
      <c r="D68" s="1453">
        <v>263</v>
      </c>
      <c r="E68" s="1453">
        <v>24</v>
      </c>
      <c r="F68" s="1454" t="s">
        <v>334</v>
      </c>
      <c r="G68" s="824">
        <v>1955505</v>
      </c>
      <c r="H68" s="1759">
        <v>2016</v>
      </c>
      <c r="I68" s="1311"/>
      <c r="J68" s="1449"/>
      <c r="K68" s="437"/>
    </row>
    <row r="69" spans="2:11">
      <c r="B69" s="1452"/>
      <c r="C69" s="1758" t="s">
        <v>339</v>
      </c>
      <c r="D69" s="1453">
        <v>263</v>
      </c>
      <c r="E69" s="1453">
        <v>29</v>
      </c>
      <c r="F69" s="1454" t="s">
        <v>334</v>
      </c>
      <c r="G69" s="824">
        <v>5777230</v>
      </c>
      <c r="H69" s="1759">
        <v>2016</v>
      </c>
      <c r="I69" s="1311"/>
      <c r="J69" s="1449"/>
      <c r="K69" s="437"/>
    </row>
    <row r="70" spans="2:11">
      <c r="B70" s="1452"/>
      <c r="C70" s="1758" t="s">
        <v>340</v>
      </c>
      <c r="D70" s="1453">
        <v>263</v>
      </c>
      <c r="E70" s="1453">
        <v>37</v>
      </c>
      <c r="F70" s="1454" t="s">
        <v>334</v>
      </c>
      <c r="G70" s="824">
        <v>5460331</v>
      </c>
      <c r="H70" s="1759">
        <v>2016</v>
      </c>
      <c r="I70" s="1311"/>
      <c r="J70" s="1449"/>
      <c r="K70" s="1455"/>
    </row>
    <row r="71" spans="2:11">
      <c r="B71" s="1452"/>
      <c r="C71" s="1758" t="s">
        <v>341</v>
      </c>
      <c r="D71" s="1453">
        <v>263.10000000000002</v>
      </c>
      <c r="E71" s="1453">
        <v>9</v>
      </c>
      <c r="F71" s="1454" t="s">
        <v>334</v>
      </c>
      <c r="G71" s="824">
        <v>22087</v>
      </c>
      <c r="H71" s="1759">
        <v>2016</v>
      </c>
      <c r="I71" s="1311"/>
      <c r="J71" s="1449"/>
      <c r="K71" s="1455"/>
    </row>
    <row r="72" spans="2:11">
      <c r="B72" s="1452"/>
      <c r="C72" s="1758" t="s">
        <v>342</v>
      </c>
      <c r="D72" s="1453">
        <v>263.10000000000002</v>
      </c>
      <c r="E72" s="1453">
        <v>14</v>
      </c>
      <c r="F72" s="1454" t="s">
        <v>334</v>
      </c>
      <c r="G72" s="824">
        <v>22921194</v>
      </c>
      <c r="H72" s="1759">
        <v>2016</v>
      </c>
      <c r="I72" s="1311"/>
      <c r="J72" s="1449"/>
      <c r="K72" s="1455"/>
    </row>
    <row r="73" spans="2:11">
      <c r="B73" s="1452"/>
      <c r="C73" s="1758" t="s">
        <v>343</v>
      </c>
      <c r="D73" s="1453">
        <v>263.10000000000002</v>
      </c>
      <c r="E73" s="1453">
        <v>29</v>
      </c>
      <c r="F73" s="1454" t="s">
        <v>334</v>
      </c>
      <c r="G73" s="824">
        <v>72323322</v>
      </c>
      <c r="H73" s="1759">
        <v>2016</v>
      </c>
      <c r="I73" s="1311"/>
      <c r="J73" s="1449"/>
      <c r="K73" s="1455"/>
    </row>
    <row r="74" spans="2:11">
      <c r="B74" s="1452"/>
      <c r="C74" s="1758" t="s">
        <v>344</v>
      </c>
      <c r="D74" s="1453">
        <v>263.10000000000002</v>
      </c>
      <c r="E74" s="1453">
        <v>37</v>
      </c>
      <c r="F74" s="1454" t="s">
        <v>334</v>
      </c>
      <c r="G74" s="824">
        <v>9241559</v>
      </c>
      <c r="H74" s="1759">
        <v>2016</v>
      </c>
      <c r="I74" s="1311"/>
      <c r="J74" s="1449"/>
      <c r="K74" s="1455"/>
    </row>
    <row r="75" spans="2:11">
      <c r="B75" s="1452"/>
      <c r="C75" s="1758" t="s">
        <v>345</v>
      </c>
      <c r="D75" s="1453">
        <v>263.2</v>
      </c>
      <c r="E75" s="1453">
        <v>7</v>
      </c>
      <c r="F75" s="1454" t="s">
        <v>334</v>
      </c>
      <c r="G75" s="824">
        <v>16104178</v>
      </c>
      <c r="H75" s="1759">
        <v>2016</v>
      </c>
      <c r="I75" s="1311"/>
      <c r="J75" s="1449"/>
      <c r="K75" s="1455"/>
    </row>
    <row r="76" spans="2:11">
      <c r="B76" s="1452"/>
      <c r="C76" s="1758" t="s">
        <v>413</v>
      </c>
      <c r="D76" s="1453">
        <v>263.2</v>
      </c>
      <c r="E76" s="1453">
        <v>18</v>
      </c>
      <c r="F76" s="1454" t="s">
        <v>334</v>
      </c>
      <c r="G76" s="824">
        <v>25020</v>
      </c>
      <c r="H76" s="1759">
        <v>2016</v>
      </c>
      <c r="I76" s="1311"/>
      <c r="J76" s="1449"/>
      <c r="K76" s="1455"/>
    </row>
    <row r="77" spans="2:11">
      <c r="B77" s="1452"/>
      <c r="C77" s="1758" t="s">
        <v>414</v>
      </c>
      <c r="D77" s="1453">
        <v>263.2</v>
      </c>
      <c r="E77" s="1453">
        <v>19</v>
      </c>
      <c r="F77" s="1454" t="s">
        <v>334</v>
      </c>
      <c r="G77" s="824">
        <v>245033</v>
      </c>
      <c r="H77" s="1759">
        <v>2016</v>
      </c>
      <c r="I77" s="1456"/>
      <c r="J77" s="1449"/>
      <c r="K77" s="1455"/>
    </row>
    <row r="78" spans="2:11">
      <c r="B78" s="1452"/>
      <c r="C78" s="1758" t="s">
        <v>415</v>
      </c>
      <c r="D78" s="1453">
        <v>263.2</v>
      </c>
      <c r="E78" s="1453">
        <v>20</v>
      </c>
      <c r="F78" s="1454" t="s">
        <v>334</v>
      </c>
      <c r="G78" s="824">
        <v>39630</v>
      </c>
      <c r="H78" s="1759">
        <v>2016</v>
      </c>
      <c r="I78" s="1416"/>
      <c r="J78" s="1449"/>
      <c r="K78" s="437"/>
    </row>
    <row r="79" spans="2:11">
      <c r="B79" s="1450"/>
      <c r="C79" s="1758" t="s">
        <v>416</v>
      </c>
      <c r="D79" s="1453">
        <v>263.2</v>
      </c>
      <c r="E79" s="1453">
        <v>21</v>
      </c>
      <c r="F79" s="1454" t="s">
        <v>334</v>
      </c>
      <c r="G79" s="824">
        <v>39261</v>
      </c>
      <c r="H79" s="1759">
        <v>2016</v>
      </c>
      <c r="I79" s="1416"/>
      <c r="J79" s="1449"/>
      <c r="K79" s="437"/>
    </row>
    <row r="80" spans="2:11">
      <c r="B80" s="1450"/>
      <c r="C80" s="1758" t="s">
        <v>417</v>
      </c>
      <c r="D80" s="1453">
        <v>263.2</v>
      </c>
      <c r="E80" s="1453">
        <v>22</v>
      </c>
      <c r="F80" s="1454" t="s">
        <v>334</v>
      </c>
      <c r="G80" s="824">
        <v>70038</v>
      </c>
      <c r="H80" s="1759">
        <v>2016</v>
      </c>
      <c r="I80" s="1416"/>
      <c r="J80" s="1449"/>
      <c r="K80" s="437"/>
    </row>
    <row r="81" spans="2:12">
      <c r="B81" s="1450"/>
      <c r="C81" s="1758" t="s">
        <v>418</v>
      </c>
      <c r="D81" s="1453">
        <v>263.2</v>
      </c>
      <c r="E81" s="1453">
        <v>23</v>
      </c>
      <c r="F81" s="1454" t="s">
        <v>334</v>
      </c>
      <c r="G81" s="824">
        <v>66534</v>
      </c>
      <c r="H81" s="1759">
        <v>2016</v>
      </c>
      <c r="I81" s="1416"/>
      <c r="J81" s="1449"/>
      <c r="K81" s="1457"/>
    </row>
    <row r="82" spans="2:12">
      <c r="B82" s="1450"/>
      <c r="C82" s="1758" t="s">
        <v>420</v>
      </c>
      <c r="D82" s="1453">
        <v>263.2</v>
      </c>
      <c r="E82" s="1453">
        <v>12</v>
      </c>
      <c r="F82" s="1454" t="s">
        <v>334</v>
      </c>
      <c r="G82" s="824">
        <v>71079</v>
      </c>
      <c r="H82" s="1759">
        <v>2016</v>
      </c>
      <c r="I82" s="1311"/>
      <c r="J82" s="1458"/>
      <c r="K82" s="832"/>
      <c r="L82" s="330"/>
    </row>
    <row r="83" spans="2:12">
      <c r="B83" s="1450"/>
      <c r="C83" s="1451"/>
      <c r="D83" s="1416"/>
      <c r="E83" s="1416"/>
      <c r="F83" s="1416"/>
      <c r="G83" s="1416"/>
      <c r="H83" s="1416"/>
      <c r="I83" s="1416"/>
      <c r="J83" s="1458"/>
      <c r="K83" s="832"/>
      <c r="L83" s="330"/>
    </row>
    <row r="84" spans="2:12" s="1379" customFormat="1">
      <c r="B84" s="1459"/>
      <c r="C84" s="1460" t="s">
        <v>1317</v>
      </c>
      <c r="D84" s="1461"/>
      <c r="E84" s="1461"/>
      <c r="F84" s="1461"/>
      <c r="G84" s="1461"/>
      <c r="H84" s="1461"/>
      <c r="I84" s="1462"/>
      <c r="J84" s="1463"/>
      <c r="K84" s="1464"/>
      <c r="L84" s="345"/>
    </row>
    <row r="85" spans="2:12" s="1379" customFormat="1" ht="25.5">
      <c r="B85" s="1459">
        <v>1</v>
      </c>
      <c r="C85" s="1465" t="s">
        <v>1318</v>
      </c>
      <c r="D85" s="1466" t="s">
        <v>1319</v>
      </c>
      <c r="E85" s="1467" t="s">
        <v>1320</v>
      </c>
      <c r="F85" s="1468" t="s">
        <v>1320</v>
      </c>
      <c r="G85" s="1469">
        <f>SUM(G86:G88)</f>
        <v>32753838</v>
      </c>
      <c r="H85" s="2647"/>
      <c r="I85" s="1470" t="s">
        <v>456</v>
      </c>
      <c r="J85" s="1463"/>
      <c r="K85" s="1464"/>
      <c r="L85" s="345"/>
    </row>
    <row r="86" spans="2:12" s="1379" customFormat="1" ht="25.5">
      <c r="B86" s="1459"/>
      <c r="C86" s="1471" t="s">
        <v>1321</v>
      </c>
      <c r="D86" s="1472">
        <v>263</v>
      </c>
      <c r="E86" s="1472">
        <v>20</v>
      </c>
      <c r="F86" s="1473" t="s">
        <v>334</v>
      </c>
      <c r="G86" s="1474">
        <v>1298156</v>
      </c>
      <c r="H86" s="1759">
        <v>2016</v>
      </c>
      <c r="I86" s="1475" t="s">
        <v>1322</v>
      </c>
      <c r="J86" s="1463"/>
      <c r="K86" s="2147"/>
      <c r="L86" s="345"/>
    </row>
    <row r="87" spans="2:12" s="1379" customFormat="1" ht="25.5">
      <c r="B87" s="1459"/>
      <c r="C87" s="1476" t="s">
        <v>1323</v>
      </c>
      <c r="D87" s="1477">
        <v>263.10000000000002</v>
      </c>
      <c r="E87" s="1478">
        <v>21</v>
      </c>
      <c r="F87" s="1479" t="s">
        <v>334</v>
      </c>
      <c r="G87" s="1480">
        <v>29447424</v>
      </c>
      <c r="H87" s="1759">
        <v>2016</v>
      </c>
      <c r="I87" s="1481" t="s">
        <v>1324</v>
      </c>
      <c r="J87" s="1463"/>
      <c r="K87" s="1464"/>
      <c r="L87" s="1464"/>
    </row>
    <row r="88" spans="2:12" s="1379" customFormat="1" ht="25.5">
      <c r="B88" s="1459"/>
      <c r="C88" s="1482" t="s">
        <v>1325</v>
      </c>
      <c r="D88" s="1483">
        <v>263.2</v>
      </c>
      <c r="E88" s="1484">
        <v>10</v>
      </c>
      <c r="F88" s="1485" t="s">
        <v>334</v>
      </c>
      <c r="G88" s="1486">
        <v>2008258</v>
      </c>
      <c r="H88" s="1759">
        <v>2016</v>
      </c>
      <c r="I88" s="1487" t="s">
        <v>1326</v>
      </c>
      <c r="J88" s="1463"/>
      <c r="K88" s="2147"/>
      <c r="L88" s="1464"/>
    </row>
    <row r="89" spans="2:12" s="1379" customFormat="1" ht="25.5">
      <c r="B89" s="1459">
        <v>2</v>
      </c>
      <c r="C89" s="1488" t="s">
        <v>1327</v>
      </c>
      <c r="D89" s="1489">
        <v>263</v>
      </c>
      <c r="E89" s="1490">
        <v>40</v>
      </c>
      <c r="F89" s="1491" t="s">
        <v>334</v>
      </c>
      <c r="G89" s="1492">
        <v>214983</v>
      </c>
      <c r="H89" s="1760">
        <v>2016</v>
      </c>
      <c r="I89" s="1493" t="s">
        <v>452</v>
      </c>
      <c r="J89" s="1463"/>
      <c r="K89" s="1464"/>
      <c r="L89" s="345"/>
    </row>
    <row r="90" spans="2:12" s="1379" customFormat="1" ht="25.5">
      <c r="B90" s="1459">
        <v>3</v>
      </c>
      <c r="C90" s="1488" t="s">
        <v>1328</v>
      </c>
      <c r="D90" s="1489">
        <v>263.10000000000002</v>
      </c>
      <c r="E90" s="1490">
        <v>1</v>
      </c>
      <c r="F90" s="1491" t="s">
        <v>334</v>
      </c>
      <c r="G90" s="1492">
        <v>152601</v>
      </c>
      <c r="H90" s="1760">
        <v>2016</v>
      </c>
      <c r="I90" s="1493" t="s">
        <v>452</v>
      </c>
      <c r="J90" s="1463"/>
      <c r="K90" s="1464"/>
      <c r="L90" s="345"/>
    </row>
    <row r="91" spans="2:12" s="1379" customFormat="1">
      <c r="B91" s="1459">
        <v>4</v>
      </c>
      <c r="C91" s="1488" t="s">
        <v>1329</v>
      </c>
      <c r="D91" s="1489">
        <v>263</v>
      </c>
      <c r="E91" s="1490">
        <v>31</v>
      </c>
      <c r="F91" s="1491" t="s">
        <v>334</v>
      </c>
      <c r="G91" s="1492">
        <v>44759</v>
      </c>
      <c r="H91" s="1760">
        <v>2016</v>
      </c>
      <c r="I91" s="1493" t="s">
        <v>453</v>
      </c>
      <c r="J91" s="1463"/>
      <c r="K91" s="1464"/>
      <c r="L91" s="345"/>
    </row>
    <row r="92" spans="2:12" s="1379" customFormat="1" ht="42.75" customHeight="1">
      <c r="B92" s="1459">
        <v>5</v>
      </c>
      <c r="C92" s="1488" t="s">
        <v>1330</v>
      </c>
      <c r="D92" s="1489">
        <v>263.10000000000002</v>
      </c>
      <c r="E92" s="1490">
        <v>18</v>
      </c>
      <c r="F92" s="1491" t="s">
        <v>334</v>
      </c>
      <c r="G92" s="1492">
        <v>1475126</v>
      </c>
      <c r="H92" s="1760">
        <v>2016</v>
      </c>
      <c r="I92" s="1493" t="s">
        <v>454</v>
      </c>
      <c r="J92" s="1463"/>
      <c r="K92" s="1464"/>
      <c r="L92" s="345"/>
    </row>
    <row r="93" spans="2:12" s="1379" customFormat="1" ht="28.5" customHeight="1">
      <c r="B93" s="1459">
        <v>6</v>
      </c>
      <c r="C93" s="1488" t="s">
        <v>1331</v>
      </c>
      <c r="D93" s="1489">
        <v>263.2</v>
      </c>
      <c r="E93" s="1490">
        <v>8</v>
      </c>
      <c r="F93" s="1491" t="s">
        <v>334</v>
      </c>
      <c r="G93" s="1492">
        <v>2051320</v>
      </c>
      <c r="H93" s="1760">
        <v>2016</v>
      </c>
      <c r="I93" s="1493" t="s">
        <v>1332</v>
      </c>
      <c r="J93" s="1463"/>
      <c r="K93" s="1464"/>
      <c r="L93" s="345"/>
    </row>
    <row r="94" spans="2:12" s="1379" customFormat="1" ht="25.5">
      <c r="B94" s="1459">
        <v>7</v>
      </c>
      <c r="C94" s="1488" t="s">
        <v>1333</v>
      </c>
      <c r="D94" s="1489">
        <v>263.10000000000002</v>
      </c>
      <c r="E94" s="1490">
        <v>40</v>
      </c>
      <c r="F94" s="1491" t="s">
        <v>334</v>
      </c>
      <c r="G94" s="1492">
        <v>12692327</v>
      </c>
      <c r="H94" s="1760">
        <v>2016</v>
      </c>
      <c r="I94" s="1493" t="s">
        <v>457</v>
      </c>
      <c r="J94" s="1463"/>
      <c r="K94" s="1464"/>
      <c r="L94" s="1464"/>
    </row>
    <row r="95" spans="2:12" s="1379" customFormat="1" ht="25.5">
      <c r="B95" s="1459">
        <v>8</v>
      </c>
      <c r="C95" s="2269" t="s">
        <v>1334</v>
      </c>
      <c r="D95" s="2273" t="s">
        <v>1319</v>
      </c>
      <c r="E95" s="2277" t="s">
        <v>1320</v>
      </c>
      <c r="F95" s="2281" t="s">
        <v>1320</v>
      </c>
      <c r="G95" s="2283">
        <f>SUM(G96:G98)</f>
        <v>58673</v>
      </c>
      <c r="H95" s="2648"/>
      <c r="I95" s="2286" t="s">
        <v>455</v>
      </c>
      <c r="J95" s="1463"/>
      <c r="K95" s="1464"/>
      <c r="L95" s="1464"/>
    </row>
    <row r="96" spans="2:12">
      <c r="B96" s="1450"/>
      <c r="C96" s="2270" t="s">
        <v>604</v>
      </c>
      <c r="D96" s="2274">
        <v>263.10000000000002</v>
      </c>
      <c r="E96" s="2278">
        <v>39</v>
      </c>
      <c r="F96" s="2274" t="s">
        <v>334</v>
      </c>
      <c r="G96" s="2285">
        <v>26281</v>
      </c>
      <c r="H96" s="1759">
        <v>2016</v>
      </c>
      <c r="I96" s="2287"/>
      <c r="J96" s="1449"/>
    </row>
    <row r="97" spans="1:19" s="1307" customFormat="1">
      <c r="A97" s="437"/>
      <c r="B97" s="1450"/>
      <c r="C97" s="2271" t="s">
        <v>603</v>
      </c>
      <c r="D97" s="2275">
        <v>263.10000000000002</v>
      </c>
      <c r="E97" s="2279">
        <v>32</v>
      </c>
      <c r="F97" s="2275" t="s">
        <v>334</v>
      </c>
      <c r="G97" s="2267">
        <v>1208</v>
      </c>
      <c r="H97" s="1759">
        <v>2016</v>
      </c>
      <c r="I97" s="2268"/>
      <c r="J97" s="1449"/>
      <c r="L97" s="437"/>
      <c r="M97" s="437"/>
      <c r="N97" s="437"/>
      <c r="O97" s="437"/>
      <c r="P97" s="437"/>
      <c r="Q97" s="437"/>
      <c r="R97" s="437"/>
      <c r="S97" s="437"/>
    </row>
    <row r="98" spans="1:19" s="1307" customFormat="1">
      <c r="A98" s="437"/>
      <c r="B98" s="1450"/>
      <c r="C98" s="2272" t="s">
        <v>1847</v>
      </c>
      <c r="D98" s="2276">
        <v>263.10000000000002</v>
      </c>
      <c r="E98" s="2280">
        <v>5</v>
      </c>
      <c r="F98" s="2276" t="s">
        <v>334</v>
      </c>
      <c r="G98" s="1498">
        <v>31184</v>
      </c>
      <c r="H98" s="1759">
        <v>2016</v>
      </c>
      <c r="I98" s="1497"/>
      <c r="J98" s="1449"/>
      <c r="L98" s="437"/>
      <c r="M98" s="437"/>
      <c r="N98" s="437"/>
      <c r="O98" s="437"/>
      <c r="P98" s="437"/>
      <c r="Q98" s="437"/>
      <c r="R98" s="437"/>
      <c r="S98" s="437"/>
    </row>
    <row r="99" spans="1:19" s="1307" customFormat="1">
      <c r="A99" s="437"/>
      <c r="B99" s="1450"/>
      <c r="C99" s="1494"/>
      <c r="D99" s="1495"/>
      <c r="E99" s="1496"/>
      <c r="F99" s="2282"/>
      <c r="G99" s="2284"/>
      <c r="H99" s="2649"/>
      <c r="I99" s="1497"/>
      <c r="J99" s="1449"/>
      <c r="L99" s="437"/>
      <c r="M99" s="437"/>
      <c r="N99" s="437"/>
      <c r="O99" s="437"/>
      <c r="P99" s="437"/>
      <c r="Q99" s="437"/>
      <c r="R99" s="437"/>
      <c r="S99" s="437"/>
    </row>
    <row r="100" spans="1:19" s="1307" customFormat="1" ht="13.5" thickBot="1">
      <c r="A100" s="437"/>
      <c r="B100" s="1499"/>
      <c r="C100" s="1500"/>
      <c r="D100" s="1500"/>
      <c r="E100" s="1501"/>
      <c r="F100" s="1500"/>
      <c r="G100" s="1500"/>
      <c r="H100" s="1500"/>
      <c r="I100" s="1500"/>
      <c r="J100" s="1502"/>
      <c r="L100" s="437"/>
      <c r="M100" s="437"/>
      <c r="N100" s="437"/>
      <c r="O100" s="437"/>
      <c r="P100" s="437"/>
      <c r="Q100" s="437"/>
      <c r="R100" s="437"/>
      <c r="S100" s="437"/>
    </row>
    <row r="103" spans="1:19">
      <c r="D103" s="2255"/>
      <c r="E103" s="437"/>
    </row>
    <row r="104" spans="1:19">
      <c r="D104" s="2255"/>
      <c r="E104" s="437"/>
    </row>
    <row r="105" spans="1:19">
      <c r="D105" s="2255"/>
      <c r="E105" s="437"/>
    </row>
    <row r="106" spans="1:19">
      <c r="D106" s="2255"/>
      <c r="E106" s="437"/>
    </row>
    <row r="107" spans="1:19">
      <c r="D107" s="2255"/>
      <c r="E107" s="437"/>
    </row>
    <row r="108" spans="1:19">
      <c r="D108" s="2255"/>
      <c r="E108" s="437"/>
    </row>
    <row r="109" spans="1:19">
      <c r="D109" s="2255"/>
      <c r="E109" s="437"/>
    </row>
    <row r="110" spans="1:19">
      <c r="D110" s="2255"/>
      <c r="E110" s="437"/>
    </row>
    <row r="111" spans="1:19">
      <c r="E111" s="2255"/>
    </row>
    <row r="112" spans="1:19">
      <c r="E112" s="2255"/>
    </row>
    <row r="113" spans="4:6">
      <c r="D113" s="1416"/>
      <c r="E113" s="2289"/>
      <c r="F113" s="1416"/>
    </row>
    <row r="114" spans="4:6">
      <c r="D114" s="2290"/>
      <c r="E114" s="2290"/>
      <c r="F114" s="2290"/>
    </row>
    <row r="115" spans="4:6">
      <c r="D115" s="2683"/>
      <c r="E115" s="2683"/>
      <c r="F115" s="2289"/>
    </row>
    <row r="116" spans="4:6">
      <c r="D116" s="1416"/>
      <c r="E116" s="1416"/>
      <c r="F116" s="2291"/>
    </row>
    <row r="117" spans="4:6">
      <c r="D117" s="2255"/>
      <c r="E117" s="437"/>
    </row>
    <row r="118" spans="4:6">
      <c r="D118" s="2255"/>
      <c r="E118" s="437"/>
    </row>
    <row r="119" spans="4:6">
      <c r="E119" s="437"/>
    </row>
    <row r="120" spans="4:6">
      <c r="E120" s="437"/>
    </row>
    <row r="121" spans="4:6">
      <c r="D121" s="2288"/>
      <c r="E121" s="437"/>
    </row>
  </sheetData>
  <mergeCells count="1">
    <mergeCell ref="D115:E115"/>
  </mergeCells>
  <pageMargins left="0.5" right="0.5" top="0.95" bottom="0.5" header="0.5" footer="0.5"/>
  <pageSetup scale="76" orientation="portrait" r:id="rId1"/>
  <headerFooter alignWithMargins="0"/>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BN55"/>
  <sheetViews>
    <sheetView workbookViewId="0"/>
  </sheetViews>
  <sheetFormatPr defaultRowHeight="12.75"/>
  <cols>
    <col min="1" max="1" width="8.28515625" style="2034" customWidth="1"/>
    <col min="2" max="2" width="76.85546875" style="436" customWidth="1"/>
    <col min="3" max="3" width="18.85546875" style="436" bestFit="1" customWidth="1"/>
    <col min="4" max="4" width="18.85546875" style="436" customWidth="1"/>
    <col min="5" max="5" width="14" style="162" bestFit="1" customWidth="1"/>
    <col min="6" max="6" width="5.85546875" style="436" customWidth="1"/>
    <col min="7" max="7" width="13.7109375" style="436" bestFit="1" customWidth="1"/>
    <col min="8" max="8" width="9.140625" style="436"/>
    <col min="9" max="9" width="22.28515625" style="436" bestFit="1" customWidth="1"/>
    <col min="10" max="16384" width="9.140625" style="436"/>
  </cols>
  <sheetData>
    <row r="1" spans="1:66" ht="15.75">
      <c r="A1" s="1982" t="s">
        <v>365</v>
      </c>
      <c r="B1" s="1982"/>
      <c r="C1" s="1982"/>
      <c r="D1" s="1982"/>
      <c r="E1" s="1982"/>
      <c r="F1" s="1309"/>
    </row>
    <row r="2" spans="1:66" ht="15.75">
      <c r="A2" s="1982" t="s">
        <v>247</v>
      </c>
      <c r="B2" s="1983"/>
      <c r="C2" s="1983"/>
      <c r="D2" s="1983"/>
      <c r="E2" s="1983"/>
    </row>
    <row r="3" spans="1:66" ht="15.75">
      <c r="A3" s="2684"/>
      <c r="B3" s="2684"/>
      <c r="C3" s="2684"/>
      <c r="D3" s="2684"/>
      <c r="E3" s="2684"/>
    </row>
    <row r="4" spans="1:66">
      <c r="A4" s="1984" t="s">
        <v>8</v>
      </c>
      <c r="B4" s="1985" t="s">
        <v>24</v>
      </c>
      <c r="C4" s="1986" t="s">
        <v>304</v>
      </c>
      <c r="D4" s="1986" t="s">
        <v>525</v>
      </c>
      <c r="E4" s="570" t="s">
        <v>326</v>
      </c>
    </row>
    <row r="5" spans="1:66">
      <c r="A5" s="1987"/>
      <c r="B5" s="1988"/>
      <c r="C5" s="1987"/>
      <c r="D5" s="1987"/>
      <c r="E5" s="163"/>
    </row>
    <row r="6" spans="1:66">
      <c r="A6" s="1987"/>
      <c r="B6" s="1989" t="s">
        <v>173</v>
      </c>
      <c r="C6" s="1309"/>
      <c r="D6" s="1309"/>
      <c r="E6" s="163"/>
    </row>
    <row r="7" spans="1:66">
      <c r="A7" s="1990">
        <v>1</v>
      </c>
      <c r="B7" s="1991" t="s">
        <v>3</v>
      </c>
      <c r="C7" s="1992"/>
      <c r="D7" s="1992"/>
      <c r="E7" s="1666">
        <f>Inputs!$E$94</f>
        <v>3584148.0300000003</v>
      </c>
      <c r="G7" s="2067" t="s">
        <v>2185</v>
      </c>
    </row>
    <row r="8" spans="1:66">
      <c r="A8" s="1993">
        <f>A7+1</f>
        <v>2</v>
      </c>
      <c r="B8" s="1991" t="s">
        <v>678</v>
      </c>
      <c r="C8" s="1992"/>
      <c r="D8" s="1992"/>
      <c r="E8" s="1665">
        <v>203318</v>
      </c>
      <c r="G8" s="2067" t="s">
        <v>2185</v>
      </c>
    </row>
    <row r="9" spans="1:66">
      <c r="A9" s="1993">
        <f>A8+1</f>
        <v>3</v>
      </c>
      <c r="B9" s="1991" t="s">
        <v>679</v>
      </c>
      <c r="C9" s="459"/>
      <c r="D9" s="1994" t="s">
        <v>839</v>
      </c>
      <c r="E9" s="1666">
        <f>E42</f>
        <v>555768</v>
      </c>
    </row>
    <row r="10" spans="1:66">
      <c r="A10" s="1993">
        <f>A9+1</f>
        <v>4</v>
      </c>
      <c r="B10" s="1991" t="s">
        <v>680</v>
      </c>
      <c r="C10" s="1992"/>
      <c r="D10" s="1992"/>
      <c r="E10" s="1665">
        <v>846002.79999999981</v>
      </c>
      <c r="G10" s="2067" t="s">
        <v>2185</v>
      </c>
    </row>
    <row r="11" spans="1:66">
      <c r="A11" s="1993">
        <f>A10+1</f>
        <v>5</v>
      </c>
      <c r="B11" s="1995" t="s">
        <v>841</v>
      </c>
      <c r="C11" s="459"/>
      <c r="D11" s="1994" t="s">
        <v>839</v>
      </c>
      <c r="E11" s="1666">
        <f>E36</f>
        <v>319869.98428735137</v>
      </c>
      <c r="G11" s="2067"/>
    </row>
    <row r="12" spans="1:66">
      <c r="A12" s="1987">
        <f>A11+1</f>
        <v>6</v>
      </c>
      <c r="B12" s="1996" t="s">
        <v>903</v>
      </c>
      <c r="C12" s="1997"/>
      <c r="D12" s="1821" t="str">
        <f>"(Sum Lines "&amp;A7&amp;"-"&amp;A11&amp;")"</f>
        <v>(Sum Lines 1-5)</v>
      </c>
      <c r="E12" s="1998">
        <f>SUM(E7:E11)</f>
        <v>5509106.8142873514</v>
      </c>
      <c r="G12" s="2067" t="s">
        <v>1647</v>
      </c>
    </row>
    <row r="13" spans="1:66">
      <c r="A13" s="1987"/>
      <c r="B13" s="2000"/>
      <c r="C13" s="1987"/>
      <c r="D13" s="1987"/>
      <c r="E13" s="569"/>
      <c r="G13" s="1999"/>
    </row>
    <row r="14" spans="1:66" s="2001" customFormat="1">
      <c r="A14" s="1987"/>
      <c r="B14" s="1989" t="s">
        <v>131</v>
      </c>
      <c r="C14" s="1987"/>
      <c r="D14" s="1987"/>
      <c r="E14" s="163"/>
      <c r="F14" s="436"/>
      <c r="G14" s="1999"/>
      <c r="H14" s="1309"/>
      <c r="I14" s="1309"/>
      <c r="J14" s="1309"/>
      <c r="K14" s="1309"/>
      <c r="L14" s="1309"/>
      <c r="M14" s="1309"/>
      <c r="N14" s="1309"/>
      <c r="O14" s="1309"/>
      <c r="P14" s="1309"/>
      <c r="Q14" s="1309"/>
      <c r="R14" s="1309"/>
      <c r="S14" s="1309"/>
      <c r="T14" s="1309"/>
      <c r="U14" s="1309"/>
      <c r="V14" s="1309"/>
      <c r="W14" s="1309"/>
      <c r="X14" s="1309"/>
      <c r="Y14" s="1309"/>
      <c r="Z14" s="1309"/>
      <c r="AA14" s="1309"/>
      <c r="AB14" s="1309"/>
      <c r="AC14" s="1309"/>
      <c r="AD14" s="1309"/>
      <c r="AE14" s="1309"/>
      <c r="AF14" s="1309"/>
      <c r="AG14" s="1309"/>
      <c r="AH14" s="1309"/>
      <c r="AI14" s="1309"/>
      <c r="AJ14" s="1309"/>
      <c r="AK14" s="1309"/>
      <c r="AL14" s="1309"/>
      <c r="AM14" s="1309"/>
      <c r="AN14" s="1309"/>
      <c r="AO14" s="1309"/>
      <c r="AP14" s="1309"/>
      <c r="AQ14" s="1309"/>
      <c r="AR14" s="1309"/>
      <c r="AS14" s="1309"/>
      <c r="AT14" s="1309"/>
      <c r="AU14" s="1309"/>
      <c r="AV14" s="1309"/>
      <c r="AW14" s="1309"/>
      <c r="AX14" s="1309"/>
      <c r="AY14" s="1309"/>
      <c r="AZ14" s="1309"/>
      <c r="BA14" s="1309"/>
      <c r="BB14" s="1309"/>
      <c r="BC14" s="1309"/>
      <c r="BD14" s="1309"/>
      <c r="BE14" s="1309"/>
      <c r="BF14" s="1309"/>
      <c r="BG14" s="1309"/>
      <c r="BH14" s="1309"/>
      <c r="BI14" s="1309"/>
      <c r="BJ14" s="1309"/>
      <c r="BK14" s="1309"/>
      <c r="BL14" s="1309"/>
      <c r="BM14" s="1309"/>
      <c r="BN14" s="1309"/>
    </row>
    <row r="15" spans="1:66" s="2001" customFormat="1">
      <c r="A15" s="1993">
        <f>A12+1</f>
        <v>7</v>
      </c>
      <c r="B15" s="826" t="s">
        <v>897</v>
      </c>
      <c r="C15" s="2002" t="str">
        <f>$A$49</f>
        <v>Note 3</v>
      </c>
      <c r="D15" s="834" t="s">
        <v>837</v>
      </c>
      <c r="E15" s="1667">
        <f>'Att 13 - Revenue Credit Detail'!D38</f>
        <v>21876603.844999999</v>
      </c>
      <c r="F15" s="436"/>
      <c r="G15" s="2067" t="s">
        <v>2185</v>
      </c>
      <c r="H15" s="1309"/>
      <c r="I15" s="1309"/>
      <c r="J15" s="1309"/>
      <c r="K15" s="1309"/>
      <c r="L15" s="1309"/>
      <c r="M15" s="1309"/>
      <c r="N15" s="1309"/>
      <c r="O15" s="1309"/>
      <c r="P15" s="1309"/>
      <c r="Q15" s="1309"/>
      <c r="R15" s="1309"/>
      <c r="S15" s="1309"/>
      <c r="T15" s="1309"/>
      <c r="U15" s="1309"/>
      <c r="V15" s="1309"/>
      <c r="W15" s="1309"/>
      <c r="X15" s="1309"/>
      <c r="Y15" s="1309"/>
      <c r="Z15" s="1309"/>
      <c r="AA15" s="1309"/>
      <c r="AB15" s="1309"/>
      <c r="AC15" s="1309"/>
      <c r="AD15" s="1309"/>
      <c r="AE15" s="1309"/>
      <c r="AF15" s="1309"/>
      <c r="AG15" s="1309"/>
      <c r="AH15" s="1309"/>
      <c r="AI15" s="1309"/>
      <c r="AJ15" s="1309"/>
      <c r="AK15" s="1309"/>
      <c r="AL15" s="1309"/>
      <c r="AM15" s="1309"/>
      <c r="AN15" s="1309"/>
      <c r="AO15" s="1309"/>
      <c r="AP15" s="1309"/>
      <c r="AQ15" s="1309"/>
      <c r="AR15" s="1309"/>
      <c r="AS15" s="1309"/>
      <c r="AT15" s="1309"/>
      <c r="AU15" s="1309"/>
      <c r="AV15" s="1309"/>
      <c r="AW15" s="1309"/>
      <c r="AX15" s="1309"/>
      <c r="AY15" s="1309"/>
      <c r="AZ15" s="1309"/>
      <c r="BA15" s="1309"/>
      <c r="BB15" s="1309"/>
      <c r="BC15" s="1309"/>
      <c r="BD15" s="1309"/>
      <c r="BE15" s="1309"/>
      <c r="BF15" s="1309"/>
      <c r="BG15" s="1309"/>
      <c r="BH15" s="1309"/>
      <c r="BI15" s="1309"/>
      <c r="BJ15" s="1309"/>
      <c r="BK15" s="1309"/>
      <c r="BL15" s="1309"/>
      <c r="BM15" s="1309"/>
      <c r="BN15" s="1309"/>
    </row>
    <row r="16" spans="1:66" ht="25.5">
      <c r="A16" s="1993">
        <f>A15+1</f>
        <v>8</v>
      </c>
      <c r="B16" s="2003" t="s">
        <v>898</v>
      </c>
      <c r="C16" s="2002" t="str">
        <f>$A$49</f>
        <v>Note 3</v>
      </c>
      <c r="D16" s="831"/>
      <c r="E16" s="1664">
        <v>0</v>
      </c>
      <c r="G16" s="2067" t="s">
        <v>2185</v>
      </c>
    </row>
    <row r="17" spans="1:19" ht="25.5">
      <c r="A17" s="1993">
        <f>A16+1</f>
        <v>9</v>
      </c>
      <c r="B17" s="2004" t="s">
        <v>425</v>
      </c>
      <c r="C17" s="2005"/>
      <c r="D17" s="834" t="s">
        <v>837</v>
      </c>
      <c r="E17" s="1667">
        <f>'Att 13 - Revenue Credit Detail'!D57</f>
        <v>103124628.53999999</v>
      </c>
      <c r="G17" s="2067" t="s">
        <v>2185</v>
      </c>
    </row>
    <row r="18" spans="1:19">
      <c r="A18" s="1993">
        <f>A17+1</f>
        <v>10</v>
      </c>
      <c r="B18" s="826" t="s">
        <v>900</v>
      </c>
      <c r="C18" s="2002" t="str">
        <f>$A$48</f>
        <v>Note 2</v>
      </c>
      <c r="D18" s="834"/>
      <c r="E18" s="2083">
        <f>SUM(Inputs!E95,Inputs!E96,Inputs!E97)</f>
        <v>1701840.2182546947</v>
      </c>
      <c r="G18" s="2067" t="s">
        <v>2012</v>
      </c>
    </row>
    <row r="19" spans="1:19">
      <c r="A19" s="1993">
        <f>A18+1</f>
        <v>11</v>
      </c>
      <c r="B19" s="826" t="s">
        <v>902</v>
      </c>
      <c r="C19" s="831"/>
      <c r="D19" s="831" t="s">
        <v>901</v>
      </c>
      <c r="E19" s="1664">
        <v>567918</v>
      </c>
      <c r="G19" s="1340" t="s">
        <v>2185</v>
      </c>
      <c r="J19" s="2365"/>
    </row>
    <row r="20" spans="1:19">
      <c r="A20" s="1993">
        <f>A19+1</f>
        <v>12</v>
      </c>
      <c r="B20" s="2006" t="s">
        <v>904</v>
      </c>
      <c r="C20" s="2007"/>
      <c r="D20" s="2007" t="str">
        <f>"(Sum Lines "&amp;A15&amp;"-"&amp;A19&amp;")"</f>
        <v>(Sum Lines 7-11)</v>
      </c>
      <c r="E20" s="2008">
        <f>SUM(E15:E19)</f>
        <v>127270990.60325469</v>
      </c>
      <c r="G20" s="2067" t="s">
        <v>1647</v>
      </c>
    </row>
    <row r="21" spans="1:19">
      <c r="A21" s="1987"/>
      <c r="B21" s="2000"/>
      <c r="C21" s="828"/>
      <c r="D21" s="828"/>
      <c r="E21" s="567"/>
    </row>
    <row r="22" spans="1:19" ht="13.5" thickBot="1">
      <c r="A22" s="1993">
        <f>A20+1</f>
        <v>13</v>
      </c>
      <c r="B22" s="2009" t="s">
        <v>1645</v>
      </c>
      <c r="C22" s="1997"/>
      <c r="D22" s="1821" t="str">
        <f>"(Sum Lines "&amp;A12&amp;" &amp;"&amp;A20&amp;")"</f>
        <v>(Sum Lines 6 &amp;12)</v>
      </c>
      <c r="E22" s="1239">
        <f>SUM(E12,E20)</f>
        <v>132780097.41754204</v>
      </c>
      <c r="G22" s="2067" t="s">
        <v>1648</v>
      </c>
      <c r="H22" s="1309"/>
      <c r="I22" s="1309"/>
      <c r="J22" s="1309"/>
      <c r="K22" s="1309"/>
      <c r="L22" s="1309"/>
      <c r="M22" s="1309"/>
      <c r="N22" s="1309"/>
      <c r="O22" s="1309"/>
      <c r="P22" s="1309"/>
      <c r="Q22" s="1309"/>
      <c r="R22" s="1309"/>
      <c r="S22" s="1309"/>
    </row>
    <row r="23" spans="1:19" ht="13.5" thickTop="1">
      <c r="A23" s="1987"/>
      <c r="B23" s="2000"/>
      <c r="C23" s="832"/>
      <c r="D23" s="832"/>
      <c r="E23" s="2010"/>
      <c r="H23" s="1309"/>
      <c r="I23" s="1309"/>
      <c r="J23" s="1309"/>
      <c r="K23" s="1309"/>
      <c r="L23" s="1309"/>
      <c r="M23" s="1309"/>
      <c r="N23" s="1309"/>
      <c r="O23" s="1309"/>
      <c r="P23" s="1309"/>
      <c r="Q23" s="1309"/>
      <c r="R23" s="1309"/>
      <c r="S23" s="1309"/>
    </row>
    <row r="24" spans="1:19" ht="13.5" thickBot="1">
      <c r="A24" s="2011"/>
      <c r="B24" s="2012"/>
      <c r="C24" s="2013"/>
      <c r="D24" s="2013"/>
      <c r="E24" s="2014"/>
      <c r="H24" s="1309"/>
      <c r="I24" s="1309"/>
      <c r="J24" s="1309"/>
      <c r="K24" s="1309"/>
      <c r="L24" s="1309"/>
      <c r="M24" s="1309"/>
      <c r="N24" s="1309"/>
      <c r="O24" s="1309"/>
      <c r="P24" s="1309"/>
      <c r="Q24" s="1309"/>
      <c r="R24" s="1309"/>
      <c r="S24" s="1309"/>
    </row>
    <row r="25" spans="1:19">
      <c r="A25" s="1987"/>
      <c r="B25" s="2000"/>
      <c r="C25" s="832"/>
      <c r="D25" s="832"/>
      <c r="E25" s="2010"/>
      <c r="H25" s="1309"/>
      <c r="I25" s="1309"/>
      <c r="J25" s="1309"/>
      <c r="K25" s="1309"/>
      <c r="L25" s="1309"/>
      <c r="M25" s="1309"/>
      <c r="N25" s="1309"/>
      <c r="O25" s="1309"/>
      <c r="P25" s="1309"/>
      <c r="Q25" s="1309"/>
      <c r="R25" s="1309"/>
      <c r="S25" s="1309"/>
    </row>
    <row r="26" spans="1:19">
      <c r="A26" s="1987"/>
      <c r="B26" s="2015" t="s">
        <v>840</v>
      </c>
      <c r="C26" s="832"/>
      <c r="D26" s="832"/>
      <c r="E26" s="1309"/>
      <c r="H26" s="1309"/>
      <c r="I26" s="1309"/>
      <c r="J26" s="1309"/>
      <c r="K26" s="1309"/>
      <c r="L26" s="1309"/>
      <c r="M26" s="1309"/>
      <c r="N26" s="1309"/>
      <c r="O26" s="1309"/>
      <c r="P26" s="1309"/>
      <c r="Q26" s="1309"/>
      <c r="R26" s="1309"/>
      <c r="S26" s="1309"/>
    </row>
    <row r="27" spans="1:19">
      <c r="A27" s="1987"/>
      <c r="B27" s="2015"/>
      <c r="C27" s="832"/>
      <c r="D27" s="832"/>
      <c r="E27" s="1309"/>
      <c r="H27" s="1309"/>
      <c r="I27" s="1309"/>
      <c r="J27" s="1309"/>
      <c r="K27" s="1309"/>
      <c r="L27" s="1309"/>
      <c r="M27" s="1309"/>
      <c r="N27" s="1309"/>
      <c r="O27" s="1309"/>
      <c r="P27" s="1309"/>
      <c r="Q27" s="1309"/>
      <c r="R27" s="1309"/>
      <c r="S27" s="1309"/>
    </row>
    <row r="28" spans="1:19">
      <c r="A28" s="1987"/>
      <c r="B28" s="1431" t="s">
        <v>841</v>
      </c>
      <c r="C28" s="832"/>
      <c r="D28" s="832"/>
      <c r="E28" s="1309"/>
      <c r="H28" s="1309"/>
      <c r="I28" s="1309"/>
      <c r="J28" s="1309"/>
      <c r="K28" s="1309"/>
      <c r="L28" s="1309"/>
      <c r="M28" s="1309"/>
      <c r="N28" s="1309"/>
      <c r="O28" s="1309"/>
      <c r="P28" s="1309"/>
      <c r="Q28" s="1309"/>
      <c r="R28" s="1309"/>
      <c r="S28" s="1309"/>
    </row>
    <row r="29" spans="1:19">
      <c r="A29" s="1987"/>
      <c r="B29" s="2016" t="s">
        <v>2444</v>
      </c>
      <c r="C29" s="832"/>
      <c r="D29" s="832"/>
      <c r="E29" s="2074">
        <v>187156.21</v>
      </c>
      <c r="G29" s="2067" t="s">
        <v>2185</v>
      </c>
      <c r="H29" s="1309"/>
      <c r="I29" s="1309"/>
      <c r="J29" s="1309"/>
      <c r="K29" s="1309"/>
      <c r="L29" s="1309"/>
      <c r="M29" s="1309"/>
      <c r="N29" s="1309"/>
      <c r="O29" s="1309"/>
      <c r="P29" s="1309"/>
      <c r="Q29" s="1309"/>
      <c r="R29" s="1309"/>
      <c r="S29" s="1309"/>
    </row>
    <row r="30" spans="1:19">
      <c r="A30" s="1987"/>
      <c r="B30" s="2016" t="s">
        <v>2445</v>
      </c>
      <c r="C30" s="832"/>
      <c r="D30" s="832"/>
      <c r="E30" s="2074">
        <v>2790541.64</v>
      </c>
      <c r="G30" s="2067" t="s">
        <v>2185</v>
      </c>
      <c r="H30" s="1309"/>
      <c r="I30" s="1309"/>
      <c r="J30" s="1309"/>
      <c r="K30" s="1309"/>
      <c r="L30" s="1309"/>
      <c r="M30" s="1309"/>
      <c r="N30" s="1309"/>
      <c r="O30" s="1309"/>
      <c r="P30" s="1309"/>
      <c r="Q30" s="1309"/>
      <c r="R30" s="1309"/>
      <c r="S30" s="1309"/>
    </row>
    <row r="31" spans="1:19">
      <c r="A31" s="1987"/>
      <c r="B31" s="2016" t="s">
        <v>2446</v>
      </c>
      <c r="C31" s="832"/>
      <c r="D31" s="832"/>
      <c r="E31" s="2074">
        <v>676677.12</v>
      </c>
      <c r="G31" s="2067" t="s">
        <v>2185</v>
      </c>
      <c r="H31" s="1309"/>
      <c r="I31" s="1309"/>
      <c r="J31" s="1309"/>
      <c r="K31" s="1309"/>
      <c r="L31" s="1309"/>
      <c r="M31" s="1309"/>
      <c r="N31" s="1309"/>
      <c r="O31" s="1309"/>
      <c r="P31" s="1309"/>
      <c r="Q31" s="1309"/>
      <c r="R31" s="1309"/>
      <c r="S31" s="1309"/>
    </row>
    <row r="32" spans="1:19">
      <c r="A32" s="1987"/>
      <c r="B32" s="2016" t="s">
        <v>2447</v>
      </c>
      <c r="C32" s="832"/>
      <c r="D32" s="832"/>
      <c r="E32" s="2074">
        <v>0</v>
      </c>
      <c r="G32" s="2067" t="s">
        <v>2185</v>
      </c>
      <c r="H32" s="1309"/>
      <c r="I32" s="1309"/>
      <c r="J32" s="1309"/>
      <c r="K32" s="1309"/>
      <c r="L32" s="1309"/>
      <c r="M32" s="1309"/>
      <c r="N32" s="1309"/>
      <c r="O32" s="1309"/>
      <c r="P32" s="1309"/>
      <c r="Q32" s="1309"/>
      <c r="R32" s="1309"/>
      <c r="S32" s="1309"/>
    </row>
    <row r="33" spans="1:19">
      <c r="A33" s="1987"/>
      <c r="B33" s="2016" t="s">
        <v>2448</v>
      </c>
      <c r="C33" s="832"/>
      <c r="D33" s="832"/>
      <c r="E33" s="2426">
        <v>11928.45</v>
      </c>
      <c r="G33" s="2067" t="s">
        <v>2185</v>
      </c>
      <c r="H33" s="832"/>
      <c r="I33" s="1309"/>
      <c r="J33" s="1309"/>
      <c r="K33" s="1309"/>
      <c r="L33" s="1309"/>
      <c r="M33" s="1309"/>
      <c r="N33" s="1309"/>
      <c r="O33" s="1309"/>
      <c r="P33" s="1309"/>
      <c r="Q33" s="1309"/>
      <c r="R33" s="1309"/>
      <c r="S33" s="1309"/>
    </row>
    <row r="34" spans="1:19">
      <c r="A34" s="1987"/>
      <c r="B34" s="2017" t="s">
        <v>942</v>
      </c>
      <c r="C34" s="832"/>
      <c r="D34" s="832"/>
      <c r="E34" s="2018">
        <f>SUM(E29:E33)</f>
        <v>3666303.4200000004</v>
      </c>
      <c r="H34" s="1309"/>
      <c r="I34" s="1309"/>
      <c r="J34" s="1309"/>
      <c r="K34" s="1309"/>
      <c r="L34" s="1309"/>
      <c r="M34" s="1309"/>
      <c r="N34" s="1309"/>
      <c r="O34" s="1309"/>
      <c r="P34" s="1309"/>
      <c r="Q34" s="1309"/>
      <c r="R34" s="1309"/>
      <c r="S34" s="1309"/>
    </row>
    <row r="35" spans="1:19">
      <c r="A35" s="1987"/>
      <c r="B35" s="2000" t="s">
        <v>271</v>
      </c>
      <c r="C35" s="832"/>
      <c r="D35" s="832"/>
      <c r="E35" s="568">
        <f>Allocator.wages.salary</f>
        <v>8.7245911656529326E-2</v>
      </c>
      <c r="H35" s="1309"/>
      <c r="I35" s="1309"/>
      <c r="J35" s="1309"/>
      <c r="K35" s="1309"/>
      <c r="L35" s="1309"/>
      <c r="M35" s="1309"/>
      <c r="N35" s="1309"/>
      <c r="O35" s="1309"/>
      <c r="P35" s="1309"/>
      <c r="Q35" s="1309"/>
      <c r="R35" s="1309"/>
      <c r="S35" s="1309"/>
    </row>
    <row r="36" spans="1:19">
      <c r="A36" s="1987"/>
      <c r="B36" s="2019" t="s">
        <v>948</v>
      </c>
      <c r="C36" s="832"/>
      <c r="D36" s="832"/>
      <c r="E36" s="2020">
        <f>E34*E35</f>
        <v>319869.98428735137</v>
      </c>
      <c r="H36" s="1309"/>
      <c r="I36" s="1309"/>
      <c r="J36" s="1309"/>
      <c r="K36" s="1309"/>
      <c r="L36" s="1309"/>
      <c r="M36" s="1309"/>
      <c r="N36" s="1309"/>
      <c r="O36" s="1309"/>
      <c r="P36" s="1309"/>
      <c r="Q36" s="1309"/>
      <c r="R36" s="1309"/>
      <c r="S36" s="1309"/>
    </row>
    <row r="37" spans="1:19">
      <c r="A37" s="1987"/>
      <c r="B37" s="2000"/>
      <c r="C37" s="832"/>
      <c r="D37" s="832"/>
      <c r="E37" s="2021"/>
      <c r="H37" s="1309"/>
      <c r="I37" s="1309"/>
      <c r="J37" s="1309"/>
      <c r="K37" s="1309"/>
      <c r="L37" s="1309"/>
      <c r="M37" s="1309"/>
      <c r="N37" s="1309"/>
      <c r="O37" s="1309"/>
      <c r="P37" s="1309"/>
      <c r="Q37" s="1309"/>
      <c r="R37" s="1309"/>
      <c r="S37" s="1309"/>
    </row>
    <row r="38" spans="1:19">
      <c r="A38" s="1987"/>
      <c r="B38" s="2000"/>
      <c r="C38" s="832"/>
      <c r="D38" s="832"/>
      <c r="E38" s="1309"/>
      <c r="H38" s="1309"/>
      <c r="I38" s="1309"/>
      <c r="J38" s="1309"/>
      <c r="K38" s="1309"/>
      <c r="L38" s="1309"/>
      <c r="M38" s="1309"/>
      <c r="N38" s="1309"/>
      <c r="O38" s="1309"/>
      <c r="P38" s="1309"/>
      <c r="Q38" s="1309"/>
      <c r="R38" s="1309"/>
      <c r="S38" s="1309"/>
    </row>
    <row r="39" spans="1:19">
      <c r="A39" s="1987"/>
      <c r="B39" s="1431" t="s">
        <v>681</v>
      </c>
      <c r="C39" s="832"/>
      <c r="D39" s="832"/>
      <c r="E39" s="1309"/>
      <c r="H39" s="1309"/>
      <c r="I39" s="1309"/>
      <c r="J39" s="1309"/>
      <c r="K39" s="1309"/>
      <c r="L39" s="1309"/>
      <c r="M39" s="1309"/>
      <c r="N39" s="1309"/>
      <c r="O39" s="1309"/>
      <c r="P39" s="1309"/>
      <c r="Q39" s="1309"/>
      <c r="R39" s="1309"/>
      <c r="S39" s="1309"/>
    </row>
    <row r="40" spans="1:19">
      <c r="A40" s="1987"/>
      <c r="B40" s="2022" t="s">
        <v>908</v>
      </c>
      <c r="C40" s="832"/>
      <c r="D40" s="832"/>
      <c r="E40" s="1235">
        <v>0</v>
      </c>
      <c r="G40" s="2067" t="s">
        <v>2185</v>
      </c>
      <c r="H40" s="1309"/>
      <c r="I40" s="1309"/>
      <c r="J40" s="1309"/>
      <c r="K40" s="1309"/>
      <c r="L40" s="1309"/>
      <c r="M40" s="1309"/>
      <c r="N40" s="1309"/>
      <c r="O40" s="1309"/>
      <c r="P40" s="1309"/>
      <c r="Q40" s="1309"/>
      <c r="R40" s="1309"/>
      <c r="S40" s="1309"/>
    </row>
    <row r="41" spans="1:19">
      <c r="A41" s="1987"/>
      <c r="B41" s="1775" t="s">
        <v>909</v>
      </c>
      <c r="C41" s="832"/>
      <c r="D41" s="828" t="s">
        <v>999</v>
      </c>
      <c r="E41" s="1240">
        <f>Inputs!E9</f>
        <v>555768</v>
      </c>
      <c r="G41" s="2067" t="s">
        <v>1398</v>
      </c>
      <c r="H41" s="1309"/>
      <c r="I41" s="1309"/>
      <c r="J41" s="1309"/>
      <c r="K41" s="1309"/>
      <c r="L41" s="1309"/>
      <c r="M41" s="1309"/>
      <c r="N41" s="1309"/>
      <c r="O41" s="1309"/>
      <c r="P41" s="1309"/>
      <c r="Q41" s="1309"/>
      <c r="R41" s="1309"/>
      <c r="S41" s="1309"/>
    </row>
    <row r="42" spans="1:19">
      <c r="A42" s="1987"/>
      <c r="B42" s="2019" t="s">
        <v>838</v>
      </c>
      <c r="C42" s="1309"/>
      <c r="D42" s="1309"/>
      <c r="E42" s="2020">
        <f>SUM(E40:E41)</f>
        <v>555768</v>
      </c>
      <c r="G42" s="2067" t="s">
        <v>2185</v>
      </c>
      <c r="H42" s="1309"/>
      <c r="I42" s="1309"/>
      <c r="J42" s="1309"/>
      <c r="K42" s="1309"/>
      <c r="L42" s="1309"/>
      <c r="M42" s="1309"/>
      <c r="N42" s="1309"/>
      <c r="O42" s="1309"/>
      <c r="P42" s="1309"/>
      <c r="Q42" s="1309"/>
      <c r="R42" s="1309"/>
      <c r="S42" s="1309"/>
    </row>
    <row r="43" spans="1:19">
      <c r="A43" s="1987"/>
      <c r="B43" s="2000"/>
      <c r="C43" s="832"/>
      <c r="D43" s="832"/>
      <c r="E43" s="2021"/>
      <c r="G43" s="2067"/>
      <c r="H43" s="1309"/>
      <c r="I43" s="1309"/>
      <c r="J43" s="1309"/>
      <c r="K43" s="1309"/>
      <c r="L43" s="1309"/>
      <c r="M43" s="1309"/>
      <c r="N43" s="1309"/>
      <c r="O43" s="1309"/>
      <c r="P43" s="1309"/>
      <c r="Q43" s="1309"/>
      <c r="R43" s="1309"/>
      <c r="S43" s="1309"/>
    </row>
    <row r="44" spans="1:19">
      <c r="A44" s="1987"/>
      <c r="B44" s="2000"/>
      <c r="C44" s="832"/>
      <c r="D44" s="832"/>
      <c r="E44" s="2021"/>
      <c r="G44" s="2067"/>
      <c r="H44" s="1309"/>
      <c r="I44" s="1309"/>
      <c r="J44" s="1309"/>
      <c r="K44" s="1309"/>
      <c r="L44" s="1309"/>
      <c r="M44" s="1309"/>
      <c r="N44" s="1309"/>
      <c r="O44" s="1309"/>
      <c r="P44" s="1309"/>
      <c r="Q44" s="1309"/>
      <c r="R44" s="1309"/>
      <c r="S44" s="1309"/>
    </row>
    <row r="45" spans="1:19">
      <c r="A45" s="1986" t="s">
        <v>304</v>
      </c>
      <c r="B45" s="2023"/>
      <c r="C45" s="2024"/>
      <c r="D45" s="2024"/>
      <c r="E45" s="572"/>
    </row>
    <row r="46" spans="1:19">
      <c r="A46" s="436"/>
      <c r="E46" s="436"/>
    </row>
    <row r="47" spans="1:19" ht="53.25" customHeight="1">
      <c r="A47" s="2025" t="s">
        <v>905</v>
      </c>
      <c r="B47" s="2026" t="str">
        <f>"All revenues related to transmission that are received as a transmission owner (i.e., not received as a LSE), for which the cost of the service is recovered under this formula,"&amp;" except as specifically provided for elsewhere in this Attachment or elsewhere in the formula, "&amp;"will be included as a revenue credit or included in the peak on line "&amp;'Appendix A'!A290&amp;" of Appendix A."</f>
        <v>All revenues related to transmission that are received as a transmission owner (i.e., not received as a LSE), for which the cost of the service is recovered under this formula, except as specifically provided for elsewhere in this Attachment or elsewhere in the formula, will be included as a revenue credit or included in the peak on line 170 of Appendix A.</v>
      </c>
      <c r="C47" s="832"/>
      <c r="D47" s="832"/>
      <c r="E47" s="2010"/>
    </row>
    <row r="48" spans="1:19" ht="54" customHeight="1">
      <c r="A48" s="2025" t="s">
        <v>899</v>
      </c>
      <c r="B48" s="2026" t="s">
        <v>906</v>
      </c>
      <c r="C48" s="2027"/>
      <c r="D48" s="2027"/>
      <c r="E48" s="2028"/>
      <c r="F48" s="2029"/>
      <c r="G48" s="1309"/>
    </row>
    <row r="49" spans="1:7" ht="38.25">
      <c r="A49" s="2025" t="s">
        <v>896</v>
      </c>
      <c r="B49" s="2026" t="s">
        <v>1017</v>
      </c>
      <c r="C49" s="2030"/>
      <c r="D49" s="2030"/>
      <c r="E49" s="2028"/>
      <c r="F49" s="2029"/>
      <c r="G49" s="1309"/>
    </row>
    <row r="50" spans="1:7" ht="13.5" thickBot="1">
      <c r="A50" s="2011"/>
      <c r="B50" s="2031"/>
      <c r="C50" s="2031"/>
      <c r="D50" s="2031"/>
      <c r="E50" s="573"/>
      <c r="F50" s="1309"/>
      <c r="G50" s="1309"/>
    </row>
    <row r="51" spans="1:7">
      <c r="A51" s="1987"/>
      <c r="B51" s="1309"/>
      <c r="C51" s="1309"/>
      <c r="D51" s="1309"/>
      <c r="E51" s="163"/>
      <c r="F51" s="2032"/>
      <c r="G51" s="1309"/>
    </row>
    <row r="52" spans="1:7">
      <c r="A52" s="1987"/>
      <c r="B52" s="1309"/>
      <c r="C52" s="1309"/>
      <c r="D52" s="1309"/>
      <c r="E52" s="164"/>
      <c r="F52" s="1987"/>
      <c r="G52" s="1309"/>
    </row>
    <row r="53" spans="1:7">
      <c r="A53" s="1987"/>
      <c r="B53" s="1309"/>
      <c r="C53" s="832"/>
      <c r="D53" s="832"/>
      <c r="E53" s="2033"/>
      <c r="F53" s="2010"/>
      <c r="G53" s="1309"/>
    </row>
    <row r="54" spans="1:7">
      <c r="B54" s="2035"/>
      <c r="C54" s="2026"/>
      <c r="D54" s="2026"/>
      <c r="E54" s="163"/>
      <c r="F54" s="1309"/>
      <c r="G54" s="1309"/>
    </row>
    <row r="55" spans="1:7">
      <c r="E55" s="163"/>
      <c r="F55" s="1309"/>
      <c r="G55" s="1309"/>
    </row>
  </sheetData>
  <mergeCells count="1">
    <mergeCell ref="A3:E3"/>
  </mergeCells>
  <pageMargins left="0.5" right="0.5" top="1.01" bottom="0.5" header="0.4" footer="0.5"/>
  <pageSetup scale="10"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J2225"/>
  <sheetViews>
    <sheetView zoomScale="85" zoomScaleNormal="85" workbookViewId="0"/>
  </sheetViews>
  <sheetFormatPr defaultRowHeight="12.75"/>
  <cols>
    <col min="1" max="1" width="9.28515625" bestFit="1" customWidth="1"/>
    <col min="2" max="2" width="3" customWidth="1"/>
    <col min="3" max="3" width="8.140625" customWidth="1"/>
    <col min="4" max="4" width="38.7109375" customWidth="1"/>
    <col min="5" max="5" width="84.7109375" bestFit="1" customWidth="1"/>
    <col min="6" max="6" width="15.42578125" bestFit="1" customWidth="1"/>
    <col min="7" max="7" width="52" bestFit="1" customWidth="1"/>
    <col min="8" max="8" width="3.85546875" customWidth="1"/>
    <col min="9" max="9" width="19.42578125" bestFit="1" customWidth="1"/>
  </cols>
  <sheetData>
    <row r="1" spans="1:10" ht="18">
      <c r="A1" s="2650" t="s">
        <v>365</v>
      </c>
      <c r="B1" s="354"/>
      <c r="C1" s="354"/>
      <c r="D1" s="354"/>
      <c r="E1" s="354"/>
      <c r="F1" s="354"/>
      <c r="G1" s="354"/>
      <c r="H1" s="680"/>
      <c r="I1" s="680"/>
    </row>
    <row r="2" spans="1:10" ht="18">
      <c r="A2" s="2240" t="s">
        <v>1068</v>
      </c>
      <c r="B2" s="676"/>
      <c r="C2" s="676"/>
      <c r="D2" s="676"/>
      <c r="E2" s="676"/>
      <c r="F2" s="676"/>
      <c r="G2" s="676"/>
      <c r="H2" s="710"/>
      <c r="I2" s="710"/>
    </row>
    <row r="3" spans="1:10">
      <c r="A3" s="322"/>
      <c r="B3" s="322"/>
      <c r="C3" s="322"/>
      <c r="D3" s="322"/>
      <c r="E3" s="322"/>
      <c r="F3" s="322"/>
      <c r="G3" s="322"/>
      <c r="H3" s="322"/>
      <c r="I3" s="322"/>
    </row>
    <row r="4" spans="1:10" s="18" customFormat="1" ht="15">
      <c r="A4" s="349"/>
      <c r="B4" s="118"/>
      <c r="C4" s="349"/>
      <c r="D4" s="349"/>
      <c r="E4" s="349"/>
      <c r="F4" s="349"/>
      <c r="G4" s="349"/>
      <c r="H4" s="349"/>
      <c r="I4" s="349"/>
    </row>
    <row r="5" spans="1:10" s="18" customFormat="1" ht="15">
      <c r="A5" s="349"/>
      <c r="B5" s="349"/>
      <c r="C5" s="349"/>
      <c r="D5" s="349"/>
      <c r="E5" s="349"/>
      <c r="F5" s="349"/>
      <c r="G5" s="349"/>
      <c r="H5" s="349"/>
      <c r="I5" s="349"/>
    </row>
    <row r="6" spans="1:10" s="18" customFormat="1" ht="15">
      <c r="A6" s="349"/>
      <c r="B6" s="349"/>
      <c r="C6" s="349"/>
      <c r="D6" s="349"/>
      <c r="E6" s="349"/>
      <c r="F6" s="349"/>
      <c r="G6" s="349"/>
      <c r="H6" s="349"/>
      <c r="I6" s="349"/>
    </row>
    <row r="7" spans="1:10" s="18" customFormat="1" ht="15">
      <c r="A7" s="349"/>
      <c r="B7" s="349"/>
      <c r="C7" s="23" t="s">
        <v>731</v>
      </c>
      <c r="D7" s="23"/>
      <c r="E7" s="23"/>
      <c r="F7" s="349"/>
      <c r="G7" s="349"/>
      <c r="H7" s="349"/>
      <c r="I7" s="349"/>
    </row>
    <row r="8" spans="1:10" s="18" customFormat="1" ht="15">
      <c r="A8" s="44" t="s">
        <v>227</v>
      </c>
      <c r="B8" s="44"/>
      <c r="C8" s="23"/>
      <c r="D8" s="23" t="s">
        <v>732</v>
      </c>
      <c r="E8" s="23"/>
      <c r="F8" s="349"/>
      <c r="G8" s="242" t="str">
        <f>"Appendix A input: Line "&amp;A28&amp;" + Line "&amp;A50&amp;" from below"</f>
        <v>Appendix A input: Line 127 + Line 137 from below</v>
      </c>
      <c r="H8" s="349"/>
      <c r="I8" s="1242">
        <f>+I28+I50</f>
        <v>390133550.91564906</v>
      </c>
    </row>
    <row r="9" spans="1:10" s="18" customFormat="1" ht="15">
      <c r="A9" s="44" t="s">
        <v>283</v>
      </c>
      <c r="B9" s="44"/>
      <c r="C9" s="349"/>
      <c r="D9" s="349" t="str">
        <f>I9*10000&amp;" Basis Point increase in ROE"</f>
        <v>100 Basis Point increase in ROE</v>
      </c>
      <c r="E9" s="349"/>
      <c r="F9" s="349"/>
      <c r="G9" s="349"/>
      <c r="H9" s="349"/>
      <c r="I9" s="701">
        <v>0.01</v>
      </c>
    </row>
    <row r="10" spans="1:10" s="23" customFormat="1" ht="15">
      <c r="A10" s="44"/>
      <c r="B10" s="44"/>
      <c r="C10" s="349"/>
      <c r="D10" s="349"/>
      <c r="E10" s="349"/>
      <c r="F10" s="349"/>
      <c r="G10" s="349"/>
      <c r="H10" s="349"/>
    </row>
    <row r="11" spans="1:10" s="23" customFormat="1" ht="15.75">
      <c r="A11" s="1057" t="s">
        <v>170</v>
      </c>
      <c r="B11" s="63"/>
      <c r="C11" s="63"/>
      <c r="D11" s="63"/>
      <c r="E11" s="63"/>
      <c r="F11" s="63"/>
      <c r="G11" s="63"/>
      <c r="H11" s="63"/>
      <c r="I11" s="63"/>
    </row>
    <row r="12" spans="1:10" s="23" customFormat="1" ht="15.75">
      <c r="A12" s="1058"/>
      <c r="F12" s="23" t="s">
        <v>304</v>
      </c>
      <c r="G12" s="224" t="s">
        <v>907</v>
      </c>
    </row>
    <row r="13" spans="1:10" s="18" customFormat="1" ht="15">
      <c r="A13" s="23"/>
      <c r="B13" s="349"/>
      <c r="C13" s="349"/>
      <c r="D13" s="23"/>
      <c r="E13" s="23"/>
      <c r="F13" s="23"/>
      <c r="G13" s="23"/>
      <c r="H13" s="23"/>
      <c r="I13" s="175"/>
      <c r="J13" s="23"/>
    </row>
    <row r="14" spans="1:10" s="18" customFormat="1" ht="15">
      <c r="A14" s="34"/>
      <c r="B14" s="30"/>
      <c r="C14" s="30"/>
      <c r="D14" s="19"/>
      <c r="E14" s="9"/>
      <c r="F14" s="506"/>
      <c r="G14" s="29"/>
      <c r="H14" s="476"/>
      <c r="I14" s="1059"/>
    </row>
    <row r="15" spans="1:10" s="18" customFormat="1" ht="15">
      <c r="A15" s="438">
        <f>+'Appendix A'!A206</f>
        <v>117</v>
      </c>
      <c r="B15" s="30"/>
      <c r="C15" s="349"/>
      <c r="D15" s="439" t="str">
        <f>+'Appendix A'!C206</f>
        <v>Debt percent</v>
      </c>
      <c r="E15" s="439" t="str">
        <f>+'Appendix A'!D206</f>
        <v>Total Long Term Debt</v>
      </c>
      <c r="F15" s="439" t="str">
        <f>IF(ISBLANK('Appendix A'!E206),"",'Appendix A'!E206)</f>
        <v>(Notes Q &amp; R)</v>
      </c>
      <c r="G15" s="439" t="str">
        <f>+'Appendix A'!F206</f>
        <v>(Line 90 / (Lines 90 + 110 +116))</v>
      </c>
      <c r="H15" s="349"/>
      <c r="I15" s="440">
        <f>+'Appendix A'!H206</f>
        <v>0.48983331716588602</v>
      </c>
    </row>
    <row r="16" spans="1:10" s="18" customFormat="1" ht="15">
      <c r="A16" s="438">
        <f>+'Appendix A'!A207</f>
        <v>118</v>
      </c>
      <c r="B16" s="30"/>
      <c r="C16" s="349"/>
      <c r="D16" s="439" t="str">
        <f>+'Appendix A'!C207</f>
        <v>Preferred percent</v>
      </c>
      <c r="E16" s="439" t="str">
        <f>+'Appendix A'!D207</f>
        <v>Preferred Stock</v>
      </c>
      <c r="F16" s="439" t="str">
        <f>IF(ISBLANK('Appendix A'!E207),"",'Appendix A'!E207)</f>
        <v/>
      </c>
      <c r="G16" s="439" t="str">
        <f>+'Appendix A'!F207</f>
        <v>(Line 110 / (Lines 90 + 110 +116))</v>
      </c>
      <c r="H16" s="349"/>
      <c r="I16" s="440">
        <f>+'Appendix A'!H207</f>
        <v>1.6521487520801515E-4</v>
      </c>
    </row>
    <row r="17" spans="1:10" s="18" customFormat="1" ht="15">
      <c r="A17" s="438">
        <f>+'Appendix A'!A208</f>
        <v>119</v>
      </c>
      <c r="B17" s="30"/>
      <c r="C17" s="349"/>
      <c r="D17" s="439" t="str">
        <f>+'Appendix A'!C208</f>
        <v>Common percent</v>
      </c>
      <c r="E17" s="439" t="str">
        <f>+'Appendix A'!D208</f>
        <v>Common Stock</v>
      </c>
      <c r="F17" s="439" t="str">
        <f>IF(ISBLANK('Appendix A'!E208),"",'Appendix A'!E208)</f>
        <v>(Notes Q &amp; R)</v>
      </c>
      <c r="G17" s="439" t="str">
        <f>+'Appendix A'!F208</f>
        <v>(Line 116 / (Lines 90 + 110 +116))</v>
      </c>
      <c r="H17" s="349"/>
      <c r="I17" s="440">
        <f>+'Appendix A'!H208</f>
        <v>0.510001467958906</v>
      </c>
    </row>
    <row r="18" spans="1:10" s="18" customFormat="1" ht="15">
      <c r="A18" s="438"/>
      <c r="B18" s="30"/>
      <c r="C18" s="30"/>
      <c r="D18" s="19"/>
      <c r="E18" s="30"/>
      <c r="F18" s="531"/>
      <c r="G18" s="1060"/>
      <c r="H18" s="476"/>
      <c r="I18" s="440"/>
    </row>
    <row r="19" spans="1:10" s="18" customFormat="1" ht="15">
      <c r="A19" s="438">
        <f>+'Appendix A'!A211</f>
        <v>120</v>
      </c>
      <c r="B19" s="30"/>
      <c r="C19" s="349"/>
      <c r="D19" s="439" t="str">
        <f>+'Appendix A'!C211</f>
        <v>Debt Cost</v>
      </c>
      <c r="E19" s="439" t="str">
        <f>+'Appendix A'!D211</f>
        <v>Long Term Debt Cost = 
Long Term Debt Cost / 
Net Proceeds Long Term Debt</v>
      </c>
      <c r="F19" s="439" t="str">
        <f>IF(ISBLANK('Appendix A'!E211),"",'Appendix A'!E211)</f>
        <v/>
      </c>
      <c r="G19" s="439" t="str">
        <f>+'Appendix A'!F211</f>
        <v>(Line 103 / Line 96)</v>
      </c>
      <c r="H19" s="349"/>
      <c r="I19" s="440">
        <f>+'Appendix A'!H211</f>
        <v>5.1604272516579314E-2</v>
      </c>
    </row>
    <row r="20" spans="1:10" s="18" customFormat="1" ht="15">
      <c r="A20" s="438">
        <f>+'Appendix A'!A212</f>
        <v>121</v>
      </c>
      <c r="B20" s="30"/>
      <c r="C20" s="349"/>
      <c r="D20" s="439" t="str">
        <f>+'Appendix A'!C212</f>
        <v>Preferred Cost</v>
      </c>
      <c r="E20" s="439" t="str">
        <f>+'Appendix A'!D212</f>
        <v>Preferred Stock cost  =  Preferred Dividends / 
Total Preferred Stock</v>
      </c>
      <c r="F20" s="439" t="str">
        <f>IF(ISBLANK('Appendix A'!E212),"",'Appendix A'!E212)</f>
        <v/>
      </c>
      <c r="G20" s="439" t="str">
        <f>+'Appendix A'!F212</f>
        <v>(Line 111 / Line 110)</v>
      </c>
      <c r="H20" s="349"/>
      <c r="I20" s="440">
        <f>+'Appendix A'!H212</f>
        <v>6.7526676676676667E-2</v>
      </c>
    </row>
    <row r="21" spans="1:10" s="18" customFormat="1" ht="15">
      <c r="A21" s="438">
        <f>+'Appendix A'!A213</f>
        <v>122</v>
      </c>
      <c r="B21" s="30"/>
      <c r="C21" s="349"/>
      <c r="D21" s="439" t="str">
        <f>+'Appendix A'!C213</f>
        <v>Common Cost</v>
      </c>
      <c r="E21" s="439" t="str">
        <f>+'Appendix A'!D213</f>
        <v>Common Stock</v>
      </c>
      <c r="F21" s="439" t="str">
        <f>IF(ISBLANK('Appendix A'!E213),"",'Appendix A'!E213)</f>
        <v>(Note H)</v>
      </c>
      <c r="G21" s="439" t="str">
        <f>+'Appendix A'!F213&amp;" plus 100 basis points"</f>
        <v>Fixed plus 100 basis points</v>
      </c>
      <c r="H21" s="349"/>
      <c r="I21" s="440">
        <f>'Appendix A'!H213+I9</f>
        <v>0.108</v>
      </c>
      <c r="J21" s="23"/>
    </row>
    <row r="22" spans="1:10" s="18" customFormat="1" ht="15">
      <c r="A22" s="438"/>
      <c r="B22" s="30"/>
      <c r="C22" s="30"/>
      <c r="D22" s="19"/>
      <c r="E22" s="30"/>
      <c r="F22" s="531"/>
      <c r="G22" s="1060"/>
      <c r="H22" s="476"/>
      <c r="I22" s="441"/>
    </row>
    <row r="23" spans="1:10" s="18" customFormat="1" ht="15">
      <c r="A23" s="438">
        <f>+'Appendix A'!A216</f>
        <v>123</v>
      </c>
      <c r="B23" s="30"/>
      <c r="C23" s="349"/>
      <c r="D23" s="439" t="str">
        <f>+'Appendix A'!C216</f>
        <v>Weighted Cost of Debt</v>
      </c>
      <c r="E23" s="439" t="str">
        <f>+'Appendix A'!D216</f>
        <v>Total Long Term Debt (WCLTD)</v>
      </c>
      <c r="F23" s="439" t="str">
        <f>IF(ISBLANK('Appendix A'!E216),"",'Appendix A'!E216)</f>
        <v/>
      </c>
      <c r="G23" s="439" t="str">
        <f>+'Appendix A'!F216</f>
        <v>(Line 117 * Line 120)</v>
      </c>
      <c r="H23" s="349"/>
      <c r="I23" s="440">
        <f>+I15*I19</f>
        <v>2.527749198672841E-2</v>
      </c>
    </row>
    <row r="24" spans="1:10" s="18" customFormat="1" ht="15">
      <c r="A24" s="438">
        <f>+'Appendix A'!A217</f>
        <v>124</v>
      </c>
      <c r="B24" s="30"/>
      <c r="C24" s="349"/>
      <c r="D24" s="439" t="str">
        <f>+'Appendix A'!C217</f>
        <v>Weighted Cost of Preferred</v>
      </c>
      <c r="E24" s="439" t="str">
        <f>+'Appendix A'!D217</f>
        <v>Preferred Stock</v>
      </c>
      <c r="F24" s="439" t="str">
        <f>IF(ISBLANK('Appendix A'!E217),"",'Appendix A'!E217)</f>
        <v/>
      </c>
      <c r="G24" s="439" t="str">
        <f>+'Appendix A'!F217</f>
        <v>(Line 118 * Line 121)</v>
      </c>
      <c r="H24" s="349"/>
      <c r="I24" s="440">
        <f>+I16*I20</f>
        <v>1.1156411460349123E-5</v>
      </c>
    </row>
    <row r="25" spans="1:10" s="18" customFormat="1" ht="15">
      <c r="A25" s="438">
        <f>+'Appendix A'!A218</f>
        <v>125</v>
      </c>
      <c r="B25" s="30"/>
      <c r="C25" s="349"/>
      <c r="D25" s="439" t="str">
        <f>+'Appendix A'!C218</f>
        <v>Weighted Cost of Common</v>
      </c>
      <c r="E25" s="439" t="str">
        <f>+'Appendix A'!D218</f>
        <v>Common Stock</v>
      </c>
      <c r="F25" s="439" t="str">
        <f>IF(ISBLANK('Appendix A'!E218),"",'Appendix A'!E218)</f>
        <v/>
      </c>
      <c r="G25" s="439" t="str">
        <f>+'Appendix A'!F218</f>
        <v>(Line 119 * Line 122)</v>
      </c>
      <c r="H25" s="349"/>
      <c r="I25" s="440">
        <f>+I17*I21</f>
        <v>5.5080158539561844E-2</v>
      </c>
    </row>
    <row r="26" spans="1:10" s="18" customFormat="1" ht="15.75">
      <c r="A26" s="34">
        <f>A25+1</f>
        <v>126</v>
      </c>
      <c r="B26" s="30"/>
      <c r="C26" s="220" t="str">
        <f>'Appendix A'!C219</f>
        <v>Rate of Return on Rate Base ( ROR )</v>
      </c>
      <c r="D26" s="30"/>
      <c r="E26" s="65"/>
      <c r="F26" s="439" t="str">
        <f>IF(ISBLANK('Appendix A'!E219),"",'Appendix A'!E219)</f>
        <v/>
      </c>
      <c r="G26" s="242" t="str">
        <f>"(Sum Lines "&amp;A23&amp;" to "&amp;A25&amp;")"</f>
        <v>(Sum Lines 123 to 125)</v>
      </c>
      <c r="H26" s="41"/>
      <c r="I26" s="347">
        <f>SUM(I23:I25)</f>
        <v>8.03688069377506E-2</v>
      </c>
    </row>
    <row r="27" spans="1:10" s="18" customFormat="1" ht="15.75">
      <c r="A27" s="16"/>
      <c r="B27" s="30"/>
      <c r="C27" s="30"/>
      <c r="D27" s="30"/>
      <c r="E27" s="65"/>
      <c r="F27" s="39"/>
      <c r="G27" s="66"/>
      <c r="H27" s="41"/>
      <c r="I27" s="33"/>
    </row>
    <row r="28" spans="1:10" s="18" customFormat="1" ht="16.5" thickBot="1">
      <c r="A28" s="34">
        <f>A26+1</f>
        <v>127</v>
      </c>
      <c r="B28" s="30"/>
      <c r="C28" s="52" t="str">
        <f>'Appendix A'!B221</f>
        <v>Investment Return = Rate Base * Rate of Return</v>
      </c>
      <c r="D28" s="52"/>
      <c r="E28" s="52"/>
      <c r="F28" s="53"/>
      <c r="G28" s="176" t="str">
        <f>+'Appendix A'!F221</f>
        <v>(Line 52 * Line 126)</v>
      </c>
      <c r="H28" s="55"/>
      <c r="I28" s="651">
        <f>+I26*'Appendix A'!H106</f>
        <v>276167387.8007701</v>
      </c>
    </row>
    <row r="29" spans="1:10" s="18" customFormat="1" ht="15.75" thickTop="1">
      <c r="A29" s="34"/>
      <c r="B29" s="8"/>
      <c r="C29" s="8"/>
      <c r="D29" s="506"/>
      <c r="E29" s="9"/>
      <c r="F29" s="44"/>
      <c r="G29" s="254"/>
      <c r="H29" s="476"/>
      <c r="I29" s="534"/>
    </row>
    <row r="30" spans="1:10" s="18" customFormat="1" ht="15.75">
      <c r="A30" s="1061" t="s">
        <v>134</v>
      </c>
      <c r="B30" s="1062"/>
      <c r="C30" s="187"/>
      <c r="D30" s="188"/>
      <c r="E30" s="62"/>
      <c r="F30" s="526"/>
      <c r="G30" s="63"/>
      <c r="H30" s="63"/>
      <c r="I30" s="64"/>
    </row>
    <row r="31" spans="1:10" s="18" customFormat="1" ht="15.75">
      <c r="A31" s="21"/>
      <c r="B31" s="21"/>
      <c r="C31" s="8"/>
      <c r="D31" s="7"/>
      <c r="E31" s="22"/>
      <c r="F31" s="157"/>
      <c r="G31" s="9"/>
      <c r="H31" s="9"/>
      <c r="I31" s="11"/>
    </row>
    <row r="32" spans="1:10" s="18" customFormat="1" ht="15.75">
      <c r="A32" s="34" t="s">
        <v>225</v>
      </c>
      <c r="B32" s="8"/>
      <c r="C32" s="68" t="s">
        <v>266</v>
      </c>
      <c r="D32" s="9"/>
      <c r="E32" s="9"/>
      <c r="F32" s="157"/>
      <c r="G32" s="476"/>
      <c r="H32" s="535"/>
      <c r="I32" s="9"/>
    </row>
    <row r="33" spans="1:10" s="18" customFormat="1" ht="15">
      <c r="A33" s="34">
        <f>+A28+1</f>
        <v>128</v>
      </c>
      <c r="B33" s="44"/>
      <c r="C33" s="8"/>
      <c r="D33" s="9" t="s">
        <v>870</v>
      </c>
      <c r="E33" s="9"/>
      <c r="F33" s="44"/>
      <c r="G33" s="167"/>
      <c r="H33" s="473"/>
      <c r="I33" s="1063">
        <f>+'Appendix A'!H226</f>
        <v>0.35</v>
      </c>
    </row>
    <row r="34" spans="1:10" s="18" customFormat="1" ht="15">
      <c r="A34" s="34">
        <f>+A33+1</f>
        <v>129</v>
      </c>
      <c r="B34" s="44"/>
      <c r="C34" s="8"/>
      <c r="D34" s="473" t="s">
        <v>871</v>
      </c>
      <c r="E34" s="536"/>
      <c r="F34" s="44"/>
      <c r="G34" s="167"/>
      <c r="H34" s="473"/>
      <c r="I34" s="1063">
        <f>+'Appendix A'!H227</f>
        <v>4.5400000000000003E-2</v>
      </c>
    </row>
    <row r="35" spans="1:10" s="18" customFormat="1" ht="15">
      <c r="A35" s="34">
        <f>+A34+1</f>
        <v>130</v>
      </c>
      <c r="B35" s="44"/>
      <c r="C35" s="8"/>
      <c r="D35" s="473" t="s">
        <v>100</v>
      </c>
      <c r="E35" s="473"/>
      <c r="F35" s="44"/>
      <c r="G35" s="42" t="str">
        <f>+'Appendix A'!F228</f>
        <v>Per state tax code</v>
      </c>
      <c r="H35" s="473"/>
      <c r="I35" s="1063">
        <f>+'Appendix A'!H228</f>
        <v>0</v>
      </c>
    </row>
    <row r="36" spans="1:10" s="18" customFormat="1" ht="15">
      <c r="A36" s="34">
        <f>+A35+1</f>
        <v>131</v>
      </c>
      <c r="B36" s="44"/>
      <c r="C36" s="8"/>
      <c r="D36" s="473" t="s">
        <v>307</v>
      </c>
      <c r="E36" s="538" t="s">
        <v>869</v>
      </c>
      <c r="F36" s="44"/>
      <c r="G36" s="349"/>
      <c r="H36" s="473"/>
      <c r="I36" s="1063">
        <f>+'Appendix A'!H229</f>
        <v>0.37951000000000001</v>
      </c>
    </row>
    <row r="37" spans="1:10" s="18" customFormat="1" ht="15">
      <c r="A37" s="34">
        <f>A36+1</f>
        <v>132</v>
      </c>
      <c r="B37" s="45"/>
      <c r="C37" s="34"/>
      <c r="D37" s="473" t="s">
        <v>29</v>
      </c>
      <c r="E37" s="323"/>
      <c r="F37" s="323"/>
      <c r="G37" s="323"/>
      <c r="H37" s="323"/>
      <c r="I37" s="1063">
        <f>I36/(1-I36)</f>
        <v>0.6116295186062628</v>
      </c>
      <c r="J37" s="23"/>
    </row>
    <row r="38" spans="1:10" s="18" customFormat="1" ht="15">
      <c r="A38" s="34">
        <f>A37+1</f>
        <v>133</v>
      </c>
      <c r="B38" s="45"/>
      <c r="C38" s="34"/>
      <c r="D38" s="473" t="s">
        <v>28</v>
      </c>
      <c r="E38" s="1064"/>
      <c r="F38" s="45"/>
      <c r="G38" s="22"/>
      <c r="H38" s="473"/>
      <c r="I38" s="1063">
        <f>1/(1-I36)</f>
        <v>1.6116295186062628</v>
      </c>
      <c r="J38" s="23"/>
    </row>
    <row r="39" spans="1:10" s="18" customFormat="1" ht="15">
      <c r="A39" s="34"/>
      <c r="B39" s="8"/>
      <c r="C39" s="8"/>
      <c r="D39" s="9"/>
      <c r="E39" s="9"/>
      <c r="F39" s="513"/>
      <c r="G39" s="538"/>
      <c r="H39" s="535"/>
      <c r="I39" s="539"/>
    </row>
    <row r="40" spans="1:10" s="18" customFormat="1" ht="15.75">
      <c r="A40" s="34"/>
      <c r="B40" s="8"/>
      <c r="C40" s="68" t="s">
        <v>253</v>
      </c>
      <c r="D40" s="506"/>
      <c r="E40" s="9"/>
      <c r="F40" s="157"/>
      <c r="G40" s="476"/>
      <c r="H40" s="535"/>
      <c r="I40" s="471"/>
    </row>
    <row r="41" spans="1:10" s="18" customFormat="1" ht="15">
      <c r="A41" s="34">
        <f>+A38+1</f>
        <v>134</v>
      </c>
      <c r="B41" s="44"/>
      <c r="C41" s="8"/>
      <c r="D41" s="533" t="s">
        <v>286</v>
      </c>
      <c r="E41" s="2644"/>
      <c r="F41" s="1065"/>
      <c r="G41" s="1066" t="str">
        <f>+'Appendix A'!F233</f>
        <v>Attachment 5</v>
      </c>
      <c r="H41" s="1067"/>
      <c r="I41" s="660">
        <f>+'Appendix A'!H233</f>
        <v>-1129256.0396900696</v>
      </c>
    </row>
    <row r="42" spans="1:10" s="18" customFormat="1" ht="15" hidden="1">
      <c r="A42" s="34"/>
      <c r="B42" s="44"/>
      <c r="C42" s="8"/>
      <c r="D42" s="506"/>
      <c r="E42" s="9"/>
      <c r="F42" s="8"/>
      <c r="G42" s="42"/>
      <c r="H42" s="535"/>
      <c r="I42" s="623"/>
    </row>
    <row r="43" spans="1:10" s="18" customFormat="1" ht="15" hidden="1">
      <c r="A43" s="34"/>
      <c r="B43" s="44"/>
      <c r="C43" s="35"/>
      <c r="D43" s="78"/>
      <c r="E43" s="46"/>
      <c r="F43" s="83"/>
      <c r="G43" s="1066"/>
      <c r="H43" s="543"/>
      <c r="I43" s="654"/>
    </row>
    <row r="44" spans="1:10" s="18" customFormat="1" ht="15.75">
      <c r="A44" s="34">
        <f>+A41+1</f>
        <v>135</v>
      </c>
      <c r="B44" s="44"/>
      <c r="C44" s="8"/>
      <c r="D44" s="82" t="s">
        <v>109</v>
      </c>
      <c r="E44" s="349"/>
      <c r="F44" s="37"/>
      <c r="G44" s="242" t="str">
        <f>"(Line "&amp;A41&amp;" * (1 / (1 - Line "&amp;A36&amp;")"</f>
        <v>(Line 134 * (1 / (1 - Line 131)</v>
      </c>
      <c r="H44" s="1068"/>
      <c r="I44" s="1241">
        <f>I41*(1/(1-I36))</f>
        <v>-1819942.3676289218</v>
      </c>
    </row>
    <row r="45" spans="1:10" s="18" customFormat="1" ht="15.75">
      <c r="A45" s="34"/>
      <c r="B45" s="8"/>
      <c r="C45" s="8"/>
      <c r="D45" s="82"/>
      <c r="E45" s="37"/>
      <c r="F45" s="111"/>
      <c r="G45" s="110"/>
      <c r="H45" s="543"/>
      <c r="I45" s="1069"/>
    </row>
    <row r="46" spans="1:10" s="18" customFormat="1" ht="15.75">
      <c r="A46" s="34"/>
      <c r="B46" s="8"/>
      <c r="C46" s="8"/>
      <c r="D46" s="82"/>
      <c r="E46" s="37"/>
      <c r="F46" s="111"/>
      <c r="G46" s="110"/>
      <c r="H46" s="543"/>
      <c r="I46" s="1070"/>
    </row>
    <row r="47" spans="1:10" s="18" customFormat="1" ht="15.75">
      <c r="A47" s="34"/>
      <c r="B47" s="8"/>
      <c r="C47" s="8"/>
      <c r="D47" s="9"/>
      <c r="E47" s="9"/>
      <c r="F47" s="513"/>
      <c r="G47" s="538"/>
      <c r="H47" s="535"/>
      <c r="I47" s="109"/>
    </row>
    <row r="48" spans="1:10" s="18" customFormat="1" ht="15.75">
      <c r="A48" s="34">
        <f>+A44+1</f>
        <v>136</v>
      </c>
      <c r="B48" s="44"/>
      <c r="C48" s="1" t="s">
        <v>279</v>
      </c>
      <c r="D48" s="349"/>
      <c r="E48" s="9" t="s">
        <v>926</v>
      </c>
      <c r="F48" s="157"/>
      <c r="G48" s="475"/>
      <c r="H48" s="9"/>
      <c r="I48" s="706">
        <f>+I37*(1-I23/I26)*I28</f>
        <v>115786105.48250784</v>
      </c>
    </row>
    <row r="49" spans="1:9" s="18" customFormat="1" ht="15">
      <c r="A49" s="34"/>
      <c r="B49" s="8"/>
      <c r="C49" s="8"/>
      <c r="D49" s="36"/>
      <c r="E49" s="37"/>
      <c r="F49" s="883"/>
      <c r="G49" s="475"/>
      <c r="H49" s="543"/>
      <c r="I49" s="654"/>
    </row>
    <row r="50" spans="1:9" s="18" customFormat="1" ht="16.5" thickBot="1">
      <c r="A50" s="34">
        <f>+A48+1</f>
        <v>137</v>
      </c>
      <c r="B50" s="44"/>
      <c r="C50" s="54" t="s">
        <v>209</v>
      </c>
      <c r="D50" s="54"/>
      <c r="E50" s="52"/>
      <c r="F50" s="88"/>
      <c r="G50" s="14"/>
      <c r="H50" s="67"/>
      <c r="I50" s="655">
        <f>+I48+I44</f>
        <v>113966163.11487892</v>
      </c>
    </row>
    <row r="51" spans="1:9" s="18" customFormat="1" ht="15.75" thickTop="1">
      <c r="A51" s="34"/>
      <c r="B51" s="8"/>
      <c r="C51" s="8"/>
      <c r="D51" s="5"/>
      <c r="E51" s="9"/>
      <c r="F51" s="44"/>
      <c r="G51" s="6"/>
      <c r="H51" s="3"/>
      <c r="I51" s="69"/>
    </row>
    <row r="52" spans="1:9" s="18" customFormat="1" ht="15">
      <c r="A52" s="23"/>
    </row>
    <row r="53" spans="1:9">
      <c r="A53" s="2"/>
    </row>
    <row r="54" spans="1:9">
      <c r="A54" s="2"/>
    </row>
    <row r="55" spans="1:9">
      <c r="A55" s="2"/>
    </row>
    <row r="56" spans="1:9">
      <c r="A56" s="2"/>
    </row>
    <row r="57" spans="1:9">
      <c r="A57" s="2"/>
    </row>
    <row r="58" spans="1:9">
      <c r="A58" s="2"/>
    </row>
    <row r="59" spans="1:9">
      <c r="A59" s="2"/>
    </row>
    <row r="60" spans="1:9">
      <c r="A60" s="2"/>
    </row>
    <row r="61" spans="1:9">
      <c r="A61" s="2"/>
    </row>
    <row r="62" spans="1:9">
      <c r="A62" s="2"/>
    </row>
    <row r="63" spans="1:9">
      <c r="A63" s="2"/>
    </row>
    <row r="64" spans="1:9">
      <c r="A64" s="2"/>
    </row>
    <row r="65" spans="1:1">
      <c r="A65" s="2"/>
    </row>
    <row r="66" spans="1:1">
      <c r="A66" s="2"/>
    </row>
    <row r="67" spans="1:1">
      <c r="A67" s="2"/>
    </row>
    <row r="68" spans="1:1">
      <c r="A68" s="2"/>
    </row>
    <row r="69" spans="1:1">
      <c r="A69" s="2"/>
    </row>
    <row r="70" spans="1:1">
      <c r="A70" s="2"/>
    </row>
    <row r="71" spans="1:1">
      <c r="A71" s="2"/>
    </row>
    <row r="72" spans="1:1">
      <c r="A72" s="2"/>
    </row>
    <row r="73" spans="1:1">
      <c r="A73" s="2"/>
    </row>
    <row r="74" spans="1:1">
      <c r="A74" s="2"/>
    </row>
    <row r="75" spans="1:1">
      <c r="A75" s="2"/>
    </row>
    <row r="76" spans="1:1">
      <c r="A76" s="2"/>
    </row>
    <row r="77" spans="1:1">
      <c r="A77" s="2"/>
    </row>
    <row r="78" spans="1:1">
      <c r="A78" s="2"/>
    </row>
    <row r="79" spans="1:1">
      <c r="A79" s="2"/>
    </row>
    <row r="80" spans="1:1">
      <c r="A80" s="2"/>
    </row>
    <row r="81" spans="1:1">
      <c r="A81" s="2"/>
    </row>
    <row r="82" spans="1:1">
      <c r="A82" s="2"/>
    </row>
    <row r="83" spans="1:1">
      <c r="A83" s="2"/>
    </row>
    <row r="84" spans="1:1">
      <c r="A84" s="2"/>
    </row>
    <row r="85" spans="1:1">
      <c r="A85" s="2"/>
    </row>
    <row r="86" spans="1:1">
      <c r="A86" s="2"/>
    </row>
    <row r="87" spans="1:1">
      <c r="A87" s="2"/>
    </row>
    <row r="88" spans="1:1">
      <c r="A88" s="2"/>
    </row>
    <row r="89" spans="1:1">
      <c r="A89" s="2"/>
    </row>
    <row r="90" spans="1:1">
      <c r="A90" s="2"/>
    </row>
    <row r="91" spans="1:1">
      <c r="A91" s="2"/>
    </row>
    <row r="92" spans="1:1">
      <c r="A92" s="2"/>
    </row>
    <row r="93" spans="1:1">
      <c r="A93" s="2"/>
    </row>
    <row r="94" spans="1:1">
      <c r="A94" s="2"/>
    </row>
    <row r="95" spans="1:1">
      <c r="A95" s="2"/>
    </row>
    <row r="96" spans="1:1">
      <c r="A96" s="2"/>
    </row>
    <row r="97" spans="1:1">
      <c r="A97" s="2"/>
    </row>
    <row r="98" spans="1:1">
      <c r="A98" s="2"/>
    </row>
    <row r="99" spans="1:1">
      <c r="A99" s="2"/>
    </row>
    <row r="100" spans="1:1">
      <c r="A100" s="2"/>
    </row>
    <row r="101" spans="1:1">
      <c r="A101" s="2"/>
    </row>
    <row r="102" spans="1:1">
      <c r="A102" s="2"/>
    </row>
    <row r="103" spans="1:1">
      <c r="A103" s="2"/>
    </row>
    <row r="104" spans="1:1">
      <c r="A104" s="2"/>
    </row>
    <row r="105" spans="1:1">
      <c r="A105" s="2"/>
    </row>
    <row r="106" spans="1:1">
      <c r="A106" s="2"/>
    </row>
    <row r="107" spans="1:1">
      <c r="A107" s="2"/>
    </row>
    <row r="108" spans="1:1">
      <c r="A108" s="2"/>
    </row>
    <row r="109" spans="1:1">
      <c r="A109" s="2"/>
    </row>
    <row r="110" spans="1:1">
      <c r="A110" s="2"/>
    </row>
    <row r="111" spans="1:1">
      <c r="A111" s="2"/>
    </row>
    <row r="112" spans="1:1">
      <c r="A112" s="2"/>
    </row>
    <row r="113" spans="1:1">
      <c r="A113" s="2"/>
    </row>
    <row r="114" spans="1:1">
      <c r="A114" s="2"/>
    </row>
    <row r="115" spans="1:1">
      <c r="A115" s="2"/>
    </row>
    <row r="116" spans="1:1">
      <c r="A116" s="2"/>
    </row>
    <row r="117" spans="1:1">
      <c r="A117" s="2"/>
    </row>
    <row r="118" spans="1:1">
      <c r="A118" s="2"/>
    </row>
    <row r="119" spans="1:1">
      <c r="A119" s="2"/>
    </row>
    <row r="120" spans="1:1">
      <c r="A120" s="2"/>
    </row>
    <row r="121" spans="1:1">
      <c r="A121" s="2"/>
    </row>
    <row r="122" spans="1:1">
      <c r="A122" s="2"/>
    </row>
    <row r="123" spans="1:1">
      <c r="A123" s="2"/>
    </row>
    <row r="124" spans="1:1">
      <c r="A124" s="2"/>
    </row>
    <row r="125" spans="1:1">
      <c r="A125" s="2"/>
    </row>
    <row r="126" spans="1:1">
      <c r="A126" s="2"/>
    </row>
    <row r="127" spans="1:1">
      <c r="A127" s="2"/>
    </row>
    <row r="128" spans="1:1">
      <c r="A128" s="2"/>
    </row>
    <row r="129" spans="1:1">
      <c r="A129" s="2"/>
    </row>
    <row r="130" spans="1:1">
      <c r="A130" s="2"/>
    </row>
    <row r="131" spans="1:1">
      <c r="A131" s="2"/>
    </row>
    <row r="132" spans="1:1">
      <c r="A132" s="2"/>
    </row>
    <row r="133" spans="1:1">
      <c r="A133" s="2"/>
    </row>
    <row r="134" spans="1:1">
      <c r="A134" s="2"/>
    </row>
    <row r="135" spans="1:1">
      <c r="A135" s="2"/>
    </row>
    <row r="136" spans="1:1">
      <c r="A136" s="2"/>
    </row>
    <row r="137" spans="1:1">
      <c r="A137" s="2"/>
    </row>
    <row r="138" spans="1:1">
      <c r="A138" s="2"/>
    </row>
    <row r="139" spans="1:1">
      <c r="A139" s="2"/>
    </row>
    <row r="140" spans="1:1">
      <c r="A140" s="2"/>
    </row>
    <row r="141" spans="1:1">
      <c r="A141" s="2"/>
    </row>
    <row r="142" spans="1:1">
      <c r="A142" s="2"/>
    </row>
    <row r="143" spans="1:1">
      <c r="A143" s="2"/>
    </row>
    <row r="144" spans="1:1">
      <c r="A144" s="2"/>
    </row>
    <row r="145" spans="1:1">
      <c r="A145" s="2"/>
    </row>
    <row r="146" spans="1:1">
      <c r="A146" s="2"/>
    </row>
    <row r="147" spans="1:1">
      <c r="A147" s="2"/>
    </row>
    <row r="148" spans="1:1">
      <c r="A148" s="2"/>
    </row>
    <row r="149" spans="1:1">
      <c r="A149" s="2"/>
    </row>
    <row r="150" spans="1:1">
      <c r="A150" s="2"/>
    </row>
    <row r="151" spans="1:1">
      <c r="A151" s="2"/>
    </row>
    <row r="152" spans="1:1">
      <c r="A152" s="2"/>
    </row>
    <row r="153" spans="1:1">
      <c r="A153" s="2"/>
    </row>
    <row r="154" spans="1:1">
      <c r="A154" s="2"/>
    </row>
    <row r="155" spans="1:1">
      <c r="A155" s="2"/>
    </row>
    <row r="156" spans="1:1">
      <c r="A156" s="2"/>
    </row>
    <row r="157" spans="1:1">
      <c r="A157" s="2"/>
    </row>
    <row r="158" spans="1:1">
      <c r="A158" s="2"/>
    </row>
    <row r="159" spans="1:1">
      <c r="A159" s="2"/>
    </row>
    <row r="160" spans="1:1">
      <c r="A160" s="2"/>
    </row>
    <row r="161" spans="1:1">
      <c r="A161" s="2"/>
    </row>
    <row r="162" spans="1:1">
      <c r="A162" s="2"/>
    </row>
    <row r="163" spans="1:1">
      <c r="A163" s="2"/>
    </row>
    <row r="164" spans="1:1">
      <c r="A164" s="2"/>
    </row>
    <row r="165" spans="1:1">
      <c r="A165" s="2"/>
    </row>
    <row r="166" spans="1:1">
      <c r="A166" s="2"/>
    </row>
    <row r="167" spans="1:1">
      <c r="A167" s="2"/>
    </row>
    <row r="168" spans="1:1">
      <c r="A168" s="2"/>
    </row>
    <row r="169" spans="1:1">
      <c r="A169" s="2"/>
    </row>
    <row r="170" spans="1:1">
      <c r="A170" s="2"/>
    </row>
    <row r="171" spans="1:1">
      <c r="A171" s="2"/>
    </row>
    <row r="172" spans="1:1">
      <c r="A172" s="2"/>
    </row>
    <row r="173" spans="1:1">
      <c r="A173" s="2"/>
    </row>
    <row r="174" spans="1:1">
      <c r="A174" s="2"/>
    </row>
    <row r="175" spans="1:1">
      <c r="A175" s="2"/>
    </row>
    <row r="176" spans="1:1">
      <c r="A176" s="2"/>
    </row>
    <row r="177" spans="1:1">
      <c r="A177" s="2"/>
    </row>
    <row r="178" spans="1:1">
      <c r="A178" s="2"/>
    </row>
    <row r="179" spans="1:1">
      <c r="A179" s="2"/>
    </row>
    <row r="180" spans="1:1">
      <c r="A180" s="2"/>
    </row>
    <row r="181" spans="1:1">
      <c r="A181" s="2"/>
    </row>
    <row r="182" spans="1:1">
      <c r="A182" s="2"/>
    </row>
    <row r="183" spans="1:1">
      <c r="A183" s="2"/>
    </row>
    <row r="184" spans="1:1">
      <c r="A184" s="2"/>
    </row>
    <row r="185" spans="1:1">
      <c r="A185" s="2"/>
    </row>
    <row r="186" spans="1:1">
      <c r="A186" s="2"/>
    </row>
    <row r="187" spans="1:1">
      <c r="A187" s="2"/>
    </row>
    <row r="188" spans="1:1">
      <c r="A188" s="2"/>
    </row>
    <row r="189" spans="1:1">
      <c r="A189" s="2"/>
    </row>
    <row r="190" spans="1:1">
      <c r="A190" s="2"/>
    </row>
    <row r="191" spans="1:1">
      <c r="A191" s="2"/>
    </row>
    <row r="192" spans="1:1">
      <c r="A192" s="2"/>
    </row>
    <row r="193" spans="1:1">
      <c r="A193" s="2"/>
    </row>
    <row r="194" spans="1:1">
      <c r="A194" s="2"/>
    </row>
    <row r="195" spans="1:1">
      <c r="A195" s="2"/>
    </row>
    <row r="196" spans="1:1">
      <c r="A196" s="2"/>
    </row>
    <row r="197" spans="1:1">
      <c r="A197" s="2"/>
    </row>
    <row r="198" spans="1:1">
      <c r="A198" s="2"/>
    </row>
    <row r="199" spans="1:1">
      <c r="A199" s="2"/>
    </row>
    <row r="200" spans="1:1">
      <c r="A200" s="2"/>
    </row>
    <row r="201" spans="1:1">
      <c r="A201" s="2"/>
    </row>
    <row r="202" spans="1:1">
      <c r="A202" s="2"/>
    </row>
    <row r="203" spans="1:1">
      <c r="A203" s="2"/>
    </row>
    <row r="204" spans="1:1">
      <c r="A204" s="2"/>
    </row>
    <row r="205" spans="1:1">
      <c r="A205" s="2"/>
    </row>
    <row r="206" spans="1:1">
      <c r="A206" s="2"/>
    </row>
    <row r="207" spans="1:1">
      <c r="A207" s="2"/>
    </row>
    <row r="208" spans="1:1">
      <c r="A208" s="2"/>
    </row>
    <row r="209" spans="1:1">
      <c r="A209" s="2"/>
    </row>
    <row r="210" spans="1:1">
      <c r="A210" s="2"/>
    </row>
    <row r="211" spans="1:1">
      <c r="A211" s="2"/>
    </row>
    <row r="212" spans="1:1">
      <c r="A212" s="2"/>
    </row>
    <row r="213" spans="1:1">
      <c r="A213" s="2"/>
    </row>
    <row r="214" spans="1:1">
      <c r="A214" s="2"/>
    </row>
    <row r="215" spans="1:1">
      <c r="A215" s="2"/>
    </row>
    <row r="216" spans="1:1">
      <c r="A216" s="2"/>
    </row>
    <row r="217" spans="1:1">
      <c r="A217" s="2"/>
    </row>
    <row r="218" spans="1:1">
      <c r="A218" s="2"/>
    </row>
    <row r="219" spans="1:1">
      <c r="A219" s="2"/>
    </row>
    <row r="220" spans="1:1">
      <c r="A220" s="2"/>
    </row>
    <row r="221" spans="1:1">
      <c r="A221" s="2"/>
    </row>
    <row r="222" spans="1:1">
      <c r="A222" s="2"/>
    </row>
    <row r="223" spans="1:1">
      <c r="A223" s="2"/>
    </row>
    <row r="224" spans="1:1">
      <c r="A224" s="2"/>
    </row>
    <row r="225" spans="1:1">
      <c r="A225" s="2"/>
    </row>
    <row r="226" spans="1:1">
      <c r="A226" s="2"/>
    </row>
    <row r="227" spans="1:1">
      <c r="A227" s="2"/>
    </row>
    <row r="228" spans="1:1">
      <c r="A228" s="2"/>
    </row>
    <row r="229" spans="1:1">
      <c r="A229" s="2"/>
    </row>
    <row r="230" spans="1:1">
      <c r="A230" s="2"/>
    </row>
    <row r="231" spans="1:1">
      <c r="A231" s="2"/>
    </row>
    <row r="232" spans="1:1">
      <c r="A232" s="2"/>
    </row>
    <row r="233" spans="1:1">
      <c r="A233" s="2"/>
    </row>
    <row r="234" spans="1:1">
      <c r="A234" s="2"/>
    </row>
    <row r="235" spans="1:1">
      <c r="A235" s="2"/>
    </row>
    <row r="236" spans="1:1">
      <c r="A236" s="2"/>
    </row>
    <row r="237" spans="1:1">
      <c r="A237" s="2"/>
    </row>
    <row r="238" spans="1:1">
      <c r="A238" s="2"/>
    </row>
    <row r="239" spans="1:1">
      <c r="A239" s="2"/>
    </row>
    <row r="240" spans="1:1">
      <c r="A240" s="2"/>
    </row>
    <row r="241" spans="1:1">
      <c r="A241" s="2"/>
    </row>
    <row r="242" spans="1:1">
      <c r="A242" s="2"/>
    </row>
    <row r="243" spans="1:1">
      <c r="A243" s="2"/>
    </row>
    <row r="244" spans="1:1">
      <c r="A244" s="2"/>
    </row>
    <row r="245" spans="1:1">
      <c r="A245" s="2"/>
    </row>
    <row r="246" spans="1:1">
      <c r="A246" s="2"/>
    </row>
    <row r="247" spans="1:1">
      <c r="A247" s="2"/>
    </row>
    <row r="248" spans="1:1">
      <c r="A248" s="2"/>
    </row>
    <row r="249" spans="1:1">
      <c r="A249" s="2"/>
    </row>
    <row r="250" spans="1:1">
      <c r="A250" s="2"/>
    </row>
    <row r="251" spans="1:1">
      <c r="A251" s="2"/>
    </row>
    <row r="252" spans="1:1">
      <c r="A252" s="2"/>
    </row>
    <row r="253" spans="1:1">
      <c r="A253" s="2"/>
    </row>
    <row r="254" spans="1:1">
      <c r="A254" s="2"/>
    </row>
    <row r="255" spans="1:1">
      <c r="A255" s="2"/>
    </row>
    <row r="256" spans="1:1">
      <c r="A256" s="2"/>
    </row>
    <row r="257" spans="1:1">
      <c r="A257" s="2"/>
    </row>
    <row r="258" spans="1:1">
      <c r="A258" s="2"/>
    </row>
    <row r="259" spans="1:1">
      <c r="A259" s="2"/>
    </row>
    <row r="260" spans="1:1">
      <c r="A260" s="2"/>
    </row>
    <row r="261" spans="1:1">
      <c r="A261" s="2"/>
    </row>
    <row r="262" spans="1:1">
      <c r="A262" s="2"/>
    </row>
    <row r="263" spans="1:1">
      <c r="A263" s="2"/>
    </row>
    <row r="264" spans="1:1">
      <c r="A264" s="2"/>
    </row>
    <row r="265" spans="1:1">
      <c r="A265" s="2"/>
    </row>
    <row r="266" spans="1:1">
      <c r="A266" s="2"/>
    </row>
    <row r="267" spans="1:1">
      <c r="A267" s="2"/>
    </row>
    <row r="268" spans="1:1">
      <c r="A268" s="2"/>
    </row>
    <row r="269" spans="1:1">
      <c r="A269" s="2"/>
    </row>
    <row r="270" spans="1:1">
      <c r="A270" s="2"/>
    </row>
    <row r="271" spans="1:1">
      <c r="A271" s="2"/>
    </row>
    <row r="272" spans="1:1">
      <c r="A272" s="2"/>
    </row>
    <row r="273" spans="1:6">
      <c r="A273" s="2"/>
    </row>
    <row r="274" spans="1:6">
      <c r="A274" s="2"/>
    </row>
    <row r="275" spans="1:6">
      <c r="A275" s="2"/>
    </row>
    <row r="276" spans="1:6">
      <c r="A276" s="2"/>
    </row>
    <row r="277" spans="1:6">
      <c r="A277" s="2"/>
    </row>
    <row r="278" spans="1:6">
      <c r="A278" s="2"/>
    </row>
    <row r="279" spans="1:6">
      <c r="A279" s="2"/>
    </row>
    <row r="280" spans="1:6">
      <c r="A280" s="2"/>
    </row>
    <row r="281" spans="1:6">
      <c r="A281" s="156"/>
      <c r="B281" s="156"/>
      <c r="C281" s="156"/>
      <c r="D281" s="156"/>
      <c r="E281" s="156"/>
      <c r="F281" s="156"/>
    </row>
    <row r="282" spans="1:6">
      <c r="A282" s="156"/>
      <c r="B282" s="156"/>
      <c r="C282" s="156"/>
      <c r="D282" s="156"/>
      <c r="E282" s="156"/>
      <c r="F282" s="156"/>
    </row>
    <row r="283" spans="1:6">
      <c r="A283" s="156"/>
      <c r="B283" s="156"/>
      <c r="C283" s="156"/>
      <c r="D283" s="156"/>
      <c r="E283" s="156"/>
      <c r="F283" s="156"/>
    </row>
    <row r="284" spans="1:6">
      <c r="A284" s="156"/>
      <c r="B284" s="156"/>
      <c r="C284" s="156"/>
      <c r="D284" s="156"/>
      <c r="E284" s="156"/>
      <c r="F284" s="156"/>
    </row>
    <row r="285" spans="1:6">
      <c r="A285" s="156"/>
      <c r="B285" s="156"/>
      <c r="C285" s="156"/>
      <c r="D285" s="156"/>
      <c r="E285" s="156"/>
      <c r="F285" s="156"/>
    </row>
    <row r="286" spans="1:6">
      <c r="A286" s="156"/>
      <c r="B286" s="156"/>
      <c r="C286" s="156"/>
      <c r="D286" s="156"/>
      <c r="E286" s="156"/>
      <c r="F286" s="156"/>
    </row>
    <row r="287" spans="1:6">
      <c r="A287" s="156"/>
      <c r="B287" s="156"/>
      <c r="C287" s="156"/>
      <c r="D287" s="156"/>
      <c r="E287" s="156"/>
      <c r="F287" s="156"/>
    </row>
    <row r="288" spans="1:6">
      <c r="A288" s="156"/>
      <c r="B288" s="156"/>
      <c r="C288" s="156"/>
      <c r="D288" s="156"/>
      <c r="E288" s="156"/>
      <c r="F288" s="156"/>
    </row>
    <row r="289" spans="1:6">
      <c r="A289" s="156"/>
      <c r="B289" s="156"/>
      <c r="C289" s="156"/>
      <c r="D289" s="156"/>
      <c r="E289" s="156"/>
      <c r="F289" s="156"/>
    </row>
    <row r="290" spans="1:6">
      <c r="A290" s="2"/>
    </row>
    <row r="291" spans="1:6">
      <c r="A291" s="2"/>
    </row>
    <row r="292" spans="1:6">
      <c r="A292" s="2"/>
    </row>
    <row r="293" spans="1:6">
      <c r="A293" s="2"/>
    </row>
    <row r="294" spans="1:6">
      <c r="A294" s="2"/>
    </row>
    <row r="295" spans="1:6">
      <c r="A295" s="2"/>
    </row>
    <row r="296" spans="1:6">
      <c r="A296" s="2"/>
    </row>
    <row r="297" spans="1:6">
      <c r="A297" s="2"/>
    </row>
    <row r="298" spans="1:6">
      <c r="A298" s="2"/>
    </row>
    <row r="299" spans="1:6">
      <c r="A299" s="2"/>
    </row>
    <row r="300" spans="1:6">
      <c r="A300" s="2"/>
    </row>
    <row r="301" spans="1:6">
      <c r="A301" s="2"/>
    </row>
    <row r="302" spans="1:6">
      <c r="A302" s="2"/>
    </row>
    <row r="303" spans="1:6">
      <c r="A303" s="2"/>
    </row>
    <row r="304" spans="1:6">
      <c r="A304" s="2"/>
    </row>
    <row r="305" spans="1:1">
      <c r="A305" s="2"/>
    </row>
    <row r="306" spans="1:1">
      <c r="A306" s="2"/>
    </row>
    <row r="307" spans="1:1">
      <c r="A307" s="2"/>
    </row>
    <row r="308" spans="1:1">
      <c r="A308" s="2"/>
    </row>
    <row r="309" spans="1:1">
      <c r="A309" s="2"/>
    </row>
    <row r="310" spans="1:1">
      <c r="A310" s="2"/>
    </row>
    <row r="311" spans="1:1">
      <c r="A311" s="2"/>
    </row>
    <row r="312" spans="1:1">
      <c r="A312" s="2"/>
    </row>
    <row r="313" spans="1:1">
      <c r="A313" s="2"/>
    </row>
    <row r="314" spans="1:1">
      <c r="A314" s="2"/>
    </row>
    <row r="315" spans="1:1">
      <c r="A315" s="2"/>
    </row>
    <row r="316" spans="1:1">
      <c r="A316" s="2"/>
    </row>
    <row r="317" spans="1:1">
      <c r="A317" s="2"/>
    </row>
    <row r="318" spans="1:1">
      <c r="A318" s="2"/>
    </row>
    <row r="319" spans="1:1">
      <c r="A319" s="2"/>
    </row>
    <row r="320" spans="1:1">
      <c r="A320" s="2"/>
    </row>
    <row r="321" spans="1:1">
      <c r="A321" s="2"/>
    </row>
    <row r="322" spans="1:1">
      <c r="A322" s="2"/>
    </row>
    <row r="323" spans="1:1">
      <c r="A323" s="2"/>
    </row>
    <row r="324" spans="1:1">
      <c r="A324" s="2"/>
    </row>
    <row r="325" spans="1:1">
      <c r="A325" s="2"/>
    </row>
    <row r="326" spans="1:1">
      <c r="A326" s="2"/>
    </row>
    <row r="327" spans="1:1">
      <c r="A327" s="2"/>
    </row>
    <row r="328" spans="1:1">
      <c r="A328" s="2"/>
    </row>
    <row r="329" spans="1:1">
      <c r="A329" s="2"/>
    </row>
    <row r="330" spans="1:1">
      <c r="A330" s="2"/>
    </row>
    <row r="331" spans="1:1">
      <c r="A331" s="2"/>
    </row>
    <row r="332" spans="1:1">
      <c r="A332" s="2"/>
    </row>
    <row r="333" spans="1:1">
      <c r="A333" s="2"/>
    </row>
    <row r="334" spans="1:1">
      <c r="A334" s="2"/>
    </row>
    <row r="335" spans="1:1">
      <c r="A335" s="2"/>
    </row>
    <row r="336" spans="1:1">
      <c r="A336" s="2"/>
    </row>
    <row r="337" spans="1:1">
      <c r="A337" s="2"/>
    </row>
    <row r="338" spans="1:1">
      <c r="A338" s="2"/>
    </row>
    <row r="339" spans="1:1">
      <c r="A339" s="2"/>
    </row>
    <row r="340" spans="1:1">
      <c r="A340" s="2"/>
    </row>
    <row r="341" spans="1:1">
      <c r="A341" s="2"/>
    </row>
    <row r="342" spans="1:1">
      <c r="A342" s="2"/>
    </row>
    <row r="343" spans="1:1">
      <c r="A343" s="2"/>
    </row>
    <row r="344" spans="1:1">
      <c r="A344" s="2"/>
    </row>
    <row r="345" spans="1:1">
      <c r="A345" s="2"/>
    </row>
    <row r="346" spans="1:1">
      <c r="A346" s="2"/>
    </row>
    <row r="347" spans="1:1">
      <c r="A347" s="2"/>
    </row>
    <row r="348" spans="1:1">
      <c r="A348" s="2"/>
    </row>
    <row r="349" spans="1:1">
      <c r="A349" s="2"/>
    </row>
    <row r="350" spans="1:1">
      <c r="A350" s="2"/>
    </row>
    <row r="351" spans="1:1">
      <c r="A351" s="2"/>
    </row>
    <row r="352" spans="1:1">
      <c r="A352" s="2"/>
    </row>
    <row r="353" spans="1:1">
      <c r="A353" s="2"/>
    </row>
    <row r="354" spans="1:1">
      <c r="A354" s="2"/>
    </row>
    <row r="355" spans="1:1">
      <c r="A355" s="2"/>
    </row>
    <row r="356" spans="1:1">
      <c r="A356" s="2"/>
    </row>
    <row r="357" spans="1:1">
      <c r="A357" s="2"/>
    </row>
    <row r="358" spans="1:1">
      <c r="A358" s="2"/>
    </row>
    <row r="359" spans="1:1">
      <c r="A359" s="2"/>
    </row>
    <row r="360" spans="1:1">
      <c r="A360" s="2"/>
    </row>
    <row r="361" spans="1:1">
      <c r="A361" s="2"/>
    </row>
    <row r="362" spans="1:1">
      <c r="A362" s="2"/>
    </row>
    <row r="363" spans="1:1">
      <c r="A363" s="2"/>
    </row>
    <row r="364" spans="1:1">
      <c r="A364" s="2"/>
    </row>
    <row r="365" spans="1:1">
      <c r="A365" s="2"/>
    </row>
    <row r="366" spans="1:1">
      <c r="A366" s="2"/>
    </row>
    <row r="367" spans="1:1">
      <c r="A367" s="2"/>
    </row>
    <row r="368" spans="1:1">
      <c r="A368" s="2"/>
    </row>
    <row r="369" spans="1:1">
      <c r="A369" s="2"/>
    </row>
    <row r="370" spans="1:1">
      <c r="A370" s="2"/>
    </row>
    <row r="371" spans="1:1">
      <c r="A371" s="2"/>
    </row>
    <row r="372" spans="1:1">
      <c r="A372" s="2"/>
    </row>
    <row r="373" spans="1:1">
      <c r="A373" s="2"/>
    </row>
    <row r="374" spans="1:1">
      <c r="A374" s="2"/>
    </row>
    <row r="375" spans="1:1">
      <c r="A375" s="2"/>
    </row>
    <row r="376" spans="1:1">
      <c r="A376" s="2"/>
    </row>
    <row r="377" spans="1:1">
      <c r="A377" s="2"/>
    </row>
    <row r="378" spans="1:1">
      <c r="A378" s="2"/>
    </row>
    <row r="379" spans="1:1">
      <c r="A379" s="2"/>
    </row>
    <row r="380" spans="1:1">
      <c r="A380" s="2"/>
    </row>
    <row r="381" spans="1:1">
      <c r="A381" s="2"/>
    </row>
    <row r="382" spans="1:1">
      <c r="A382" s="2"/>
    </row>
    <row r="383" spans="1:1">
      <c r="A383" s="2"/>
    </row>
    <row r="384" spans="1:1">
      <c r="A384" s="2"/>
    </row>
    <row r="385" spans="1:1">
      <c r="A385" s="2"/>
    </row>
    <row r="386" spans="1:1">
      <c r="A386" s="2"/>
    </row>
    <row r="387" spans="1:1">
      <c r="A387" s="2"/>
    </row>
    <row r="388" spans="1:1">
      <c r="A388" s="2"/>
    </row>
    <row r="389" spans="1:1">
      <c r="A389" s="2"/>
    </row>
    <row r="390" spans="1:1">
      <c r="A390" s="2"/>
    </row>
    <row r="391" spans="1:1">
      <c r="A391" s="2"/>
    </row>
    <row r="392" spans="1:1">
      <c r="A392" s="2"/>
    </row>
    <row r="393" spans="1:1">
      <c r="A393" s="2"/>
    </row>
    <row r="394" spans="1:1">
      <c r="A394" s="2"/>
    </row>
    <row r="395" spans="1:1">
      <c r="A395" s="2"/>
    </row>
    <row r="396" spans="1:1">
      <c r="A396" s="2"/>
    </row>
    <row r="397" spans="1:1">
      <c r="A397" s="2"/>
    </row>
    <row r="398" spans="1:1">
      <c r="A398" s="2"/>
    </row>
    <row r="399" spans="1:1">
      <c r="A399" s="2"/>
    </row>
    <row r="400" spans="1:1">
      <c r="A400" s="2"/>
    </row>
    <row r="401" spans="1:1">
      <c r="A401" s="2"/>
    </row>
    <row r="402" spans="1:1">
      <c r="A402" s="2"/>
    </row>
    <row r="403" spans="1:1">
      <c r="A403" s="2"/>
    </row>
    <row r="404" spans="1:1">
      <c r="A404" s="2"/>
    </row>
    <row r="405" spans="1:1">
      <c r="A405" s="2"/>
    </row>
    <row r="406" spans="1:1">
      <c r="A406" s="2"/>
    </row>
    <row r="407" spans="1:1">
      <c r="A407" s="2"/>
    </row>
    <row r="408" spans="1:1">
      <c r="A408" s="2"/>
    </row>
    <row r="409" spans="1:1">
      <c r="A409" s="2"/>
    </row>
    <row r="410" spans="1:1">
      <c r="A410" s="2"/>
    </row>
    <row r="411" spans="1:1">
      <c r="A411" s="2"/>
    </row>
    <row r="412" spans="1:1">
      <c r="A412" s="2"/>
    </row>
    <row r="413" spans="1:1">
      <c r="A413" s="2"/>
    </row>
    <row r="414" spans="1:1">
      <c r="A414" s="2"/>
    </row>
    <row r="415" spans="1:1">
      <c r="A415" s="2"/>
    </row>
    <row r="416" spans="1:1">
      <c r="A416" s="2"/>
    </row>
    <row r="417" spans="1:1">
      <c r="A417" s="2"/>
    </row>
    <row r="418" spans="1:1">
      <c r="A418" s="2"/>
    </row>
    <row r="419" spans="1:1">
      <c r="A419" s="2"/>
    </row>
    <row r="420" spans="1:1">
      <c r="A420" s="2"/>
    </row>
    <row r="421" spans="1:1">
      <c r="A421" s="2"/>
    </row>
    <row r="422" spans="1:1">
      <c r="A422" s="2"/>
    </row>
    <row r="423" spans="1:1">
      <c r="A423" s="2"/>
    </row>
    <row r="424" spans="1:1">
      <c r="A424" s="2"/>
    </row>
    <row r="425" spans="1:1">
      <c r="A425" s="2"/>
    </row>
    <row r="426" spans="1:1">
      <c r="A426" s="2"/>
    </row>
    <row r="427" spans="1:1">
      <c r="A427" s="2"/>
    </row>
    <row r="428" spans="1:1">
      <c r="A428" s="2"/>
    </row>
    <row r="429" spans="1:1">
      <c r="A429" s="2"/>
    </row>
    <row r="430" spans="1:1">
      <c r="A430" s="2"/>
    </row>
    <row r="431" spans="1:1">
      <c r="A431" s="2"/>
    </row>
    <row r="432" spans="1:1">
      <c r="A432" s="2"/>
    </row>
    <row r="433" spans="1:1">
      <c r="A433" s="2"/>
    </row>
    <row r="434" spans="1:1">
      <c r="A434" s="2"/>
    </row>
    <row r="435" spans="1:1">
      <c r="A435" s="2"/>
    </row>
    <row r="436" spans="1:1">
      <c r="A436" s="2"/>
    </row>
    <row r="437" spans="1:1">
      <c r="A437" s="2"/>
    </row>
    <row r="438" spans="1:1">
      <c r="A438" s="2"/>
    </row>
    <row r="439" spans="1:1">
      <c r="A439" s="2"/>
    </row>
    <row r="440" spans="1:1">
      <c r="A440" s="2"/>
    </row>
    <row r="441" spans="1:1">
      <c r="A441" s="2"/>
    </row>
    <row r="442" spans="1:1">
      <c r="A442" s="2"/>
    </row>
    <row r="443" spans="1:1">
      <c r="A443" s="2"/>
    </row>
    <row r="444" spans="1:1">
      <c r="A444" s="2"/>
    </row>
    <row r="445" spans="1:1">
      <c r="A445" s="2"/>
    </row>
    <row r="446" spans="1:1">
      <c r="A446" s="2"/>
    </row>
    <row r="447" spans="1:1">
      <c r="A447" s="2"/>
    </row>
    <row r="448" spans="1:1">
      <c r="A448" s="2"/>
    </row>
    <row r="449" spans="1:1">
      <c r="A449" s="2"/>
    </row>
    <row r="450" spans="1:1">
      <c r="A450" s="2"/>
    </row>
    <row r="451" spans="1:1">
      <c r="A451" s="2"/>
    </row>
    <row r="452" spans="1:1">
      <c r="A452" s="2"/>
    </row>
    <row r="453" spans="1:1">
      <c r="A453" s="2"/>
    </row>
    <row r="454" spans="1:1">
      <c r="A454" s="2"/>
    </row>
    <row r="455" spans="1:1">
      <c r="A455" s="2"/>
    </row>
    <row r="456" spans="1:1">
      <c r="A456" s="2"/>
    </row>
    <row r="457" spans="1:1">
      <c r="A457" s="2"/>
    </row>
    <row r="458" spans="1:1">
      <c r="A458" s="2"/>
    </row>
    <row r="459" spans="1:1">
      <c r="A459" s="2"/>
    </row>
    <row r="460" spans="1:1">
      <c r="A460" s="2"/>
    </row>
    <row r="461" spans="1:1">
      <c r="A461" s="2"/>
    </row>
    <row r="462" spans="1:1">
      <c r="A462" s="2"/>
    </row>
    <row r="463" spans="1:1">
      <c r="A463" s="2"/>
    </row>
    <row r="464" spans="1:1">
      <c r="A464" s="2"/>
    </row>
    <row r="465" spans="1:1">
      <c r="A465" s="2"/>
    </row>
    <row r="466" spans="1:1">
      <c r="A466" s="2"/>
    </row>
    <row r="467" spans="1:1">
      <c r="A467" s="2"/>
    </row>
    <row r="468" spans="1:1">
      <c r="A468" s="2"/>
    </row>
    <row r="469" spans="1:1">
      <c r="A469" s="2"/>
    </row>
    <row r="470" spans="1:1">
      <c r="A470" s="2"/>
    </row>
    <row r="471" spans="1:1">
      <c r="A471" s="2"/>
    </row>
    <row r="472" spans="1:1">
      <c r="A472" s="2"/>
    </row>
    <row r="473" spans="1:1">
      <c r="A473" s="2"/>
    </row>
    <row r="474" spans="1:1">
      <c r="A474" s="2"/>
    </row>
    <row r="475" spans="1:1">
      <c r="A475" s="2"/>
    </row>
    <row r="476" spans="1:1">
      <c r="A476" s="2"/>
    </row>
    <row r="477" spans="1:1">
      <c r="A477" s="2"/>
    </row>
    <row r="478" spans="1:1">
      <c r="A478" s="2"/>
    </row>
    <row r="479" spans="1:1">
      <c r="A479" s="2"/>
    </row>
    <row r="480" spans="1:1">
      <c r="A480" s="2"/>
    </row>
    <row r="481" spans="1:1">
      <c r="A481" s="2"/>
    </row>
    <row r="482" spans="1:1">
      <c r="A482" s="2"/>
    </row>
    <row r="483" spans="1:1">
      <c r="A483" s="2"/>
    </row>
    <row r="484" spans="1:1">
      <c r="A484" s="2"/>
    </row>
    <row r="485" spans="1:1">
      <c r="A485" s="2"/>
    </row>
    <row r="486" spans="1:1">
      <c r="A486" s="2"/>
    </row>
    <row r="487" spans="1:1">
      <c r="A487" s="2"/>
    </row>
    <row r="488" spans="1:1">
      <c r="A488" s="2"/>
    </row>
    <row r="489" spans="1:1">
      <c r="A489" s="2"/>
    </row>
    <row r="490" spans="1:1">
      <c r="A490" s="2"/>
    </row>
    <row r="491" spans="1:1">
      <c r="A491" s="2"/>
    </row>
    <row r="492" spans="1:1">
      <c r="A492" s="2"/>
    </row>
    <row r="493" spans="1:1">
      <c r="A493" s="2"/>
    </row>
    <row r="494" spans="1:1">
      <c r="A494" s="2"/>
    </row>
    <row r="495" spans="1:1">
      <c r="A495" s="2"/>
    </row>
    <row r="496" spans="1:1">
      <c r="A496" s="2"/>
    </row>
    <row r="497" spans="1:1">
      <c r="A497" s="2"/>
    </row>
    <row r="498" spans="1:1">
      <c r="A498" s="2"/>
    </row>
    <row r="499" spans="1:1">
      <c r="A499" s="2"/>
    </row>
    <row r="500" spans="1:1">
      <c r="A500" s="2"/>
    </row>
    <row r="501" spans="1:1">
      <c r="A501" s="2"/>
    </row>
    <row r="502" spans="1:1">
      <c r="A502" s="2"/>
    </row>
    <row r="503" spans="1:1">
      <c r="A503" s="2"/>
    </row>
    <row r="504" spans="1:1">
      <c r="A504" s="2"/>
    </row>
    <row r="505" spans="1:1">
      <c r="A505" s="2"/>
    </row>
    <row r="506" spans="1:1">
      <c r="A506" s="2"/>
    </row>
    <row r="507" spans="1:1">
      <c r="A507" s="2"/>
    </row>
    <row r="508" spans="1:1">
      <c r="A508" s="2"/>
    </row>
    <row r="509" spans="1:1">
      <c r="A509" s="2"/>
    </row>
    <row r="510" spans="1:1">
      <c r="A510" s="2"/>
    </row>
    <row r="511" spans="1:1">
      <c r="A511" s="2"/>
    </row>
    <row r="512" spans="1:1">
      <c r="A512" s="2"/>
    </row>
    <row r="513" spans="1:1">
      <c r="A513" s="2"/>
    </row>
    <row r="514" spans="1:1">
      <c r="A514" s="2"/>
    </row>
    <row r="515" spans="1:1">
      <c r="A515" s="2"/>
    </row>
    <row r="516" spans="1:1">
      <c r="A516" s="2"/>
    </row>
    <row r="517" spans="1:1">
      <c r="A517" s="2"/>
    </row>
    <row r="518" spans="1:1">
      <c r="A518" s="2"/>
    </row>
    <row r="519" spans="1:1">
      <c r="A519" s="2"/>
    </row>
    <row r="520" spans="1:1">
      <c r="A520" s="2"/>
    </row>
    <row r="521" spans="1:1">
      <c r="A521" s="2"/>
    </row>
    <row r="522" spans="1:1">
      <c r="A522" s="2"/>
    </row>
    <row r="523" spans="1:1">
      <c r="A523" s="2"/>
    </row>
    <row r="524" spans="1:1">
      <c r="A524" s="2"/>
    </row>
    <row r="525" spans="1:1">
      <c r="A525" s="2"/>
    </row>
    <row r="526" spans="1:1">
      <c r="A526" s="2"/>
    </row>
    <row r="527" spans="1:1">
      <c r="A527" s="2"/>
    </row>
    <row r="528" spans="1:1">
      <c r="A528" s="2"/>
    </row>
    <row r="529" spans="1:1">
      <c r="A529" s="2"/>
    </row>
    <row r="530" spans="1:1">
      <c r="A530" s="2"/>
    </row>
    <row r="531" spans="1:1">
      <c r="A531" s="2"/>
    </row>
    <row r="532" spans="1:1">
      <c r="A532" s="2"/>
    </row>
    <row r="533" spans="1:1">
      <c r="A533" s="2"/>
    </row>
    <row r="534" spans="1:1">
      <c r="A534" s="2"/>
    </row>
    <row r="535" spans="1:1">
      <c r="A535" s="2"/>
    </row>
    <row r="536" spans="1:1">
      <c r="A536" s="2"/>
    </row>
    <row r="537" spans="1:1">
      <c r="A537" s="2"/>
    </row>
    <row r="538" spans="1:1">
      <c r="A538" s="2"/>
    </row>
    <row r="539" spans="1:1">
      <c r="A539" s="2"/>
    </row>
    <row r="540" spans="1:1">
      <c r="A540" s="2"/>
    </row>
    <row r="541" spans="1:1">
      <c r="A541" s="2"/>
    </row>
    <row r="542" spans="1:1">
      <c r="A542" s="2"/>
    </row>
    <row r="543" spans="1:1">
      <c r="A543" s="2"/>
    </row>
    <row r="544" spans="1:1">
      <c r="A544" s="2"/>
    </row>
    <row r="545" spans="1:1">
      <c r="A545" s="2"/>
    </row>
    <row r="546" spans="1:1">
      <c r="A546" s="2"/>
    </row>
    <row r="547" spans="1:1">
      <c r="A547" s="2"/>
    </row>
    <row r="548" spans="1:1">
      <c r="A548" s="2"/>
    </row>
    <row r="549" spans="1:1">
      <c r="A549" s="2"/>
    </row>
    <row r="550" spans="1:1">
      <c r="A550" s="2"/>
    </row>
    <row r="551" spans="1:1">
      <c r="A551" s="2"/>
    </row>
    <row r="552" spans="1:1">
      <c r="A552" s="2"/>
    </row>
    <row r="553" spans="1:1">
      <c r="A553" s="2"/>
    </row>
    <row r="554" spans="1:1">
      <c r="A554" s="2"/>
    </row>
    <row r="555" spans="1:1">
      <c r="A555" s="2"/>
    </row>
    <row r="556" spans="1:1">
      <c r="A556" s="2"/>
    </row>
    <row r="557" spans="1:1">
      <c r="A557" s="2"/>
    </row>
    <row r="558" spans="1:1">
      <c r="A558" s="2"/>
    </row>
    <row r="559" spans="1:1">
      <c r="A559" s="2"/>
    </row>
    <row r="560" spans="1:1">
      <c r="A560" s="2"/>
    </row>
    <row r="561" spans="1:1">
      <c r="A561" s="2"/>
    </row>
    <row r="562" spans="1:1">
      <c r="A562" s="2"/>
    </row>
    <row r="563" spans="1:1">
      <c r="A563" s="2"/>
    </row>
    <row r="564" spans="1:1">
      <c r="A564" s="2"/>
    </row>
    <row r="565" spans="1:1">
      <c r="A565" s="2"/>
    </row>
    <row r="566" spans="1:1">
      <c r="A566" s="2"/>
    </row>
    <row r="567" spans="1:1">
      <c r="A567" s="2"/>
    </row>
    <row r="568" spans="1:1">
      <c r="A568" s="2"/>
    </row>
    <row r="569" spans="1:1">
      <c r="A569" s="2"/>
    </row>
    <row r="570" spans="1:1">
      <c r="A570" s="2"/>
    </row>
    <row r="571" spans="1:1">
      <c r="A571" s="2"/>
    </row>
    <row r="572" spans="1:1">
      <c r="A572" s="2"/>
    </row>
    <row r="573" spans="1:1">
      <c r="A573" s="2"/>
    </row>
    <row r="574" spans="1:1">
      <c r="A574" s="2"/>
    </row>
    <row r="575" spans="1:1">
      <c r="A575" s="2"/>
    </row>
    <row r="576" spans="1:1">
      <c r="A576" s="2"/>
    </row>
    <row r="577" spans="1:1">
      <c r="A577" s="2"/>
    </row>
    <row r="578" spans="1:1">
      <c r="A578" s="2"/>
    </row>
    <row r="579" spans="1:1">
      <c r="A579" s="2"/>
    </row>
    <row r="580" spans="1:1">
      <c r="A580" s="2"/>
    </row>
    <row r="581" spans="1:1">
      <c r="A581" s="2"/>
    </row>
    <row r="582" spans="1:1">
      <c r="A582" s="2"/>
    </row>
    <row r="583" spans="1:1">
      <c r="A583" s="2"/>
    </row>
    <row r="584" spans="1:1">
      <c r="A584" s="2"/>
    </row>
    <row r="585" spans="1:1">
      <c r="A585" s="2"/>
    </row>
    <row r="586" spans="1:1">
      <c r="A586" s="2"/>
    </row>
    <row r="587" spans="1:1">
      <c r="A587" s="2"/>
    </row>
    <row r="588" spans="1:1">
      <c r="A588" s="2"/>
    </row>
    <row r="589" spans="1:1">
      <c r="A589" s="2"/>
    </row>
    <row r="590" spans="1:1">
      <c r="A590" s="2"/>
    </row>
    <row r="591" spans="1:1">
      <c r="A591" s="2"/>
    </row>
    <row r="592" spans="1:1">
      <c r="A592" s="2"/>
    </row>
    <row r="593" spans="1:1">
      <c r="A593" s="2"/>
    </row>
    <row r="594" spans="1:1">
      <c r="A594" s="2"/>
    </row>
    <row r="595" spans="1:1">
      <c r="A595" s="2"/>
    </row>
    <row r="596" spans="1:1">
      <c r="A596" s="2"/>
    </row>
    <row r="597" spans="1:1">
      <c r="A597" s="2"/>
    </row>
    <row r="598" spans="1:1">
      <c r="A598" s="2"/>
    </row>
    <row r="599" spans="1:1">
      <c r="A599" s="2"/>
    </row>
    <row r="600" spans="1:1">
      <c r="A600" s="2"/>
    </row>
    <row r="601" spans="1:1">
      <c r="A601" s="2"/>
    </row>
    <row r="602" spans="1:1">
      <c r="A602" s="2"/>
    </row>
    <row r="603" spans="1:1">
      <c r="A603" s="2"/>
    </row>
    <row r="604" spans="1:1">
      <c r="A604" s="2"/>
    </row>
    <row r="605" spans="1:1">
      <c r="A605" s="2"/>
    </row>
    <row r="606" spans="1:1">
      <c r="A606" s="2"/>
    </row>
    <row r="607" spans="1:1">
      <c r="A607" s="2"/>
    </row>
    <row r="608" spans="1:1">
      <c r="A608" s="2"/>
    </row>
    <row r="609" spans="1:1">
      <c r="A609" s="2"/>
    </row>
    <row r="610" spans="1:1">
      <c r="A610" s="2"/>
    </row>
    <row r="611" spans="1:1">
      <c r="A611" s="2"/>
    </row>
    <row r="612" spans="1:1">
      <c r="A612" s="2"/>
    </row>
    <row r="613" spans="1:1">
      <c r="A613" s="2"/>
    </row>
    <row r="614" spans="1:1">
      <c r="A614" s="2"/>
    </row>
    <row r="615" spans="1:1">
      <c r="A615" s="2"/>
    </row>
    <row r="616" spans="1:1">
      <c r="A616" s="2"/>
    </row>
    <row r="617" spans="1:1">
      <c r="A617" s="2"/>
    </row>
    <row r="618" spans="1:1">
      <c r="A618" s="2"/>
    </row>
    <row r="619" spans="1:1">
      <c r="A619" s="2"/>
    </row>
    <row r="620" spans="1:1">
      <c r="A620" s="2"/>
    </row>
    <row r="621" spans="1:1">
      <c r="A621" s="2"/>
    </row>
    <row r="622" spans="1:1">
      <c r="A622" s="2"/>
    </row>
    <row r="623" spans="1:1">
      <c r="A623" s="2"/>
    </row>
    <row r="624" spans="1:1">
      <c r="A624" s="2"/>
    </row>
    <row r="625" spans="1:1">
      <c r="A625" s="2"/>
    </row>
    <row r="626" spans="1:1">
      <c r="A626" s="2"/>
    </row>
    <row r="627" spans="1:1">
      <c r="A627" s="2"/>
    </row>
    <row r="628" spans="1:1">
      <c r="A628" s="2"/>
    </row>
    <row r="629" spans="1:1">
      <c r="A629" s="2"/>
    </row>
    <row r="630" spans="1:1">
      <c r="A630" s="2"/>
    </row>
    <row r="631" spans="1:1">
      <c r="A631" s="2"/>
    </row>
    <row r="632" spans="1:1">
      <c r="A632" s="2"/>
    </row>
    <row r="633" spans="1:1">
      <c r="A633" s="2"/>
    </row>
    <row r="634" spans="1:1">
      <c r="A634" s="2"/>
    </row>
    <row r="635" spans="1:1">
      <c r="A635" s="2"/>
    </row>
    <row r="636" spans="1:1">
      <c r="A636" s="2"/>
    </row>
    <row r="637" spans="1:1">
      <c r="A637" s="2"/>
    </row>
    <row r="638" spans="1:1">
      <c r="A638" s="2"/>
    </row>
    <row r="639" spans="1:1">
      <c r="A639" s="2"/>
    </row>
    <row r="640" spans="1:1">
      <c r="A640" s="2"/>
    </row>
    <row r="641" spans="1:1">
      <c r="A641" s="2"/>
    </row>
    <row r="642" spans="1:1">
      <c r="A642" s="2"/>
    </row>
    <row r="643" spans="1:1">
      <c r="A643" s="2"/>
    </row>
    <row r="644" spans="1:1">
      <c r="A644" s="2"/>
    </row>
    <row r="645" spans="1:1">
      <c r="A645" s="2"/>
    </row>
    <row r="646" spans="1:1">
      <c r="A646" s="2"/>
    </row>
    <row r="647" spans="1:1">
      <c r="A647" s="2"/>
    </row>
    <row r="648" spans="1:1">
      <c r="A648" s="2"/>
    </row>
    <row r="649" spans="1:1">
      <c r="A649" s="2"/>
    </row>
    <row r="650" spans="1:1">
      <c r="A650" s="2"/>
    </row>
    <row r="651" spans="1:1">
      <c r="A651" s="2"/>
    </row>
    <row r="652" spans="1:1">
      <c r="A652" s="2"/>
    </row>
    <row r="653" spans="1:1">
      <c r="A653" s="2"/>
    </row>
    <row r="654" spans="1:1">
      <c r="A654" s="2"/>
    </row>
    <row r="655" spans="1:1">
      <c r="A655" s="2"/>
    </row>
    <row r="656" spans="1:1">
      <c r="A656" s="2"/>
    </row>
    <row r="657" spans="1:1">
      <c r="A657" s="2"/>
    </row>
    <row r="658" spans="1:1">
      <c r="A658" s="2"/>
    </row>
    <row r="659" spans="1:1">
      <c r="A659" s="2"/>
    </row>
    <row r="660" spans="1:1">
      <c r="A660" s="2"/>
    </row>
    <row r="661" spans="1:1">
      <c r="A661" s="2"/>
    </row>
    <row r="662" spans="1:1">
      <c r="A662" s="2"/>
    </row>
    <row r="663" spans="1:1">
      <c r="A663" s="2"/>
    </row>
    <row r="664" spans="1:1">
      <c r="A664" s="2"/>
    </row>
    <row r="665" spans="1:1">
      <c r="A665" s="2"/>
    </row>
    <row r="666" spans="1:1">
      <c r="A666" s="2"/>
    </row>
    <row r="667" spans="1:1">
      <c r="A667" s="2"/>
    </row>
    <row r="668" spans="1:1">
      <c r="A668" s="2"/>
    </row>
    <row r="669" spans="1:1">
      <c r="A669" s="2"/>
    </row>
    <row r="670" spans="1:1">
      <c r="A670" s="2"/>
    </row>
    <row r="671" spans="1:1">
      <c r="A671" s="2"/>
    </row>
    <row r="672" spans="1:1">
      <c r="A672" s="2"/>
    </row>
    <row r="673" spans="1:1">
      <c r="A673" s="2"/>
    </row>
    <row r="674" spans="1:1">
      <c r="A674" s="2"/>
    </row>
    <row r="675" spans="1:1">
      <c r="A675" s="2"/>
    </row>
    <row r="676" spans="1:1">
      <c r="A676" s="2"/>
    </row>
    <row r="677" spans="1:1">
      <c r="A677" s="2"/>
    </row>
    <row r="678" spans="1:1">
      <c r="A678" s="2"/>
    </row>
    <row r="679" spans="1:1">
      <c r="A679" s="2"/>
    </row>
    <row r="680" spans="1:1">
      <c r="A680" s="2"/>
    </row>
    <row r="681" spans="1:1">
      <c r="A681" s="2"/>
    </row>
    <row r="682" spans="1:1">
      <c r="A682" s="2"/>
    </row>
    <row r="683" spans="1:1">
      <c r="A683" s="2"/>
    </row>
    <row r="684" spans="1:1">
      <c r="A684" s="2"/>
    </row>
    <row r="685" spans="1:1">
      <c r="A685" s="2"/>
    </row>
    <row r="686" spans="1:1">
      <c r="A686" s="2"/>
    </row>
    <row r="687" spans="1:1">
      <c r="A687" s="2"/>
    </row>
    <row r="688" spans="1:1">
      <c r="A688" s="2"/>
    </row>
    <row r="689" spans="1:1">
      <c r="A689" s="2"/>
    </row>
    <row r="690" spans="1:1">
      <c r="A690" s="2"/>
    </row>
    <row r="691" spans="1:1">
      <c r="A691" s="2"/>
    </row>
    <row r="692" spans="1:1">
      <c r="A692" s="2"/>
    </row>
    <row r="693" spans="1:1">
      <c r="A693" s="2"/>
    </row>
    <row r="694" spans="1:1">
      <c r="A694" s="2"/>
    </row>
    <row r="695" spans="1:1">
      <c r="A695" s="2"/>
    </row>
    <row r="696" spans="1:1">
      <c r="A696" s="2"/>
    </row>
    <row r="697" spans="1:1">
      <c r="A697" s="2"/>
    </row>
    <row r="698" spans="1:1">
      <c r="A698" s="2"/>
    </row>
    <row r="699" spans="1:1">
      <c r="A699" s="2"/>
    </row>
    <row r="700" spans="1:1">
      <c r="A700" s="2"/>
    </row>
    <row r="701" spans="1:1">
      <c r="A701" s="2"/>
    </row>
    <row r="702" spans="1:1">
      <c r="A702" s="2"/>
    </row>
    <row r="703" spans="1:1">
      <c r="A703" s="2"/>
    </row>
    <row r="704" spans="1:1">
      <c r="A704" s="2"/>
    </row>
    <row r="705" spans="1:1">
      <c r="A705" s="2"/>
    </row>
    <row r="706" spans="1:1">
      <c r="A706" s="2"/>
    </row>
    <row r="707" spans="1:1">
      <c r="A707" s="2"/>
    </row>
    <row r="708" spans="1:1">
      <c r="A708" s="2"/>
    </row>
    <row r="709" spans="1:1">
      <c r="A709" s="2"/>
    </row>
    <row r="710" spans="1:1">
      <c r="A710" s="2"/>
    </row>
    <row r="711" spans="1:1">
      <c r="A711" s="2"/>
    </row>
    <row r="712" spans="1:1">
      <c r="A712" s="2"/>
    </row>
    <row r="713" spans="1:1">
      <c r="A713" s="2"/>
    </row>
    <row r="714" spans="1:1">
      <c r="A714" s="2"/>
    </row>
    <row r="715" spans="1:1">
      <c r="A715" s="2"/>
    </row>
    <row r="716" spans="1:1">
      <c r="A716" s="2"/>
    </row>
    <row r="717" spans="1:1">
      <c r="A717" s="2"/>
    </row>
    <row r="718" spans="1:1">
      <c r="A718" s="2"/>
    </row>
    <row r="719" spans="1:1">
      <c r="A719" s="2"/>
    </row>
    <row r="720" spans="1:1">
      <c r="A720" s="2"/>
    </row>
    <row r="721" spans="1:1">
      <c r="A721" s="2"/>
    </row>
    <row r="722" spans="1:1">
      <c r="A722" s="2"/>
    </row>
    <row r="723" spans="1:1">
      <c r="A723" s="2"/>
    </row>
    <row r="724" spans="1:1">
      <c r="A724" s="2"/>
    </row>
    <row r="725" spans="1:1">
      <c r="A725" s="2"/>
    </row>
    <row r="726" spans="1:1">
      <c r="A726" s="2"/>
    </row>
    <row r="727" spans="1:1">
      <c r="A727" s="2"/>
    </row>
    <row r="728" spans="1:1">
      <c r="A728" s="2"/>
    </row>
    <row r="729" spans="1:1">
      <c r="A729" s="2"/>
    </row>
    <row r="730" spans="1:1">
      <c r="A730" s="2"/>
    </row>
    <row r="731" spans="1:1">
      <c r="A731" s="2"/>
    </row>
    <row r="732" spans="1:1">
      <c r="A732" s="2"/>
    </row>
    <row r="733" spans="1:1">
      <c r="A733" s="2"/>
    </row>
    <row r="734" spans="1:1">
      <c r="A734" s="2"/>
    </row>
    <row r="735" spans="1:1">
      <c r="A735" s="2"/>
    </row>
    <row r="736" spans="1:1">
      <c r="A736" s="2"/>
    </row>
    <row r="737" spans="1:1">
      <c r="A737" s="2"/>
    </row>
    <row r="738" spans="1:1">
      <c r="A738" s="2"/>
    </row>
    <row r="739" spans="1:1">
      <c r="A739" s="2"/>
    </row>
    <row r="740" spans="1:1">
      <c r="A740" s="2"/>
    </row>
    <row r="741" spans="1:1">
      <c r="A741" s="2"/>
    </row>
    <row r="742" spans="1:1">
      <c r="A742" s="2"/>
    </row>
    <row r="743" spans="1:1">
      <c r="A743" s="2"/>
    </row>
    <row r="744" spans="1:1">
      <c r="A744" s="2"/>
    </row>
    <row r="745" spans="1:1">
      <c r="A745" s="2"/>
    </row>
    <row r="746" spans="1:1">
      <c r="A746" s="2"/>
    </row>
    <row r="747" spans="1:1">
      <c r="A747" s="2"/>
    </row>
    <row r="748" spans="1:1">
      <c r="A748" s="2"/>
    </row>
    <row r="749" spans="1:1">
      <c r="A749" s="2"/>
    </row>
    <row r="750" spans="1:1">
      <c r="A750" s="2"/>
    </row>
    <row r="751" spans="1:1">
      <c r="A751" s="2"/>
    </row>
    <row r="752" spans="1:1">
      <c r="A752" s="2"/>
    </row>
    <row r="753" spans="1:1">
      <c r="A753" s="2"/>
    </row>
    <row r="754" spans="1:1">
      <c r="A754" s="2"/>
    </row>
    <row r="755" spans="1:1">
      <c r="A755" s="2"/>
    </row>
    <row r="756" spans="1:1">
      <c r="A756" s="2"/>
    </row>
    <row r="757" spans="1:1">
      <c r="A757" s="2"/>
    </row>
    <row r="758" spans="1:1">
      <c r="A758" s="2"/>
    </row>
    <row r="759" spans="1:1">
      <c r="A759" s="2"/>
    </row>
    <row r="760" spans="1:1">
      <c r="A760" s="2"/>
    </row>
    <row r="761" spans="1:1">
      <c r="A761" s="2"/>
    </row>
    <row r="762" spans="1:1">
      <c r="A762" s="2"/>
    </row>
    <row r="763" spans="1:1">
      <c r="A763" s="2"/>
    </row>
    <row r="764" spans="1:1">
      <c r="A764" s="2"/>
    </row>
    <row r="765" spans="1:1">
      <c r="A765" s="2"/>
    </row>
    <row r="766" spans="1:1">
      <c r="A766" s="2"/>
    </row>
    <row r="767" spans="1:1">
      <c r="A767" s="2"/>
    </row>
    <row r="768" spans="1:1">
      <c r="A768" s="2"/>
    </row>
    <row r="769" spans="1:1">
      <c r="A769" s="2"/>
    </row>
    <row r="770" spans="1:1">
      <c r="A770" s="2"/>
    </row>
    <row r="771" spans="1:1">
      <c r="A771" s="2"/>
    </row>
    <row r="772" spans="1:1">
      <c r="A772" s="2"/>
    </row>
    <row r="773" spans="1:1">
      <c r="A773" s="2"/>
    </row>
    <row r="774" spans="1:1">
      <c r="A774" s="2"/>
    </row>
    <row r="775" spans="1:1">
      <c r="A775" s="2"/>
    </row>
    <row r="776" spans="1:1">
      <c r="A776" s="2"/>
    </row>
    <row r="777" spans="1:1">
      <c r="A777" s="2"/>
    </row>
    <row r="778" spans="1:1">
      <c r="A778" s="2"/>
    </row>
    <row r="779" spans="1:1">
      <c r="A779" s="2"/>
    </row>
    <row r="780" spans="1:1">
      <c r="A780" s="2"/>
    </row>
    <row r="781" spans="1:1">
      <c r="A781" s="2"/>
    </row>
    <row r="782" spans="1:1">
      <c r="A782" s="2"/>
    </row>
    <row r="783" spans="1:1">
      <c r="A783" s="2"/>
    </row>
    <row r="784" spans="1:1">
      <c r="A784" s="2"/>
    </row>
    <row r="785" spans="1:1">
      <c r="A785" s="2"/>
    </row>
    <row r="786" spans="1:1">
      <c r="A786" s="2"/>
    </row>
    <row r="787" spans="1:1">
      <c r="A787" s="2"/>
    </row>
    <row r="788" spans="1:1">
      <c r="A788" s="2"/>
    </row>
    <row r="789" spans="1:1">
      <c r="A789" s="2"/>
    </row>
    <row r="790" spans="1:1">
      <c r="A790" s="2"/>
    </row>
    <row r="791" spans="1:1">
      <c r="A791" s="2"/>
    </row>
    <row r="792" spans="1:1">
      <c r="A792" s="2"/>
    </row>
    <row r="793" spans="1:1">
      <c r="A793" s="2"/>
    </row>
    <row r="794" spans="1:1">
      <c r="A794" s="2"/>
    </row>
    <row r="795" spans="1:1">
      <c r="A795" s="2"/>
    </row>
    <row r="796" spans="1:1">
      <c r="A796" s="2"/>
    </row>
    <row r="797" spans="1:1">
      <c r="A797" s="2"/>
    </row>
    <row r="798" spans="1:1">
      <c r="A798" s="2"/>
    </row>
    <row r="799" spans="1:1">
      <c r="A799" s="2"/>
    </row>
    <row r="800" spans="1:1">
      <c r="A800" s="2"/>
    </row>
    <row r="801" spans="1:1">
      <c r="A801" s="2"/>
    </row>
    <row r="802" spans="1:1">
      <c r="A802" s="2"/>
    </row>
    <row r="803" spans="1:1">
      <c r="A803" s="2"/>
    </row>
    <row r="804" spans="1:1">
      <c r="A804" s="2"/>
    </row>
    <row r="805" spans="1:1">
      <c r="A805" s="2"/>
    </row>
    <row r="806" spans="1:1">
      <c r="A806" s="2"/>
    </row>
    <row r="807" spans="1:1">
      <c r="A807" s="2"/>
    </row>
    <row r="808" spans="1:1">
      <c r="A808" s="2"/>
    </row>
    <row r="809" spans="1:1">
      <c r="A809" s="2"/>
    </row>
    <row r="810" spans="1:1">
      <c r="A810" s="2"/>
    </row>
    <row r="811" spans="1:1">
      <c r="A811" s="2"/>
    </row>
    <row r="812" spans="1:1">
      <c r="A812" s="2"/>
    </row>
    <row r="813" spans="1:1">
      <c r="A813" s="2"/>
    </row>
    <row r="814" spans="1:1">
      <c r="A814" s="2"/>
    </row>
    <row r="815" spans="1:1">
      <c r="A815" s="2"/>
    </row>
    <row r="816" spans="1:1">
      <c r="A816" s="2"/>
    </row>
    <row r="817" spans="1:1">
      <c r="A817" s="2"/>
    </row>
    <row r="818" spans="1:1">
      <c r="A818" s="2"/>
    </row>
    <row r="819" spans="1:1">
      <c r="A819" s="2"/>
    </row>
    <row r="820" spans="1:1">
      <c r="A820" s="2"/>
    </row>
    <row r="821" spans="1:1">
      <c r="A821" s="2"/>
    </row>
    <row r="822" spans="1:1">
      <c r="A822" s="2"/>
    </row>
    <row r="823" spans="1:1">
      <c r="A823" s="2"/>
    </row>
    <row r="824" spans="1:1">
      <c r="A824" s="2"/>
    </row>
    <row r="825" spans="1:1">
      <c r="A825" s="2"/>
    </row>
    <row r="826" spans="1:1">
      <c r="A826" s="2"/>
    </row>
    <row r="827" spans="1:1">
      <c r="A827" s="2"/>
    </row>
    <row r="828" spans="1:1">
      <c r="A828" s="2"/>
    </row>
    <row r="829" spans="1:1">
      <c r="A829" s="2"/>
    </row>
    <row r="830" spans="1:1">
      <c r="A830" s="2"/>
    </row>
    <row r="831" spans="1:1">
      <c r="A831" s="2"/>
    </row>
    <row r="832" spans="1:1">
      <c r="A832" s="2"/>
    </row>
    <row r="833" spans="1:1">
      <c r="A833" s="2"/>
    </row>
    <row r="834" spans="1:1">
      <c r="A834" s="2"/>
    </row>
    <row r="835" spans="1:1">
      <c r="A835" s="2"/>
    </row>
    <row r="836" spans="1:1">
      <c r="A836" s="2"/>
    </row>
    <row r="837" spans="1:1">
      <c r="A837" s="2"/>
    </row>
    <row r="838" spans="1:1">
      <c r="A838" s="2"/>
    </row>
    <row r="839" spans="1:1">
      <c r="A839" s="2"/>
    </row>
    <row r="840" spans="1:1">
      <c r="A840" s="2"/>
    </row>
    <row r="841" spans="1:1">
      <c r="A841" s="2"/>
    </row>
    <row r="842" spans="1:1">
      <c r="A842" s="2"/>
    </row>
    <row r="843" spans="1:1">
      <c r="A843" s="2"/>
    </row>
    <row r="844" spans="1:1">
      <c r="A844" s="2"/>
    </row>
    <row r="845" spans="1:1">
      <c r="A845" s="2"/>
    </row>
    <row r="846" spans="1:1">
      <c r="A846" s="2"/>
    </row>
    <row r="847" spans="1:1">
      <c r="A847" s="2"/>
    </row>
    <row r="848" spans="1:1">
      <c r="A848" s="2"/>
    </row>
    <row r="849" spans="1:1">
      <c r="A849" s="2"/>
    </row>
    <row r="850" spans="1:1">
      <c r="A850" s="2"/>
    </row>
    <row r="851" spans="1:1">
      <c r="A851" s="2"/>
    </row>
    <row r="852" spans="1:1">
      <c r="A852" s="2"/>
    </row>
    <row r="853" spans="1:1">
      <c r="A853" s="2"/>
    </row>
    <row r="854" spans="1:1">
      <c r="A854" s="2"/>
    </row>
    <row r="855" spans="1:1">
      <c r="A855" s="2"/>
    </row>
    <row r="856" spans="1:1">
      <c r="A856" s="2"/>
    </row>
    <row r="857" spans="1:1">
      <c r="A857" s="2"/>
    </row>
    <row r="858" spans="1:1">
      <c r="A858" s="2"/>
    </row>
    <row r="859" spans="1:1">
      <c r="A859" s="2"/>
    </row>
    <row r="860" spans="1:1">
      <c r="A860" s="2"/>
    </row>
    <row r="861" spans="1:1">
      <c r="A861" s="2"/>
    </row>
    <row r="862" spans="1:1">
      <c r="A862" s="2"/>
    </row>
    <row r="863" spans="1:1">
      <c r="A863" s="2"/>
    </row>
    <row r="864" spans="1:1">
      <c r="A864" s="2"/>
    </row>
    <row r="865" spans="1:1">
      <c r="A865" s="2"/>
    </row>
    <row r="866" spans="1:1">
      <c r="A866" s="2"/>
    </row>
    <row r="867" spans="1:1">
      <c r="A867" s="2"/>
    </row>
    <row r="868" spans="1:1">
      <c r="A868" s="2"/>
    </row>
    <row r="869" spans="1:1">
      <c r="A869" s="2"/>
    </row>
    <row r="870" spans="1:1">
      <c r="A870" s="2"/>
    </row>
    <row r="871" spans="1:1">
      <c r="A871" s="2"/>
    </row>
    <row r="872" spans="1:1">
      <c r="A872" s="2"/>
    </row>
    <row r="873" spans="1:1">
      <c r="A873" s="2"/>
    </row>
    <row r="874" spans="1:1">
      <c r="A874" s="2"/>
    </row>
    <row r="875" spans="1:1">
      <c r="A875" s="2"/>
    </row>
    <row r="876" spans="1:1">
      <c r="A876" s="2"/>
    </row>
    <row r="877" spans="1:1">
      <c r="A877" s="2"/>
    </row>
    <row r="878" spans="1:1">
      <c r="A878" s="2"/>
    </row>
    <row r="879" spans="1:1">
      <c r="A879" s="2"/>
    </row>
    <row r="880" spans="1:1">
      <c r="A880" s="2"/>
    </row>
    <row r="881" spans="1:1">
      <c r="A881" s="2"/>
    </row>
    <row r="882" spans="1:1">
      <c r="A882" s="2"/>
    </row>
    <row r="883" spans="1:1">
      <c r="A883" s="2"/>
    </row>
    <row r="884" spans="1:1">
      <c r="A884" s="2"/>
    </row>
    <row r="885" spans="1:1">
      <c r="A885" s="2"/>
    </row>
    <row r="886" spans="1:1">
      <c r="A886" s="2"/>
    </row>
    <row r="887" spans="1:1">
      <c r="A887" s="2"/>
    </row>
    <row r="888" spans="1:1">
      <c r="A888" s="2"/>
    </row>
    <row r="889" spans="1:1">
      <c r="A889" s="2"/>
    </row>
    <row r="890" spans="1:1">
      <c r="A890" s="2"/>
    </row>
    <row r="891" spans="1:1">
      <c r="A891" s="2"/>
    </row>
    <row r="892" spans="1:1">
      <c r="A892" s="2"/>
    </row>
    <row r="893" spans="1:1">
      <c r="A893" s="2"/>
    </row>
    <row r="894" spans="1:1">
      <c r="A894" s="2"/>
    </row>
    <row r="895" spans="1:1">
      <c r="A895" s="2"/>
    </row>
    <row r="896" spans="1:1">
      <c r="A896" s="2"/>
    </row>
    <row r="897" spans="1:1">
      <c r="A897" s="2"/>
    </row>
    <row r="898" spans="1:1">
      <c r="A898" s="2"/>
    </row>
    <row r="899" spans="1:1">
      <c r="A899" s="2"/>
    </row>
    <row r="900" spans="1:1">
      <c r="A900" s="2"/>
    </row>
    <row r="901" spans="1:1">
      <c r="A901" s="2"/>
    </row>
    <row r="902" spans="1:1">
      <c r="A902" s="2"/>
    </row>
    <row r="903" spans="1:1">
      <c r="A903" s="2"/>
    </row>
    <row r="904" spans="1:1">
      <c r="A904" s="2"/>
    </row>
    <row r="905" spans="1:1">
      <c r="A905" s="2"/>
    </row>
    <row r="906" spans="1:1">
      <c r="A906" s="2"/>
    </row>
    <row r="907" spans="1:1">
      <c r="A907" s="2"/>
    </row>
    <row r="908" spans="1:1">
      <c r="A908" s="2"/>
    </row>
    <row r="909" spans="1:1">
      <c r="A909" s="2"/>
    </row>
    <row r="910" spans="1:1">
      <c r="A910" s="2"/>
    </row>
    <row r="911" spans="1:1">
      <c r="A911" s="2"/>
    </row>
    <row r="912" spans="1:1">
      <c r="A912" s="2"/>
    </row>
    <row r="913" spans="1:1">
      <c r="A913" s="2"/>
    </row>
    <row r="914" spans="1:1">
      <c r="A914" s="2"/>
    </row>
    <row r="915" spans="1:1">
      <c r="A915" s="2"/>
    </row>
    <row r="916" spans="1:1">
      <c r="A916" s="2"/>
    </row>
    <row r="917" spans="1:1">
      <c r="A917" s="2"/>
    </row>
    <row r="918" spans="1:1">
      <c r="A918" s="2"/>
    </row>
    <row r="919" spans="1:1">
      <c r="A919" s="2"/>
    </row>
    <row r="920" spans="1:1">
      <c r="A920" s="2"/>
    </row>
    <row r="921" spans="1:1">
      <c r="A921" s="2"/>
    </row>
    <row r="922" spans="1:1">
      <c r="A922" s="2"/>
    </row>
    <row r="923" spans="1:1">
      <c r="A923" s="2"/>
    </row>
    <row r="924" spans="1:1">
      <c r="A924" s="2"/>
    </row>
    <row r="925" spans="1:1">
      <c r="A925" s="2"/>
    </row>
    <row r="926" spans="1:1">
      <c r="A926" s="2"/>
    </row>
    <row r="927" spans="1:1">
      <c r="A927" s="2"/>
    </row>
    <row r="928" spans="1:1">
      <c r="A928" s="2"/>
    </row>
    <row r="929" spans="1:1">
      <c r="A929" s="2"/>
    </row>
    <row r="930" spans="1:1">
      <c r="A930" s="2"/>
    </row>
    <row r="931" spans="1:1">
      <c r="A931" s="2"/>
    </row>
    <row r="932" spans="1:1">
      <c r="A932" s="2"/>
    </row>
    <row r="933" spans="1:1">
      <c r="A933" s="2"/>
    </row>
    <row r="934" spans="1:1">
      <c r="A934" s="2"/>
    </row>
    <row r="935" spans="1:1">
      <c r="A935" s="2"/>
    </row>
    <row r="936" spans="1:1">
      <c r="A936" s="2"/>
    </row>
    <row r="937" spans="1:1">
      <c r="A937" s="2"/>
    </row>
    <row r="938" spans="1:1">
      <c r="A938" s="2"/>
    </row>
    <row r="939" spans="1:1">
      <c r="A939" s="2"/>
    </row>
    <row r="940" spans="1:1">
      <c r="A940" s="2"/>
    </row>
    <row r="941" spans="1:1">
      <c r="A941" s="2"/>
    </row>
    <row r="942" spans="1:1">
      <c r="A942" s="2"/>
    </row>
    <row r="943" spans="1:1">
      <c r="A943" s="2"/>
    </row>
    <row r="944" spans="1:1">
      <c r="A944" s="2"/>
    </row>
    <row r="945" spans="1:1">
      <c r="A945" s="2"/>
    </row>
    <row r="946" spans="1:1">
      <c r="A946" s="2"/>
    </row>
    <row r="947" spans="1:1">
      <c r="A947" s="2"/>
    </row>
    <row r="948" spans="1:1">
      <c r="A948" s="2"/>
    </row>
    <row r="949" spans="1:1">
      <c r="A949" s="2"/>
    </row>
    <row r="950" spans="1:1">
      <c r="A950" s="2"/>
    </row>
    <row r="951" spans="1:1">
      <c r="A951" s="2"/>
    </row>
    <row r="952" spans="1:1">
      <c r="A952" s="2"/>
    </row>
    <row r="953" spans="1:1">
      <c r="A953" s="2"/>
    </row>
    <row r="954" spans="1:1">
      <c r="A954" s="2"/>
    </row>
    <row r="955" spans="1:1">
      <c r="A955" s="2"/>
    </row>
    <row r="956" spans="1:1">
      <c r="A956" s="2"/>
    </row>
    <row r="957" spans="1:1">
      <c r="A957" s="2"/>
    </row>
    <row r="958" spans="1:1">
      <c r="A958" s="2"/>
    </row>
    <row r="959" spans="1:1">
      <c r="A959" s="2"/>
    </row>
    <row r="960" spans="1:1">
      <c r="A960" s="2"/>
    </row>
    <row r="961" spans="1:1">
      <c r="A961" s="2"/>
    </row>
    <row r="962" spans="1:1">
      <c r="A962" s="2"/>
    </row>
    <row r="963" spans="1:1">
      <c r="A963" s="2"/>
    </row>
    <row r="964" spans="1:1">
      <c r="A964" s="2"/>
    </row>
    <row r="965" spans="1:1">
      <c r="A965" s="2"/>
    </row>
    <row r="966" spans="1:1">
      <c r="A966" s="2"/>
    </row>
    <row r="967" spans="1:1">
      <c r="A967" s="2"/>
    </row>
    <row r="968" spans="1:1">
      <c r="A968" s="2"/>
    </row>
    <row r="969" spans="1:1">
      <c r="A969" s="2"/>
    </row>
    <row r="970" spans="1:1">
      <c r="A970" s="2"/>
    </row>
    <row r="971" spans="1:1">
      <c r="A971" s="2"/>
    </row>
    <row r="972" spans="1:1">
      <c r="A972" s="2"/>
    </row>
    <row r="973" spans="1:1">
      <c r="A973" s="2"/>
    </row>
    <row r="974" spans="1:1">
      <c r="A974" s="2"/>
    </row>
    <row r="975" spans="1:1">
      <c r="A975" s="2"/>
    </row>
    <row r="976" spans="1:1">
      <c r="A976" s="2"/>
    </row>
    <row r="977" spans="1:1">
      <c r="A977" s="2"/>
    </row>
    <row r="978" spans="1:1">
      <c r="A978" s="2"/>
    </row>
    <row r="979" spans="1:1">
      <c r="A979" s="2"/>
    </row>
    <row r="980" spans="1:1">
      <c r="A980" s="2"/>
    </row>
    <row r="981" spans="1:1">
      <c r="A981" s="2"/>
    </row>
    <row r="982" spans="1:1">
      <c r="A982" s="2"/>
    </row>
    <row r="983" spans="1:1">
      <c r="A983" s="2"/>
    </row>
    <row r="984" spans="1:1">
      <c r="A984" s="2"/>
    </row>
    <row r="985" spans="1:1">
      <c r="A985" s="2"/>
    </row>
    <row r="986" spans="1:1">
      <c r="A986" s="2"/>
    </row>
    <row r="987" spans="1:1">
      <c r="A987" s="2"/>
    </row>
    <row r="988" spans="1:1">
      <c r="A988" s="2"/>
    </row>
    <row r="989" spans="1:1">
      <c r="A989" s="2"/>
    </row>
    <row r="990" spans="1:1">
      <c r="A990" s="2"/>
    </row>
    <row r="991" spans="1:1">
      <c r="A991" s="2"/>
    </row>
    <row r="992" spans="1:1">
      <c r="A992" s="2"/>
    </row>
    <row r="993" spans="1:1">
      <c r="A993" s="2"/>
    </row>
    <row r="994" spans="1:1">
      <c r="A994" s="2"/>
    </row>
    <row r="995" spans="1:1">
      <c r="A995" s="2"/>
    </row>
    <row r="996" spans="1:1">
      <c r="A996" s="2"/>
    </row>
    <row r="997" spans="1:1">
      <c r="A997" s="2"/>
    </row>
    <row r="998" spans="1:1">
      <c r="A998" s="2"/>
    </row>
    <row r="999" spans="1:1">
      <c r="A999" s="2"/>
    </row>
    <row r="1000" spans="1:1">
      <c r="A1000" s="2"/>
    </row>
    <row r="1001" spans="1:1">
      <c r="A1001" s="2"/>
    </row>
    <row r="1002" spans="1:1">
      <c r="A1002" s="2"/>
    </row>
    <row r="1003" spans="1:1">
      <c r="A1003" s="2"/>
    </row>
    <row r="1004" spans="1:1">
      <c r="A1004" s="2"/>
    </row>
    <row r="1005" spans="1:1">
      <c r="A1005" s="2"/>
    </row>
    <row r="1006" spans="1:1">
      <c r="A1006" s="2"/>
    </row>
    <row r="1007" spans="1:1">
      <c r="A1007" s="2"/>
    </row>
    <row r="1008" spans="1:1">
      <c r="A1008" s="2"/>
    </row>
    <row r="1009" spans="1:1">
      <c r="A1009" s="2"/>
    </row>
    <row r="1010" spans="1:1">
      <c r="A1010" s="2"/>
    </row>
    <row r="1011" spans="1:1">
      <c r="A1011" s="2"/>
    </row>
    <row r="1012" spans="1:1">
      <c r="A1012" s="2"/>
    </row>
    <row r="1013" spans="1:1">
      <c r="A1013" s="2"/>
    </row>
    <row r="1014" spans="1:1">
      <c r="A1014" s="2"/>
    </row>
    <row r="1015" spans="1:1">
      <c r="A1015" s="2"/>
    </row>
    <row r="1016" spans="1:1">
      <c r="A1016" s="2"/>
    </row>
    <row r="1017" spans="1:1">
      <c r="A1017" s="2"/>
    </row>
    <row r="1018" spans="1:1">
      <c r="A1018" s="2"/>
    </row>
    <row r="1019" spans="1:1">
      <c r="A1019" s="2"/>
    </row>
    <row r="1020" spans="1:1">
      <c r="A1020" s="2"/>
    </row>
    <row r="1021" spans="1:1">
      <c r="A1021" s="2"/>
    </row>
    <row r="1022" spans="1:1">
      <c r="A1022" s="2"/>
    </row>
    <row r="1023" spans="1:1">
      <c r="A1023" s="2"/>
    </row>
    <row r="1024" spans="1:1">
      <c r="A1024" s="2"/>
    </row>
    <row r="1025" spans="1:1">
      <c r="A1025" s="2"/>
    </row>
    <row r="1026" spans="1:1">
      <c r="A1026" s="2"/>
    </row>
    <row r="1027" spans="1:1">
      <c r="A1027" s="2"/>
    </row>
    <row r="1028" spans="1:1">
      <c r="A1028" s="2"/>
    </row>
    <row r="1029" spans="1:1">
      <c r="A1029" s="2"/>
    </row>
    <row r="1030" spans="1:1">
      <c r="A1030" s="2"/>
    </row>
    <row r="1031" spans="1:1">
      <c r="A1031" s="2"/>
    </row>
    <row r="1032" spans="1:1">
      <c r="A1032" s="2"/>
    </row>
    <row r="1033" spans="1:1">
      <c r="A1033" s="2"/>
    </row>
    <row r="1034" spans="1:1">
      <c r="A1034" s="2"/>
    </row>
    <row r="1035" spans="1:1">
      <c r="A1035" s="2"/>
    </row>
    <row r="1036" spans="1:1">
      <c r="A1036" s="2"/>
    </row>
    <row r="1037" spans="1:1">
      <c r="A1037" s="2"/>
    </row>
    <row r="1038" spans="1:1">
      <c r="A1038" s="2"/>
    </row>
    <row r="1039" spans="1:1">
      <c r="A1039" s="2"/>
    </row>
    <row r="1040" spans="1:1">
      <c r="A1040" s="2"/>
    </row>
    <row r="1041" spans="1:1">
      <c r="A1041" s="2"/>
    </row>
    <row r="1042" spans="1:1">
      <c r="A1042" s="2"/>
    </row>
    <row r="1043" spans="1:1">
      <c r="A1043" s="2"/>
    </row>
    <row r="1044" spans="1:1">
      <c r="A1044" s="2"/>
    </row>
    <row r="1045" spans="1:1">
      <c r="A1045" s="2"/>
    </row>
    <row r="1046" spans="1:1">
      <c r="A1046" s="2"/>
    </row>
    <row r="1047" spans="1:1">
      <c r="A1047" s="2"/>
    </row>
    <row r="1048" spans="1:1">
      <c r="A1048" s="2"/>
    </row>
    <row r="1049" spans="1:1">
      <c r="A1049" s="2"/>
    </row>
    <row r="1050" spans="1:1">
      <c r="A1050" s="2"/>
    </row>
    <row r="1051" spans="1:1">
      <c r="A1051" s="2"/>
    </row>
    <row r="1052" spans="1:1">
      <c r="A1052" s="2"/>
    </row>
    <row r="1053" spans="1:1">
      <c r="A1053" s="2"/>
    </row>
    <row r="1054" spans="1:1">
      <c r="A1054" s="2"/>
    </row>
    <row r="1055" spans="1:1">
      <c r="A1055" s="2"/>
    </row>
    <row r="1056" spans="1:1">
      <c r="A1056" s="2"/>
    </row>
    <row r="1057" spans="1:1">
      <c r="A1057" s="2"/>
    </row>
    <row r="1058" spans="1:1">
      <c r="A1058" s="2"/>
    </row>
    <row r="1059" spans="1:1">
      <c r="A1059" s="2"/>
    </row>
    <row r="1060" spans="1:1">
      <c r="A1060" s="2"/>
    </row>
    <row r="1061" spans="1:1">
      <c r="A1061" s="2"/>
    </row>
    <row r="1062" spans="1:1">
      <c r="A1062" s="2"/>
    </row>
    <row r="1063" spans="1:1">
      <c r="A1063" s="2"/>
    </row>
    <row r="1064" spans="1:1">
      <c r="A1064" s="2"/>
    </row>
    <row r="1065" spans="1:1">
      <c r="A1065" s="2"/>
    </row>
    <row r="1066" spans="1:1">
      <c r="A1066" s="2"/>
    </row>
    <row r="1067" spans="1:1">
      <c r="A1067" s="2"/>
    </row>
    <row r="1068" spans="1:1">
      <c r="A1068" s="2"/>
    </row>
    <row r="1069" spans="1:1">
      <c r="A1069" s="2"/>
    </row>
    <row r="1070" spans="1:1">
      <c r="A1070" s="2"/>
    </row>
    <row r="1071" spans="1:1">
      <c r="A1071" s="2"/>
    </row>
    <row r="1072" spans="1:1">
      <c r="A1072" s="2"/>
    </row>
    <row r="1073" spans="1:1">
      <c r="A1073" s="2"/>
    </row>
    <row r="1074" spans="1:1">
      <c r="A1074" s="2"/>
    </row>
    <row r="1075" spans="1:1">
      <c r="A1075" s="2"/>
    </row>
    <row r="1076" spans="1:1">
      <c r="A1076" s="2"/>
    </row>
    <row r="1077" spans="1:1">
      <c r="A1077" s="2"/>
    </row>
    <row r="1078" spans="1:1">
      <c r="A1078" s="2"/>
    </row>
    <row r="1079" spans="1:1">
      <c r="A1079" s="2"/>
    </row>
    <row r="1080" spans="1:1">
      <c r="A1080" s="2"/>
    </row>
    <row r="1081" spans="1:1">
      <c r="A1081" s="2"/>
    </row>
    <row r="1082" spans="1:1">
      <c r="A1082" s="2"/>
    </row>
    <row r="1083" spans="1:1">
      <c r="A1083" s="2"/>
    </row>
    <row r="1084" spans="1:1">
      <c r="A1084" s="2"/>
    </row>
    <row r="1085" spans="1:1">
      <c r="A1085" s="2"/>
    </row>
    <row r="1086" spans="1:1">
      <c r="A1086" s="2"/>
    </row>
    <row r="1087" spans="1:1">
      <c r="A1087" s="2"/>
    </row>
    <row r="1088" spans="1:1">
      <c r="A1088" s="2"/>
    </row>
    <row r="1089" spans="1:1">
      <c r="A1089" s="2"/>
    </row>
    <row r="1090" spans="1:1">
      <c r="A1090" s="2"/>
    </row>
    <row r="1091" spans="1:1">
      <c r="A1091" s="2"/>
    </row>
    <row r="1092" spans="1:1">
      <c r="A1092" s="2"/>
    </row>
    <row r="1093" spans="1:1">
      <c r="A1093" s="2"/>
    </row>
    <row r="1094" spans="1:1">
      <c r="A1094" s="2"/>
    </row>
    <row r="1095" spans="1:1">
      <c r="A1095" s="2"/>
    </row>
    <row r="1096" spans="1:1">
      <c r="A1096" s="2"/>
    </row>
    <row r="1097" spans="1:1">
      <c r="A1097" s="2"/>
    </row>
    <row r="1098" spans="1:1">
      <c r="A1098" s="2"/>
    </row>
    <row r="1099" spans="1:1">
      <c r="A1099" s="2"/>
    </row>
    <row r="1100" spans="1:1">
      <c r="A1100" s="2"/>
    </row>
    <row r="1101" spans="1:1">
      <c r="A1101" s="2"/>
    </row>
    <row r="1102" spans="1:1">
      <c r="A1102" s="2"/>
    </row>
    <row r="1103" spans="1:1">
      <c r="A1103" s="2"/>
    </row>
    <row r="1104" spans="1:1">
      <c r="A1104" s="2"/>
    </row>
    <row r="1105" spans="1:1">
      <c r="A1105" s="2"/>
    </row>
    <row r="1106" spans="1:1">
      <c r="A1106" s="2"/>
    </row>
    <row r="1107" spans="1:1">
      <c r="A1107" s="2"/>
    </row>
    <row r="1108" spans="1:1">
      <c r="A1108" s="2"/>
    </row>
    <row r="1109" spans="1:1">
      <c r="A1109" s="2"/>
    </row>
    <row r="1110" spans="1:1">
      <c r="A1110" s="2"/>
    </row>
    <row r="1111" spans="1:1">
      <c r="A1111" s="2"/>
    </row>
    <row r="1112" spans="1:1">
      <c r="A1112" s="2"/>
    </row>
    <row r="1113" spans="1:1">
      <c r="A1113" s="2"/>
    </row>
    <row r="1114" spans="1:1">
      <c r="A1114" s="2"/>
    </row>
    <row r="1115" spans="1:1">
      <c r="A1115" s="2"/>
    </row>
    <row r="1116" spans="1:1">
      <c r="A1116" s="2"/>
    </row>
    <row r="1117" spans="1:1">
      <c r="A1117" s="2"/>
    </row>
    <row r="1118" spans="1:1">
      <c r="A1118" s="2"/>
    </row>
    <row r="1119" spans="1:1">
      <c r="A1119" s="2"/>
    </row>
    <row r="1120" spans="1:1">
      <c r="A1120" s="2"/>
    </row>
    <row r="1121" spans="1:1">
      <c r="A1121" s="2"/>
    </row>
    <row r="1122" spans="1:1">
      <c r="A1122" s="2"/>
    </row>
    <row r="1123" spans="1:1">
      <c r="A1123" s="2"/>
    </row>
    <row r="1124" spans="1:1">
      <c r="A1124" s="2"/>
    </row>
    <row r="1125" spans="1:1">
      <c r="A1125" s="2"/>
    </row>
    <row r="1126" spans="1:1">
      <c r="A1126" s="2"/>
    </row>
    <row r="1127" spans="1:1">
      <c r="A1127" s="2"/>
    </row>
    <row r="1128" spans="1:1">
      <c r="A1128" s="2"/>
    </row>
    <row r="1129" spans="1:1">
      <c r="A1129" s="2"/>
    </row>
    <row r="1130" spans="1:1">
      <c r="A1130" s="2"/>
    </row>
    <row r="1131" spans="1:1">
      <c r="A1131" s="2"/>
    </row>
    <row r="1132" spans="1:1">
      <c r="A1132" s="2"/>
    </row>
    <row r="1133" spans="1:1">
      <c r="A1133" s="2"/>
    </row>
    <row r="1134" spans="1:1">
      <c r="A1134" s="2"/>
    </row>
    <row r="1135" spans="1:1">
      <c r="A1135" s="2"/>
    </row>
    <row r="1136" spans="1:1">
      <c r="A1136" s="2"/>
    </row>
    <row r="1137" spans="1:1">
      <c r="A1137" s="2"/>
    </row>
    <row r="1138" spans="1:1">
      <c r="A1138" s="2"/>
    </row>
    <row r="1139" spans="1:1">
      <c r="A1139" s="2"/>
    </row>
    <row r="1140" spans="1:1">
      <c r="A1140" s="2"/>
    </row>
    <row r="1141" spans="1:1">
      <c r="A1141" s="2"/>
    </row>
    <row r="1142" spans="1:1">
      <c r="A1142" s="2"/>
    </row>
    <row r="1143" spans="1:1">
      <c r="A1143" s="2"/>
    </row>
    <row r="1144" spans="1:1">
      <c r="A1144" s="2"/>
    </row>
    <row r="1145" spans="1:1">
      <c r="A1145" s="2"/>
    </row>
    <row r="1146" spans="1:1">
      <c r="A1146" s="2"/>
    </row>
    <row r="1147" spans="1:1">
      <c r="A1147" s="2"/>
    </row>
    <row r="1148" spans="1:1">
      <c r="A1148" s="2"/>
    </row>
    <row r="1149" spans="1:1">
      <c r="A1149" s="2"/>
    </row>
    <row r="1150" spans="1:1">
      <c r="A1150" s="2"/>
    </row>
    <row r="1151" spans="1:1">
      <c r="A1151" s="2"/>
    </row>
    <row r="1152" spans="1:1">
      <c r="A1152" s="2"/>
    </row>
    <row r="1153" spans="1:1">
      <c r="A1153" s="2"/>
    </row>
    <row r="1154" spans="1:1">
      <c r="A1154" s="2"/>
    </row>
    <row r="1155" spans="1:1">
      <c r="A1155" s="2"/>
    </row>
    <row r="1156" spans="1:1">
      <c r="A1156" s="2"/>
    </row>
    <row r="1157" spans="1:1">
      <c r="A1157" s="2"/>
    </row>
    <row r="1158" spans="1:1">
      <c r="A1158" s="2"/>
    </row>
    <row r="1159" spans="1:1">
      <c r="A1159" s="2"/>
    </row>
    <row r="1160" spans="1:1">
      <c r="A1160" s="2"/>
    </row>
    <row r="1161" spans="1:1">
      <c r="A1161" s="2"/>
    </row>
    <row r="1162" spans="1:1">
      <c r="A1162" s="2"/>
    </row>
    <row r="1163" spans="1:1">
      <c r="A1163" s="2"/>
    </row>
    <row r="1164" spans="1:1">
      <c r="A1164" s="2"/>
    </row>
    <row r="1165" spans="1:1">
      <c r="A1165" s="2"/>
    </row>
    <row r="1166" spans="1:1">
      <c r="A1166" s="2"/>
    </row>
    <row r="1167" spans="1:1">
      <c r="A1167" s="2"/>
    </row>
    <row r="1168" spans="1:1">
      <c r="A1168" s="2"/>
    </row>
    <row r="1169" spans="1:1">
      <c r="A1169" s="2"/>
    </row>
    <row r="1170" spans="1:1">
      <c r="A1170" s="2"/>
    </row>
    <row r="1171" spans="1:1">
      <c r="A1171" s="2"/>
    </row>
    <row r="1172" spans="1:1">
      <c r="A1172" s="2"/>
    </row>
    <row r="1173" spans="1:1">
      <c r="A1173" s="2"/>
    </row>
    <row r="1174" spans="1:1">
      <c r="A1174" s="2"/>
    </row>
    <row r="1175" spans="1:1">
      <c r="A1175" s="2"/>
    </row>
    <row r="1176" spans="1:1">
      <c r="A1176" s="2"/>
    </row>
    <row r="1177" spans="1:1">
      <c r="A1177" s="2"/>
    </row>
    <row r="1178" spans="1:1">
      <c r="A1178" s="2"/>
    </row>
    <row r="1179" spans="1:1">
      <c r="A1179" s="2"/>
    </row>
    <row r="1180" spans="1:1">
      <c r="A1180" s="2"/>
    </row>
    <row r="1181" spans="1:1">
      <c r="A1181" s="2"/>
    </row>
    <row r="1182" spans="1:1">
      <c r="A1182" s="2"/>
    </row>
    <row r="1183" spans="1:1">
      <c r="A1183" s="2"/>
    </row>
    <row r="1184" spans="1:1">
      <c r="A1184" s="2"/>
    </row>
    <row r="1185" spans="1:1">
      <c r="A1185" s="2"/>
    </row>
    <row r="1186" spans="1:1">
      <c r="A1186" s="2"/>
    </row>
    <row r="1187" spans="1:1">
      <c r="A1187" s="2"/>
    </row>
    <row r="1188" spans="1:1">
      <c r="A1188" s="2"/>
    </row>
    <row r="1189" spans="1:1">
      <c r="A1189" s="2"/>
    </row>
    <row r="1190" spans="1:1">
      <c r="A1190" s="2"/>
    </row>
    <row r="1191" spans="1:1">
      <c r="A1191" s="2"/>
    </row>
    <row r="1192" spans="1:1">
      <c r="A1192" s="2"/>
    </row>
    <row r="1193" spans="1:1">
      <c r="A1193" s="2"/>
    </row>
    <row r="1194" spans="1:1">
      <c r="A1194" s="2"/>
    </row>
    <row r="1195" spans="1:1">
      <c r="A1195" s="2"/>
    </row>
    <row r="1196" spans="1:1">
      <c r="A1196" s="2"/>
    </row>
    <row r="1197" spans="1:1">
      <c r="A1197" s="2"/>
    </row>
    <row r="1198" spans="1:1">
      <c r="A1198" s="2"/>
    </row>
    <row r="1199" spans="1:1">
      <c r="A1199" s="2"/>
    </row>
    <row r="1200" spans="1:1">
      <c r="A1200" s="2"/>
    </row>
    <row r="1201" spans="1:1">
      <c r="A1201" s="2"/>
    </row>
    <row r="1202" spans="1:1">
      <c r="A1202" s="2"/>
    </row>
    <row r="1203" spans="1:1">
      <c r="A1203" s="2"/>
    </row>
    <row r="1204" spans="1:1">
      <c r="A1204" s="2"/>
    </row>
    <row r="1205" spans="1:1">
      <c r="A1205" s="2"/>
    </row>
    <row r="1206" spans="1:1">
      <c r="A1206" s="2"/>
    </row>
    <row r="1207" spans="1:1">
      <c r="A1207" s="2"/>
    </row>
    <row r="1208" spans="1:1">
      <c r="A1208" s="2"/>
    </row>
    <row r="1209" spans="1:1">
      <c r="A1209" s="2"/>
    </row>
    <row r="1210" spans="1:1">
      <c r="A1210" s="2"/>
    </row>
    <row r="1211" spans="1:1">
      <c r="A1211" s="2"/>
    </row>
    <row r="1212" spans="1:1">
      <c r="A1212" s="2"/>
    </row>
    <row r="1213" spans="1:1">
      <c r="A1213" s="2"/>
    </row>
    <row r="1214" spans="1:1">
      <c r="A1214" s="2"/>
    </row>
    <row r="1215" spans="1:1">
      <c r="A1215" s="2"/>
    </row>
    <row r="1216" spans="1:1">
      <c r="A1216" s="2"/>
    </row>
    <row r="1217" spans="1:1">
      <c r="A1217" s="2"/>
    </row>
    <row r="1218" spans="1:1">
      <c r="A1218" s="2"/>
    </row>
    <row r="1219" spans="1:1">
      <c r="A1219" s="2"/>
    </row>
    <row r="1220" spans="1:1">
      <c r="A1220" s="2"/>
    </row>
    <row r="1221" spans="1:1">
      <c r="A1221" s="2"/>
    </row>
    <row r="1222" spans="1:1">
      <c r="A1222" s="2"/>
    </row>
    <row r="1223" spans="1:1">
      <c r="A1223" s="2"/>
    </row>
    <row r="1224" spans="1:1">
      <c r="A1224" s="2"/>
    </row>
    <row r="1225" spans="1:1">
      <c r="A1225" s="2"/>
    </row>
    <row r="1226" spans="1:1">
      <c r="A1226" s="2"/>
    </row>
    <row r="1227" spans="1:1">
      <c r="A1227" s="2"/>
    </row>
    <row r="1228" spans="1:1">
      <c r="A1228" s="2"/>
    </row>
    <row r="1229" spans="1:1">
      <c r="A1229" s="2"/>
    </row>
    <row r="1230" spans="1:1">
      <c r="A1230" s="2"/>
    </row>
    <row r="1231" spans="1:1">
      <c r="A1231" s="2"/>
    </row>
    <row r="1232" spans="1:1">
      <c r="A1232" s="2"/>
    </row>
    <row r="1233" spans="1:1">
      <c r="A1233" s="2"/>
    </row>
    <row r="1234" spans="1:1">
      <c r="A1234" s="2"/>
    </row>
    <row r="1235" spans="1:1">
      <c r="A1235" s="2"/>
    </row>
    <row r="1236" spans="1:1">
      <c r="A1236" s="2"/>
    </row>
    <row r="1237" spans="1:1">
      <c r="A1237" s="2"/>
    </row>
    <row r="1238" spans="1:1">
      <c r="A1238" s="2"/>
    </row>
    <row r="1239" spans="1:1">
      <c r="A1239" s="2"/>
    </row>
    <row r="1240" spans="1:1">
      <c r="A1240" s="2"/>
    </row>
    <row r="1241" spans="1:1">
      <c r="A1241" s="2"/>
    </row>
    <row r="1242" spans="1:1">
      <c r="A1242" s="2"/>
    </row>
    <row r="1243" spans="1:1">
      <c r="A1243" s="2"/>
    </row>
    <row r="1244" spans="1:1">
      <c r="A1244" s="2"/>
    </row>
    <row r="1245" spans="1:1">
      <c r="A1245" s="2"/>
    </row>
    <row r="1246" spans="1:1">
      <c r="A1246" s="2"/>
    </row>
    <row r="1247" spans="1:1">
      <c r="A1247" s="2"/>
    </row>
    <row r="1248" spans="1:1">
      <c r="A1248" s="2"/>
    </row>
    <row r="1249" spans="1:1">
      <c r="A1249" s="2"/>
    </row>
    <row r="1250" spans="1:1">
      <c r="A1250" s="2"/>
    </row>
    <row r="1251" spans="1:1">
      <c r="A1251" s="2"/>
    </row>
    <row r="1252" spans="1:1">
      <c r="A1252" s="2"/>
    </row>
    <row r="1253" spans="1:1">
      <c r="A1253" s="2"/>
    </row>
    <row r="1254" spans="1:1">
      <c r="A1254" s="2"/>
    </row>
    <row r="1255" spans="1:1">
      <c r="A1255" s="2"/>
    </row>
    <row r="1256" spans="1:1">
      <c r="A1256" s="2"/>
    </row>
    <row r="1257" spans="1:1">
      <c r="A1257" s="2"/>
    </row>
    <row r="1258" spans="1:1">
      <c r="A1258" s="2"/>
    </row>
    <row r="1259" spans="1:1">
      <c r="A1259" s="2"/>
    </row>
    <row r="1260" spans="1:1">
      <c r="A1260" s="2"/>
    </row>
    <row r="1261" spans="1:1">
      <c r="A1261" s="2"/>
    </row>
    <row r="1262" spans="1:1">
      <c r="A1262" s="2"/>
    </row>
    <row r="1263" spans="1:1">
      <c r="A1263" s="2"/>
    </row>
    <row r="1264" spans="1:1">
      <c r="A1264" s="2"/>
    </row>
    <row r="1265" spans="1:1">
      <c r="A1265" s="2"/>
    </row>
    <row r="1266" spans="1:1">
      <c r="A1266" s="2"/>
    </row>
    <row r="1267" spans="1:1">
      <c r="A1267" s="2"/>
    </row>
    <row r="1268" spans="1:1">
      <c r="A1268" s="2"/>
    </row>
    <row r="1269" spans="1:1">
      <c r="A1269" s="2"/>
    </row>
    <row r="1270" spans="1:1">
      <c r="A1270" s="2"/>
    </row>
    <row r="1271" spans="1:1">
      <c r="A1271" s="2"/>
    </row>
    <row r="1272" spans="1:1">
      <c r="A1272" s="2"/>
    </row>
    <row r="1273" spans="1:1">
      <c r="A1273" s="2"/>
    </row>
    <row r="1274" spans="1:1">
      <c r="A1274" s="2"/>
    </row>
    <row r="1275" spans="1:1">
      <c r="A1275" s="2"/>
    </row>
    <row r="1276" spans="1:1">
      <c r="A1276" s="2"/>
    </row>
    <row r="1277" spans="1:1">
      <c r="A1277" s="2"/>
    </row>
    <row r="1278" spans="1:1">
      <c r="A1278" s="2"/>
    </row>
    <row r="1279" spans="1:1">
      <c r="A1279" s="2"/>
    </row>
    <row r="1280" spans="1:1">
      <c r="A1280" s="2"/>
    </row>
    <row r="1281" spans="1:1">
      <c r="A1281" s="2"/>
    </row>
    <row r="1282" spans="1:1">
      <c r="A1282" s="2"/>
    </row>
    <row r="1283" spans="1:1">
      <c r="A1283" s="2"/>
    </row>
    <row r="1284" spans="1:1">
      <c r="A1284" s="2"/>
    </row>
    <row r="1285" spans="1:1">
      <c r="A1285" s="2"/>
    </row>
    <row r="1286" spans="1:1">
      <c r="A1286" s="2"/>
    </row>
    <row r="1287" spans="1:1">
      <c r="A1287" s="2"/>
    </row>
    <row r="1288" spans="1:1">
      <c r="A1288" s="2"/>
    </row>
    <row r="1289" spans="1:1">
      <c r="A1289" s="2"/>
    </row>
    <row r="1290" spans="1:1">
      <c r="A1290" s="2"/>
    </row>
    <row r="1291" spans="1:1">
      <c r="A1291" s="2"/>
    </row>
    <row r="1292" spans="1:1">
      <c r="A1292" s="2"/>
    </row>
    <row r="1293" spans="1:1">
      <c r="A1293" s="2"/>
    </row>
    <row r="1294" spans="1:1">
      <c r="A1294" s="2"/>
    </row>
    <row r="1295" spans="1:1">
      <c r="A1295" s="2"/>
    </row>
    <row r="1296" spans="1:1">
      <c r="A1296" s="2"/>
    </row>
    <row r="1297" spans="1:1">
      <c r="A1297" s="2"/>
    </row>
    <row r="1298" spans="1:1">
      <c r="A1298" s="2"/>
    </row>
    <row r="1299" spans="1:1">
      <c r="A1299" s="2"/>
    </row>
    <row r="1300" spans="1:1">
      <c r="A1300" s="2"/>
    </row>
    <row r="1301" spans="1:1">
      <c r="A1301" s="2"/>
    </row>
    <row r="1302" spans="1:1">
      <c r="A1302" s="2"/>
    </row>
    <row r="1303" spans="1:1">
      <c r="A1303" s="2"/>
    </row>
    <row r="1304" spans="1:1">
      <c r="A1304" s="2"/>
    </row>
    <row r="1305" spans="1:1">
      <c r="A1305" s="2"/>
    </row>
    <row r="1306" spans="1:1">
      <c r="A1306" s="2"/>
    </row>
    <row r="1307" spans="1:1">
      <c r="A1307" s="2"/>
    </row>
    <row r="1308" spans="1:1">
      <c r="A1308" s="2"/>
    </row>
    <row r="1309" spans="1:1">
      <c r="A1309" s="2"/>
    </row>
    <row r="1310" spans="1:1">
      <c r="A1310" s="2"/>
    </row>
    <row r="1311" spans="1:1">
      <c r="A1311" s="2"/>
    </row>
    <row r="1312" spans="1:1">
      <c r="A1312" s="2"/>
    </row>
    <row r="1313" spans="1:1">
      <c r="A1313" s="2"/>
    </row>
    <row r="1314" spans="1:1">
      <c r="A1314" s="2"/>
    </row>
    <row r="1315" spans="1:1">
      <c r="A1315" s="2"/>
    </row>
    <row r="1316" spans="1:1">
      <c r="A1316" s="2"/>
    </row>
    <row r="1317" spans="1:1">
      <c r="A1317" s="2"/>
    </row>
    <row r="1318" spans="1:1">
      <c r="A1318" s="2"/>
    </row>
    <row r="1319" spans="1:1">
      <c r="A1319" s="2"/>
    </row>
    <row r="1320" spans="1:1">
      <c r="A1320" s="2"/>
    </row>
    <row r="1321" spans="1:1">
      <c r="A1321" s="2"/>
    </row>
    <row r="1322" spans="1:1">
      <c r="A1322" s="2"/>
    </row>
    <row r="1323" spans="1:1">
      <c r="A1323" s="2"/>
    </row>
    <row r="1324" spans="1:1">
      <c r="A1324" s="2"/>
    </row>
    <row r="1325" spans="1:1">
      <c r="A1325" s="2"/>
    </row>
    <row r="1326" spans="1:1">
      <c r="A1326" s="2"/>
    </row>
    <row r="1327" spans="1:1">
      <c r="A1327" s="2"/>
    </row>
    <row r="1328" spans="1:1">
      <c r="A1328" s="2"/>
    </row>
    <row r="1329" spans="1:1">
      <c r="A1329" s="2"/>
    </row>
    <row r="1330" spans="1:1">
      <c r="A1330" s="2"/>
    </row>
    <row r="1331" spans="1:1">
      <c r="A1331" s="2"/>
    </row>
    <row r="1332" spans="1:1">
      <c r="A1332" s="2"/>
    </row>
    <row r="1333" spans="1:1">
      <c r="A1333" s="2"/>
    </row>
    <row r="1334" spans="1:1">
      <c r="A1334" s="2"/>
    </row>
    <row r="1335" spans="1:1">
      <c r="A1335" s="2"/>
    </row>
    <row r="1336" spans="1:1">
      <c r="A1336" s="2"/>
    </row>
    <row r="1337" spans="1:1">
      <c r="A1337" s="2"/>
    </row>
    <row r="1338" spans="1:1">
      <c r="A1338" s="2"/>
    </row>
    <row r="1339" spans="1:1">
      <c r="A1339" s="2"/>
    </row>
    <row r="1340" spans="1:1">
      <c r="A1340" s="2"/>
    </row>
    <row r="1341" spans="1:1">
      <c r="A1341" s="2"/>
    </row>
    <row r="1342" spans="1:1">
      <c r="A1342" s="2"/>
    </row>
    <row r="1343" spans="1:1">
      <c r="A1343" s="2"/>
    </row>
    <row r="1344" spans="1:1">
      <c r="A1344" s="2"/>
    </row>
    <row r="1345" spans="1:1">
      <c r="A1345" s="2"/>
    </row>
    <row r="1346" spans="1:1">
      <c r="A1346" s="2"/>
    </row>
    <row r="1347" spans="1:1">
      <c r="A1347" s="2"/>
    </row>
    <row r="1348" spans="1:1">
      <c r="A1348" s="2"/>
    </row>
    <row r="1349" spans="1:1">
      <c r="A1349" s="2"/>
    </row>
    <row r="1350" spans="1:1">
      <c r="A1350" s="2"/>
    </row>
    <row r="1351" spans="1:1">
      <c r="A1351" s="2"/>
    </row>
    <row r="1352" spans="1:1">
      <c r="A1352" s="2"/>
    </row>
    <row r="1353" spans="1:1">
      <c r="A1353" s="2"/>
    </row>
    <row r="1354" spans="1:1">
      <c r="A1354" s="2"/>
    </row>
    <row r="1355" spans="1:1">
      <c r="A1355" s="2"/>
    </row>
    <row r="1356" spans="1:1">
      <c r="A1356" s="2"/>
    </row>
    <row r="1357" spans="1:1">
      <c r="A1357" s="2"/>
    </row>
    <row r="1358" spans="1:1">
      <c r="A1358" s="2"/>
    </row>
    <row r="1359" spans="1:1">
      <c r="A1359" s="2"/>
    </row>
    <row r="1360" spans="1:1">
      <c r="A1360" s="2"/>
    </row>
    <row r="1361" spans="1:1">
      <c r="A1361" s="2"/>
    </row>
    <row r="1362" spans="1:1">
      <c r="A1362" s="2"/>
    </row>
    <row r="1363" spans="1:1">
      <c r="A1363" s="2"/>
    </row>
    <row r="1364" spans="1:1">
      <c r="A1364" s="2"/>
    </row>
    <row r="1365" spans="1:1">
      <c r="A1365" s="2"/>
    </row>
    <row r="1366" spans="1:1">
      <c r="A1366" s="2"/>
    </row>
    <row r="1367" spans="1:1">
      <c r="A1367" s="2"/>
    </row>
    <row r="1368" spans="1:1">
      <c r="A1368" s="2"/>
    </row>
    <row r="1369" spans="1:1">
      <c r="A1369" s="2"/>
    </row>
    <row r="1370" spans="1:1">
      <c r="A1370" s="2"/>
    </row>
    <row r="1371" spans="1:1">
      <c r="A1371" s="2"/>
    </row>
    <row r="1372" spans="1:1">
      <c r="A1372" s="2"/>
    </row>
    <row r="1373" spans="1:1">
      <c r="A1373" s="2"/>
    </row>
    <row r="1374" spans="1:1">
      <c r="A1374" s="2"/>
    </row>
    <row r="1375" spans="1:1">
      <c r="A1375" s="2"/>
    </row>
    <row r="1376" spans="1:1">
      <c r="A1376" s="2"/>
    </row>
    <row r="1377" spans="1:1">
      <c r="A1377" s="2"/>
    </row>
    <row r="1378" spans="1:1">
      <c r="A1378" s="2"/>
    </row>
    <row r="1379" spans="1:1">
      <c r="A1379" s="2"/>
    </row>
    <row r="1380" spans="1:1">
      <c r="A1380" s="2"/>
    </row>
    <row r="1381" spans="1:1">
      <c r="A1381" s="2"/>
    </row>
    <row r="1382" spans="1:1">
      <c r="A1382" s="2"/>
    </row>
    <row r="1383" spans="1:1">
      <c r="A1383" s="2"/>
    </row>
    <row r="1384" spans="1:1">
      <c r="A1384" s="2"/>
    </row>
    <row r="1385" spans="1:1">
      <c r="A1385" s="2"/>
    </row>
    <row r="1386" spans="1:1">
      <c r="A1386" s="2"/>
    </row>
    <row r="1387" spans="1:1">
      <c r="A1387" s="2"/>
    </row>
    <row r="1388" spans="1:1">
      <c r="A1388" s="2"/>
    </row>
    <row r="1389" spans="1:1">
      <c r="A1389" s="2"/>
    </row>
    <row r="1390" spans="1:1">
      <c r="A1390" s="2"/>
    </row>
    <row r="1391" spans="1:1">
      <c r="A1391" s="2"/>
    </row>
    <row r="1392" spans="1:1">
      <c r="A1392" s="2"/>
    </row>
    <row r="1393" spans="1:1">
      <c r="A1393" s="2"/>
    </row>
    <row r="1394" spans="1:1">
      <c r="A1394" s="2"/>
    </row>
    <row r="1395" spans="1:1">
      <c r="A1395" s="2"/>
    </row>
    <row r="1396" spans="1:1">
      <c r="A1396" s="2"/>
    </row>
    <row r="1397" spans="1:1">
      <c r="A1397" s="2"/>
    </row>
    <row r="1398" spans="1:1">
      <c r="A1398" s="2"/>
    </row>
    <row r="1399" spans="1:1">
      <c r="A1399" s="2"/>
    </row>
    <row r="1400" spans="1:1">
      <c r="A1400" s="2"/>
    </row>
    <row r="1401" spans="1:1">
      <c r="A1401" s="2"/>
    </row>
    <row r="1402" spans="1:1">
      <c r="A1402" s="2"/>
    </row>
    <row r="1403" spans="1:1">
      <c r="A1403" s="2"/>
    </row>
    <row r="1404" spans="1:1">
      <c r="A1404" s="2"/>
    </row>
    <row r="1405" spans="1:1">
      <c r="A1405" s="2"/>
    </row>
    <row r="1406" spans="1:1">
      <c r="A1406" s="2"/>
    </row>
    <row r="1407" spans="1:1">
      <c r="A1407" s="2"/>
    </row>
    <row r="1408" spans="1:1">
      <c r="A1408" s="2"/>
    </row>
    <row r="1409" spans="1:1">
      <c r="A1409" s="2"/>
    </row>
    <row r="1410" spans="1:1">
      <c r="A1410" s="2"/>
    </row>
    <row r="1411" spans="1:1">
      <c r="A1411" s="2"/>
    </row>
    <row r="1412" spans="1:1">
      <c r="A1412" s="2"/>
    </row>
    <row r="1413" spans="1:1">
      <c r="A1413" s="2"/>
    </row>
    <row r="1414" spans="1:1">
      <c r="A1414" s="2"/>
    </row>
    <row r="1415" spans="1:1">
      <c r="A1415" s="2"/>
    </row>
    <row r="1416" spans="1:1">
      <c r="A1416" s="2"/>
    </row>
    <row r="1417" spans="1:1">
      <c r="A1417" s="2"/>
    </row>
    <row r="1418" spans="1:1">
      <c r="A1418" s="2"/>
    </row>
    <row r="1419" spans="1:1">
      <c r="A1419" s="2"/>
    </row>
    <row r="1420" spans="1:1">
      <c r="A1420" s="2"/>
    </row>
    <row r="1421" spans="1:1">
      <c r="A1421" s="2"/>
    </row>
    <row r="1422" spans="1:1">
      <c r="A1422" s="2"/>
    </row>
    <row r="1423" spans="1:1">
      <c r="A1423" s="2"/>
    </row>
    <row r="1424" spans="1:1">
      <c r="A1424" s="2"/>
    </row>
    <row r="1425" spans="1:1">
      <c r="A1425" s="2"/>
    </row>
    <row r="1426" spans="1:1">
      <c r="A1426" s="2"/>
    </row>
    <row r="1427" spans="1:1">
      <c r="A1427" s="2"/>
    </row>
    <row r="1428" spans="1:1">
      <c r="A1428" s="2"/>
    </row>
    <row r="1429" spans="1:1">
      <c r="A1429" s="2"/>
    </row>
    <row r="1430" spans="1:1">
      <c r="A1430" s="2"/>
    </row>
    <row r="1431" spans="1:1">
      <c r="A1431" s="2"/>
    </row>
    <row r="1432" spans="1:1">
      <c r="A1432" s="2"/>
    </row>
    <row r="1433" spans="1:1">
      <c r="A1433" s="2"/>
    </row>
    <row r="1434" spans="1:1">
      <c r="A1434" s="2"/>
    </row>
    <row r="1435" spans="1:1">
      <c r="A1435" s="2"/>
    </row>
    <row r="1436" spans="1:1">
      <c r="A1436" s="2"/>
    </row>
    <row r="1437" spans="1:1">
      <c r="A1437" s="2"/>
    </row>
    <row r="1438" spans="1:1">
      <c r="A1438" s="2"/>
    </row>
    <row r="1439" spans="1:1">
      <c r="A1439" s="2"/>
    </row>
    <row r="1440" spans="1:1">
      <c r="A1440" s="2"/>
    </row>
    <row r="1441" spans="1:1">
      <c r="A1441" s="2"/>
    </row>
    <row r="1442" spans="1:1">
      <c r="A1442" s="2"/>
    </row>
    <row r="1443" spans="1:1">
      <c r="A1443" s="2"/>
    </row>
    <row r="1444" spans="1:1">
      <c r="A1444" s="2"/>
    </row>
    <row r="1445" spans="1:1">
      <c r="A1445" s="2"/>
    </row>
    <row r="1446" spans="1:1">
      <c r="A1446" s="2"/>
    </row>
    <row r="1447" spans="1:1">
      <c r="A1447" s="2"/>
    </row>
    <row r="1448" spans="1:1">
      <c r="A1448" s="2"/>
    </row>
    <row r="1449" spans="1:1">
      <c r="A1449" s="2"/>
    </row>
    <row r="1450" spans="1:1">
      <c r="A1450" s="2"/>
    </row>
    <row r="1451" spans="1:1">
      <c r="A1451" s="2"/>
    </row>
    <row r="1452" spans="1:1">
      <c r="A1452" s="2"/>
    </row>
    <row r="1453" spans="1:1">
      <c r="A1453" s="2"/>
    </row>
    <row r="1454" spans="1:1">
      <c r="A1454" s="2"/>
    </row>
    <row r="1455" spans="1:1">
      <c r="A1455" s="2"/>
    </row>
    <row r="1456" spans="1:1">
      <c r="A1456" s="2"/>
    </row>
    <row r="1457" spans="1:1">
      <c r="A1457" s="2"/>
    </row>
    <row r="1458" spans="1:1">
      <c r="A1458" s="2"/>
    </row>
    <row r="1459" spans="1:1">
      <c r="A1459" s="2"/>
    </row>
    <row r="1460" spans="1:1">
      <c r="A1460" s="2"/>
    </row>
    <row r="1461" spans="1:1">
      <c r="A1461" s="2"/>
    </row>
    <row r="1462" spans="1:1">
      <c r="A1462" s="2"/>
    </row>
    <row r="1463" spans="1:1">
      <c r="A1463" s="2"/>
    </row>
    <row r="1464" spans="1:1">
      <c r="A1464" s="2"/>
    </row>
    <row r="1465" spans="1:1">
      <c r="A1465" s="2"/>
    </row>
    <row r="1466" spans="1:1">
      <c r="A1466" s="2"/>
    </row>
    <row r="1467" spans="1:1">
      <c r="A1467" s="2"/>
    </row>
    <row r="1468" spans="1:1">
      <c r="A1468" s="2"/>
    </row>
    <row r="1469" spans="1:1">
      <c r="A1469" s="2"/>
    </row>
    <row r="1470" spans="1:1">
      <c r="A1470" s="2"/>
    </row>
    <row r="1471" spans="1:1">
      <c r="A1471" s="2"/>
    </row>
    <row r="1472" spans="1:1">
      <c r="A1472" s="2"/>
    </row>
    <row r="1473" spans="1:1">
      <c r="A1473" s="2"/>
    </row>
    <row r="1474" spans="1:1">
      <c r="A1474" s="2"/>
    </row>
    <row r="1475" spans="1:1">
      <c r="A1475" s="2"/>
    </row>
    <row r="1476" spans="1:1">
      <c r="A1476" s="2"/>
    </row>
    <row r="1477" spans="1:1">
      <c r="A1477" s="2"/>
    </row>
    <row r="1478" spans="1:1">
      <c r="A1478" s="2"/>
    </row>
    <row r="1479" spans="1:1">
      <c r="A1479" s="2"/>
    </row>
    <row r="1480" spans="1:1">
      <c r="A1480" s="2"/>
    </row>
    <row r="1481" spans="1:1">
      <c r="A1481" s="2"/>
    </row>
    <row r="1482" spans="1:1">
      <c r="A1482" s="2"/>
    </row>
    <row r="1483" spans="1:1">
      <c r="A1483" s="2"/>
    </row>
    <row r="1484" spans="1:1">
      <c r="A1484" s="2"/>
    </row>
    <row r="1485" spans="1:1">
      <c r="A1485" s="2"/>
    </row>
    <row r="1486" spans="1:1">
      <c r="A1486" s="2"/>
    </row>
    <row r="1487" spans="1:1">
      <c r="A1487" s="2"/>
    </row>
    <row r="1488" spans="1:1">
      <c r="A1488" s="2"/>
    </row>
    <row r="1489" spans="1:1">
      <c r="A1489" s="2"/>
    </row>
    <row r="1490" spans="1:1">
      <c r="A1490" s="2"/>
    </row>
    <row r="1491" spans="1:1">
      <c r="A1491" s="2"/>
    </row>
    <row r="1492" spans="1:1">
      <c r="A1492" s="2"/>
    </row>
    <row r="1493" spans="1:1">
      <c r="A1493" s="2"/>
    </row>
    <row r="1494" spans="1:1">
      <c r="A1494" s="2"/>
    </row>
    <row r="1495" spans="1:1">
      <c r="A1495" s="2"/>
    </row>
    <row r="1496" spans="1:1">
      <c r="A1496" s="2"/>
    </row>
    <row r="1497" spans="1:1">
      <c r="A1497" s="2"/>
    </row>
    <row r="1498" spans="1:1">
      <c r="A1498" s="2"/>
    </row>
    <row r="1499" spans="1:1">
      <c r="A1499" s="2"/>
    </row>
    <row r="1500" spans="1:1">
      <c r="A1500" s="2"/>
    </row>
    <row r="1501" spans="1:1">
      <c r="A1501" s="2"/>
    </row>
    <row r="1502" spans="1:1">
      <c r="A1502" s="2"/>
    </row>
    <row r="1503" spans="1:1">
      <c r="A1503" s="2"/>
    </row>
    <row r="1504" spans="1:1">
      <c r="A1504" s="2"/>
    </row>
    <row r="1505" spans="1:1">
      <c r="A1505" s="2"/>
    </row>
    <row r="1506" spans="1:1">
      <c r="A1506" s="2"/>
    </row>
    <row r="1507" spans="1:1">
      <c r="A1507" s="2"/>
    </row>
    <row r="1508" spans="1:1">
      <c r="A1508" s="2"/>
    </row>
    <row r="1509" spans="1:1">
      <c r="A1509" s="2"/>
    </row>
    <row r="1510" spans="1:1">
      <c r="A1510" s="2"/>
    </row>
    <row r="1511" spans="1:1">
      <c r="A1511" s="2"/>
    </row>
    <row r="1512" spans="1:1">
      <c r="A1512" s="2"/>
    </row>
    <row r="1513" spans="1:1">
      <c r="A1513" s="2"/>
    </row>
    <row r="1514" spans="1:1">
      <c r="A1514" s="2"/>
    </row>
    <row r="1515" spans="1:1">
      <c r="A1515" s="2"/>
    </row>
    <row r="1516" spans="1:1">
      <c r="A1516" s="2"/>
    </row>
    <row r="1517" spans="1:1">
      <c r="A1517" s="2"/>
    </row>
    <row r="1518" spans="1:1">
      <c r="A1518" s="2"/>
    </row>
    <row r="1519" spans="1:1">
      <c r="A1519" s="2"/>
    </row>
    <row r="1520" spans="1:1">
      <c r="A1520" s="2"/>
    </row>
    <row r="1521" spans="1:1">
      <c r="A1521" s="2"/>
    </row>
    <row r="1522" spans="1:1">
      <c r="A1522" s="2"/>
    </row>
    <row r="1523" spans="1:1">
      <c r="A1523" s="2"/>
    </row>
    <row r="1524" spans="1:1">
      <c r="A1524" s="2"/>
    </row>
    <row r="1525" spans="1:1">
      <c r="A1525" s="2"/>
    </row>
    <row r="1526" spans="1:1">
      <c r="A1526" s="2"/>
    </row>
    <row r="1527" spans="1:1">
      <c r="A1527" s="2"/>
    </row>
    <row r="1528" spans="1:1">
      <c r="A1528" s="2"/>
    </row>
    <row r="1529" spans="1:1">
      <c r="A1529" s="2"/>
    </row>
    <row r="1530" spans="1:1">
      <c r="A1530" s="2"/>
    </row>
    <row r="1531" spans="1:1">
      <c r="A1531" s="2"/>
    </row>
    <row r="1532" spans="1:1">
      <c r="A1532" s="2"/>
    </row>
    <row r="1533" spans="1:1">
      <c r="A1533" s="2"/>
    </row>
    <row r="1534" spans="1:1">
      <c r="A1534" s="2"/>
    </row>
    <row r="1535" spans="1:1">
      <c r="A1535" s="2"/>
    </row>
    <row r="1536" spans="1:1">
      <c r="A1536" s="2"/>
    </row>
    <row r="1537" spans="1:1">
      <c r="A1537" s="2"/>
    </row>
    <row r="1538" spans="1:1">
      <c r="A1538" s="2"/>
    </row>
    <row r="1539" spans="1:1">
      <c r="A1539" s="2"/>
    </row>
    <row r="1540" spans="1:1">
      <c r="A1540" s="2"/>
    </row>
    <row r="1541" spans="1:1">
      <c r="A1541" s="2"/>
    </row>
    <row r="1542" spans="1:1">
      <c r="A1542" s="2"/>
    </row>
    <row r="1543" spans="1:1">
      <c r="A1543" s="2"/>
    </row>
    <row r="1544" spans="1:1">
      <c r="A1544" s="2"/>
    </row>
    <row r="1545" spans="1:1">
      <c r="A1545" s="2"/>
    </row>
    <row r="1546" spans="1:1">
      <c r="A1546" s="2"/>
    </row>
    <row r="1547" spans="1:1">
      <c r="A1547" s="2"/>
    </row>
    <row r="1548" spans="1:1">
      <c r="A1548" s="2"/>
    </row>
    <row r="1549" spans="1:1">
      <c r="A1549" s="2"/>
    </row>
    <row r="1550" spans="1:1">
      <c r="A1550" s="2"/>
    </row>
    <row r="1551" spans="1:1">
      <c r="A1551" s="2"/>
    </row>
    <row r="1552" spans="1:1">
      <c r="A1552" s="2"/>
    </row>
    <row r="1553" spans="1:1">
      <c r="A1553" s="2"/>
    </row>
    <row r="1554" spans="1:1">
      <c r="A1554" s="2"/>
    </row>
    <row r="1555" spans="1:1">
      <c r="A1555" s="2"/>
    </row>
    <row r="1556" spans="1:1">
      <c r="A1556" s="2"/>
    </row>
    <row r="1557" spans="1:1">
      <c r="A1557" s="2"/>
    </row>
    <row r="1558" spans="1:1">
      <c r="A1558" s="2"/>
    </row>
    <row r="1559" spans="1:1">
      <c r="A1559" s="2"/>
    </row>
    <row r="1560" spans="1:1">
      <c r="A1560" s="2"/>
    </row>
    <row r="1561" spans="1:1">
      <c r="A1561" s="2"/>
    </row>
    <row r="1562" spans="1:1">
      <c r="A1562" s="2"/>
    </row>
    <row r="1563" spans="1:1">
      <c r="A1563" s="2"/>
    </row>
    <row r="1564" spans="1:1">
      <c r="A1564" s="2"/>
    </row>
    <row r="1565" spans="1:1">
      <c r="A1565" s="2"/>
    </row>
    <row r="1566" spans="1:1">
      <c r="A1566" s="2"/>
    </row>
    <row r="1567" spans="1:1">
      <c r="A1567" s="2"/>
    </row>
    <row r="1568" spans="1:1">
      <c r="A1568" s="2"/>
    </row>
    <row r="1569" spans="1:1">
      <c r="A1569" s="2"/>
    </row>
    <row r="1570" spans="1:1">
      <c r="A1570" s="2"/>
    </row>
    <row r="1571" spans="1:1">
      <c r="A1571" s="2"/>
    </row>
    <row r="1572" spans="1:1">
      <c r="A1572" s="2"/>
    </row>
    <row r="1573" spans="1:1">
      <c r="A1573" s="2"/>
    </row>
    <row r="1574" spans="1:1">
      <c r="A1574" s="2"/>
    </row>
    <row r="1575" spans="1:1">
      <c r="A1575" s="2"/>
    </row>
    <row r="1576" spans="1:1">
      <c r="A1576" s="2"/>
    </row>
    <row r="1577" spans="1:1">
      <c r="A1577" s="2"/>
    </row>
    <row r="1578" spans="1:1">
      <c r="A1578" s="2"/>
    </row>
    <row r="1579" spans="1:1">
      <c r="A1579" s="2"/>
    </row>
    <row r="1580" spans="1:1">
      <c r="A1580" s="2"/>
    </row>
    <row r="1581" spans="1:1">
      <c r="A1581" s="2"/>
    </row>
    <row r="1582" spans="1:1">
      <c r="A1582" s="2"/>
    </row>
    <row r="1583" spans="1:1">
      <c r="A1583" s="2"/>
    </row>
    <row r="1584" spans="1:1">
      <c r="A1584" s="2"/>
    </row>
    <row r="1585" spans="1:1">
      <c r="A1585" s="2"/>
    </row>
    <row r="1586" spans="1:1">
      <c r="A1586" s="2"/>
    </row>
    <row r="1587" spans="1:1">
      <c r="A1587" s="2"/>
    </row>
    <row r="1588" spans="1:1">
      <c r="A1588" s="2"/>
    </row>
    <row r="1589" spans="1:1">
      <c r="A1589" s="2"/>
    </row>
    <row r="1590" spans="1:1">
      <c r="A1590" s="2"/>
    </row>
    <row r="1591" spans="1:1">
      <c r="A1591" s="2"/>
    </row>
    <row r="1592" spans="1:1">
      <c r="A1592" s="2"/>
    </row>
    <row r="1593" spans="1:1">
      <c r="A1593" s="2"/>
    </row>
    <row r="1594" spans="1:1">
      <c r="A1594" s="2"/>
    </row>
    <row r="1595" spans="1:1">
      <c r="A1595" s="2"/>
    </row>
    <row r="1596" spans="1:1">
      <c r="A1596" s="2"/>
    </row>
    <row r="1597" spans="1:1">
      <c r="A1597" s="2"/>
    </row>
    <row r="1598" spans="1:1">
      <c r="A1598" s="2"/>
    </row>
    <row r="1599" spans="1:1">
      <c r="A1599" s="2"/>
    </row>
    <row r="1600" spans="1:1">
      <c r="A1600" s="2"/>
    </row>
    <row r="1601" spans="1:1">
      <c r="A1601" s="2"/>
    </row>
    <row r="1602" spans="1:1">
      <c r="A1602" s="2"/>
    </row>
    <row r="1603" spans="1:1">
      <c r="A1603" s="2"/>
    </row>
    <row r="1604" spans="1:1">
      <c r="A1604" s="2"/>
    </row>
    <row r="1605" spans="1:1">
      <c r="A1605" s="2"/>
    </row>
    <row r="1606" spans="1:1">
      <c r="A1606" s="2"/>
    </row>
    <row r="1607" spans="1:1">
      <c r="A1607" s="2"/>
    </row>
    <row r="1608" spans="1:1">
      <c r="A1608" s="2"/>
    </row>
    <row r="1609" spans="1:1">
      <c r="A1609" s="2"/>
    </row>
    <row r="1610" spans="1:1">
      <c r="A1610" s="2"/>
    </row>
    <row r="1611" spans="1:1">
      <c r="A1611" s="2"/>
    </row>
    <row r="1612" spans="1:1">
      <c r="A1612" s="2"/>
    </row>
    <row r="1613" spans="1:1">
      <c r="A1613" s="2"/>
    </row>
    <row r="1614" spans="1:1">
      <c r="A1614" s="2"/>
    </row>
    <row r="1615" spans="1:1">
      <c r="A1615" s="2"/>
    </row>
    <row r="1616" spans="1:1">
      <c r="A1616" s="2"/>
    </row>
    <row r="1617" spans="1:1">
      <c r="A1617" s="2"/>
    </row>
    <row r="1618" spans="1:1">
      <c r="A1618" s="2"/>
    </row>
    <row r="1619" spans="1:1">
      <c r="A1619" s="2"/>
    </row>
    <row r="1620" spans="1:1">
      <c r="A1620" s="2"/>
    </row>
    <row r="1621" spans="1:1">
      <c r="A1621" s="2"/>
    </row>
    <row r="1622" spans="1:1">
      <c r="A1622" s="2"/>
    </row>
    <row r="1623" spans="1:1">
      <c r="A1623" s="2"/>
    </row>
    <row r="1624" spans="1:1">
      <c r="A1624" s="2"/>
    </row>
    <row r="1625" spans="1:1">
      <c r="A1625" s="2"/>
    </row>
    <row r="1626" spans="1:1">
      <c r="A1626" s="2"/>
    </row>
    <row r="1627" spans="1:1">
      <c r="A1627" s="2"/>
    </row>
    <row r="1628" spans="1:1">
      <c r="A1628" s="2"/>
    </row>
    <row r="1629" spans="1:1">
      <c r="A1629" s="2"/>
    </row>
    <row r="1630" spans="1:1">
      <c r="A1630" s="2"/>
    </row>
    <row r="1631" spans="1:1">
      <c r="A1631" s="2"/>
    </row>
    <row r="1632" spans="1:1">
      <c r="A1632" s="2"/>
    </row>
    <row r="1633" spans="1:1">
      <c r="A1633" s="2"/>
    </row>
    <row r="1634" spans="1:1">
      <c r="A1634" s="2"/>
    </row>
    <row r="1635" spans="1:1">
      <c r="A1635" s="2"/>
    </row>
    <row r="1636" spans="1:1">
      <c r="A1636" s="2"/>
    </row>
    <row r="1637" spans="1:1">
      <c r="A1637" s="2"/>
    </row>
    <row r="1638" spans="1:1">
      <c r="A1638" s="2"/>
    </row>
    <row r="1639" spans="1:1">
      <c r="A1639" s="2"/>
    </row>
    <row r="1640" spans="1:1">
      <c r="A1640" s="2"/>
    </row>
    <row r="1641" spans="1:1">
      <c r="A1641" s="2"/>
    </row>
    <row r="1642" spans="1:1">
      <c r="A1642" s="2"/>
    </row>
    <row r="1643" spans="1:1">
      <c r="A1643" s="2"/>
    </row>
    <row r="1644" spans="1:1">
      <c r="A1644" s="2"/>
    </row>
    <row r="1645" spans="1:1">
      <c r="A1645" s="2"/>
    </row>
    <row r="1646" spans="1:1">
      <c r="A1646" s="2"/>
    </row>
    <row r="1647" spans="1:1">
      <c r="A1647" s="2"/>
    </row>
    <row r="1648" spans="1:1">
      <c r="A1648" s="2"/>
    </row>
    <row r="1649" spans="1:1">
      <c r="A1649" s="2"/>
    </row>
    <row r="1650" spans="1:1">
      <c r="A1650" s="2"/>
    </row>
    <row r="1651" spans="1:1">
      <c r="A1651" s="2"/>
    </row>
    <row r="1652" spans="1:1">
      <c r="A1652" s="2"/>
    </row>
    <row r="1653" spans="1:1">
      <c r="A1653" s="2"/>
    </row>
    <row r="1654" spans="1:1">
      <c r="A1654" s="2"/>
    </row>
    <row r="1655" spans="1:1">
      <c r="A1655" s="2"/>
    </row>
    <row r="1656" spans="1:1">
      <c r="A1656" s="2"/>
    </row>
    <row r="1657" spans="1:1">
      <c r="A1657" s="2"/>
    </row>
    <row r="1658" spans="1:1">
      <c r="A1658" s="2"/>
    </row>
    <row r="1659" spans="1:1">
      <c r="A1659" s="2"/>
    </row>
    <row r="1660" spans="1:1">
      <c r="A1660" s="2"/>
    </row>
    <row r="1661" spans="1:1">
      <c r="A1661" s="2"/>
    </row>
    <row r="1662" spans="1:1">
      <c r="A1662" s="2"/>
    </row>
    <row r="1663" spans="1:1">
      <c r="A1663" s="2"/>
    </row>
    <row r="1664" spans="1:1">
      <c r="A1664" s="2"/>
    </row>
    <row r="1665" spans="1:1">
      <c r="A1665" s="2"/>
    </row>
    <row r="1666" spans="1:1">
      <c r="A1666" s="2"/>
    </row>
    <row r="1667" spans="1:1">
      <c r="A1667" s="2"/>
    </row>
    <row r="1668" spans="1:1">
      <c r="A1668" s="2"/>
    </row>
    <row r="1669" spans="1:1">
      <c r="A1669" s="2"/>
    </row>
    <row r="1670" spans="1:1">
      <c r="A1670" s="2"/>
    </row>
    <row r="1671" spans="1:1">
      <c r="A1671" s="2"/>
    </row>
    <row r="1672" spans="1:1">
      <c r="A1672" s="2"/>
    </row>
    <row r="1673" spans="1:1">
      <c r="A1673" s="2"/>
    </row>
    <row r="1674" spans="1:1">
      <c r="A1674" s="2"/>
    </row>
    <row r="1675" spans="1:1">
      <c r="A1675" s="2"/>
    </row>
    <row r="1676" spans="1:1">
      <c r="A1676" s="2"/>
    </row>
    <row r="1677" spans="1:1">
      <c r="A1677" s="2"/>
    </row>
    <row r="1678" spans="1:1">
      <c r="A1678" s="2"/>
    </row>
    <row r="1679" spans="1:1">
      <c r="A1679" s="2"/>
    </row>
    <row r="1680" spans="1:1">
      <c r="A1680" s="2"/>
    </row>
    <row r="1681" spans="1:1">
      <c r="A1681" s="2"/>
    </row>
    <row r="1682" spans="1:1">
      <c r="A1682" s="2"/>
    </row>
    <row r="1683" spans="1:1">
      <c r="A1683" s="2"/>
    </row>
    <row r="1684" spans="1:1">
      <c r="A1684" s="2"/>
    </row>
    <row r="1685" spans="1:1">
      <c r="A1685" s="2"/>
    </row>
    <row r="1686" spans="1:1">
      <c r="A1686" s="2"/>
    </row>
    <row r="1687" spans="1:1">
      <c r="A1687" s="2"/>
    </row>
    <row r="1688" spans="1:1">
      <c r="A1688" s="2"/>
    </row>
    <row r="1689" spans="1:1">
      <c r="A1689" s="2"/>
    </row>
    <row r="1690" spans="1:1">
      <c r="A1690" s="2"/>
    </row>
    <row r="1691" spans="1:1">
      <c r="A1691" s="2"/>
    </row>
    <row r="1692" spans="1:1">
      <c r="A1692" s="2"/>
    </row>
    <row r="1693" spans="1:1">
      <c r="A1693" s="2"/>
    </row>
    <row r="1694" spans="1:1">
      <c r="A1694" s="2"/>
    </row>
    <row r="1695" spans="1:1">
      <c r="A1695" s="2"/>
    </row>
    <row r="1696" spans="1:1">
      <c r="A1696" s="2"/>
    </row>
    <row r="1697" spans="1:1">
      <c r="A1697" s="2"/>
    </row>
    <row r="1698" spans="1:1">
      <c r="A1698" s="2"/>
    </row>
    <row r="1699" spans="1:1">
      <c r="A1699" s="2"/>
    </row>
    <row r="1700" spans="1:1">
      <c r="A1700" s="2"/>
    </row>
    <row r="1701" spans="1:1">
      <c r="A1701" s="2"/>
    </row>
    <row r="1702" spans="1:1">
      <c r="A1702" s="2"/>
    </row>
    <row r="1703" spans="1:1">
      <c r="A1703" s="2"/>
    </row>
    <row r="1704" spans="1:1">
      <c r="A1704" s="2"/>
    </row>
    <row r="1705" spans="1:1">
      <c r="A1705" s="2"/>
    </row>
    <row r="1706" spans="1:1">
      <c r="A1706" s="2"/>
    </row>
    <row r="1707" spans="1:1">
      <c r="A1707" s="2"/>
    </row>
    <row r="1708" spans="1:1">
      <c r="A1708" s="2"/>
    </row>
    <row r="1709" spans="1:1">
      <c r="A1709" s="2"/>
    </row>
    <row r="1710" spans="1:1">
      <c r="A1710" s="2"/>
    </row>
    <row r="1711" spans="1:1">
      <c r="A1711" s="2"/>
    </row>
    <row r="1712" spans="1:1">
      <c r="A1712" s="2"/>
    </row>
    <row r="1713" spans="1:1">
      <c r="A1713" s="2"/>
    </row>
    <row r="1714" spans="1:1">
      <c r="A1714" s="2"/>
    </row>
    <row r="1715" spans="1:1">
      <c r="A1715" s="2"/>
    </row>
    <row r="1716" spans="1:1">
      <c r="A1716" s="2"/>
    </row>
    <row r="1717" spans="1:1">
      <c r="A1717" s="2"/>
    </row>
    <row r="1718" spans="1:1">
      <c r="A1718" s="2"/>
    </row>
    <row r="1719" spans="1:1">
      <c r="A1719" s="2"/>
    </row>
    <row r="1720" spans="1:1">
      <c r="A1720" s="2"/>
    </row>
    <row r="1721" spans="1:1">
      <c r="A1721" s="2"/>
    </row>
    <row r="1722" spans="1:1">
      <c r="A1722" s="2"/>
    </row>
    <row r="1723" spans="1:1">
      <c r="A1723" s="2"/>
    </row>
    <row r="1724" spans="1:1">
      <c r="A1724" s="2"/>
    </row>
    <row r="1725" spans="1:1">
      <c r="A1725" s="2"/>
    </row>
    <row r="1726" spans="1:1">
      <c r="A1726" s="2"/>
    </row>
    <row r="1727" spans="1:1">
      <c r="A1727" s="2"/>
    </row>
    <row r="1728" spans="1:1">
      <c r="A1728" s="2"/>
    </row>
    <row r="1729" spans="1:1">
      <c r="A1729" s="2"/>
    </row>
    <row r="1730" spans="1:1">
      <c r="A1730" s="2"/>
    </row>
    <row r="1731" spans="1:1">
      <c r="A1731" s="2"/>
    </row>
    <row r="1732" spans="1:1">
      <c r="A1732" s="2"/>
    </row>
    <row r="1733" spans="1:1">
      <c r="A1733" s="2"/>
    </row>
    <row r="1734" spans="1:1">
      <c r="A1734" s="2"/>
    </row>
    <row r="1735" spans="1:1">
      <c r="A1735" s="2"/>
    </row>
    <row r="1736" spans="1:1">
      <c r="A1736" s="2"/>
    </row>
    <row r="1737" spans="1:1">
      <c r="A1737" s="2"/>
    </row>
    <row r="1738" spans="1:1">
      <c r="A1738" s="2"/>
    </row>
    <row r="1739" spans="1:1">
      <c r="A1739" s="2"/>
    </row>
    <row r="1740" spans="1:1">
      <c r="A1740" s="2"/>
    </row>
    <row r="1741" spans="1:1">
      <c r="A1741" s="2"/>
    </row>
    <row r="1742" spans="1:1">
      <c r="A1742" s="2"/>
    </row>
    <row r="1743" spans="1:1">
      <c r="A1743" s="2"/>
    </row>
    <row r="1744" spans="1:1">
      <c r="A1744" s="2"/>
    </row>
    <row r="1745" spans="1:1">
      <c r="A1745" s="2"/>
    </row>
    <row r="1746" spans="1:1">
      <c r="A1746" s="2"/>
    </row>
    <row r="1747" spans="1:1">
      <c r="A1747" s="2"/>
    </row>
    <row r="1748" spans="1:1">
      <c r="A1748" s="2"/>
    </row>
    <row r="1749" spans="1:1">
      <c r="A1749" s="2"/>
    </row>
    <row r="1750" spans="1:1">
      <c r="A1750" s="2"/>
    </row>
    <row r="1751" spans="1:1">
      <c r="A1751" s="2"/>
    </row>
    <row r="1752" spans="1:1">
      <c r="A1752" s="2"/>
    </row>
    <row r="1753" spans="1:1">
      <c r="A1753" s="2"/>
    </row>
    <row r="1754" spans="1:1">
      <c r="A1754" s="2"/>
    </row>
    <row r="1755" spans="1:1">
      <c r="A1755" s="2"/>
    </row>
    <row r="1756" spans="1:1">
      <c r="A1756" s="2"/>
    </row>
    <row r="1757" spans="1:1">
      <c r="A1757" s="2"/>
    </row>
    <row r="1758" spans="1:1">
      <c r="A1758" s="2"/>
    </row>
    <row r="1759" spans="1:1">
      <c r="A1759" s="2"/>
    </row>
    <row r="1760" spans="1:1">
      <c r="A1760" s="2"/>
    </row>
    <row r="1761" spans="1:1">
      <c r="A1761" s="2"/>
    </row>
    <row r="1762" spans="1:1">
      <c r="A1762" s="2"/>
    </row>
    <row r="1763" spans="1:1">
      <c r="A1763" s="2"/>
    </row>
    <row r="1764" spans="1:1">
      <c r="A1764" s="2"/>
    </row>
    <row r="1765" spans="1:1">
      <c r="A1765" s="2"/>
    </row>
    <row r="1766" spans="1:1">
      <c r="A1766" s="2"/>
    </row>
    <row r="1767" spans="1:1">
      <c r="A1767" s="2"/>
    </row>
    <row r="1768" spans="1:1">
      <c r="A1768" s="2"/>
    </row>
    <row r="1769" spans="1:1">
      <c r="A1769" s="2"/>
    </row>
    <row r="1770" spans="1:1">
      <c r="A1770" s="2"/>
    </row>
    <row r="1771" spans="1:1">
      <c r="A1771" s="2"/>
    </row>
    <row r="1772" spans="1:1">
      <c r="A1772" s="2"/>
    </row>
    <row r="1773" spans="1:1">
      <c r="A1773" s="2"/>
    </row>
    <row r="1774" spans="1:1">
      <c r="A1774" s="2"/>
    </row>
    <row r="1775" spans="1:1">
      <c r="A1775" s="2"/>
    </row>
    <row r="1776" spans="1:1">
      <c r="A1776" s="2"/>
    </row>
    <row r="1777" spans="1:1">
      <c r="A1777" s="2"/>
    </row>
    <row r="1778" spans="1:1">
      <c r="A1778" s="2"/>
    </row>
    <row r="1779" spans="1:1">
      <c r="A1779" s="2"/>
    </row>
    <row r="1780" spans="1:1">
      <c r="A1780" s="2"/>
    </row>
    <row r="1781" spans="1:1">
      <c r="A1781" s="2"/>
    </row>
    <row r="1782" spans="1:1">
      <c r="A1782" s="2"/>
    </row>
    <row r="1783" spans="1:1">
      <c r="A1783" s="2"/>
    </row>
    <row r="1784" spans="1:1">
      <c r="A1784" s="2"/>
    </row>
    <row r="1785" spans="1:1">
      <c r="A1785" s="2"/>
    </row>
    <row r="1786" spans="1:1">
      <c r="A1786" s="2"/>
    </row>
    <row r="1787" spans="1:1">
      <c r="A1787" s="2"/>
    </row>
    <row r="1788" spans="1:1">
      <c r="A1788" s="2"/>
    </row>
    <row r="1789" spans="1:1">
      <c r="A1789" s="2"/>
    </row>
    <row r="1790" spans="1:1">
      <c r="A1790" s="2"/>
    </row>
    <row r="1791" spans="1:1">
      <c r="A1791" s="2"/>
    </row>
    <row r="1792" spans="1:1">
      <c r="A1792" s="2"/>
    </row>
    <row r="1793" spans="1:1">
      <c r="A1793" s="2"/>
    </row>
    <row r="1794" spans="1:1">
      <c r="A1794" s="2"/>
    </row>
    <row r="1795" spans="1:1">
      <c r="A1795" s="2"/>
    </row>
    <row r="1796" spans="1:1">
      <c r="A1796" s="2"/>
    </row>
    <row r="1797" spans="1:1">
      <c r="A1797" s="2"/>
    </row>
    <row r="1798" spans="1:1">
      <c r="A1798" s="2"/>
    </row>
    <row r="1799" spans="1:1">
      <c r="A1799" s="2"/>
    </row>
    <row r="1800" spans="1:1">
      <c r="A1800" s="2"/>
    </row>
    <row r="1801" spans="1:1">
      <c r="A1801" s="2"/>
    </row>
    <row r="1802" spans="1:1">
      <c r="A1802" s="2"/>
    </row>
    <row r="1803" spans="1:1">
      <c r="A1803" s="2"/>
    </row>
    <row r="1804" spans="1:1">
      <c r="A1804" s="2"/>
    </row>
    <row r="1805" spans="1:1">
      <c r="A1805" s="2"/>
    </row>
    <row r="1806" spans="1:1">
      <c r="A1806" s="2"/>
    </row>
    <row r="1807" spans="1:1">
      <c r="A1807" s="2"/>
    </row>
    <row r="1808" spans="1:1">
      <c r="A1808" s="2"/>
    </row>
    <row r="1809" spans="1:1">
      <c r="A1809" s="2"/>
    </row>
    <row r="1810" spans="1:1">
      <c r="A1810" s="2"/>
    </row>
    <row r="1811" spans="1:1">
      <c r="A1811" s="2"/>
    </row>
    <row r="1812" spans="1:1">
      <c r="A1812" s="2"/>
    </row>
    <row r="1813" spans="1:1">
      <c r="A1813" s="2"/>
    </row>
    <row r="1814" spans="1:1">
      <c r="A1814" s="2"/>
    </row>
    <row r="1815" spans="1:1">
      <c r="A1815" s="2"/>
    </row>
    <row r="1816" spans="1:1">
      <c r="A1816" s="2"/>
    </row>
    <row r="1817" spans="1:1">
      <c r="A1817" s="2"/>
    </row>
    <row r="1818" spans="1:1">
      <c r="A1818" s="2"/>
    </row>
    <row r="1819" spans="1:1">
      <c r="A1819" s="2"/>
    </row>
    <row r="1820" spans="1:1">
      <c r="A1820" s="2"/>
    </row>
    <row r="1821" spans="1:1">
      <c r="A1821" s="2"/>
    </row>
    <row r="1822" spans="1:1">
      <c r="A1822" s="2"/>
    </row>
    <row r="1823" spans="1:1">
      <c r="A1823" s="2"/>
    </row>
    <row r="1824" spans="1:1">
      <c r="A1824" s="2"/>
    </row>
    <row r="1825" spans="1:1">
      <c r="A1825" s="2"/>
    </row>
    <row r="1826" spans="1:1">
      <c r="A1826" s="2"/>
    </row>
    <row r="1827" spans="1:1">
      <c r="A1827" s="2"/>
    </row>
    <row r="1828" spans="1:1">
      <c r="A1828" s="2"/>
    </row>
    <row r="1829" spans="1:1">
      <c r="A1829" s="2"/>
    </row>
    <row r="1830" spans="1:1">
      <c r="A1830" s="2"/>
    </row>
    <row r="1831" spans="1:1">
      <c r="A1831" s="2"/>
    </row>
    <row r="1832" spans="1:1">
      <c r="A1832" s="2"/>
    </row>
    <row r="1833" spans="1:1">
      <c r="A1833" s="2"/>
    </row>
    <row r="1834" spans="1:1">
      <c r="A1834" s="2"/>
    </row>
    <row r="1835" spans="1:1">
      <c r="A1835" s="2"/>
    </row>
    <row r="1836" spans="1:1">
      <c r="A1836" s="2"/>
    </row>
    <row r="1837" spans="1:1">
      <c r="A1837" s="2"/>
    </row>
    <row r="1838" spans="1:1">
      <c r="A1838" s="2"/>
    </row>
    <row r="1839" spans="1:1">
      <c r="A1839" s="2"/>
    </row>
    <row r="1840" spans="1:1">
      <c r="A1840" s="2"/>
    </row>
    <row r="1841" spans="1:1">
      <c r="A1841" s="2"/>
    </row>
    <row r="1842" spans="1:1">
      <c r="A1842" s="2"/>
    </row>
    <row r="1843" spans="1:1">
      <c r="A1843" s="2"/>
    </row>
    <row r="1844" spans="1:1">
      <c r="A1844" s="2"/>
    </row>
    <row r="1845" spans="1:1">
      <c r="A1845" s="2"/>
    </row>
    <row r="1846" spans="1:1">
      <c r="A1846" s="2"/>
    </row>
    <row r="1847" spans="1:1">
      <c r="A1847" s="2"/>
    </row>
    <row r="1848" spans="1:1">
      <c r="A1848" s="2"/>
    </row>
    <row r="1849" spans="1:1">
      <c r="A1849" s="2"/>
    </row>
    <row r="1850" spans="1:1">
      <c r="A1850" s="2"/>
    </row>
    <row r="1851" spans="1:1">
      <c r="A1851" s="2"/>
    </row>
    <row r="1852" spans="1:1">
      <c r="A1852" s="2"/>
    </row>
    <row r="1853" spans="1:1">
      <c r="A1853" s="2"/>
    </row>
    <row r="1854" spans="1:1">
      <c r="A1854" s="2"/>
    </row>
    <row r="1855" spans="1:1">
      <c r="A1855" s="2"/>
    </row>
    <row r="1856" spans="1:1">
      <c r="A1856" s="2"/>
    </row>
    <row r="1857" spans="1:1">
      <c r="A1857" s="2"/>
    </row>
    <row r="1858" spans="1:1">
      <c r="A1858" s="2"/>
    </row>
    <row r="1859" spans="1:1">
      <c r="A1859" s="2"/>
    </row>
    <row r="1860" spans="1:1">
      <c r="A1860" s="2"/>
    </row>
    <row r="1861" spans="1:1">
      <c r="A1861" s="2"/>
    </row>
    <row r="1862" spans="1:1">
      <c r="A1862" s="2"/>
    </row>
    <row r="1863" spans="1:1">
      <c r="A1863" s="2"/>
    </row>
    <row r="1864" spans="1:1">
      <c r="A1864" s="2"/>
    </row>
    <row r="1865" spans="1:1">
      <c r="A1865" s="2"/>
    </row>
    <row r="1866" spans="1:1">
      <c r="A1866" s="2"/>
    </row>
    <row r="1867" spans="1:1">
      <c r="A1867" s="2"/>
    </row>
    <row r="1868" spans="1:1">
      <c r="A1868" s="2"/>
    </row>
    <row r="1869" spans="1:1">
      <c r="A1869" s="2"/>
    </row>
    <row r="1870" spans="1:1">
      <c r="A1870" s="2"/>
    </row>
    <row r="1871" spans="1:1">
      <c r="A1871" s="2"/>
    </row>
    <row r="1872" spans="1:1">
      <c r="A1872" s="2"/>
    </row>
    <row r="1873" spans="1:1">
      <c r="A1873" s="2"/>
    </row>
    <row r="1874" spans="1:1">
      <c r="A1874" s="2"/>
    </row>
    <row r="1875" spans="1:1">
      <c r="A1875" s="2"/>
    </row>
    <row r="1876" spans="1:1">
      <c r="A1876" s="2"/>
    </row>
    <row r="1877" spans="1:1">
      <c r="A1877" s="2"/>
    </row>
    <row r="1878" spans="1:1">
      <c r="A1878" s="2"/>
    </row>
    <row r="1879" spans="1:1">
      <c r="A1879" s="2"/>
    </row>
    <row r="1880" spans="1:1">
      <c r="A1880" s="2"/>
    </row>
    <row r="1881" spans="1:1">
      <c r="A1881" s="2"/>
    </row>
    <row r="1882" spans="1:1">
      <c r="A1882" s="2"/>
    </row>
    <row r="1883" spans="1:1">
      <c r="A1883" s="2"/>
    </row>
    <row r="1884" spans="1:1">
      <c r="A1884" s="2"/>
    </row>
    <row r="1885" spans="1:1">
      <c r="A1885" s="2"/>
    </row>
    <row r="1886" spans="1:1">
      <c r="A1886" s="2"/>
    </row>
    <row r="1887" spans="1:1">
      <c r="A1887" s="2"/>
    </row>
    <row r="1888" spans="1:1">
      <c r="A1888" s="2"/>
    </row>
    <row r="1889" spans="1:1">
      <c r="A1889" s="2"/>
    </row>
    <row r="1890" spans="1:1">
      <c r="A1890" s="2"/>
    </row>
    <row r="1891" spans="1:1">
      <c r="A1891" s="2"/>
    </row>
    <row r="1892" spans="1:1">
      <c r="A1892" s="2"/>
    </row>
    <row r="1893" spans="1:1">
      <c r="A1893" s="2"/>
    </row>
    <row r="1894" spans="1:1">
      <c r="A1894" s="2"/>
    </row>
    <row r="1895" spans="1:1">
      <c r="A1895" s="2"/>
    </row>
    <row r="1896" spans="1:1">
      <c r="A1896" s="2"/>
    </row>
    <row r="1897" spans="1:1">
      <c r="A1897" s="2"/>
    </row>
    <row r="1898" spans="1:1">
      <c r="A1898" s="2"/>
    </row>
    <row r="1899" spans="1:1">
      <c r="A1899" s="2"/>
    </row>
    <row r="1900" spans="1:1">
      <c r="A1900" s="2"/>
    </row>
    <row r="1901" spans="1:1">
      <c r="A1901" s="2"/>
    </row>
    <row r="1902" spans="1:1">
      <c r="A1902" s="2"/>
    </row>
    <row r="1903" spans="1:1">
      <c r="A1903" s="2"/>
    </row>
    <row r="1904" spans="1:1">
      <c r="A1904" s="2"/>
    </row>
    <row r="1905" spans="1:1">
      <c r="A1905" s="2"/>
    </row>
    <row r="1906" spans="1:1">
      <c r="A1906" s="2"/>
    </row>
    <row r="1907" spans="1:1">
      <c r="A1907" s="2"/>
    </row>
    <row r="1908" spans="1:1">
      <c r="A1908" s="2"/>
    </row>
    <row r="1909" spans="1:1">
      <c r="A1909" s="2"/>
    </row>
    <row r="1910" spans="1:1">
      <c r="A1910" s="2"/>
    </row>
    <row r="1911" spans="1:1">
      <c r="A1911" s="2"/>
    </row>
    <row r="1912" spans="1:1">
      <c r="A1912" s="2"/>
    </row>
    <row r="1913" spans="1:1">
      <c r="A1913" s="2"/>
    </row>
    <row r="1914" spans="1:1">
      <c r="A1914" s="2"/>
    </row>
    <row r="1915" spans="1:1">
      <c r="A1915" s="2"/>
    </row>
    <row r="1916" spans="1:1">
      <c r="A1916" s="2"/>
    </row>
    <row r="1917" spans="1:1">
      <c r="A1917" s="2"/>
    </row>
    <row r="1918" spans="1:1">
      <c r="A1918" s="2"/>
    </row>
    <row r="1919" spans="1:1">
      <c r="A1919" s="2"/>
    </row>
    <row r="1920" spans="1:1">
      <c r="A1920" s="2"/>
    </row>
    <row r="1921" spans="1:1">
      <c r="A1921" s="2"/>
    </row>
    <row r="1922" spans="1:1">
      <c r="A1922" s="2"/>
    </row>
    <row r="1923" spans="1:1">
      <c r="A1923" s="2"/>
    </row>
    <row r="1924" spans="1:1">
      <c r="A1924" s="2"/>
    </row>
    <row r="1925" spans="1:1">
      <c r="A1925" s="2"/>
    </row>
    <row r="1926" spans="1:1">
      <c r="A1926" s="2"/>
    </row>
    <row r="1927" spans="1:1">
      <c r="A1927" s="2"/>
    </row>
    <row r="1928" spans="1:1">
      <c r="A1928" s="2"/>
    </row>
    <row r="1929" spans="1:1">
      <c r="A1929" s="2"/>
    </row>
    <row r="1930" spans="1:1">
      <c r="A1930" s="2"/>
    </row>
    <row r="1931" spans="1:1">
      <c r="A1931" s="2"/>
    </row>
    <row r="1932" spans="1:1">
      <c r="A1932" s="2"/>
    </row>
    <row r="1933" spans="1:1">
      <c r="A1933" s="2"/>
    </row>
    <row r="1934" spans="1:1">
      <c r="A1934" s="2"/>
    </row>
    <row r="1935" spans="1:1">
      <c r="A1935" s="2"/>
    </row>
    <row r="1936" spans="1:1">
      <c r="A1936" s="2"/>
    </row>
    <row r="1937" spans="1:1">
      <c r="A1937" s="2"/>
    </row>
    <row r="1938" spans="1:1">
      <c r="A1938" s="2"/>
    </row>
    <row r="1939" spans="1:1">
      <c r="A1939" s="2"/>
    </row>
    <row r="1940" spans="1:1">
      <c r="A1940" s="2"/>
    </row>
    <row r="1941" spans="1:1">
      <c r="A1941" s="2"/>
    </row>
    <row r="1942" spans="1:1">
      <c r="A1942" s="2"/>
    </row>
    <row r="1943" spans="1:1">
      <c r="A1943" s="2"/>
    </row>
    <row r="1944" spans="1:1">
      <c r="A1944" s="2"/>
    </row>
    <row r="1945" spans="1:1">
      <c r="A1945" s="2"/>
    </row>
    <row r="1946" spans="1:1">
      <c r="A1946" s="2"/>
    </row>
    <row r="1947" spans="1:1">
      <c r="A1947" s="2"/>
    </row>
    <row r="1948" spans="1:1">
      <c r="A1948" s="2"/>
    </row>
    <row r="1949" spans="1:1">
      <c r="A1949" s="2"/>
    </row>
    <row r="1950" spans="1:1">
      <c r="A1950" s="2"/>
    </row>
    <row r="1951" spans="1:1">
      <c r="A1951" s="2"/>
    </row>
    <row r="1952" spans="1:1">
      <c r="A1952" s="2"/>
    </row>
    <row r="1953" spans="1:1">
      <c r="A1953" s="2"/>
    </row>
    <row r="1954" spans="1:1">
      <c r="A1954" s="2"/>
    </row>
    <row r="1955" spans="1:1">
      <c r="A1955" s="2"/>
    </row>
    <row r="1956" spans="1:1">
      <c r="A1956" s="2"/>
    </row>
    <row r="1957" spans="1:1">
      <c r="A1957" s="2"/>
    </row>
    <row r="1958" spans="1:1">
      <c r="A1958" s="2"/>
    </row>
    <row r="1959" spans="1:1">
      <c r="A1959" s="2"/>
    </row>
    <row r="1960" spans="1:1">
      <c r="A1960" s="2"/>
    </row>
    <row r="1961" spans="1:1">
      <c r="A1961" s="2"/>
    </row>
    <row r="1962" spans="1:1">
      <c r="A1962" s="2"/>
    </row>
    <row r="1963" spans="1:1">
      <c r="A1963" s="2"/>
    </row>
    <row r="1964" spans="1:1">
      <c r="A1964" s="2"/>
    </row>
    <row r="1965" spans="1:1">
      <c r="A1965" s="2"/>
    </row>
    <row r="1966" spans="1:1">
      <c r="A1966" s="2"/>
    </row>
    <row r="1967" spans="1:1">
      <c r="A1967" s="2"/>
    </row>
    <row r="1968" spans="1:1">
      <c r="A1968" s="2"/>
    </row>
    <row r="1969" spans="1:1">
      <c r="A1969" s="2"/>
    </row>
    <row r="1970" spans="1:1">
      <c r="A1970" s="2"/>
    </row>
    <row r="1971" spans="1:1">
      <c r="A1971" s="2"/>
    </row>
    <row r="1972" spans="1:1">
      <c r="A1972" s="2"/>
    </row>
    <row r="1973" spans="1:1">
      <c r="A1973" s="2"/>
    </row>
    <row r="1974" spans="1:1">
      <c r="A1974" s="2"/>
    </row>
    <row r="1975" spans="1:1">
      <c r="A1975" s="2"/>
    </row>
    <row r="1976" spans="1:1">
      <c r="A1976" s="2"/>
    </row>
    <row r="1977" spans="1:1">
      <c r="A1977" s="2"/>
    </row>
    <row r="1978" spans="1:1">
      <c r="A1978" s="2"/>
    </row>
    <row r="1979" spans="1:1">
      <c r="A1979" s="2"/>
    </row>
    <row r="1980" spans="1:1">
      <c r="A1980" s="2"/>
    </row>
    <row r="1981" spans="1:1">
      <c r="A1981" s="2"/>
    </row>
    <row r="1982" spans="1:1">
      <c r="A1982" s="2"/>
    </row>
    <row r="1983" spans="1:1">
      <c r="A1983" s="2"/>
    </row>
    <row r="1984" spans="1:1">
      <c r="A1984" s="2"/>
    </row>
    <row r="1985" spans="1:1">
      <c r="A1985" s="2"/>
    </row>
    <row r="1986" spans="1:1">
      <c r="A1986" s="2"/>
    </row>
    <row r="1987" spans="1:1">
      <c r="A1987" s="2"/>
    </row>
    <row r="1988" spans="1:1">
      <c r="A1988" s="2"/>
    </row>
    <row r="1989" spans="1:1">
      <c r="A1989" s="2"/>
    </row>
    <row r="1990" spans="1:1">
      <c r="A1990" s="2"/>
    </row>
    <row r="1991" spans="1:1">
      <c r="A1991" s="2"/>
    </row>
    <row r="1992" spans="1:1">
      <c r="A1992" s="2"/>
    </row>
    <row r="1993" spans="1:1">
      <c r="A1993" s="2"/>
    </row>
    <row r="1994" spans="1:1">
      <c r="A1994" s="2"/>
    </row>
    <row r="1995" spans="1:1">
      <c r="A1995" s="2"/>
    </row>
    <row r="1996" spans="1:1">
      <c r="A1996" s="2"/>
    </row>
    <row r="1997" spans="1:1">
      <c r="A1997" s="2"/>
    </row>
    <row r="1998" spans="1:1">
      <c r="A1998" s="2"/>
    </row>
    <row r="1999" spans="1:1">
      <c r="A1999" s="2"/>
    </row>
    <row r="2000" spans="1:1">
      <c r="A2000" s="2"/>
    </row>
    <row r="2001" spans="1:1">
      <c r="A2001" s="2"/>
    </row>
    <row r="2002" spans="1:1">
      <c r="A2002" s="2"/>
    </row>
    <row r="2003" spans="1:1">
      <c r="A2003" s="2"/>
    </row>
    <row r="2004" spans="1:1">
      <c r="A2004" s="2"/>
    </row>
    <row r="2005" spans="1:1">
      <c r="A2005" s="2"/>
    </row>
    <row r="2006" spans="1:1">
      <c r="A2006" s="2"/>
    </row>
    <row r="2007" spans="1:1">
      <c r="A2007" s="2"/>
    </row>
    <row r="2008" spans="1:1">
      <c r="A2008" s="2"/>
    </row>
    <row r="2009" spans="1:1">
      <c r="A2009" s="2"/>
    </row>
    <row r="2010" spans="1:1">
      <c r="A2010" s="2"/>
    </row>
    <row r="2011" spans="1:1">
      <c r="A2011" s="2"/>
    </row>
    <row r="2012" spans="1:1">
      <c r="A2012" s="2"/>
    </row>
    <row r="2013" spans="1:1">
      <c r="A2013" s="2"/>
    </row>
    <row r="2014" spans="1:1">
      <c r="A2014" s="2"/>
    </row>
    <row r="2015" spans="1:1">
      <c r="A2015" s="2"/>
    </row>
    <row r="2016" spans="1:1">
      <c r="A2016" s="2"/>
    </row>
    <row r="2017" spans="1:1">
      <c r="A2017" s="2"/>
    </row>
    <row r="2018" spans="1:1">
      <c r="A2018" s="2"/>
    </row>
    <row r="2019" spans="1:1">
      <c r="A2019" s="2"/>
    </row>
    <row r="2020" spans="1:1">
      <c r="A2020" s="2"/>
    </row>
    <row r="2021" spans="1:1">
      <c r="A2021" s="2"/>
    </row>
    <row r="2022" spans="1:1">
      <c r="A2022" s="2"/>
    </row>
    <row r="2023" spans="1:1">
      <c r="A2023" s="2"/>
    </row>
    <row r="2024" spans="1:1">
      <c r="A2024" s="2"/>
    </row>
    <row r="2025" spans="1:1">
      <c r="A2025" s="2"/>
    </row>
    <row r="2026" spans="1:1">
      <c r="A2026" s="2"/>
    </row>
    <row r="2027" spans="1:1">
      <c r="A2027" s="2"/>
    </row>
    <row r="2028" spans="1:1">
      <c r="A2028" s="2"/>
    </row>
    <row r="2029" spans="1:1">
      <c r="A2029" s="2"/>
    </row>
    <row r="2030" spans="1:1">
      <c r="A2030" s="2"/>
    </row>
    <row r="2031" spans="1:1">
      <c r="A2031" s="2"/>
    </row>
    <row r="2032" spans="1:1">
      <c r="A2032" s="2"/>
    </row>
    <row r="2033" spans="1:1">
      <c r="A2033" s="2"/>
    </row>
    <row r="2034" spans="1:1">
      <c r="A2034" s="2"/>
    </row>
    <row r="2035" spans="1:1">
      <c r="A2035" s="2"/>
    </row>
    <row r="2036" spans="1:1">
      <c r="A2036" s="2"/>
    </row>
    <row r="2037" spans="1:1">
      <c r="A2037" s="2"/>
    </row>
    <row r="2038" spans="1:1">
      <c r="A2038" s="2"/>
    </row>
    <row r="2039" spans="1:1">
      <c r="A2039" s="2"/>
    </row>
    <row r="2040" spans="1:1">
      <c r="A2040" s="2"/>
    </row>
    <row r="2041" spans="1:1">
      <c r="A2041" s="2"/>
    </row>
    <row r="2042" spans="1:1">
      <c r="A2042" s="2"/>
    </row>
    <row r="2043" spans="1:1">
      <c r="A2043" s="2"/>
    </row>
    <row r="2044" spans="1:1">
      <c r="A2044" s="2"/>
    </row>
    <row r="2045" spans="1:1">
      <c r="A2045" s="2"/>
    </row>
    <row r="2046" spans="1:1">
      <c r="A2046" s="2"/>
    </row>
    <row r="2047" spans="1:1">
      <c r="A2047" s="2"/>
    </row>
    <row r="2048" spans="1:1">
      <c r="A2048" s="2"/>
    </row>
    <row r="2049" spans="1:1">
      <c r="A2049" s="2"/>
    </row>
    <row r="2050" spans="1:1">
      <c r="A2050" s="2"/>
    </row>
    <row r="2051" spans="1:1">
      <c r="A2051" s="2"/>
    </row>
    <row r="2052" spans="1:1">
      <c r="A2052" s="2"/>
    </row>
    <row r="2053" spans="1:1">
      <c r="A2053" s="2"/>
    </row>
    <row r="2054" spans="1:1">
      <c r="A2054" s="2"/>
    </row>
    <row r="2055" spans="1:1">
      <c r="A2055" s="2"/>
    </row>
    <row r="2056" spans="1:1">
      <c r="A2056" s="2"/>
    </row>
    <row r="2057" spans="1:1">
      <c r="A2057" s="2"/>
    </row>
    <row r="2058" spans="1:1">
      <c r="A2058" s="2"/>
    </row>
    <row r="2059" spans="1:1">
      <c r="A2059" s="2"/>
    </row>
    <row r="2060" spans="1:1">
      <c r="A2060" s="2"/>
    </row>
    <row r="2061" spans="1:1">
      <c r="A2061" s="2"/>
    </row>
    <row r="2062" spans="1:1">
      <c r="A2062" s="2"/>
    </row>
    <row r="2063" spans="1:1">
      <c r="A2063" s="2"/>
    </row>
    <row r="2064" spans="1:1">
      <c r="A2064" s="2"/>
    </row>
    <row r="2065" spans="1:1">
      <c r="A2065" s="2"/>
    </row>
    <row r="2066" spans="1:1">
      <c r="A2066" s="2"/>
    </row>
    <row r="2067" spans="1:1">
      <c r="A2067" s="2"/>
    </row>
    <row r="2068" spans="1:1">
      <c r="A2068" s="2"/>
    </row>
    <row r="2069" spans="1:1">
      <c r="A2069" s="2"/>
    </row>
    <row r="2070" spans="1:1">
      <c r="A2070" s="2"/>
    </row>
    <row r="2071" spans="1:1">
      <c r="A2071" s="2"/>
    </row>
    <row r="2072" spans="1:1">
      <c r="A2072" s="2"/>
    </row>
    <row r="2073" spans="1:1">
      <c r="A2073" s="2"/>
    </row>
    <row r="2074" spans="1:1">
      <c r="A2074" s="2"/>
    </row>
    <row r="2075" spans="1:1">
      <c r="A2075" s="2"/>
    </row>
    <row r="2076" spans="1:1">
      <c r="A2076" s="2"/>
    </row>
    <row r="2077" spans="1:1">
      <c r="A2077" s="2"/>
    </row>
    <row r="2078" spans="1:1">
      <c r="A2078" s="2"/>
    </row>
    <row r="2079" spans="1:1">
      <c r="A2079" s="2"/>
    </row>
    <row r="2080" spans="1:1">
      <c r="A2080" s="2"/>
    </row>
    <row r="2081" spans="1:1">
      <c r="A2081" s="2"/>
    </row>
    <row r="2082" spans="1:1">
      <c r="A2082" s="2"/>
    </row>
    <row r="2083" spans="1:1">
      <c r="A2083" s="2"/>
    </row>
    <row r="2084" spans="1:1">
      <c r="A2084" s="2"/>
    </row>
    <row r="2085" spans="1:1">
      <c r="A2085" s="2"/>
    </row>
    <row r="2086" spans="1:1">
      <c r="A2086" s="2"/>
    </row>
    <row r="2087" spans="1:1">
      <c r="A2087" s="2"/>
    </row>
    <row r="2088" spans="1:1">
      <c r="A2088" s="2"/>
    </row>
    <row r="2089" spans="1:1">
      <c r="A2089" s="2"/>
    </row>
    <row r="2090" spans="1:1">
      <c r="A2090" s="2"/>
    </row>
    <row r="2091" spans="1:1">
      <c r="A2091" s="2"/>
    </row>
    <row r="2092" spans="1:1">
      <c r="A2092" s="2"/>
    </row>
    <row r="2093" spans="1:1">
      <c r="A2093" s="2"/>
    </row>
    <row r="2094" spans="1:1">
      <c r="A2094" s="2"/>
    </row>
    <row r="2095" spans="1:1">
      <c r="A2095" s="2"/>
    </row>
    <row r="2096" spans="1:1">
      <c r="A2096" s="2"/>
    </row>
    <row r="2097" spans="1:1">
      <c r="A2097" s="2"/>
    </row>
    <row r="2098" spans="1:1">
      <c r="A2098" s="2"/>
    </row>
    <row r="2099" spans="1:1">
      <c r="A2099" s="2"/>
    </row>
    <row r="2100" spans="1:1">
      <c r="A2100" s="2"/>
    </row>
    <row r="2101" spans="1:1">
      <c r="A2101" s="2"/>
    </row>
    <row r="2102" spans="1:1">
      <c r="A2102" s="2"/>
    </row>
    <row r="2103" spans="1:1">
      <c r="A2103" s="2"/>
    </row>
    <row r="2104" spans="1:1">
      <c r="A2104" s="2"/>
    </row>
    <row r="2105" spans="1:1">
      <c r="A2105" s="2"/>
    </row>
    <row r="2106" spans="1:1">
      <c r="A2106" s="2"/>
    </row>
    <row r="2107" spans="1:1">
      <c r="A2107" s="2"/>
    </row>
    <row r="2108" spans="1:1">
      <c r="A2108" s="2"/>
    </row>
    <row r="2109" spans="1:1">
      <c r="A2109" s="2"/>
    </row>
    <row r="2110" spans="1:1">
      <c r="A2110" s="2"/>
    </row>
    <row r="2111" spans="1:1">
      <c r="A2111" s="2"/>
    </row>
    <row r="2112" spans="1:1">
      <c r="A2112" s="2"/>
    </row>
    <row r="2113" spans="1:1">
      <c r="A2113" s="2"/>
    </row>
    <row r="2114" spans="1:1">
      <c r="A2114" s="2"/>
    </row>
    <row r="2115" spans="1:1">
      <c r="A2115" s="2"/>
    </row>
    <row r="2116" spans="1:1">
      <c r="A2116" s="2"/>
    </row>
    <row r="2117" spans="1:1">
      <c r="A2117" s="2"/>
    </row>
    <row r="2118" spans="1:1">
      <c r="A2118" s="2"/>
    </row>
    <row r="2119" spans="1:1">
      <c r="A2119" s="2"/>
    </row>
    <row r="2120" spans="1:1">
      <c r="A2120" s="2"/>
    </row>
    <row r="2121" spans="1:1">
      <c r="A2121" s="2"/>
    </row>
    <row r="2122" spans="1:1">
      <c r="A2122" s="2"/>
    </row>
    <row r="2123" spans="1:1">
      <c r="A2123" s="2"/>
    </row>
    <row r="2124" spans="1:1">
      <c r="A2124" s="2"/>
    </row>
    <row r="2125" spans="1:1">
      <c r="A2125" s="2"/>
    </row>
    <row r="2126" spans="1:1">
      <c r="A2126" s="2"/>
    </row>
    <row r="2127" spans="1:1">
      <c r="A2127" s="2"/>
    </row>
    <row r="2128" spans="1:1">
      <c r="A2128" s="2"/>
    </row>
    <row r="2129" spans="1:1">
      <c r="A2129" s="2"/>
    </row>
    <row r="2130" spans="1:1">
      <c r="A2130" s="2"/>
    </row>
    <row r="2131" spans="1:1">
      <c r="A2131" s="2"/>
    </row>
    <row r="2132" spans="1:1">
      <c r="A2132" s="2"/>
    </row>
    <row r="2133" spans="1:1">
      <c r="A2133" s="2"/>
    </row>
    <row r="2134" spans="1:1">
      <c r="A2134" s="2"/>
    </row>
    <row r="2135" spans="1:1">
      <c r="A2135" s="2"/>
    </row>
    <row r="2136" spans="1:1">
      <c r="A2136" s="2"/>
    </row>
    <row r="2137" spans="1:1">
      <c r="A2137" s="2"/>
    </row>
    <row r="2138" spans="1:1">
      <c r="A2138" s="2"/>
    </row>
    <row r="2139" spans="1:1">
      <c r="A2139" s="2"/>
    </row>
    <row r="2140" spans="1:1">
      <c r="A2140" s="2"/>
    </row>
    <row r="2141" spans="1:1">
      <c r="A2141" s="2"/>
    </row>
    <row r="2142" spans="1:1">
      <c r="A2142" s="2"/>
    </row>
    <row r="2143" spans="1:1">
      <c r="A2143" s="2"/>
    </row>
    <row r="2144" spans="1:1">
      <c r="A2144" s="2"/>
    </row>
    <row r="2145" spans="1:1">
      <c r="A2145" s="2"/>
    </row>
    <row r="2146" spans="1:1">
      <c r="A2146" s="2"/>
    </row>
    <row r="2147" spans="1:1">
      <c r="A2147" s="2"/>
    </row>
    <row r="2148" spans="1:1">
      <c r="A2148" s="2"/>
    </row>
    <row r="2149" spans="1:1">
      <c r="A2149" s="2"/>
    </row>
    <row r="2150" spans="1:1">
      <c r="A2150" s="2"/>
    </row>
    <row r="2151" spans="1:1">
      <c r="A2151" s="2"/>
    </row>
    <row r="2152" spans="1:1">
      <c r="A2152" s="2"/>
    </row>
    <row r="2153" spans="1:1">
      <c r="A2153" s="2"/>
    </row>
    <row r="2154" spans="1:1">
      <c r="A2154" s="2"/>
    </row>
    <row r="2155" spans="1:1">
      <c r="A2155" s="2"/>
    </row>
    <row r="2156" spans="1:1">
      <c r="A2156" s="2"/>
    </row>
    <row r="2157" spans="1:1">
      <c r="A2157" s="2"/>
    </row>
    <row r="2158" spans="1:1">
      <c r="A2158" s="2"/>
    </row>
    <row r="2159" spans="1:1">
      <c r="A2159" s="2"/>
    </row>
    <row r="2160" spans="1:1">
      <c r="A2160" s="2"/>
    </row>
    <row r="2161" spans="1:1">
      <c r="A2161" s="2"/>
    </row>
    <row r="2162" spans="1:1">
      <c r="A2162" s="2"/>
    </row>
    <row r="2163" spans="1:1">
      <c r="A2163" s="2"/>
    </row>
    <row r="2164" spans="1:1">
      <c r="A2164" s="2"/>
    </row>
    <row r="2165" spans="1:1">
      <c r="A2165" s="2"/>
    </row>
    <row r="2166" spans="1:1">
      <c r="A2166" s="2"/>
    </row>
    <row r="2167" spans="1:1">
      <c r="A2167" s="2"/>
    </row>
    <row r="2168" spans="1:1">
      <c r="A2168" s="2"/>
    </row>
    <row r="2169" spans="1:1">
      <c r="A2169" s="2"/>
    </row>
    <row r="2170" spans="1:1">
      <c r="A2170" s="2"/>
    </row>
    <row r="2171" spans="1:1">
      <c r="A2171" s="2"/>
    </row>
    <row r="2172" spans="1:1">
      <c r="A2172" s="2"/>
    </row>
    <row r="2173" spans="1:1">
      <c r="A2173" s="2"/>
    </row>
    <row r="2174" spans="1:1">
      <c r="A2174" s="2"/>
    </row>
    <row r="2175" spans="1:1">
      <c r="A2175" s="2"/>
    </row>
    <row r="2176" spans="1:1">
      <c r="A2176" s="2"/>
    </row>
    <row r="2177" spans="1:1">
      <c r="A2177" s="2"/>
    </row>
    <row r="2178" spans="1:1">
      <c r="A2178" s="2"/>
    </row>
    <row r="2179" spans="1:1">
      <c r="A2179" s="2"/>
    </row>
    <row r="2180" spans="1:1">
      <c r="A2180" s="2"/>
    </row>
    <row r="2181" spans="1:1">
      <c r="A2181" s="2"/>
    </row>
    <row r="2182" spans="1:1">
      <c r="A2182" s="2"/>
    </row>
    <row r="2183" spans="1:1">
      <c r="A2183" s="2"/>
    </row>
    <row r="2184" spans="1:1">
      <c r="A2184" s="2"/>
    </row>
    <row r="2185" spans="1:1">
      <c r="A2185" s="2"/>
    </row>
    <row r="2186" spans="1:1">
      <c r="A2186" s="2"/>
    </row>
    <row r="2187" spans="1:1">
      <c r="A2187" s="2"/>
    </row>
    <row r="2188" spans="1:1">
      <c r="A2188" s="2"/>
    </row>
    <row r="2189" spans="1:1">
      <c r="A2189" s="2"/>
    </row>
    <row r="2190" spans="1:1">
      <c r="A2190" s="2"/>
    </row>
    <row r="2191" spans="1:1">
      <c r="A2191" s="2"/>
    </row>
    <row r="2192" spans="1:1">
      <c r="A2192" s="2"/>
    </row>
    <row r="2193" spans="1:1">
      <c r="A2193" s="2"/>
    </row>
    <row r="2194" spans="1:1">
      <c r="A2194" s="2"/>
    </row>
    <row r="2195" spans="1:1">
      <c r="A2195" s="2"/>
    </row>
    <row r="2196" spans="1:1">
      <c r="A2196" s="2"/>
    </row>
    <row r="2197" spans="1:1">
      <c r="A2197" s="2"/>
    </row>
    <row r="2198" spans="1:1">
      <c r="A2198" s="2"/>
    </row>
    <row r="2199" spans="1:1">
      <c r="A2199" s="2"/>
    </row>
    <row r="2200" spans="1:1">
      <c r="A2200" s="2"/>
    </row>
    <row r="2201" spans="1:1">
      <c r="A2201" s="2"/>
    </row>
    <row r="2202" spans="1:1">
      <c r="A2202" s="2"/>
    </row>
    <row r="2203" spans="1:1">
      <c r="A2203" s="2"/>
    </row>
    <row r="2204" spans="1:1">
      <c r="A2204" s="2"/>
    </row>
    <row r="2205" spans="1:1">
      <c r="A2205" s="2"/>
    </row>
    <row r="2206" spans="1:1">
      <c r="A2206" s="2"/>
    </row>
    <row r="2207" spans="1:1">
      <c r="A2207" s="2"/>
    </row>
    <row r="2208" spans="1:1">
      <c r="A2208" s="2"/>
    </row>
    <row r="2209" spans="1:1">
      <c r="A2209" s="2"/>
    </row>
    <row r="2210" spans="1:1">
      <c r="A2210" s="2"/>
    </row>
    <row r="2211" spans="1:1">
      <c r="A2211" s="2"/>
    </row>
    <row r="2212" spans="1:1">
      <c r="A2212" s="2"/>
    </row>
    <row r="2213" spans="1:1">
      <c r="A2213" s="2"/>
    </row>
    <row r="2214" spans="1:1">
      <c r="A2214" s="2"/>
    </row>
    <row r="2215" spans="1:1">
      <c r="A2215" s="2"/>
    </row>
    <row r="2216" spans="1:1">
      <c r="A2216" s="2"/>
    </row>
    <row r="2217" spans="1:1">
      <c r="A2217" s="2"/>
    </row>
    <row r="2218" spans="1:1">
      <c r="A2218" s="2"/>
    </row>
    <row r="2219" spans="1:1">
      <c r="A2219" s="2"/>
    </row>
    <row r="2220" spans="1:1">
      <c r="A2220" s="2"/>
    </row>
    <row r="2221" spans="1:1">
      <c r="A2221" s="2"/>
    </row>
    <row r="2222" spans="1:1">
      <c r="A2222" s="2"/>
    </row>
    <row r="2223" spans="1:1">
      <c r="A2223" s="2"/>
    </row>
    <row r="2224" spans="1:1">
      <c r="A2224" s="2"/>
    </row>
    <row r="2225" spans="1:1">
      <c r="A2225" s="2"/>
    </row>
  </sheetData>
  <customSheetViews>
    <customSheetView guid="{DC91DEF3-837B-4BB9-A81E-3B78C5914E6C}" scale="75" showPageBreaks="1" fitToPage="1" hiddenRows="1" showRuler="0">
      <selection activeCell="G9" sqref="G9"/>
      <pageMargins left="0.5" right="0.5" top="0.5" bottom="0.5" header="0.5" footer="0.5"/>
      <printOptions horizontalCentered="1"/>
      <pageSetup scale="53" orientation="portrait" r:id="rId1"/>
      <headerFooter alignWithMargins="0">
        <oddHeader>&amp;R&amp;12Page &amp;P of &amp;N</oddHeader>
      </headerFooter>
    </customSheetView>
    <customSheetView guid="{28948E05-8F34-4F1E-96FB-A80A6A844600}" scale="75" showPageBreaks="1" fitToPage="1" hiddenRows="1" showRuler="0">
      <selection activeCell="D6" sqref="D6"/>
      <pageMargins left="0.5" right="0.5" top="0.5" bottom="0.5" header="0.5" footer="0.5"/>
      <printOptions horizontalCentered="1"/>
      <pageSetup scale="53" orientation="portrait" r:id="rId2"/>
      <headerFooter alignWithMargins="0">
        <oddHeader>&amp;R&amp;12Page &amp;P of &amp;N</oddHeader>
      </headerFooter>
    </customSheetView>
    <customSheetView guid="{71B42B22-A376-44B5-B0C1-23FC1AA3DBA2}" scale="75" fitToPage="1" hiddenRows="1" showRuler="0">
      <selection activeCell="D6" sqref="D6"/>
      <pageMargins left="0.5" right="0.5" top="0.5" bottom="0.5" header="0.5" footer="0.5"/>
      <printOptions horizontalCentered="1"/>
      <pageSetup scale="53" orientation="portrait" r:id="rId3"/>
      <headerFooter alignWithMargins="0">
        <oddHeader>&amp;R&amp;14Page &amp;P of &amp;N</oddHeader>
      </headerFooter>
    </customSheetView>
    <customSheetView guid="{FAAD9AAC-1337-43AB-BF1F-CCF9DFCF5B78}" scale="75" fitToPage="1" hiddenRows="1" showRuler="0" topLeftCell="A35">
      <selection activeCell="I49" sqref="I49"/>
      <pageMargins left="0.5" right="0.5" top="0.5" bottom="0.5" header="0.5" footer="0.5"/>
      <printOptions horizontalCentered="1"/>
      <pageSetup scale="53" orientation="portrait" r:id="rId4"/>
      <headerFooter alignWithMargins="0">
        <oddHeader>&amp;R&amp;12Page &amp;P of &amp;N</oddHeader>
      </headerFooter>
    </customSheetView>
    <customSheetView guid="{4C7C2344-134C-465A-ADEB-A5E96AAE2308}" scale="75" showPageBreaks="1" fitToPage="1" hiddenRows="1" showRuler="0" topLeftCell="A35">
      <selection activeCell="I49" sqref="I49"/>
      <pageMargins left="0.5" right="0.5" top="0.5" bottom="0.5" header="0.5" footer="0.5"/>
      <printOptions horizontalCentered="1"/>
      <pageSetup scale="53" orientation="portrait" r:id="rId5"/>
      <headerFooter alignWithMargins="0">
        <oddHeader>&amp;R&amp;12Page &amp;P of &amp;N</oddHeader>
      </headerFooter>
    </customSheetView>
    <customSheetView guid="{DA967730-B71F-4038-B1B7-9D4790729C5D}" scale="75" showPageBreaks="1" fitToPage="1" hiddenRows="1" showRuler="0" topLeftCell="A35">
      <selection activeCell="I49" sqref="I49"/>
      <pageMargins left="0.5" right="0.5" top="0.5" bottom="0.5" header="0.5" footer="0.5"/>
      <printOptions horizontalCentered="1"/>
      <pageSetup scale="53" orientation="portrait" r:id="rId6"/>
      <headerFooter alignWithMargins="0">
        <oddHeader>&amp;R&amp;12Page &amp;P of &amp;N</oddHeader>
      </headerFooter>
    </customSheetView>
    <customSheetView guid="{F96D6087-3330-4A81-95EC-26BA83722A49}" scale="75" showPageBreaks="1" fitToPage="1" hiddenRows="1" showRuler="0" topLeftCell="A35">
      <selection activeCell="I49" sqref="I49"/>
      <pageMargins left="0.5" right="0.5" top="0.5" bottom="0.5" header="0.5" footer="0.5"/>
      <printOptions horizontalCentered="1"/>
      <pageSetup scale="53" orientation="portrait" r:id="rId7"/>
      <headerFooter alignWithMargins="0">
        <oddHeader>&amp;R&amp;12Page &amp;P of &amp;N</oddHeader>
      </headerFooter>
    </customSheetView>
    <customSheetView guid="{3A38DF7A-C35E-4DD3-9893-26310A3EF836}" scale="70" showPageBreaks="1" fitToPage="1" hiddenRows="1" showRuler="0">
      <selection activeCell="A3" sqref="A3:I3"/>
      <pageMargins left="0.5" right="0.5" top="0.5" bottom="0.5" header="0.5" footer="0.5"/>
      <printOptions horizontalCentered="1"/>
      <pageSetup scale="53" orientation="portrait" r:id="rId8"/>
      <headerFooter alignWithMargins="0">
        <oddHeader>&amp;R&amp;12Page &amp;P of &amp;N</oddHeader>
      </headerFooter>
    </customSheetView>
  </customSheetViews>
  <phoneticPr fontId="0" type="noConversion"/>
  <pageMargins left="1" right="1" top="1" bottom="1" header="0.5" footer="0.5"/>
  <pageSetup scale="49" orientation="landscape" r:id="rId9"/>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autoPageBreaks="0" fitToPage="1"/>
  </sheetPr>
  <dimension ref="A1:IR320"/>
  <sheetViews>
    <sheetView zoomScale="70" zoomScaleNormal="70" workbookViewId="0"/>
  </sheetViews>
  <sheetFormatPr defaultColWidth="9.140625" defaultRowHeight="15"/>
  <cols>
    <col min="1" max="1" width="5.85546875" style="23" customWidth="1"/>
    <col min="2" max="2" width="5.85546875" style="18" customWidth="1"/>
    <col min="3" max="3" width="66.28515625" style="18" customWidth="1"/>
    <col min="4" max="4" width="36.85546875" style="18" bestFit="1" customWidth="1"/>
    <col min="5" max="5" width="19.140625" style="349" customWidth="1"/>
    <col min="6" max="6" width="22" style="18" customWidth="1"/>
    <col min="7" max="7" width="22" style="18" bestFit="1" customWidth="1"/>
    <col min="8" max="8" width="18.5703125" style="18" customWidth="1"/>
    <col min="9" max="9" width="19.28515625" style="18" customWidth="1"/>
    <col min="10" max="10" width="18.5703125" style="18" customWidth="1"/>
    <col min="11" max="11" width="44.140625" style="18" customWidth="1"/>
    <col min="12" max="12" width="25.42578125" style="18" customWidth="1"/>
    <col min="13" max="13" width="21" style="18" customWidth="1"/>
    <col min="14" max="14" width="10.5703125" style="18" bestFit="1" customWidth="1"/>
    <col min="15" max="15" width="19.85546875" style="18" customWidth="1"/>
    <col min="16" max="16" width="15" style="2254" bestFit="1" customWidth="1"/>
    <col min="17" max="17" width="15" style="18" bestFit="1" customWidth="1"/>
    <col min="18" max="18" width="18" style="18" customWidth="1"/>
    <col min="19" max="19" width="16.28515625" style="18" customWidth="1"/>
    <col min="20" max="20" width="3.28515625" style="18" customWidth="1"/>
    <col min="21" max="21" width="16.42578125" style="18" customWidth="1"/>
    <col min="22" max="22" width="4" style="18" customWidth="1"/>
    <col min="23" max="23" width="14.85546875" style="18" customWidth="1"/>
    <col min="24" max="24" width="9.140625" style="18"/>
    <col min="25" max="25" width="16.7109375" style="18" customWidth="1"/>
    <col min="26" max="26" width="15.5703125" style="18" customWidth="1"/>
    <col min="27" max="27" width="9.140625" style="18"/>
    <col min="28" max="28" width="19.7109375" style="18" customWidth="1"/>
    <col min="29" max="29" width="19.7109375" style="18" bestFit="1" customWidth="1"/>
    <col min="30" max="30" width="17.85546875" style="18" customWidth="1"/>
    <col min="31" max="16384" width="9.140625" style="18"/>
  </cols>
  <sheetData>
    <row r="1" spans="1:31" ht="21" customHeight="1">
      <c r="A1" s="2239" t="s">
        <v>365</v>
      </c>
      <c r="B1" s="1042"/>
      <c r="C1" s="1043"/>
      <c r="D1" s="1044"/>
      <c r="E1" s="1044"/>
      <c r="F1" s="1045"/>
      <c r="G1" s="1043"/>
      <c r="H1" s="1043"/>
      <c r="I1" s="1043"/>
      <c r="J1" s="1043"/>
      <c r="K1" s="1043"/>
      <c r="L1" s="1043"/>
      <c r="M1" s="1043"/>
    </row>
    <row r="2" spans="1:31" ht="21" customHeight="1">
      <c r="A2" s="2240" t="s">
        <v>292</v>
      </c>
      <c r="B2" s="1042"/>
      <c r="C2" s="1043"/>
      <c r="D2" s="1044"/>
      <c r="E2" s="1044"/>
      <c r="F2" s="1045"/>
      <c r="G2" s="1043"/>
      <c r="H2" s="1043"/>
      <c r="I2" s="1043"/>
      <c r="J2" s="1043"/>
      <c r="K2" s="1043"/>
      <c r="L2" s="1043"/>
      <c r="M2" s="1043"/>
    </row>
    <row r="3" spans="1:31" s="387" customFormat="1" ht="15.75">
      <c r="A3" s="753"/>
      <c r="B3" s="754"/>
      <c r="C3" s="754"/>
      <c r="D3" s="754"/>
      <c r="E3" s="754"/>
      <c r="F3" s="754"/>
      <c r="G3" s="754"/>
      <c r="H3" s="754"/>
      <c r="I3" s="754"/>
      <c r="J3" s="754"/>
      <c r="K3" s="754"/>
      <c r="L3" s="754"/>
      <c r="P3" s="2255"/>
    </row>
    <row r="4" spans="1:31" s="880" customFormat="1" ht="16.5" thickBot="1">
      <c r="A4" s="873" t="s">
        <v>608</v>
      </c>
      <c r="B4" s="754"/>
      <c r="C4" s="754"/>
      <c r="D4" s="754"/>
      <c r="E4" s="754"/>
      <c r="F4" s="754"/>
      <c r="G4" s="754"/>
      <c r="H4" s="754"/>
      <c r="I4" s="754"/>
      <c r="J4" s="754"/>
      <c r="K4" s="754"/>
      <c r="L4" s="754"/>
      <c r="O4" s="2415"/>
      <c r="P4" s="2416"/>
      <c r="Q4" s="2415"/>
      <c r="R4" s="2415"/>
      <c r="S4" s="2415"/>
      <c r="T4" s="2415"/>
      <c r="U4" s="2415"/>
      <c r="V4" s="2415"/>
      <c r="W4" s="2415"/>
      <c r="X4" s="2415"/>
      <c r="Y4" s="2415"/>
      <c r="Z4" s="2415"/>
      <c r="AA4" s="2415"/>
      <c r="AB4" s="2415"/>
      <c r="AC4" s="2415"/>
      <c r="AD4" s="2415"/>
      <c r="AE4" s="2415"/>
    </row>
    <row r="5" spans="1:31" s="387" customFormat="1">
      <c r="A5" s="2685" t="s">
        <v>609</v>
      </c>
      <c r="B5" s="2686"/>
      <c r="C5" s="2686"/>
      <c r="D5" s="2686"/>
      <c r="E5" s="2686"/>
      <c r="F5" s="2686"/>
      <c r="G5" s="2687"/>
      <c r="H5" s="913" t="s">
        <v>1039</v>
      </c>
      <c r="I5" s="914"/>
      <c r="J5" s="914"/>
      <c r="K5" s="915"/>
      <c r="L5" s="915"/>
      <c r="M5" s="916"/>
      <c r="O5" s="2415"/>
      <c r="P5" s="2416"/>
      <c r="Q5" s="2417"/>
      <c r="R5" s="2417"/>
      <c r="S5" s="2417"/>
      <c r="T5" s="2415"/>
      <c r="U5" s="2417"/>
      <c r="V5" s="2415"/>
      <c r="W5" s="2417"/>
      <c r="X5" s="2415"/>
      <c r="Y5" s="2415"/>
      <c r="Z5" s="2415"/>
      <c r="AA5" s="2415"/>
      <c r="AB5" s="2415"/>
      <c r="AC5" s="2415"/>
      <c r="AD5" s="2415"/>
      <c r="AE5" s="2415"/>
    </row>
    <row r="6" spans="1:31" s="387" customFormat="1" ht="15" customHeight="1">
      <c r="A6" s="2241"/>
      <c r="B6" s="758"/>
      <c r="C6" s="756" t="s">
        <v>610</v>
      </c>
      <c r="D6" s="757" t="s">
        <v>26</v>
      </c>
      <c r="E6" s="758" t="s">
        <v>1040</v>
      </c>
      <c r="F6" s="758" t="s">
        <v>141</v>
      </c>
      <c r="G6" s="759" t="s">
        <v>158</v>
      </c>
      <c r="H6" s="760"/>
      <c r="I6" s="782"/>
      <c r="J6" s="782"/>
      <c r="K6" s="2407"/>
      <c r="L6" s="2407"/>
      <c r="M6" s="762"/>
      <c r="O6" s="2416"/>
      <c r="P6" s="2416"/>
      <c r="Q6" s="2415"/>
      <c r="R6" s="2417"/>
      <c r="S6" s="2415"/>
      <c r="T6" s="2415"/>
      <c r="U6" s="2417"/>
      <c r="V6" s="2415"/>
      <c r="W6" s="2417"/>
      <c r="X6" s="2415"/>
      <c r="Y6" s="2415"/>
      <c r="Z6" s="2415"/>
      <c r="AA6" s="2415"/>
      <c r="AB6" s="2415"/>
      <c r="AC6" s="2415"/>
      <c r="AD6" s="2415"/>
      <c r="AE6" s="2415"/>
    </row>
    <row r="7" spans="1:31" s="387" customFormat="1">
      <c r="A7" s="2241"/>
      <c r="B7" s="816">
        <v>1</v>
      </c>
      <c r="C7" s="763" t="s">
        <v>358</v>
      </c>
      <c r="D7" s="392" t="s">
        <v>1346</v>
      </c>
      <c r="E7" s="392"/>
      <c r="F7" s="1577">
        <f>data_year-1</f>
        <v>2015</v>
      </c>
      <c r="G7" s="1158">
        <v>5910756444.3699999</v>
      </c>
      <c r="H7" s="1639" t="str">
        <f>IF((INDEX(Inputs_EndYrBal_prior,MATCH($D19,Inputs_FF1_Map,0))-G7)&lt;1,"-","Check values!")</f>
        <v>-</v>
      </c>
      <c r="I7" s="2408"/>
      <c r="J7" s="2636"/>
      <c r="K7" s="2407"/>
      <c r="L7" s="2407"/>
      <c r="M7" s="762"/>
      <c r="O7" s="2416"/>
      <c r="P7" s="2416"/>
      <c r="Q7" s="2415"/>
      <c r="R7" s="2415"/>
      <c r="S7" s="2415"/>
      <c r="T7" s="2415"/>
      <c r="U7" s="2415"/>
      <c r="V7" s="2415"/>
      <c r="W7" s="2415"/>
      <c r="X7" s="2415"/>
      <c r="Y7" s="2415"/>
      <c r="Z7" s="2415"/>
      <c r="AA7" s="2415"/>
      <c r="AB7" s="2415"/>
      <c r="AC7" s="2415"/>
      <c r="AD7" s="2415"/>
      <c r="AE7" s="2415"/>
    </row>
    <row r="8" spans="1:31" s="387" customFormat="1">
      <c r="A8" s="2241"/>
      <c r="B8" s="758">
        <f t="shared" ref="B8:B20" si="0">+B7+1</f>
        <v>2</v>
      </c>
      <c r="C8" s="765" t="s">
        <v>350</v>
      </c>
      <c r="D8" s="757" t="s">
        <v>631</v>
      </c>
      <c r="E8" s="757"/>
      <c r="F8" s="1577">
        <f>+F7+1</f>
        <v>2016</v>
      </c>
      <c r="G8" s="1158">
        <v>5914374216.2999992</v>
      </c>
      <c r="H8" s="766"/>
      <c r="I8" s="2408"/>
      <c r="J8" s="2636"/>
      <c r="K8" s="2407"/>
      <c r="L8" s="2409"/>
      <c r="M8" s="2253"/>
      <c r="O8" s="2416"/>
      <c r="P8" s="2416"/>
      <c r="Q8" s="2418"/>
      <c r="R8" s="2418"/>
      <c r="S8" s="2418"/>
      <c r="T8" s="2415"/>
      <c r="U8" s="2418"/>
      <c r="V8" s="2415"/>
      <c r="W8" s="2418"/>
      <c r="X8" s="2415"/>
      <c r="Y8" s="2415"/>
      <c r="Z8" s="2415"/>
      <c r="AA8" s="2415"/>
      <c r="AB8" s="2415"/>
      <c r="AC8" s="2415"/>
      <c r="AD8" s="2415"/>
      <c r="AE8" s="2415"/>
    </row>
    <row r="9" spans="1:31" s="387" customFormat="1">
      <c r="A9" s="2241"/>
      <c r="B9" s="758">
        <f t="shared" si="0"/>
        <v>3</v>
      </c>
      <c r="C9" s="768" t="s">
        <v>351</v>
      </c>
      <c r="D9" s="757" t="s">
        <v>631</v>
      </c>
      <c r="E9" s="757"/>
      <c r="F9" s="1577">
        <f t="shared" ref="F9:F19" si="1">+F8</f>
        <v>2016</v>
      </c>
      <c r="G9" s="1158">
        <v>5915506487.7099981</v>
      </c>
      <c r="H9" s="764"/>
      <c r="I9" s="2408"/>
      <c r="J9" s="2636"/>
      <c r="K9" s="2407"/>
      <c r="L9" s="2407"/>
      <c r="M9" s="2253"/>
      <c r="O9" s="2416"/>
      <c r="P9" s="2416"/>
      <c r="Q9" s="2418"/>
      <c r="R9" s="2418"/>
      <c r="S9" s="2418"/>
      <c r="T9" s="2415"/>
      <c r="U9" s="2418"/>
      <c r="V9" s="2415"/>
      <c r="W9" s="2418"/>
      <c r="X9" s="2415"/>
      <c r="Y9" s="2415"/>
      <c r="Z9" s="2415"/>
      <c r="AA9" s="2415"/>
      <c r="AB9" s="2415"/>
      <c r="AC9" s="2415"/>
      <c r="AD9" s="2415"/>
      <c r="AE9" s="2415"/>
    </row>
    <row r="10" spans="1:31" s="387" customFormat="1">
      <c r="A10" s="2241"/>
      <c r="B10" s="758">
        <f t="shared" si="0"/>
        <v>4</v>
      </c>
      <c r="C10" s="768" t="s">
        <v>352</v>
      </c>
      <c r="D10" s="757" t="s">
        <v>631</v>
      </c>
      <c r="E10" s="757"/>
      <c r="F10" s="1577">
        <f t="shared" si="1"/>
        <v>2016</v>
      </c>
      <c r="G10" s="1158">
        <v>5932169761.9399977</v>
      </c>
      <c r="H10" s="764"/>
      <c r="I10" s="2408"/>
      <c r="J10" s="2636"/>
      <c r="K10" s="761"/>
      <c r="L10" s="2407"/>
      <c r="M10" s="2253"/>
      <c r="O10" s="2416"/>
      <c r="P10" s="2416"/>
      <c r="Q10" s="2418"/>
      <c r="R10" s="2418"/>
      <c r="S10" s="2418"/>
      <c r="T10" s="2415"/>
      <c r="U10" s="2418"/>
      <c r="V10" s="2415"/>
      <c r="W10" s="2418"/>
      <c r="X10" s="2415"/>
      <c r="Y10" s="2415"/>
      <c r="Z10" s="2415"/>
      <c r="AA10" s="2415"/>
      <c r="AB10" s="2415"/>
      <c r="AC10" s="2415"/>
      <c r="AD10" s="2415"/>
      <c r="AE10" s="2415"/>
    </row>
    <row r="11" spans="1:31" s="387" customFormat="1">
      <c r="A11" s="2241"/>
      <c r="B11" s="758">
        <f t="shared" si="0"/>
        <v>5</v>
      </c>
      <c r="C11" s="765" t="s">
        <v>143</v>
      </c>
      <c r="D11" s="757" t="s">
        <v>631</v>
      </c>
      <c r="E11" s="757"/>
      <c r="F11" s="1577">
        <f t="shared" si="1"/>
        <v>2016</v>
      </c>
      <c r="G11" s="1158">
        <v>5957965818.9199991</v>
      </c>
      <c r="H11" s="764"/>
      <c r="I11" s="2408"/>
      <c r="J11" s="2636"/>
      <c r="K11" s="761"/>
      <c r="L11" s="2407"/>
      <c r="M11" s="2253"/>
      <c r="O11" s="2416"/>
      <c r="P11" s="2416"/>
      <c r="Q11" s="2418"/>
      <c r="R11" s="2418"/>
      <c r="S11" s="2418"/>
      <c r="T11" s="2415"/>
      <c r="U11" s="2418"/>
      <c r="V11" s="2415"/>
      <c r="W11" s="2418"/>
      <c r="X11" s="2415"/>
      <c r="Y11" s="2415"/>
      <c r="Z11" s="2415"/>
      <c r="AA11" s="2415"/>
      <c r="AB11" s="2415"/>
      <c r="AC11" s="2415"/>
      <c r="AD11" s="2415"/>
      <c r="AE11" s="2415"/>
    </row>
    <row r="12" spans="1:31" s="387" customFormat="1">
      <c r="A12" s="2241"/>
      <c r="B12" s="758">
        <f t="shared" si="0"/>
        <v>6</v>
      </c>
      <c r="C12" s="768" t="s">
        <v>144</v>
      </c>
      <c r="D12" s="757" t="s">
        <v>631</v>
      </c>
      <c r="E12" s="757"/>
      <c r="F12" s="1577">
        <f t="shared" si="1"/>
        <v>2016</v>
      </c>
      <c r="G12" s="1158">
        <v>5983749461.1499968</v>
      </c>
      <c r="H12" s="769"/>
      <c r="I12" s="2408"/>
      <c r="J12" s="2636"/>
      <c r="K12" s="782"/>
      <c r="L12" s="2407"/>
      <c r="M12" s="2410"/>
      <c r="O12" s="2416"/>
      <c r="P12" s="2416"/>
      <c r="Q12" s="2418"/>
      <c r="R12" s="2418"/>
      <c r="S12" s="2418"/>
      <c r="T12" s="2415"/>
      <c r="U12" s="2418"/>
      <c r="V12" s="2415"/>
      <c r="W12" s="2418"/>
      <c r="X12" s="2415"/>
      <c r="Y12" s="2415"/>
      <c r="Z12" s="2415"/>
      <c r="AA12" s="2415"/>
      <c r="AB12" s="2415"/>
      <c r="AC12" s="2415"/>
      <c r="AD12" s="2415"/>
      <c r="AE12" s="2415"/>
    </row>
    <row r="13" spans="1:31" s="387" customFormat="1">
      <c r="A13" s="2241"/>
      <c r="B13" s="758">
        <f t="shared" si="0"/>
        <v>7</v>
      </c>
      <c r="C13" s="768" t="s">
        <v>611</v>
      </c>
      <c r="D13" s="757" t="s">
        <v>631</v>
      </c>
      <c r="E13" s="757"/>
      <c r="F13" s="1577">
        <f t="shared" si="1"/>
        <v>2016</v>
      </c>
      <c r="G13" s="1158">
        <v>5996986151.7199984</v>
      </c>
      <c r="H13" s="764"/>
      <c r="I13" s="2408"/>
      <c r="J13" s="2636"/>
      <c r="K13" s="761"/>
      <c r="L13" s="2407"/>
      <c r="M13" s="2253"/>
      <c r="O13" s="2416"/>
      <c r="P13" s="2416"/>
      <c r="Q13" s="2418"/>
      <c r="R13" s="2418"/>
      <c r="S13" s="2418"/>
      <c r="T13" s="2415"/>
      <c r="U13" s="2418"/>
      <c r="V13" s="2415"/>
      <c r="W13" s="2418"/>
      <c r="X13" s="2415"/>
      <c r="Y13" s="2415"/>
      <c r="Z13" s="2415"/>
      <c r="AA13" s="2415"/>
      <c r="AB13" s="2415"/>
      <c r="AC13" s="2415"/>
      <c r="AD13" s="2415"/>
      <c r="AE13" s="2415"/>
    </row>
    <row r="14" spans="1:31" s="387" customFormat="1">
      <c r="A14" s="2241"/>
      <c r="B14" s="758">
        <f t="shared" si="0"/>
        <v>8</v>
      </c>
      <c r="C14" s="765" t="s">
        <v>353</v>
      </c>
      <c r="D14" s="757" t="s">
        <v>631</v>
      </c>
      <c r="E14" s="757"/>
      <c r="F14" s="1577">
        <f t="shared" si="1"/>
        <v>2016</v>
      </c>
      <c r="G14" s="1158">
        <v>5999442752.6499996</v>
      </c>
      <c r="H14" s="766"/>
      <c r="I14" s="2408"/>
      <c r="J14" s="2636"/>
      <c r="K14" s="761"/>
      <c r="L14" s="2407"/>
      <c r="M14" s="2253"/>
      <c r="O14" s="2416"/>
      <c r="P14" s="2416"/>
      <c r="Q14" s="2418"/>
      <c r="R14" s="2418"/>
      <c r="S14" s="2418"/>
      <c r="T14" s="2415"/>
      <c r="U14" s="2418"/>
      <c r="V14" s="2415"/>
      <c r="W14" s="2418"/>
      <c r="X14" s="2415"/>
      <c r="Y14" s="2415"/>
      <c r="Z14" s="2415"/>
      <c r="AA14" s="2415"/>
      <c r="AB14" s="2415"/>
      <c r="AC14" s="2415"/>
      <c r="AD14" s="2415"/>
      <c r="AE14" s="2415"/>
    </row>
    <row r="15" spans="1:31" s="387" customFormat="1">
      <c r="A15" s="2241"/>
      <c r="B15" s="758">
        <f t="shared" si="0"/>
        <v>9</v>
      </c>
      <c r="C15" s="768" t="s">
        <v>354</v>
      </c>
      <c r="D15" s="757" t="s">
        <v>631</v>
      </c>
      <c r="E15" s="757"/>
      <c r="F15" s="1577">
        <f t="shared" si="1"/>
        <v>2016</v>
      </c>
      <c r="G15" s="1158">
        <v>6005324965.2999983</v>
      </c>
      <c r="H15" s="764"/>
      <c r="I15" s="2408"/>
      <c r="J15" s="2636"/>
      <c r="K15" s="761"/>
      <c r="L15" s="2407"/>
      <c r="M15" s="2253"/>
      <c r="O15" s="2416"/>
      <c r="P15" s="2416"/>
      <c r="Q15" s="2418"/>
      <c r="R15" s="2418"/>
      <c r="S15" s="2418"/>
      <c r="T15" s="2415"/>
      <c r="U15" s="2418"/>
      <c r="V15" s="2415"/>
      <c r="W15" s="2418"/>
      <c r="X15" s="2415"/>
      <c r="Y15" s="2415"/>
      <c r="Z15" s="2415"/>
      <c r="AA15" s="2415"/>
      <c r="AB15" s="2415"/>
      <c r="AC15" s="2415"/>
      <c r="AD15" s="2415"/>
      <c r="AE15" s="2415"/>
    </row>
    <row r="16" spans="1:31" s="387" customFormat="1">
      <c r="A16" s="2241"/>
      <c r="B16" s="758">
        <f t="shared" si="0"/>
        <v>10</v>
      </c>
      <c r="C16" s="768" t="s">
        <v>355</v>
      </c>
      <c r="D16" s="757" t="s">
        <v>631</v>
      </c>
      <c r="E16" s="757"/>
      <c r="F16" s="1577">
        <f t="shared" si="1"/>
        <v>2016</v>
      </c>
      <c r="G16" s="1158">
        <v>6005550832.9499989</v>
      </c>
      <c r="H16" s="764"/>
      <c r="I16" s="2408"/>
      <c r="J16" s="2636"/>
      <c r="K16" s="761"/>
      <c r="L16" s="2407"/>
      <c r="M16" s="2253"/>
      <c r="O16" s="2416"/>
      <c r="P16" s="2416"/>
      <c r="Q16" s="2418"/>
      <c r="R16" s="2418"/>
      <c r="S16" s="2418"/>
      <c r="T16" s="2415"/>
      <c r="U16" s="2418"/>
      <c r="V16" s="2415"/>
      <c r="W16" s="2418"/>
      <c r="X16" s="2415"/>
      <c r="Y16" s="2415"/>
      <c r="Z16" s="2415"/>
      <c r="AA16" s="2415"/>
      <c r="AB16" s="2415"/>
      <c r="AC16" s="2415"/>
      <c r="AD16" s="2415"/>
      <c r="AE16" s="2415"/>
    </row>
    <row r="17" spans="1:31" s="387" customFormat="1">
      <c r="A17" s="2241"/>
      <c r="B17" s="758">
        <f t="shared" si="0"/>
        <v>11</v>
      </c>
      <c r="C17" s="765" t="s">
        <v>612</v>
      </c>
      <c r="D17" s="757" t="s">
        <v>631</v>
      </c>
      <c r="E17" s="757"/>
      <c r="F17" s="1577">
        <f t="shared" si="1"/>
        <v>2016</v>
      </c>
      <c r="G17" s="1158">
        <v>6012795443.7699986</v>
      </c>
      <c r="H17" s="764"/>
      <c r="I17" s="2408"/>
      <c r="J17" s="2636"/>
      <c r="K17" s="761"/>
      <c r="L17" s="2407"/>
      <c r="M17" s="2253"/>
      <c r="O17" s="2416"/>
      <c r="P17" s="2416"/>
      <c r="Q17" s="2418"/>
      <c r="R17" s="2418"/>
      <c r="S17" s="2418"/>
      <c r="T17" s="2415"/>
      <c r="U17" s="2418"/>
      <c r="V17" s="2415"/>
      <c r="W17" s="2418"/>
      <c r="X17" s="2415"/>
      <c r="Y17" s="2415"/>
      <c r="Z17" s="2415"/>
      <c r="AA17" s="2415"/>
      <c r="AB17" s="2415"/>
      <c r="AC17" s="2415"/>
      <c r="AD17" s="2415"/>
      <c r="AE17" s="2415"/>
    </row>
    <row r="18" spans="1:31" s="387" customFormat="1">
      <c r="A18" s="2241"/>
      <c r="B18" s="758">
        <f t="shared" si="0"/>
        <v>12</v>
      </c>
      <c r="C18" s="765" t="s">
        <v>357</v>
      </c>
      <c r="D18" s="757" t="s">
        <v>631</v>
      </c>
      <c r="E18" s="757"/>
      <c r="F18" s="1577">
        <f t="shared" si="1"/>
        <v>2016</v>
      </c>
      <c r="G18" s="1158">
        <v>6040264921.0099993</v>
      </c>
      <c r="H18" s="764"/>
      <c r="I18" s="2408"/>
      <c r="J18" s="2636"/>
      <c r="K18" s="761"/>
      <c r="L18" s="2407"/>
      <c r="M18" s="2253"/>
      <c r="O18" s="2416"/>
      <c r="P18" s="2416"/>
      <c r="Q18" s="2418"/>
      <c r="R18" s="2418"/>
      <c r="S18" s="2418"/>
      <c r="T18" s="2415"/>
      <c r="U18" s="2418"/>
      <c r="V18" s="2415"/>
      <c r="W18" s="2418"/>
      <c r="X18" s="2415"/>
      <c r="Y18" s="2415"/>
      <c r="Z18" s="2415"/>
      <c r="AA18" s="2415"/>
      <c r="AB18" s="2415"/>
      <c r="AC18" s="2415"/>
      <c r="AD18" s="2415"/>
      <c r="AE18" s="2415"/>
    </row>
    <row r="19" spans="1:31" s="387" customFormat="1">
      <c r="A19" s="2241"/>
      <c r="B19" s="758">
        <f t="shared" si="0"/>
        <v>13</v>
      </c>
      <c r="C19" s="771" t="s">
        <v>358</v>
      </c>
      <c r="D19" s="395" t="s">
        <v>1345</v>
      </c>
      <c r="E19" s="395"/>
      <c r="F19" s="1578">
        <f t="shared" si="1"/>
        <v>2016</v>
      </c>
      <c r="G19" s="1576">
        <v>6051719907.0800028</v>
      </c>
      <c r="H19" s="1639" t="str">
        <f>IF((INDEX(Inputs_EndYrBal,MATCH($D19,Inputs_FF1_Map,0))-G19)&lt;1,"-","Check values!")</f>
        <v>-</v>
      </c>
      <c r="I19" s="2408"/>
      <c r="J19" s="2636"/>
      <c r="K19" s="2252"/>
      <c r="L19" s="2407"/>
      <c r="M19" s="2253"/>
      <c r="O19" s="2416"/>
      <c r="P19" s="2416"/>
      <c r="Q19" s="2418"/>
      <c r="R19" s="2418"/>
      <c r="S19" s="2418"/>
      <c r="T19" s="2415"/>
      <c r="U19" s="2418"/>
      <c r="V19" s="2415"/>
      <c r="W19" s="2418"/>
      <c r="X19" s="2415"/>
      <c r="Y19" s="2415"/>
      <c r="Z19" s="2415"/>
      <c r="AA19" s="2415"/>
      <c r="AB19" s="2415"/>
      <c r="AC19" s="2415"/>
      <c r="AD19" s="2415"/>
      <c r="AE19" s="2415"/>
    </row>
    <row r="20" spans="1:31" s="387" customFormat="1" ht="15.75">
      <c r="A20" s="2241">
        <f>'Appendix A'!$A$38</f>
        <v>15</v>
      </c>
      <c r="B20" s="758">
        <f t="shared" si="0"/>
        <v>14</v>
      </c>
      <c r="C20" s="773" t="s">
        <v>274</v>
      </c>
      <c r="D20" s="1001" t="str">
        <f>IF(Toggle=Projection,"(line "&amp;B19&amp;")",IF(Toggle=True_up,"(sum lines "&amp;B7&amp;"-"&amp;B19&amp;") /13","Set Toggle!"))</f>
        <v>(sum lines 1-13) /13</v>
      </c>
      <c r="E20" s="996" t="str">
        <f>'Appendix A'!$E$38</f>
        <v>(Note M)</v>
      </c>
      <c r="F20" s="999" t="str">
        <f>Toggle</f>
        <v>True-up</v>
      </c>
      <c r="G20" s="1243">
        <f>IF(Toggle=Projection,G19,IF(Toggle=True_up,AVERAGE(G7:G19),"Set Toggle!"))</f>
        <v>5978969781.9130754</v>
      </c>
      <c r="H20" s="772" t="s">
        <v>1014</v>
      </c>
      <c r="I20" s="2408"/>
      <c r="J20" s="2636"/>
      <c r="K20" s="761"/>
      <c r="L20" s="2234"/>
      <c r="M20" s="2411"/>
      <c r="O20" s="2418"/>
      <c r="P20" s="2418"/>
      <c r="Q20" s="2419"/>
      <c r="R20" s="2420"/>
      <c r="S20" s="2419"/>
      <c r="T20" s="2415"/>
      <c r="U20" s="2420"/>
      <c r="V20" s="2415"/>
      <c r="W20" s="2419"/>
      <c r="X20" s="2415"/>
      <c r="Y20" s="2415"/>
      <c r="Z20" s="2415"/>
      <c r="AA20" s="2415"/>
      <c r="AB20" s="2415"/>
      <c r="AC20" s="2415"/>
      <c r="AD20" s="2415"/>
      <c r="AE20" s="2415"/>
    </row>
    <row r="21" spans="1:31" s="387" customFormat="1">
      <c r="A21" s="2241"/>
      <c r="B21" s="758"/>
      <c r="C21" s="768"/>
      <c r="D21" s="757"/>
      <c r="E21" s="757"/>
      <c r="F21" s="776"/>
      <c r="G21" s="1152"/>
      <c r="H21" s="764"/>
      <c r="I21" s="2408"/>
      <c r="J21" s="2636"/>
      <c r="K21" s="761"/>
      <c r="L21" s="2376"/>
      <c r="M21" s="762"/>
      <c r="O21" s="2415"/>
      <c r="P21" s="2416"/>
      <c r="Q21" s="2415"/>
      <c r="R21" s="2695"/>
      <c r="S21" s="2695"/>
      <c r="T21" s="2415"/>
      <c r="U21" s="2421"/>
      <c r="V21" s="2415"/>
      <c r="W21" s="2415"/>
      <c r="X21" s="2415"/>
      <c r="Y21" s="2415"/>
      <c r="Z21" s="2415"/>
      <c r="AA21" s="2415"/>
      <c r="AB21" s="2415"/>
      <c r="AC21" s="2415"/>
      <c r="AD21" s="2415"/>
      <c r="AE21" s="2415"/>
    </row>
    <row r="22" spans="1:31" s="387" customFormat="1" ht="15.75">
      <c r="A22" s="2241"/>
      <c r="B22" s="758"/>
      <c r="C22" s="756" t="s">
        <v>613</v>
      </c>
      <c r="D22" s="757" t="s">
        <v>26</v>
      </c>
      <c r="E22" s="757"/>
      <c r="F22" s="758" t="s">
        <v>141</v>
      </c>
      <c r="G22" s="1157" t="s">
        <v>158</v>
      </c>
      <c r="H22" s="769"/>
      <c r="I22" s="2408"/>
      <c r="J22" s="2636"/>
      <c r="K22" s="761"/>
      <c r="L22" s="2376"/>
      <c r="M22" s="762"/>
      <c r="O22" s="2415"/>
      <c r="P22" s="2416"/>
      <c r="Q22" s="2415"/>
      <c r="R22" s="2415"/>
      <c r="S22" s="2415"/>
      <c r="T22" s="2415"/>
      <c r="U22" s="2415"/>
      <c r="V22" s="2415"/>
      <c r="W22" s="2415"/>
      <c r="X22" s="2415"/>
      <c r="Y22" s="2417"/>
      <c r="Z22" s="2417"/>
      <c r="AA22" s="2415"/>
      <c r="AB22" s="2417"/>
      <c r="AC22" s="2417"/>
      <c r="AD22" s="2417"/>
      <c r="AE22" s="2415"/>
    </row>
    <row r="23" spans="1:31" s="387" customFormat="1" ht="15" customHeight="1">
      <c r="A23" s="2241"/>
      <c r="B23" s="758">
        <f>+B20+1</f>
        <v>15</v>
      </c>
      <c r="C23" s="763" t="s">
        <v>358</v>
      </c>
      <c r="D23" s="392" t="s">
        <v>1347</v>
      </c>
      <c r="E23" s="392"/>
      <c r="F23" s="1577">
        <f>+F7</f>
        <v>2015</v>
      </c>
      <c r="G23" s="1158">
        <v>6401275118.1199989</v>
      </c>
      <c r="H23" s="1639" t="str">
        <f>IF((INDEX(Inputs_EndYrBal_prior,MATCH($D35,Inputs_FF1_Map,0))-G23)&lt;1,"-","Check values!")</f>
        <v>-</v>
      </c>
      <c r="I23" s="2408"/>
      <c r="J23" s="2636"/>
      <c r="K23" s="761"/>
      <c r="L23" s="2376"/>
      <c r="M23" s="762"/>
      <c r="O23" s="2422"/>
      <c r="P23" s="2416"/>
      <c r="Q23" s="2423"/>
      <c r="R23" s="2423"/>
      <c r="S23" s="2423"/>
      <c r="T23" s="2415"/>
      <c r="U23" s="2423"/>
      <c r="V23" s="2415"/>
      <c r="W23" s="2415"/>
      <c r="X23" s="2415"/>
      <c r="Y23" s="2415"/>
      <c r="Z23" s="2417"/>
      <c r="AA23" s="2415"/>
      <c r="AB23" s="2417"/>
      <c r="AC23" s="2417"/>
      <c r="AD23" s="2417"/>
      <c r="AE23" s="2415"/>
    </row>
    <row r="24" spans="1:31" s="387" customFormat="1">
      <c r="A24" s="2241"/>
      <c r="B24" s="758">
        <f t="shared" ref="B24:B36" si="2">+B23+1</f>
        <v>16</v>
      </c>
      <c r="C24" s="765" t="s">
        <v>350</v>
      </c>
      <c r="D24" s="757" t="s">
        <v>631</v>
      </c>
      <c r="E24" s="757"/>
      <c r="F24" s="1577">
        <f>+F23+1</f>
        <v>2016</v>
      </c>
      <c r="G24" s="1158">
        <v>6412807864.8100014</v>
      </c>
      <c r="H24" s="766"/>
      <c r="I24" s="2408"/>
      <c r="J24" s="2636"/>
      <c r="K24" s="761"/>
      <c r="L24" s="2376"/>
      <c r="M24" s="762"/>
      <c r="O24" s="2415"/>
      <c r="P24" s="2424"/>
      <c r="Q24" s="2416"/>
      <c r="R24" s="2416"/>
      <c r="S24" s="2416"/>
      <c r="T24" s="2415"/>
      <c r="U24" s="2416"/>
      <c r="V24" s="2416"/>
      <c r="W24" s="2416"/>
      <c r="X24" s="2415"/>
      <c r="Y24" s="2416"/>
      <c r="Z24" s="2416"/>
      <c r="AA24" s="2415"/>
      <c r="AB24" s="2418"/>
      <c r="AC24" s="2418"/>
      <c r="AD24" s="2418"/>
      <c r="AE24" s="2415"/>
    </row>
    <row r="25" spans="1:31" s="387" customFormat="1">
      <c r="A25" s="2241"/>
      <c r="B25" s="758">
        <f t="shared" si="2"/>
        <v>17</v>
      </c>
      <c r="C25" s="768" t="s">
        <v>351</v>
      </c>
      <c r="D25" s="757" t="s">
        <v>631</v>
      </c>
      <c r="E25" s="757"/>
      <c r="F25" s="1577">
        <f t="shared" ref="F25:F35" si="3">+F24</f>
        <v>2016</v>
      </c>
      <c r="G25" s="1158">
        <v>6426581872.6999979</v>
      </c>
      <c r="H25" s="764"/>
      <c r="I25" s="2408"/>
      <c r="J25" s="2636"/>
      <c r="K25" s="761"/>
      <c r="L25" s="2376"/>
      <c r="M25" s="762"/>
      <c r="O25" s="2415"/>
      <c r="P25" s="2424"/>
      <c r="Q25" s="2416"/>
      <c r="R25" s="2416"/>
      <c r="S25" s="2416"/>
      <c r="T25" s="2415"/>
      <c r="U25" s="2416"/>
      <c r="V25" s="2416"/>
      <c r="W25" s="2416"/>
      <c r="X25" s="2415"/>
      <c r="Y25" s="2416"/>
      <c r="Z25" s="2416"/>
      <c r="AA25" s="2415"/>
      <c r="AB25" s="2418"/>
      <c r="AC25" s="2418"/>
      <c r="AD25" s="2418"/>
      <c r="AE25" s="2415"/>
    </row>
    <row r="26" spans="1:31" s="387" customFormat="1">
      <c r="A26" s="2241"/>
      <c r="B26" s="758">
        <f t="shared" si="2"/>
        <v>18</v>
      </c>
      <c r="C26" s="768" t="s">
        <v>352</v>
      </c>
      <c r="D26" s="757" t="s">
        <v>631</v>
      </c>
      <c r="E26" s="757"/>
      <c r="F26" s="1577">
        <f t="shared" si="3"/>
        <v>2016</v>
      </c>
      <c r="G26" s="1158">
        <v>6440888285.5499964</v>
      </c>
      <c r="H26" s="764"/>
      <c r="I26" s="2408"/>
      <c r="J26" s="2636"/>
      <c r="K26" s="761"/>
      <c r="L26" s="2376"/>
      <c r="M26" s="762"/>
      <c r="O26" s="2415"/>
      <c r="P26" s="2424"/>
      <c r="Q26" s="2416"/>
      <c r="R26" s="2416"/>
      <c r="S26" s="2416"/>
      <c r="T26" s="2415"/>
      <c r="U26" s="2416"/>
      <c r="V26" s="2416"/>
      <c r="W26" s="2416"/>
      <c r="X26" s="2415"/>
      <c r="Y26" s="2416"/>
      <c r="Z26" s="2416"/>
      <c r="AA26" s="2415"/>
      <c r="AB26" s="2418"/>
      <c r="AC26" s="2418"/>
      <c r="AD26" s="2418"/>
      <c r="AE26" s="2415"/>
    </row>
    <row r="27" spans="1:31" s="387" customFormat="1">
      <c r="A27" s="2241"/>
      <c r="B27" s="758">
        <f t="shared" si="2"/>
        <v>19</v>
      </c>
      <c r="C27" s="765" t="s">
        <v>143</v>
      </c>
      <c r="D27" s="757" t="s">
        <v>631</v>
      </c>
      <c r="E27" s="757"/>
      <c r="F27" s="1577">
        <f t="shared" si="3"/>
        <v>2016</v>
      </c>
      <c r="G27" s="1158">
        <v>6448815245.8800001</v>
      </c>
      <c r="H27" s="764"/>
      <c r="I27" s="2408"/>
      <c r="J27" s="2636"/>
      <c r="K27" s="761"/>
      <c r="L27" s="2376"/>
      <c r="M27" s="762"/>
      <c r="O27" s="2415"/>
      <c r="P27" s="2424"/>
      <c r="Q27" s="2416"/>
      <c r="R27" s="2416"/>
      <c r="S27" s="2416"/>
      <c r="T27" s="2415"/>
      <c r="U27" s="2416"/>
      <c r="V27" s="2416"/>
      <c r="W27" s="2416"/>
      <c r="X27" s="2415"/>
      <c r="Y27" s="2416"/>
      <c r="Z27" s="2416"/>
      <c r="AA27" s="2415"/>
      <c r="AB27" s="2418"/>
      <c r="AC27" s="2418"/>
      <c r="AD27" s="2418"/>
      <c r="AE27" s="2415"/>
    </row>
    <row r="28" spans="1:31" s="387" customFormat="1">
      <c r="A28" s="2241"/>
      <c r="B28" s="758">
        <f t="shared" si="2"/>
        <v>20</v>
      </c>
      <c r="C28" s="768" t="s">
        <v>144</v>
      </c>
      <c r="D28" s="757" t="s">
        <v>631</v>
      </c>
      <c r="E28" s="757"/>
      <c r="F28" s="1577">
        <f t="shared" si="3"/>
        <v>2016</v>
      </c>
      <c r="G28" s="1158">
        <v>6461397062.0900011</v>
      </c>
      <c r="H28" s="769"/>
      <c r="I28" s="2408"/>
      <c r="J28" s="2636"/>
      <c r="K28" s="782"/>
      <c r="L28" s="2412"/>
      <c r="M28" s="2413"/>
      <c r="O28" s="2415"/>
      <c r="P28" s="2424"/>
      <c r="Q28" s="2416"/>
      <c r="R28" s="2416"/>
      <c r="S28" s="2416"/>
      <c r="T28" s="2415"/>
      <c r="U28" s="2416"/>
      <c r="V28" s="2416"/>
      <c r="W28" s="2416"/>
      <c r="X28" s="2415"/>
      <c r="Y28" s="2416"/>
      <c r="Z28" s="2416"/>
      <c r="AA28" s="2415"/>
      <c r="AB28" s="2418"/>
      <c r="AC28" s="2418"/>
      <c r="AD28" s="2418"/>
      <c r="AE28" s="2415"/>
    </row>
    <row r="29" spans="1:31" s="387" customFormat="1">
      <c r="A29" s="2241"/>
      <c r="B29" s="758">
        <f t="shared" si="2"/>
        <v>21</v>
      </c>
      <c r="C29" s="768" t="s">
        <v>611</v>
      </c>
      <c r="D29" s="757" t="s">
        <v>631</v>
      </c>
      <c r="E29" s="757"/>
      <c r="F29" s="1577">
        <f t="shared" si="3"/>
        <v>2016</v>
      </c>
      <c r="G29" s="1158">
        <v>6480459069.8599997</v>
      </c>
      <c r="H29" s="764"/>
      <c r="I29" s="2408"/>
      <c r="J29" s="2636"/>
      <c r="K29" s="761"/>
      <c r="L29" s="2376"/>
      <c r="M29" s="762"/>
      <c r="O29" s="2415"/>
      <c r="P29" s="2424"/>
      <c r="Q29" s="2416"/>
      <c r="R29" s="2416"/>
      <c r="S29" s="2416"/>
      <c r="T29" s="2415"/>
      <c r="U29" s="2416"/>
      <c r="V29" s="2416"/>
      <c r="W29" s="2416"/>
      <c r="X29" s="2415"/>
      <c r="Y29" s="2416"/>
      <c r="Z29" s="2416"/>
      <c r="AA29" s="2415"/>
      <c r="AB29" s="2418"/>
      <c r="AC29" s="2418"/>
      <c r="AD29" s="2418"/>
      <c r="AE29" s="2415"/>
    </row>
    <row r="30" spans="1:31" s="387" customFormat="1">
      <c r="A30" s="2241"/>
      <c r="B30" s="758">
        <f t="shared" si="2"/>
        <v>22</v>
      </c>
      <c r="C30" s="765" t="s">
        <v>353</v>
      </c>
      <c r="D30" s="757" t="s">
        <v>631</v>
      </c>
      <c r="E30" s="757"/>
      <c r="F30" s="1577">
        <f t="shared" si="3"/>
        <v>2016</v>
      </c>
      <c r="G30" s="1158">
        <v>6496984173.6099977</v>
      </c>
      <c r="H30" s="766"/>
      <c r="I30" s="2408"/>
      <c r="J30" s="2636"/>
      <c r="K30" s="761"/>
      <c r="L30" s="2376"/>
      <c r="M30" s="762"/>
      <c r="O30" s="2415"/>
      <c r="P30" s="2424"/>
      <c r="Q30" s="2416"/>
      <c r="R30" s="2416"/>
      <c r="S30" s="2416"/>
      <c r="T30" s="2415"/>
      <c r="U30" s="2416"/>
      <c r="V30" s="2416"/>
      <c r="W30" s="2416"/>
      <c r="X30" s="2415"/>
      <c r="Y30" s="2416"/>
      <c r="Z30" s="2416"/>
      <c r="AA30" s="2415"/>
      <c r="AB30" s="2418"/>
      <c r="AC30" s="2418"/>
      <c r="AD30" s="2418"/>
      <c r="AE30" s="2415"/>
    </row>
    <row r="31" spans="1:31" s="387" customFormat="1">
      <c r="A31" s="2241"/>
      <c r="B31" s="758">
        <f t="shared" si="2"/>
        <v>23</v>
      </c>
      <c r="C31" s="768" t="s">
        <v>354</v>
      </c>
      <c r="D31" s="757" t="s">
        <v>631</v>
      </c>
      <c r="E31" s="757"/>
      <c r="F31" s="1577">
        <f t="shared" si="3"/>
        <v>2016</v>
      </c>
      <c r="G31" s="1158">
        <v>6518870627.2399998</v>
      </c>
      <c r="H31" s="764"/>
      <c r="I31" s="2408"/>
      <c r="J31" s="2636"/>
      <c r="K31" s="761"/>
      <c r="L31" s="2376"/>
      <c r="M31" s="762"/>
      <c r="O31" s="2415"/>
      <c r="P31" s="2424"/>
      <c r="Q31" s="2416"/>
      <c r="R31" s="2416"/>
      <c r="S31" s="2416"/>
      <c r="T31" s="2415"/>
      <c r="U31" s="2416"/>
      <c r="V31" s="2416"/>
      <c r="W31" s="2416"/>
      <c r="X31" s="2415"/>
      <c r="Y31" s="2416"/>
      <c r="Z31" s="2416"/>
      <c r="AA31" s="2415"/>
      <c r="AB31" s="2418"/>
      <c r="AC31" s="2418"/>
      <c r="AD31" s="2418"/>
      <c r="AE31" s="2415"/>
    </row>
    <row r="32" spans="1:31" s="387" customFormat="1">
      <c r="A32" s="2241"/>
      <c r="B32" s="758">
        <f t="shared" si="2"/>
        <v>24</v>
      </c>
      <c r="C32" s="768" t="s">
        <v>355</v>
      </c>
      <c r="D32" s="757" t="s">
        <v>631</v>
      </c>
      <c r="E32" s="757"/>
      <c r="F32" s="1577">
        <f t="shared" si="3"/>
        <v>2016</v>
      </c>
      <c r="G32" s="1158">
        <v>6532562084.9499998</v>
      </c>
      <c r="H32" s="764"/>
      <c r="I32" s="2408"/>
      <c r="J32" s="2636"/>
      <c r="K32" s="761"/>
      <c r="L32" s="2376"/>
      <c r="M32" s="762"/>
      <c r="O32" s="2415"/>
      <c r="P32" s="2424"/>
      <c r="Q32" s="2416"/>
      <c r="R32" s="2416"/>
      <c r="S32" s="2416"/>
      <c r="T32" s="2415"/>
      <c r="U32" s="2416"/>
      <c r="V32" s="2416"/>
      <c r="W32" s="2416"/>
      <c r="X32" s="2415"/>
      <c r="Y32" s="2416"/>
      <c r="Z32" s="2416"/>
      <c r="AA32" s="2415"/>
      <c r="AB32" s="2418"/>
      <c r="AC32" s="2418"/>
      <c r="AD32" s="2418"/>
      <c r="AE32" s="2415"/>
    </row>
    <row r="33" spans="1:31" s="387" customFormat="1">
      <c r="A33" s="2241"/>
      <c r="B33" s="758">
        <f t="shared" si="2"/>
        <v>25</v>
      </c>
      <c r="C33" s="765" t="s">
        <v>356</v>
      </c>
      <c r="D33" s="757" t="s">
        <v>631</v>
      </c>
      <c r="E33" s="757"/>
      <c r="F33" s="1577">
        <f t="shared" si="3"/>
        <v>2016</v>
      </c>
      <c r="G33" s="1158">
        <v>6546235934.6299982</v>
      </c>
      <c r="H33" s="764"/>
      <c r="I33" s="2408"/>
      <c r="J33" s="2636"/>
      <c r="K33" s="761"/>
      <c r="L33" s="2376"/>
      <c r="M33" s="762"/>
      <c r="O33" s="2415"/>
      <c r="P33" s="2424"/>
      <c r="Q33" s="2416"/>
      <c r="R33" s="2416"/>
      <c r="S33" s="2416"/>
      <c r="T33" s="2415"/>
      <c r="U33" s="2416"/>
      <c r="V33" s="2416"/>
      <c r="W33" s="2416"/>
      <c r="X33" s="2415"/>
      <c r="Y33" s="2416"/>
      <c r="Z33" s="2416"/>
      <c r="AA33" s="2415"/>
      <c r="AB33" s="2418"/>
      <c r="AC33" s="2418"/>
      <c r="AD33" s="2418"/>
      <c r="AE33" s="2415"/>
    </row>
    <row r="34" spans="1:31" s="387" customFormat="1">
      <c r="A34" s="2241"/>
      <c r="B34" s="758">
        <f t="shared" si="2"/>
        <v>26</v>
      </c>
      <c r="C34" s="765" t="s">
        <v>357</v>
      </c>
      <c r="D34" s="757" t="s">
        <v>631</v>
      </c>
      <c r="E34" s="757"/>
      <c r="F34" s="1577">
        <f t="shared" si="3"/>
        <v>2016</v>
      </c>
      <c r="G34" s="1158">
        <v>6560187721.3699999</v>
      </c>
      <c r="H34" s="764"/>
      <c r="I34" s="2408"/>
      <c r="J34" s="2636"/>
      <c r="K34" s="761"/>
      <c r="L34" s="2376"/>
      <c r="M34" s="762"/>
      <c r="O34" s="2415"/>
      <c r="P34" s="2424"/>
      <c r="Q34" s="2416"/>
      <c r="R34" s="2416"/>
      <c r="S34" s="2416"/>
      <c r="T34" s="2415"/>
      <c r="U34" s="2416"/>
      <c r="V34" s="2416"/>
      <c r="W34" s="2416"/>
      <c r="X34" s="2415"/>
      <c r="Y34" s="2416"/>
      <c r="Z34" s="2416"/>
      <c r="AA34" s="2415"/>
      <c r="AB34" s="2418"/>
      <c r="AC34" s="2418"/>
      <c r="AD34" s="2418"/>
      <c r="AE34" s="2415"/>
    </row>
    <row r="35" spans="1:31" s="387" customFormat="1">
      <c r="A35" s="2241"/>
      <c r="B35" s="758">
        <f t="shared" si="2"/>
        <v>27</v>
      </c>
      <c r="C35" s="771" t="s">
        <v>358</v>
      </c>
      <c r="D35" s="395" t="s">
        <v>1354</v>
      </c>
      <c r="E35" s="395"/>
      <c r="F35" s="1578">
        <f t="shared" si="3"/>
        <v>2016</v>
      </c>
      <c r="G35" s="1576">
        <v>6582809078.5499964</v>
      </c>
      <c r="H35" s="1639" t="str">
        <f>IF((INDEX(Inputs_EndYrBal,MATCH($D35,Inputs_FF1_Map,0))-G35)&lt;1,"-","Check values!")</f>
        <v>Check values!</v>
      </c>
      <c r="I35" s="2408"/>
      <c r="J35" s="2636"/>
      <c r="K35" s="2252"/>
      <c r="L35" s="2412"/>
      <c r="M35" s="2413"/>
      <c r="O35" s="2415"/>
      <c r="P35" s="2424"/>
      <c r="Q35" s="2416"/>
      <c r="R35" s="2416"/>
      <c r="S35" s="2416"/>
      <c r="T35" s="2415"/>
      <c r="U35" s="2416"/>
      <c r="V35" s="2416"/>
      <c r="W35" s="2416"/>
      <c r="X35" s="2415"/>
      <c r="Y35" s="2416"/>
      <c r="Z35" s="2416"/>
      <c r="AA35" s="2415"/>
      <c r="AB35" s="2418"/>
      <c r="AC35" s="2418"/>
      <c r="AD35" s="2418"/>
      <c r="AE35" s="2415"/>
    </row>
    <row r="36" spans="1:31" s="387" customFormat="1" ht="15.75">
      <c r="A36" s="2241"/>
      <c r="B36" s="758">
        <f t="shared" si="2"/>
        <v>28</v>
      </c>
      <c r="C36" s="773" t="s">
        <v>614</v>
      </c>
      <c r="D36" s="1001" t="str">
        <f>IF(Toggle=Projection,"(line "&amp;B35&amp;")",IF(Toggle=True_up,"(sum lines "&amp;B23&amp;"-"&amp;B35&amp;") /13","Set Toggle!"))</f>
        <v>(sum lines 15-27) /13</v>
      </c>
      <c r="E36" s="757"/>
      <c r="F36" s="999" t="str">
        <f>Toggle</f>
        <v>True-up</v>
      </c>
      <c r="G36" s="1151">
        <f>IF(Toggle=Projection,G35,IF(Toggle=True_up,AVERAGE(G23:G35),"Set Toggle!"))</f>
        <v>6485374933.7969217</v>
      </c>
      <c r="H36" s="772"/>
      <c r="I36" s="2408"/>
      <c r="J36" s="2636"/>
      <c r="K36" s="761"/>
      <c r="L36" s="2234"/>
      <c r="M36" s="2411"/>
      <c r="O36" s="2415"/>
      <c r="P36" s="2416"/>
      <c r="Q36" s="2416"/>
      <c r="R36" s="2416"/>
      <c r="S36" s="2416"/>
      <c r="T36" s="2416"/>
      <c r="U36" s="2416"/>
      <c r="V36" s="2416"/>
      <c r="W36" s="2416"/>
      <c r="X36" s="2415"/>
      <c r="Y36" s="2416"/>
      <c r="Z36" s="2416"/>
      <c r="AA36" s="2415"/>
      <c r="AB36" s="2420"/>
      <c r="AC36" s="2420"/>
      <c r="AD36" s="2420"/>
      <c r="AE36" s="2415"/>
    </row>
    <row r="37" spans="1:31" s="387" customFormat="1">
      <c r="A37" s="2241"/>
      <c r="B37" s="758"/>
      <c r="C37" s="768"/>
      <c r="D37" s="757"/>
      <c r="E37" s="757"/>
      <c r="F37" s="776"/>
      <c r="G37" s="1152"/>
      <c r="H37" s="764"/>
      <c r="I37" s="2408"/>
      <c r="J37" s="2636"/>
      <c r="K37" s="761"/>
      <c r="L37" s="2376"/>
      <c r="M37" s="762"/>
      <c r="O37" s="2415"/>
      <c r="P37" s="2416"/>
      <c r="Q37" s="2415"/>
      <c r="R37" s="2415"/>
      <c r="S37" s="2415"/>
      <c r="T37" s="2415"/>
      <c r="U37" s="2415"/>
      <c r="V37" s="2415"/>
      <c r="W37" s="2415"/>
      <c r="X37" s="2415"/>
      <c r="Y37" s="2415"/>
      <c r="Z37" s="2425"/>
      <c r="AA37" s="2415"/>
      <c r="AB37" s="2695"/>
      <c r="AC37" s="2695"/>
      <c r="AD37" s="2421"/>
      <c r="AE37" s="2415"/>
    </row>
    <row r="38" spans="1:31" s="387" customFormat="1" ht="15.75">
      <c r="A38" s="2241"/>
      <c r="B38" s="758"/>
      <c r="C38" s="756" t="s">
        <v>615</v>
      </c>
      <c r="D38" s="757" t="s">
        <v>26</v>
      </c>
      <c r="E38" s="757"/>
      <c r="F38" s="758" t="s">
        <v>141</v>
      </c>
      <c r="G38" s="1157" t="s">
        <v>158</v>
      </c>
      <c r="H38" s="769"/>
      <c r="I38" s="2408"/>
      <c r="J38" s="2636"/>
      <c r="K38" s="761"/>
      <c r="L38" s="2376"/>
      <c r="M38" s="762"/>
      <c r="P38" s="2255"/>
    </row>
    <row r="39" spans="1:31" s="387" customFormat="1">
      <c r="A39" s="2241"/>
      <c r="B39" s="758">
        <f>+B36+1</f>
        <v>29</v>
      </c>
      <c r="C39" s="763" t="s">
        <v>358</v>
      </c>
      <c r="D39" s="392" t="s">
        <v>1348</v>
      </c>
      <c r="E39" s="392"/>
      <c r="F39" s="1577">
        <f>+F23</f>
        <v>2015</v>
      </c>
      <c r="G39" s="1158">
        <v>876732474.41999996</v>
      </c>
      <c r="H39" s="1639" t="str">
        <f>IF((INDEX(Inputs_EndYrBal,MATCH($D39,Inputs_FF1_Map,0))-G39)&lt;1,"-","Check values!")</f>
        <v>-</v>
      </c>
      <c r="I39" s="2408"/>
      <c r="J39" s="2636"/>
      <c r="K39" s="761"/>
      <c r="L39" s="2376"/>
      <c r="M39" s="762"/>
      <c r="P39" s="2255"/>
    </row>
    <row r="40" spans="1:31" s="387" customFormat="1">
      <c r="A40" s="2241"/>
      <c r="B40" s="758">
        <f>+B39+1</f>
        <v>30</v>
      </c>
      <c r="C40" s="771" t="s">
        <v>358</v>
      </c>
      <c r="D40" s="395" t="s">
        <v>1349</v>
      </c>
      <c r="E40" s="395"/>
      <c r="F40" s="1578">
        <f>+F39+1</f>
        <v>2016</v>
      </c>
      <c r="G40" s="1576">
        <v>884188667.33000004</v>
      </c>
      <c r="H40" s="1639" t="str">
        <f>IF((INDEX(Inputs_EndYrBal,MATCH($D40,Inputs_FF1_Map,0))-G40)&lt;1,"-","Check values!")</f>
        <v>-</v>
      </c>
      <c r="I40" s="2408"/>
      <c r="J40" s="2636"/>
      <c r="K40" s="782"/>
      <c r="L40" s="2412"/>
      <c r="M40" s="762"/>
      <c r="P40" s="2255"/>
    </row>
    <row r="41" spans="1:31" s="387" customFormat="1" ht="15.75">
      <c r="A41" s="2241">
        <f>'Appendix A'!$A$43</f>
        <v>19</v>
      </c>
      <c r="B41" s="758">
        <f>+B40+1</f>
        <v>31</v>
      </c>
      <c r="C41" s="773" t="s">
        <v>616</v>
      </c>
      <c r="D41" s="1001" t="str">
        <f>IF(Toggle=Projection,"(line "&amp;B40&amp;")",IF(Toggle=True_up,"(sum lines "&amp;B39&amp;" &amp; "&amp;B40&amp;") /2","Set Toggle!"))</f>
        <v>(sum lines 29 &amp; 30) /2</v>
      </c>
      <c r="E41" s="996" t="str">
        <f>'Appendix A'!$E$43</f>
        <v>(Note N)</v>
      </c>
      <c r="F41" s="999" t="str">
        <f>Toggle</f>
        <v>True-up</v>
      </c>
      <c r="G41" s="1243">
        <f>IF(Toggle=Projection,G40,IF(Toggle=True_up,AVERAGE(G39:G40),"Set Toggle!"))</f>
        <v>880460570.875</v>
      </c>
      <c r="H41" s="772" t="s">
        <v>1014</v>
      </c>
      <c r="I41" s="2408"/>
      <c r="J41" s="2636"/>
      <c r="K41" s="761"/>
      <c r="L41" s="2234"/>
      <c r="M41" s="2411"/>
      <c r="P41" s="2255"/>
    </row>
    <row r="42" spans="1:31" s="387" customFormat="1">
      <c r="A42" s="2241"/>
      <c r="B42" s="758"/>
      <c r="C42" s="765"/>
      <c r="D42" s="757"/>
      <c r="E42" s="757"/>
      <c r="F42" s="779"/>
      <c r="G42" s="1154"/>
      <c r="H42" s="764"/>
      <c r="I42" s="2408"/>
      <c r="J42" s="2636"/>
      <c r="K42" s="761"/>
      <c r="L42" s="2234"/>
      <c r="M42" s="762"/>
      <c r="P42" s="2255"/>
    </row>
    <row r="43" spans="1:31" s="387" customFormat="1" ht="15.75">
      <c r="A43" s="2241"/>
      <c r="B43" s="758"/>
      <c r="C43" s="756" t="s">
        <v>617</v>
      </c>
      <c r="D43" s="757" t="s">
        <v>26</v>
      </c>
      <c r="E43" s="757"/>
      <c r="F43" s="758" t="s">
        <v>141</v>
      </c>
      <c r="G43" s="1157" t="s">
        <v>158</v>
      </c>
      <c r="H43" s="769"/>
      <c r="I43" s="2408"/>
      <c r="J43" s="2636"/>
      <c r="K43" s="761"/>
      <c r="L43" s="2376"/>
      <c r="M43" s="762"/>
      <c r="P43" s="2255"/>
    </row>
    <row r="44" spans="1:31" s="387" customFormat="1">
      <c r="A44" s="2241"/>
      <c r="B44" s="758">
        <f>+B41+1</f>
        <v>32</v>
      </c>
      <c r="C44" s="763" t="s">
        <v>358</v>
      </c>
      <c r="D44" s="392" t="s">
        <v>1350</v>
      </c>
      <c r="E44" s="392"/>
      <c r="F44" s="1577">
        <f>+F39</f>
        <v>2015</v>
      </c>
      <c r="G44" s="1158">
        <v>1173341617.1799996</v>
      </c>
      <c r="H44" s="1639" t="str">
        <f>IF((INDEX(Inputs_EndYrBal,MATCH($D44,Inputs_FF1_Map,0))-G44)&lt;1,"-","Check values!")</f>
        <v>-</v>
      </c>
      <c r="I44" s="2408"/>
      <c r="J44" s="2636"/>
      <c r="K44" s="761"/>
      <c r="L44" s="2376"/>
      <c r="M44" s="762"/>
      <c r="P44" s="2255"/>
    </row>
    <row r="45" spans="1:31" s="387" customFormat="1">
      <c r="A45" s="2241"/>
      <c r="B45" s="758">
        <f>+B44+1</f>
        <v>33</v>
      </c>
      <c r="C45" s="771" t="s">
        <v>358</v>
      </c>
      <c r="D45" s="395" t="s">
        <v>1351</v>
      </c>
      <c r="E45" s="395"/>
      <c r="F45" s="1578">
        <f>+F44+1</f>
        <v>2016</v>
      </c>
      <c r="G45" s="1576">
        <v>1177924891.47</v>
      </c>
      <c r="H45" s="1639" t="str">
        <f>IF((INDEX(Inputs_EndYrBal,MATCH($D45,Inputs_FF1_Map,0))-G45)&lt;1,"-","Check values!")</f>
        <v>-</v>
      </c>
      <c r="I45" s="2408"/>
      <c r="J45" s="2636"/>
      <c r="K45" s="2252"/>
      <c r="L45" s="2377"/>
      <c r="M45" s="762"/>
      <c r="P45" s="2255"/>
    </row>
    <row r="46" spans="1:31" s="387" customFormat="1" ht="15.75">
      <c r="A46" s="2241">
        <f>'Appendix A'!$A$42</f>
        <v>18</v>
      </c>
      <c r="B46" s="758">
        <f>+B45+1</f>
        <v>34</v>
      </c>
      <c r="C46" s="773" t="s">
        <v>618</v>
      </c>
      <c r="D46" s="1001" t="str">
        <f>IF(Toggle=Projection,"(line "&amp;B45&amp;")",IF(Toggle=True_up,"(sum lines "&amp;B44&amp;" &amp; "&amp;B45&amp;") /2","Set Toggle!"))</f>
        <v>(sum lines 32 &amp; 33) /2</v>
      </c>
      <c r="E46" s="996" t="str">
        <f>'Appendix A'!$E$42</f>
        <v>(Note N)</v>
      </c>
      <c r="F46" s="999" t="str">
        <f>Toggle</f>
        <v>True-up</v>
      </c>
      <c r="G46" s="1243">
        <f>IF(Toggle=Projection,G45,IF(Toggle=True_up,AVERAGE(G44:G45),"Set Toggle!"))</f>
        <v>1175633254.3249998</v>
      </c>
      <c r="H46" s="772" t="s">
        <v>1014</v>
      </c>
      <c r="I46" s="2408"/>
      <c r="J46" s="2636"/>
      <c r="K46" s="761"/>
      <c r="L46" s="2234"/>
      <c r="M46" s="2411"/>
      <c r="P46" s="2255"/>
    </row>
    <row r="47" spans="1:31" s="387" customFormat="1">
      <c r="A47" s="2241"/>
      <c r="B47" s="758"/>
      <c r="C47" s="768"/>
      <c r="D47" s="392"/>
      <c r="E47" s="392"/>
      <c r="F47" s="780"/>
      <c r="G47" s="1154"/>
      <c r="H47" s="769"/>
      <c r="I47" s="2408"/>
      <c r="J47" s="2636"/>
      <c r="K47" s="782"/>
      <c r="L47" s="2412"/>
      <c r="M47" s="2413"/>
      <c r="P47" s="2255"/>
    </row>
    <row r="48" spans="1:31" s="387" customFormat="1" ht="15.75">
      <c r="A48" s="2241"/>
      <c r="B48" s="758"/>
      <c r="C48" s="756" t="s">
        <v>619</v>
      </c>
      <c r="D48" s="757" t="s">
        <v>26</v>
      </c>
      <c r="E48" s="757"/>
      <c r="F48" s="758" t="s">
        <v>141</v>
      </c>
      <c r="G48" s="1157" t="s">
        <v>158</v>
      </c>
      <c r="H48" s="769"/>
      <c r="I48" s="2408"/>
      <c r="J48" s="2636"/>
      <c r="K48" s="761"/>
      <c r="L48" s="2376"/>
      <c r="M48" s="762"/>
      <c r="P48" s="2255"/>
    </row>
    <row r="49" spans="1:16" s="387" customFormat="1">
      <c r="A49" s="2241"/>
      <c r="B49" s="758">
        <f>+B46+1</f>
        <v>35</v>
      </c>
      <c r="C49" s="763" t="s">
        <v>358</v>
      </c>
      <c r="D49" s="392" t="s">
        <v>1352</v>
      </c>
      <c r="E49" s="392"/>
      <c r="F49" s="1577">
        <f>+F44</f>
        <v>2015</v>
      </c>
      <c r="G49" s="1158">
        <v>12154489264.770002</v>
      </c>
      <c r="H49" s="1639" t="str">
        <f>IF((INDEX(Inputs_EndYrBal_prior,MATCH($D61,Inputs_FF1_Map,0))-G49)&lt;1,"-","Check values!")</f>
        <v>-</v>
      </c>
      <c r="I49" s="2408"/>
      <c r="J49" s="2636"/>
      <c r="K49" s="761"/>
      <c r="L49" s="2376"/>
      <c r="M49" s="762"/>
      <c r="P49" s="2255"/>
    </row>
    <row r="50" spans="1:16" s="387" customFormat="1">
      <c r="A50" s="2241"/>
      <c r="B50" s="758">
        <f t="shared" ref="B50:B62" si="4">+B49+1</f>
        <v>36</v>
      </c>
      <c r="C50" s="781" t="s">
        <v>350</v>
      </c>
      <c r="D50" s="757" t="s">
        <v>631</v>
      </c>
      <c r="E50" s="757"/>
      <c r="F50" s="1577">
        <f>+F49+1</f>
        <v>2016</v>
      </c>
      <c r="G50" s="1158">
        <v>12154456157.230001</v>
      </c>
      <c r="H50" s="769"/>
      <c r="I50" s="2408"/>
      <c r="J50" s="2636"/>
      <c r="K50" s="761"/>
      <c r="L50" s="2376"/>
      <c r="M50" s="762"/>
      <c r="P50" s="2255"/>
    </row>
    <row r="51" spans="1:16" s="387" customFormat="1">
      <c r="A51" s="2241"/>
      <c r="B51" s="758">
        <f t="shared" si="4"/>
        <v>37</v>
      </c>
      <c r="C51" s="768" t="s">
        <v>351</v>
      </c>
      <c r="D51" s="757" t="s">
        <v>631</v>
      </c>
      <c r="E51" s="757"/>
      <c r="F51" s="1577">
        <f t="shared" ref="F51:F61" si="5">+F50</f>
        <v>2016</v>
      </c>
      <c r="G51" s="1158">
        <v>12153328070.960001</v>
      </c>
      <c r="H51" s="769"/>
      <c r="I51" s="2408"/>
      <c r="J51" s="2636"/>
      <c r="K51" s="761"/>
      <c r="L51" s="2376"/>
      <c r="M51" s="762"/>
      <c r="P51" s="2255"/>
    </row>
    <row r="52" spans="1:16" s="387" customFormat="1">
      <c r="A52" s="2241"/>
      <c r="B52" s="758">
        <f t="shared" si="4"/>
        <v>38</v>
      </c>
      <c r="C52" s="768" t="s">
        <v>352</v>
      </c>
      <c r="D52" s="757" t="s">
        <v>631</v>
      </c>
      <c r="E52" s="757"/>
      <c r="F52" s="1577">
        <f t="shared" si="5"/>
        <v>2016</v>
      </c>
      <c r="G52" s="1158">
        <v>12157521140.800003</v>
      </c>
      <c r="H52" s="769"/>
      <c r="I52" s="2408"/>
      <c r="J52" s="2636"/>
      <c r="K52" s="761"/>
      <c r="L52" s="2376"/>
      <c r="M52" s="762"/>
      <c r="P52" s="2255"/>
    </row>
    <row r="53" spans="1:16" s="387" customFormat="1">
      <c r="A53" s="2241"/>
      <c r="B53" s="758">
        <f t="shared" si="4"/>
        <v>39</v>
      </c>
      <c r="C53" s="781" t="s">
        <v>143</v>
      </c>
      <c r="D53" s="757" t="s">
        <v>631</v>
      </c>
      <c r="E53" s="757"/>
      <c r="F53" s="1577">
        <f t="shared" si="5"/>
        <v>2016</v>
      </c>
      <c r="G53" s="1158">
        <v>12192321998.250002</v>
      </c>
      <c r="H53" s="769"/>
      <c r="I53" s="2408"/>
      <c r="J53" s="2636"/>
      <c r="K53" s="761"/>
      <c r="L53" s="2376"/>
      <c r="M53" s="762"/>
      <c r="P53" s="2255"/>
    </row>
    <row r="54" spans="1:16" s="387" customFormat="1">
      <c r="A54" s="2241"/>
      <c r="B54" s="758">
        <f t="shared" si="4"/>
        <v>40</v>
      </c>
      <c r="C54" s="768" t="s">
        <v>144</v>
      </c>
      <c r="D54" s="757" t="s">
        <v>631</v>
      </c>
      <c r="E54" s="757"/>
      <c r="F54" s="1577">
        <f t="shared" si="5"/>
        <v>2016</v>
      </c>
      <c r="G54" s="1158">
        <v>12157970933.530003</v>
      </c>
      <c r="H54" s="769"/>
      <c r="I54" s="2408"/>
      <c r="J54" s="2636"/>
      <c r="K54" s="761"/>
      <c r="L54" s="2376"/>
      <c r="M54" s="762"/>
      <c r="P54" s="2255"/>
    </row>
    <row r="55" spans="1:16" s="387" customFormat="1">
      <c r="A55" s="2241"/>
      <c r="B55" s="758">
        <f t="shared" si="4"/>
        <v>41</v>
      </c>
      <c r="C55" s="768" t="str">
        <f>+C52</f>
        <v>March</v>
      </c>
      <c r="D55" s="757" t="s">
        <v>631</v>
      </c>
      <c r="E55" s="757"/>
      <c r="F55" s="1577">
        <f t="shared" si="5"/>
        <v>2016</v>
      </c>
      <c r="G55" s="1158">
        <v>12182745373.080004</v>
      </c>
      <c r="H55" s="769"/>
      <c r="I55" s="2408"/>
      <c r="J55" s="2636"/>
      <c r="K55" s="761"/>
      <c r="L55" s="2376"/>
      <c r="M55" s="762"/>
      <c r="P55" s="2255"/>
    </row>
    <row r="56" spans="1:16" s="387" customFormat="1">
      <c r="A56" s="2241"/>
      <c r="B56" s="758">
        <f t="shared" si="4"/>
        <v>42</v>
      </c>
      <c r="C56" s="781" t="str">
        <f>+C53</f>
        <v>April</v>
      </c>
      <c r="D56" s="757" t="s">
        <v>631</v>
      </c>
      <c r="E56" s="757"/>
      <c r="F56" s="1577">
        <f t="shared" si="5"/>
        <v>2016</v>
      </c>
      <c r="G56" s="1158">
        <v>12201130890.800003</v>
      </c>
      <c r="H56" s="769"/>
      <c r="I56" s="2408"/>
      <c r="J56" s="2636"/>
      <c r="K56" s="761"/>
      <c r="L56" s="2376"/>
      <c r="M56" s="762"/>
      <c r="P56" s="2255"/>
    </row>
    <row r="57" spans="1:16" s="387" customFormat="1">
      <c r="A57" s="2241"/>
      <c r="B57" s="758">
        <f t="shared" si="4"/>
        <v>43</v>
      </c>
      <c r="C57" s="768" t="s">
        <v>354</v>
      </c>
      <c r="D57" s="757" t="s">
        <v>631</v>
      </c>
      <c r="E57" s="757"/>
      <c r="F57" s="1577">
        <f t="shared" si="5"/>
        <v>2016</v>
      </c>
      <c r="G57" s="1158">
        <v>12216818201.17</v>
      </c>
      <c r="H57" s="769"/>
      <c r="I57" s="2408"/>
      <c r="J57" s="2636"/>
      <c r="K57" s="761"/>
      <c r="L57" s="2376"/>
      <c r="M57" s="762"/>
      <c r="P57" s="2255"/>
    </row>
    <row r="58" spans="1:16" s="387" customFormat="1">
      <c r="A58" s="2241"/>
      <c r="B58" s="758">
        <f t="shared" si="4"/>
        <v>44</v>
      </c>
      <c r="C58" s="768" t="s">
        <v>355</v>
      </c>
      <c r="D58" s="757" t="s">
        <v>631</v>
      </c>
      <c r="E58" s="757"/>
      <c r="F58" s="1577">
        <f t="shared" si="5"/>
        <v>2016</v>
      </c>
      <c r="G58" s="1158">
        <v>12219554073.960003</v>
      </c>
      <c r="H58" s="769"/>
      <c r="I58" s="2408"/>
      <c r="J58" s="2636"/>
      <c r="K58" s="761"/>
      <c r="L58" s="2376"/>
      <c r="M58" s="762"/>
      <c r="P58" s="2255"/>
    </row>
    <row r="59" spans="1:16" s="387" customFormat="1">
      <c r="A59" s="2241"/>
      <c r="B59" s="758">
        <f t="shared" si="4"/>
        <v>45</v>
      </c>
      <c r="C59" s="781" t="s">
        <v>356</v>
      </c>
      <c r="D59" s="757" t="s">
        <v>631</v>
      </c>
      <c r="E59" s="757"/>
      <c r="F59" s="1577">
        <f t="shared" si="5"/>
        <v>2016</v>
      </c>
      <c r="G59" s="1158">
        <v>12244075277.880001</v>
      </c>
      <c r="H59" s="769"/>
      <c r="I59" s="2408"/>
      <c r="J59" s="2636"/>
      <c r="K59" s="761"/>
      <c r="L59" s="2376"/>
      <c r="M59" s="762"/>
      <c r="P59" s="2255"/>
    </row>
    <row r="60" spans="1:16" s="387" customFormat="1" ht="15" customHeight="1">
      <c r="A60" s="2241"/>
      <c r="B60" s="758">
        <f t="shared" si="4"/>
        <v>46</v>
      </c>
      <c r="C60" s="781" t="s">
        <v>357</v>
      </c>
      <c r="D60" s="757" t="s">
        <v>631</v>
      </c>
      <c r="E60" s="757"/>
      <c r="F60" s="1577">
        <f t="shared" si="5"/>
        <v>2016</v>
      </c>
      <c r="G60" s="1158">
        <v>12352197621.570005</v>
      </c>
      <c r="H60" s="769"/>
      <c r="I60" s="2408"/>
      <c r="J60" s="2636"/>
      <c r="K60" s="2251"/>
      <c r="L60" s="2378"/>
      <c r="M60" s="762"/>
      <c r="P60" s="2255"/>
    </row>
    <row r="61" spans="1:16" s="387" customFormat="1">
      <c r="A61" s="2241"/>
      <c r="B61" s="758">
        <f t="shared" si="4"/>
        <v>47</v>
      </c>
      <c r="C61" s="771" t="s">
        <v>358</v>
      </c>
      <c r="D61" s="395" t="s">
        <v>1353</v>
      </c>
      <c r="E61" s="395"/>
      <c r="F61" s="1578">
        <f t="shared" si="5"/>
        <v>2016</v>
      </c>
      <c r="G61" s="1576">
        <v>12367792104.060003</v>
      </c>
      <c r="H61" s="1639" t="str">
        <f>IF((INDEX(Inputs_EndYrBal,MATCH($D61,Inputs_FF1_Map,0))-G61)&lt;1,"-","Check values!")</f>
        <v>-</v>
      </c>
      <c r="I61" s="2408"/>
      <c r="J61" s="2636"/>
      <c r="K61" s="782"/>
      <c r="L61" s="2412"/>
      <c r="M61" s="762"/>
      <c r="P61" s="2255"/>
    </row>
    <row r="62" spans="1:16" s="387" customFormat="1" ht="15.75">
      <c r="A62" s="2241"/>
      <c r="B62" s="758">
        <f t="shared" si="4"/>
        <v>48</v>
      </c>
      <c r="C62" s="773" t="s">
        <v>620</v>
      </c>
      <c r="D62" s="1001" t="str">
        <f>IF(Toggle=Projection,"(line "&amp;B61&amp;")",IF(Toggle=True_up,"(sum lines "&amp;B49&amp;"-"&amp;B61&amp;") /13","Set Toggle!"))</f>
        <v>(sum lines 35-47) /13</v>
      </c>
      <c r="E62" s="757"/>
      <c r="F62" s="999" t="str">
        <f>Toggle</f>
        <v>True-up</v>
      </c>
      <c r="G62" s="1151">
        <f>IF(Toggle=Projection,G61,IF(Toggle=True_up,AVERAGE(G49:G61),"Set Toggle!"))</f>
        <v>12211877008.312309</v>
      </c>
      <c r="H62" s="775"/>
      <c r="I62" s="2408"/>
      <c r="J62" s="2636"/>
      <c r="K62" s="761"/>
      <c r="L62" s="2234"/>
      <c r="M62" s="2411"/>
      <c r="P62" s="2255"/>
    </row>
    <row r="63" spans="1:16" s="387" customFormat="1">
      <c r="A63" s="2242"/>
      <c r="B63" s="757"/>
      <c r="C63" s="768"/>
      <c r="D63" s="757"/>
      <c r="E63" s="757"/>
      <c r="F63" s="776"/>
      <c r="G63" s="1152"/>
      <c r="H63" s="764"/>
      <c r="I63" s="2408"/>
      <c r="J63" s="2636"/>
      <c r="K63" s="761"/>
      <c r="L63" s="2376"/>
      <c r="M63" s="762"/>
      <c r="P63" s="2255"/>
    </row>
    <row r="64" spans="1:16" s="387" customFormat="1" ht="15.75">
      <c r="A64" s="2242"/>
      <c r="B64" s="755"/>
      <c r="C64" s="783"/>
      <c r="D64" s="782"/>
      <c r="E64" s="782"/>
      <c r="F64" s="784"/>
      <c r="G64" s="1156"/>
      <c r="H64" s="785"/>
      <c r="I64" s="2408"/>
      <c r="J64" s="2636"/>
      <c r="K64" s="761"/>
      <c r="L64" s="2376"/>
      <c r="M64" s="762"/>
      <c r="P64" s="2255"/>
    </row>
    <row r="65" spans="1:16" s="387" customFormat="1">
      <c r="A65" s="2241"/>
      <c r="B65" s="784">
        <f>+B62+1</f>
        <v>49</v>
      </c>
      <c r="C65" s="768" t="s">
        <v>639</v>
      </c>
      <c r="D65" s="392" t="s">
        <v>1372</v>
      </c>
      <c r="E65" s="392"/>
      <c r="F65" s="786"/>
      <c r="G65" s="1158">
        <v>1.9790604710578918E-9</v>
      </c>
      <c r="H65" s="1639" t="str">
        <f>IF((INDEX(Inputs_EndYrBal,MATCH($D65,Inputs_FF1_Map,0))-G65)&lt;1,"-","Check values!")</f>
        <v>-</v>
      </c>
      <c r="I65" s="2408"/>
      <c r="J65" s="2636"/>
      <c r="K65" s="761"/>
      <c r="L65" s="2234"/>
      <c r="M65" s="2411"/>
      <c r="P65" s="2255"/>
    </row>
    <row r="66" spans="1:16" s="387" customFormat="1" ht="15.75">
      <c r="A66" s="2241"/>
      <c r="B66" s="784"/>
      <c r="C66" s="773"/>
      <c r="D66" s="782"/>
      <c r="E66" s="782"/>
      <c r="F66" s="774"/>
      <c r="G66" s="1151"/>
      <c r="H66" s="787"/>
      <c r="I66" s="2408"/>
      <c r="J66" s="2636"/>
      <c r="K66" s="761"/>
      <c r="L66" s="2376"/>
      <c r="M66" s="762"/>
      <c r="P66" s="2255"/>
    </row>
    <row r="67" spans="1:16" s="387" customFormat="1" ht="15.75">
      <c r="A67" s="2241"/>
      <c r="B67" s="758"/>
      <c r="C67" s="773"/>
      <c r="D67" s="757"/>
      <c r="E67" s="757"/>
      <c r="F67" s="774"/>
      <c r="G67" s="1151"/>
      <c r="H67" s="788"/>
      <c r="I67" s="2408"/>
      <c r="J67" s="2636"/>
      <c r="K67" s="761"/>
      <c r="L67" s="2376"/>
      <c r="M67" s="2414"/>
      <c r="P67" s="2255"/>
    </row>
    <row r="68" spans="1:16" s="387" customFormat="1" ht="15.75">
      <c r="A68" s="2241">
        <f>'Appendix A'!$A$21</f>
        <v>6</v>
      </c>
      <c r="B68" s="758">
        <f>+B65+1</f>
        <v>50</v>
      </c>
      <c r="C68" s="815" t="s">
        <v>621</v>
      </c>
      <c r="D68" s="901" t="str">
        <f>"(sum lines "&amp;B20&amp;", "&amp;B36&amp;", "&amp;B41&amp;", "&amp;B46&amp;", "&amp;B62&amp;", &amp; "&amp;B65&amp;")"</f>
        <v>(sum lines 14, 28, 31, 34, 48, &amp; 49)</v>
      </c>
      <c r="E68" s="998" t="str">
        <f>'Appendix A'!$E$21</f>
        <v>(Note M)</v>
      </c>
      <c r="F68" s="1000" t="str">
        <f>Toggle</f>
        <v>True-up</v>
      </c>
      <c r="G68" s="1244">
        <f>SUM(G62,G46,G41,G36,G20,G65)</f>
        <v>26732315549.222305</v>
      </c>
      <c r="H68" s="772" t="s">
        <v>1014</v>
      </c>
      <c r="I68" s="2408"/>
      <c r="J68" s="2636"/>
      <c r="K68" s="782"/>
      <c r="L68" s="782"/>
      <c r="M68" s="2413"/>
      <c r="P68" s="2255"/>
    </row>
    <row r="69" spans="1:16" s="387" customFormat="1" ht="15.75" thickBot="1">
      <c r="A69" s="790"/>
      <c r="B69" s="791"/>
      <c r="C69" s="792"/>
      <c r="D69" s="793"/>
      <c r="E69" s="866"/>
      <c r="F69" s="794"/>
      <c r="G69" s="795"/>
      <c r="H69" s="796"/>
      <c r="I69" s="797"/>
      <c r="J69" s="797"/>
      <c r="K69" s="798"/>
      <c r="L69" s="798"/>
      <c r="M69" s="799"/>
      <c r="P69" s="2255"/>
    </row>
    <row r="70" spans="1:16" s="387" customFormat="1">
      <c r="A70" s="778"/>
      <c r="B70" s="767"/>
      <c r="C70" s="768"/>
      <c r="D70" s="757"/>
      <c r="E70" s="757"/>
      <c r="F70" s="776"/>
      <c r="G70" s="768"/>
      <c r="H70" s="787"/>
      <c r="I70" s="758"/>
      <c r="J70" s="758"/>
      <c r="K70" s="761"/>
      <c r="L70" s="761"/>
      <c r="M70" s="761"/>
      <c r="P70" s="2255"/>
    </row>
    <row r="71" spans="1:16" s="387" customFormat="1">
      <c r="A71" s="778"/>
      <c r="B71" s="767"/>
      <c r="C71" s="768"/>
      <c r="D71" s="757"/>
      <c r="E71" s="757"/>
      <c r="F71" s="776"/>
      <c r="G71" s="768"/>
      <c r="H71" s="800"/>
      <c r="I71" s="758"/>
      <c r="J71" s="758"/>
      <c r="K71" s="761"/>
      <c r="L71" s="761"/>
      <c r="M71" s="761"/>
      <c r="N71" s="391"/>
      <c r="P71" s="2255"/>
    </row>
    <row r="72" spans="1:16" s="387" customFormat="1" ht="16.5" thickBot="1">
      <c r="A72" s="873" t="s">
        <v>622</v>
      </c>
      <c r="B72" s="754"/>
      <c r="C72" s="754"/>
      <c r="D72" s="754"/>
      <c r="E72" s="754"/>
      <c r="F72" s="754"/>
      <c r="G72" s="754"/>
      <c r="H72" s="754"/>
      <c r="I72" s="754"/>
      <c r="J72" s="754"/>
      <c r="K72" s="754"/>
      <c r="L72" s="754"/>
      <c r="M72" s="754"/>
      <c r="P72" s="2255"/>
    </row>
    <row r="73" spans="1:16" s="387" customFormat="1">
      <c r="A73" s="2688" t="s">
        <v>609</v>
      </c>
      <c r="B73" s="2689"/>
      <c r="C73" s="2689"/>
      <c r="D73" s="2689"/>
      <c r="E73" s="2689"/>
      <c r="F73" s="2689"/>
      <c r="G73" s="2690"/>
      <c r="H73" s="906" t="s">
        <v>304</v>
      </c>
      <c r="I73" s="2144"/>
      <c r="J73" s="917"/>
      <c r="K73" s="917"/>
      <c r="L73" s="917"/>
      <c r="M73" s="918"/>
      <c r="P73" s="2255"/>
    </row>
    <row r="74" spans="1:16" s="387" customFormat="1" ht="15.75">
      <c r="A74" s="2241"/>
      <c r="B74" s="758"/>
      <c r="C74" s="756" t="s">
        <v>623</v>
      </c>
      <c r="D74" s="757" t="s">
        <v>26</v>
      </c>
      <c r="E74" s="757"/>
      <c r="F74" s="758" t="s">
        <v>141</v>
      </c>
      <c r="G74" s="759" t="s">
        <v>158</v>
      </c>
      <c r="H74" s="760"/>
      <c r="I74" s="757"/>
      <c r="J74" s="757"/>
      <c r="K74" s="761"/>
      <c r="L74" s="761"/>
      <c r="M74" s="762"/>
      <c r="P74" s="2255"/>
    </row>
    <row r="75" spans="1:16" s="387" customFormat="1">
      <c r="A75" s="2241"/>
      <c r="B75" s="758">
        <f>+B68+1</f>
        <v>51</v>
      </c>
      <c r="C75" s="763" t="s">
        <v>358</v>
      </c>
      <c r="D75" s="392" t="s">
        <v>1368</v>
      </c>
      <c r="E75" s="392"/>
      <c r="F75" s="1577">
        <f>+F49</f>
        <v>2015</v>
      </c>
      <c r="G75" s="1158">
        <v>1503737224.9200001</v>
      </c>
      <c r="H75" s="1639" t="str">
        <f>IF((INDEX(Inputs_EndYrBal_prior,MATCH($D87,Inputs_FF1_Map,0))-G75)&lt;1,"-","Check values!")</f>
        <v>-</v>
      </c>
      <c r="I75" s="757"/>
      <c r="J75" s="2636"/>
      <c r="K75" s="761"/>
      <c r="L75" s="761"/>
      <c r="M75" s="762"/>
      <c r="P75" s="2255"/>
    </row>
    <row r="76" spans="1:16" s="387" customFormat="1">
      <c r="A76" s="2241"/>
      <c r="B76" s="758">
        <f t="shared" ref="B76:B88" si="6">+B75+1</f>
        <v>52</v>
      </c>
      <c r="C76" s="765" t="s">
        <v>350</v>
      </c>
      <c r="D76" s="757" t="s">
        <v>631</v>
      </c>
      <c r="E76" s="757"/>
      <c r="F76" s="1577">
        <f>+F75+1</f>
        <v>2016</v>
      </c>
      <c r="G76" s="1158">
        <v>1511580189.8</v>
      </c>
      <c r="H76" s="766"/>
      <c r="I76" s="757"/>
      <c r="J76" s="2636"/>
      <c r="K76" s="761"/>
      <c r="L76" s="761"/>
      <c r="M76" s="762"/>
      <c r="P76" s="2255"/>
    </row>
    <row r="77" spans="1:16" s="387" customFormat="1">
      <c r="A77" s="2241"/>
      <c r="B77" s="758">
        <f t="shared" si="6"/>
        <v>53</v>
      </c>
      <c r="C77" s="768" t="s">
        <v>351</v>
      </c>
      <c r="D77" s="757" t="s">
        <v>631</v>
      </c>
      <c r="E77" s="757"/>
      <c r="F77" s="1577">
        <f t="shared" ref="F77:F87" si="7">+F76</f>
        <v>2016</v>
      </c>
      <c r="G77" s="1158">
        <v>1518958073.4000001</v>
      </c>
      <c r="H77" s="764"/>
      <c r="I77" s="757"/>
      <c r="J77" s="2636"/>
      <c r="K77" s="761"/>
      <c r="L77" s="761"/>
      <c r="M77" s="762"/>
      <c r="P77" s="2255"/>
    </row>
    <row r="78" spans="1:16" s="387" customFormat="1">
      <c r="A78" s="2241"/>
      <c r="B78" s="758">
        <f t="shared" si="6"/>
        <v>54</v>
      </c>
      <c r="C78" s="768" t="s">
        <v>352</v>
      </c>
      <c r="D78" s="757" t="s">
        <v>631</v>
      </c>
      <c r="E78" s="757"/>
      <c r="F78" s="1577">
        <f t="shared" si="7"/>
        <v>2016</v>
      </c>
      <c r="G78" s="1158">
        <v>1525814723.55</v>
      </c>
      <c r="H78" s="764"/>
      <c r="I78" s="757"/>
      <c r="J78" s="2636"/>
      <c r="K78" s="761"/>
      <c r="L78" s="761"/>
      <c r="M78" s="762"/>
      <c r="P78" s="2255"/>
    </row>
    <row r="79" spans="1:16" s="387" customFormat="1">
      <c r="A79" s="2241"/>
      <c r="B79" s="758">
        <f t="shared" si="6"/>
        <v>55</v>
      </c>
      <c r="C79" s="765" t="s">
        <v>143</v>
      </c>
      <c r="D79" s="757" t="s">
        <v>631</v>
      </c>
      <c r="E79" s="757"/>
      <c r="F79" s="1577">
        <f t="shared" si="7"/>
        <v>2016</v>
      </c>
      <c r="G79" s="1158">
        <v>1532916772.9100001</v>
      </c>
      <c r="H79" s="764"/>
      <c r="I79" s="757"/>
      <c r="J79" s="2636"/>
      <c r="K79" s="761"/>
      <c r="L79" s="761"/>
      <c r="M79" s="762"/>
      <c r="P79" s="2255"/>
    </row>
    <row r="80" spans="1:16" s="387" customFormat="1">
      <c r="A80" s="2241"/>
      <c r="B80" s="758">
        <f t="shared" si="6"/>
        <v>56</v>
      </c>
      <c r="C80" s="768" t="s">
        <v>144</v>
      </c>
      <c r="D80" s="757" t="s">
        <v>631</v>
      </c>
      <c r="E80" s="757"/>
      <c r="F80" s="1577">
        <f t="shared" si="7"/>
        <v>2016</v>
      </c>
      <c r="G80" s="1158">
        <v>1540978154.8499999</v>
      </c>
      <c r="H80" s="769"/>
      <c r="I80" s="757"/>
      <c r="J80" s="2636"/>
      <c r="K80" s="757"/>
      <c r="L80" s="757"/>
      <c r="M80" s="770"/>
      <c r="P80" s="2255"/>
    </row>
    <row r="81" spans="1:16" s="387" customFormat="1">
      <c r="A81" s="2241"/>
      <c r="B81" s="758">
        <f t="shared" si="6"/>
        <v>57</v>
      </c>
      <c r="C81" s="768" t="s">
        <v>611</v>
      </c>
      <c r="D81" s="757" t="s">
        <v>631</v>
      </c>
      <c r="E81" s="757"/>
      <c r="F81" s="1577">
        <f t="shared" si="7"/>
        <v>2016</v>
      </c>
      <c r="G81" s="1158">
        <v>1549434030.8599999</v>
      </c>
      <c r="H81" s="764"/>
      <c r="I81" s="757"/>
      <c r="J81" s="2636"/>
      <c r="K81" s="761"/>
      <c r="L81" s="761"/>
      <c r="M81" s="762"/>
      <c r="P81" s="2255"/>
    </row>
    <row r="82" spans="1:16" s="387" customFormat="1">
      <c r="A82" s="2241"/>
      <c r="B82" s="758">
        <f t="shared" si="6"/>
        <v>58</v>
      </c>
      <c r="C82" s="765" t="s">
        <v>353</v>
      </c>
      <c r="D82" s="757" t="s">
        <v>631</v>
      </c>
      <c r="E82" s="757"/>
      <c r="F82" s="1577">
        <f t="shared" si="7"/>
        <v>2016</v>
      </c>
      <c r="G82" s="1158">
        <v>1556716203.29</v>
      </c>
      <c r="H82" s="766"/>
      <c r="I82" s="757"/>
      <c r="J82" s="2636"/>
      <c r="K82" s="391"/>
      <c r="L82" s="391"/>
      <c r="M82" s="762"/>
      <c r="P82" s="2255"/>
    </row>
    <row r="83" spans="1:16" s="387" customFormat="1">
      <c r="A83" s="2241"/>
      <c r="B83" s="758">
        <f t="shared" si="6"/>
        <v>59</v>
      </c>
      <c r="C83" s="768" t="s">
        <v>354</v>
      </c>
      <c r="D83" s="757" t="s">
        <v>631</v>
      </c>
      <c r="E83" s="757"/>
      <c r="F83" s="1577">
        <f t="shared" si="7"/>
        <v>2016</v>
      </c>
      <c r="G83" s="1158">
        <v>1563047575.0999999</v>
      </c>
      <c r="H83" s="764"/>
      <c r="I83" s="757"/>
      <c r="J83" s="2636"/>
      <c r="K83" s="391"/>
      <c r="L83" s="391"/>
      <c r="M83" s="762"/>
      <c r="P83" s="2255"/>
    </row>
    <row r="84" spans="1:16" s="387" customFormat="1">
      <c r="A84" s="2241"/>
      <c r="B84" s="758">
        <f t="shared" si="6"/>
        <v>60</v>
      </c>
      <c r="C84" s="768" t="s">
        <v>355</v>
      </c>
      <c r="D84" s="757" t="s">
        <v>631</v>
      </c>
      <c r="E84" s="757"/>
      <c r="F84" s="1577">
        <f t="shared" si="7"/>
        <v>2016</v>
      </c>
      <c r="G84" s="1158">
        <v>1570251844.53</v>
      </c>
      <c r="H84" s="764"/>
      <c r="I84" s="757"/>
      <c r="J84" s="2636"/>
      <c r="K84" s="391"/>
      <c r="L84" s="391"/>
      <c r="M84" s="762"/>
      <c r="P84" s="2255"/>
    </row>
    <row r="85" spans="1:16" s="387" customFormat="1">
      <c r="A85" s="2241"/>
      <c r="B85" s="758">
        <f t="shared" si="6"/>
        <v>61</v>
      </c>
      <c r="C85" s="765" t="s">
        <v>356</v>
      </c>
      <c r="D85" s="757" t="s">
        <v>631</v>
      </c>
      <c r="E85" s="757"/>
      <c r="F85" s="1577">
        <f t="shared" si="7"/>
        <v>2016</v>
      </c>
      <c r="G85" s="1158">
        <v>1577484062.22</v>
      </c>
      <c r="H85" s="764"/>
      <c r="I85" s="757"/>
      <c r="J85" s="2636"/>
      <c r="K85" s="391"/>
      <c r="L85" s="391"/>
      <c r="M85" s="762"/>
      <c r="P85" s="2255"/>
    </row>
    <row r="86" spans="1:16" s="387" customFormat="1">
      <c r="A86" s="2241"/>
      <c r="B86" s="758">
        <f t="shared" si="6"/>
        <v>62</v>
      </c>
      <c r="C86" s="765" t="s">
        <v>357</v>
      </c>
      <c r="D86" s="757" t="s">
        <v>631</v>
      </c>
      <c r="E86" s="757"/>
      <c r="F86" s="1577">
        <f t="shared" si="7"/>
        <v>2016</v>
      </c>
      <c r="G86" s="1158">
        <v>1585712636.6199999</v>
      </c>
      <c r="H86" s="769"/>
      <c r="I86" s="757"/>
      <c r="J86" s="2636"/>
      <c r="K86" s="391"/>
      <c r="L86" s="391"/>
      <c r="M86" s="762"/>
      <c r="P86" s="2255"/>
    </row>
    <row r="87" spans="1:16" s="387" customFormat="1">
      <c r="A87" s="2241"/>
      <c r="B87" s="758">
        <f t="shared" si="6"/>
        <v>63</v>
      </c>
      <c r="C87" s="771" t="s">
        <v>358</v>
      </c>
      <c r="D87" s="395" t="s">
        <v>1355</v>
      </c>
      <c r="E87" s="395"/>
      <c r="F87" s="1578">
        <f t="shared" si="7"/>
        <v>2016</v>
      </c>
      <c r="G87" s="1576">
        <v>1592275183.24</v>
      </c>
      <c r="H87" s="1639" t="str">
        <f>IF((INDEX(Inputs_EndYrBal,MATCH($D87,Inputs_FF1_Map,0))-G87)&lt;1,"-","Check values!")</f>
        <v>-</v>
      </c>
      <c r="I87" s="757"/>
      <c r="J87" s="2636"/>
      <c r="K87" s="391"/>
      <c r="L87" s="391"/>
      <c r="M87" s="770"/>
      <c r="P87" s="2255"/>
    </row>
    <row r="88" spans="1:16" s="387" customFormat="1" ht="15.75">
      <c r="A88" s="2241">
        <f>'Appendix A'!$A$54</f>
        <v>25</v>
      </c>
      <c r="B88" s="758">
        <f t="shared" si="6"/>
        <v>64</v>
      </c>
      <c r="C88" s="773" t="s">
        <v>287</v>
      </c>
      <c r="D88" s="1001" t="str">
        <f>IF(Toggle=Projection,"(line "&amp;B87&amp;")",IF(Toggle=True_up,"(sum lines "&amp;B75&amp;"-"&amp;B87&amp;") /13","Set Toggle!"))</f>
        <v>(sum lines 51-63) /13</v>
      </c>
      <c r="E88" s="996" t="str">
        <f>'Appendix A'!$E$54</f>
        <v>(Note M)</v>
      </c>
      <c r="F88" s="999" t="str">
        <f>Toggle</f>
        <v>True-up</v>
      </c>
      <c r="G88" s="1243">
        <f>IF(Toggle=Projection,G87,IF(Toggle=True_up,AVERAGE(G75:G87),"Set Toggle!"))</f>
        <v>1548377436.5607696</v>
      </c>
      <c r="H88" s="772" t="s">
        <v>1014</v>
      </c>
      <c r="I88" s="757"/>
      <c r="J88" s="2636"/>
      <c r="K88" s="391"/>
      <c r="L88" s="391"/>
      <c r="M88" s="762"/>
      <c r="P88" s="2255"/>
    </row>
    <row r="89" spans="1:16" s="387" customFormat="1">
      <c r="A89" s="2241"/>
      <c r="B89" s="758"/>
      <c r="C89" s="768"/>
      <c r="D89" s="757"/>
      <c r="E89" s="757"/>
      <c r="F89" s="776"/>
      <c r="G89" s="1152"/>
      <c r="H89" s="764"/>
      <c r="I89" s="757"/>
      <c r="J89" s="2636"/>
      <c r="K89" s="391"/>
      <c r="L89" s="391"/>
      <c r="M89" s="762"/>
      <c r="P89" s="2255"/>
    </row>
    <row r="90" spans="1:16" s="387" customFormat="1" ht="15.75">
      <c r="A90" s="2241"/>
      <c r="B90" s="758"/>
      <c r="C90" s="756" t="s">
        <v>624</v>
      </c>
      <c r="D90" s="757" t="s">
        <v>26</v>
      </c>
      <c r="E90" s="757"/>
      <c r="F90" s="758" t="s">
        <v>141</v>
      </c>
      <c r="G90" s="1153" t="s">
        <v>158</v>
      </c>
      <c r="H90" s="769"/>
      <c r="I90" s="757"/>
      <c r="J90" s="2636"/>
      <c r="K90" s="2139"/>
      <c r="L90" s="761"/>
      <c r="M90" s="762"/>
      <c r="P90" s="2255"/>
    </row>
    <row r="91" spans="1:16" s="387" customFormat="1">
      <c r="A91" s="2241"/>
      <c r="B91" s="758">
        <f>+B88+1</f>
        <v>65</v>
      </c>
      <c r="C91" s="763" t="s">
        <v>358</v>
      </c>
      <c r="D91" s="392" t="s">
        <v>1367</v>
      </c>
      <c r="E91" s="392"/>
      <c r="F91" s="1577">
        <f>+F75</f>
        <v>2015</v>
      </c>
      <c r="G91" s="1158">
        <v>2581141819.1100001</v>
      </c>
      <c r="H91" s="1639" t="str">
        <f>IF((INDEX(Inputs_EndYrBal_prior,MATCH($D103,Inputs_FF1_Map,0))-G91)&lt;1,"-","Check values!")</f>
        <v>-</v>
      </c>
      <c r="I91" s="757"/>
      <c r="J91" s="2636"/>
      <c r="K91" s="2138"/>
      <c r="L91" s="2138"/>
      <c r="M91" s="762"/>
      <c r="P91" s="2255"/>
    </row>
    <row r="92" spans="1:16" s="387" customFormat="1">
      <c r="A92" s="2241"/>
      <c r="B92" s="758">
        <f t="shared" ref="B92:B104" si="8">+B91+1</f>
        <v>66</v>
      </c>
      <c r="C92" s="765" t="s">
        <v>350</v>
      </c>
      <c r="D92" s="757" t="s">
        <v>631</v>
      </c>
      <c r="E92" s="757"/>
      <c r="F92" s="1577">
        <f>+F91+1</f>
        <v>2016</v>
      </c>
      <c r="G92" s="1158">
        <v>2589846487.6999998</v>
      </c>
      <c r="H92" s="766"/>
      <c r="I92" s="757"/>
      <c r="J92" s="2636"/>
      <c r="K92" s="761"/>
      <c r="L92" s="761"/>
      <c r="M92" s="762"/>
      <c r="P92" s="2255"/>
    </row>
    <row r="93" spans="1:16" s="387" customFormat="1">
      <c r="A93" s="2241"/>
      <c r="B93" s="758">
        <f t="shared" si="8"/>
        <v>67</v>
      </c>
      <c r="C93" s="768" t="s">
        <v>351</v>
      </c>
      <c r="D93" s="757" t="s">
        <v>631</v>
      </c>
      <c r="E93" s="757"/>
      <c r="F93" s="1577">
        <f t="shared" ref="F93:F103" si="9">+F92</f>
        <v>2016</v>
      </c>
      <c r="G93" s="1158">
        <v>2597463581.3899999</v>
      </c>
      <c r="H93" s="764"/>
      <c r="I93" s="757"/>
      <c r="J93" s="2636"/>
      <c r="K93" s="761"/>
      <c r="L93" s="761"/>
      <c r="M93" s="762"/>
      <c r="P93" s="2255"/>
    </row>
    <row r="94" spans="1:16" s="387" customFormat="1">
      <c r="A94" s="2241"/>
      <c r="B94" s="758">
        <f t="shared" si="8"/>
        <v>68</v>
      </c>
      <c r="C94" s="768" t="s">
        <v>352</v>
      </c>
      <c r="D94" s="757" t="s">
        <v>631</v>
      </c>
      <c r="E94" s="757"/>
      <c r="F94" s="1577">
        <f t="shared" si="9"/>
        <v>2016</v>
      </c>
      <c r="G94" s="1158">
        <v>2606157298.1900001</v>
      </c>
      <c r="H94" s="764"/>
      <c r="I94" s="757"/>
      <c r="J94" s="2636"/>
      <c r="K94" s="761"/>
      <c r="L94" s="761"/>
      <c r="M94" s="762"/>
      <c r="P94" s="2255"/>
    </row>
    <row r="95" spans="1:16" s="387" customFormat="1">
      <c r="A95" s="2241"/>
      <c r="B95" s="758">
        <f t="shared" si="8"/>
        <v>69</v>
      </c>
      <c r="C95" s="765" t="s">
        <v>143</v>
      </c>
      <c r="D95" s="757" t="s">
        <v>631</v>
      </c>
      <c r="E95" s="757"/>
      <c r="F95" s="1577">
        <f t="shared" si="9"/>
        <v>2016</v>
      </c>
      <c r="G95" s="1158">
        <v>2613957630.5700002</v>
      </c>
      <c r="H95" s="764"/>
      <c r="I95" s="757"/>
      <c r="J95" s="2636"/>
      <c r="K95" s="761"/>
      <c r="L95" s="761"/>
      <c r="M95" s="762"/>
      <c r="P95" s="2255"/>
    </row>
    <row r="96" spans="1:16" s="387" customFormat="1">
      <c r="A96" s="2241"/>
      <c r="B96" s="758">
        <f t="shared" si="8"/>
        <v>70</v>
      </c>
      <c r="C96" s="768" t="s">
        <v>144</v>
      </c>
      <c r="D96" s="757" t="s">
        <v>631</v>
      </c>
      <c r="E96" s="757"/>
      <c r="F96" s="1577">
        <f t="shared" si="9"/>
        <v>2016</v>
      </c>
      <c r="G96" s="1158">
        <v>2621888842.27</v>
      </c>
      <c r="H96" s="769"/>
      <c r="I96" s="757"/>
      <c r="J96" s="2636"/>
      <c r="K96" s="757"/>
      <c r="L96" s="757"/>
      <c r="M96" s="770"/>
      <c r="P96" s="2255"/>
    </row>
    <row r="97" spans="1:16" s="387" customFormat="1">
      <c r="A97" s="2241"/>
      <c r="B97" s="758">
        <f t="shared" si="8"/>
        <v>71</v>
      </c>
      <c r="C97" s="768" t="s">
        <v>611</v>
      </c>
      <c r="D97" s="757" t="s">
        <v>631</v>
      </c>
      <c r="E97" s="757"/>
      <c r="F97" s="1577">
        <f t="shared" si="9"/>
        <v>2016</v>
      </c>
      <c r="G97" s="1158">
        <v>2630561295.8800001</v>
      </c>
      <c r="H97" s="764"/>
      <c r="I97" s="757"/>
      <c r="J97" s="2636"/>
      <c r="K97" s="761"/>
      <c r="L97" s="761"/>
      <c r="M97" s="762"/>
      <c r="P97" s="2255"/>
    </row>
    <row r="98" spans="1:16" s="387" customFormat="1">
      <c r="A98" s="2241"/>
      <c r="B98" s="758">
        <f t="shared" si="8"/>
        <v>72</v>
      </c>
      <c r="C98" s="765" t="s">
        <v>353</v>
      </c>
      <c r="D98" s="757" t="s">
        <v>631</v>
      </c>
      <c r="E98" s="757"/>
      <c r="F98" s="1577">
        <f t="shared" si="9"/>
        <v>2016</v>
      </c>
      <c r="G98" s="1158">
        <v>2638968971.4699998</v>
      </c>
      <c r="H98" s="766"/>
      <c r="I98" s="757"/>
      <c r="J98" s="2636"/>
      <c r="K98" s="761"/>
      <c r="L98" s="761"/>
      <c r="M98" s="762"/>
      <c r="P98" s="2255"/>
    </row>
    <row r="99" spans="1:16" s="387" customFormat="1">
      <c r="A99" s="2241"/>
      <c r="B99" s="758">
        <f t="shared" si="8"/>
        <v>73</v>
      </c>
      <c r="C99" s="768" t="s">
        <v>354</v>
      </c>
      <c r="D99" s="757" t="s">
        <v>631</v>
      </c>
      <c r="E99" s="757"/>
      <c r="F99" s="1577">
        <f t="shared" si="9"/>
        <v>2016</v>
      </c>
      <c r="G99" s="1158">
        <v>2647117090.9699998</v>
      </c>
      <c r="H99" s="764"/>
      <c r="I99" s="757"/>
      <c r="J99" s="2636"/>
      <c r="K99" s="761"/>
      <c r="L99" s="761"/>
      <c r="M99" s="762"/>
      <c r="P99" s="2255"/>
    </row>
    <row r="100" spans="1:16" s="387" customFormat="1">
      <c r="A100" s="2241"/>
      <c r="B100" s="758">
        <f t="shared" si="8"/>
        <v>74</v>
      </c>
      <c r="C100" s="768" t="s">
        <v>355</v>
      </c>
      <c r="D100" s="757" t="s">
        <v>631</v>
      </c>
      <c r="E100" s="757"/>
      <c r="F100" s="1577">
        <f t="shared" si="9"/>
        <v>2016</v>
      </c>
      <c r="G100" s="1158">
        <v>2655293699.6500001</v>
      </c>
      <c r="H100" s="764"/>
      <c r="I100" s="757"/>
      <c r="J100" s="2636"/>
      <c r="K100" s="761"/>
      <c r="L100" s="761"/>
      <c r="M100" s="762"/>
      <c r="P100" s="2255"/>
    </row>
    <row r="101" spans="1:16" s="387" customFormat="1">
      <c r="A101" s="2241"/>
      <c r="B101" s="758">
        <f t="shared" si="8"/>
        <v>75</v>
      </c>
      <c r="C101" s="765" t="s">
        <v>612</v>
      </c>
      <c r="D101" s="757" t="s">
        <v>631</v>
      </c>
      <c r="E101" s="757"/>
      <c r="F101" s="1577">
        <f t="shared" si="9"/>
        <v>2016</v>
      </c>
      <c r="G101" s="1158">
        <v>2663639406.0999999</v>
      </c>
      <c r="H101" s="764"/>
      <c r="I101" s="757"/>
      <c r="J101" s="2636"/>
      <c r="K101" s="761"/>
      <c r="L101" s="761"/>
      <c r="M101" s="762"/>
      <c r="P101" s="2255"/>
    </row>
    <row r="102" spans="1:16" s="387" customFormat="1">
      <c r="A102" s="2241"/>
      <c r="B102" s="758">
        <f t="shared" si="8"/>
        <v>76</v>
      </c>
      <c r="C102" s="765" t="s">
        <v>357</v>
      </c>
      <c r="D102" s="757" t="s">
        <v>631</v>
      </c>
      <c r="E102" s="757"/>
      <c r="F102" s="1577">
        <f t="shared" si="9"/>
        <v>2016</v>
      </c>
      <c r="G102" s="1158">
        <v>2672548622.5599999</v>
      </c>
      <c r="H102" s="764"/>
      <c r="I102" s="757"/>
      <c r="J102" s="2636"/>
      <c r="K102" s="761"/>
      <c r="L102" s="761"/>
      <c r="M102" s="762"/>
      <c r="P102" s="2255"/>
    </row>
    <row r="103" spans="1:16" s="387" customFormat="1">
      <c r="A103" s="2241"/>
      <c r="B103" s="758">
        <f t="shared" si="8"/>
        <v>77</v>
      </c>
      <c r="C103" s="771" t="s">
        <v>358</v>
      </c>
      <c r="D103" s="395" t="s">
        <v>1356</v>
      </c>
      <c r="E103" s="395"/>
      <c r="F103" s="1578">
        <f t="shared" si="9"/>
        <v>2016</v>
      </c>
      <c r="G103" s="1576">
        <v>2679701607.8800001</v>
      </c>
      <c r="H103" s="1639" t="str">
        <f>IF((INDEX(Inputs_EndYrBal,MATCH($D103,Inputs_FF1_Map,0))-G103)&lt;1,"-","Check values!")</f>
        <v>-</v>
      </c>
      <c r="I103" s="757"/>
      <c r="J103" s="2636"/>
      <c r="K103" s="2135"/>
      <c r="L103" s="757"/>
      <c r="M103" s="770"/>
      <c r="P103" s="2255"/>
    </row>
    <row r="104" spans="1:16" s="387" customFormat="1" ht="15.75">
      <c r="A104" s="2241"/>
      <c r="B104" s="758">
        <f t="shared" si="8"/>
        <v>78</v>
      </c>
      <c r="C104" s="773" t="s">
        <v>625</v>
      </c>
      <c r="D104" s="1001" t="str">
        <f>IF(Toggle=Projection,"(line "&amp;B103&amp;")",IF(Toggle=True_up,"(sum lines "&amp;B91&amp;"-"&amp;B103&amp;") /13","Set Toggle!"))</f>
        <v>(sum lines 65-77) /13</v>
      </c>
      <c r="E104" s="757"/>
      <c r="F104" s="999" t="str">
        <f>Toggle</f>
        <v>True-up</v>
      </c>
      <c r="G104" s="1151">
        <f>IF(Toggle=Projection,G103,IF(Toggle=True_up,AVERAGE(G91:G103),"Set Toggle!"))</f>
        <v>2630637411.8261542</v>
      </c>
      <c r="H104" s="2145"/>
      <c r="I104" s="757"/>
      <c r="J104" s="2636"/>
      <c r="K104" s="761"/>
      <c r="L104" s="761"/>
      <c r="M104" s="762"/>
      <c r="P104" s="2255"/>
    </row>
    <row r="105" spans="1:16" s="387" customFormat="1">
      <c r="A105" s="2241"/>
      <c r="B105" s="758"/>
      <c r="C105" s="768"/>
      <c r="D105" s="757"/>
      <c r="E105" s="757"/>
      <c r="F105" s="776"/>
      <c r="G105" s="1152"/>
      <c r="H105" s="764"/>
      <c r="I105" s="757"/>
      <c r="J105" s="2636"/>
      <c r="K105" s="761"/>
      <c r="L105" s="761"/>
      <c r="M105" s="762"/>
      <c r="P105" s="2255"/>
    </row>
    <row r="106" spans="1:16" s="387" customFormat="1" ht="15.75">
      <c r="A106" s="2241"/>
      <c r="B106" s="758"/>
      <c r="C106" s="756" t="s">
        <v>626</v>
      </c>
      <c r="D106" s="757" t="s">
        <v>26</v>
      </c>
      <c r="E106" s="757"/>
      <c r="F106" s="758" t="s">
        <v>141</v>
      </c>
      <c r="G106" s="1153" t="s">
        <v>158</v>
      </c>
      <c r="H106" s="769"/>
      <c r="I106" s="757"/>
      <c r="J106" s="2636"/>
      <c r="K106" s="761"/>
      <c r="L106" s="761"/>
      <c r="M106" s="762"/>
      <c r="P106" s="2255"/>
    </row>
    <row r="107" spans="1:16" s="387" customFormat="1">
      <c r="A107" s="2241"/>
      <c r="B107" s="758">
        <f>+B104+1</f>
        <v>79</v>
      </c>
      <c r="C107" s="763" t="s">
        <v>358</v>
      </c>
      <c r="D107" s="392" t="s">
        <v>1369</v>
      </c>
      <c r="E107" s="392"/>
      <c r="F107" s="1577">
        <f>+F91</f>
        <v>2015</v>
      </c>
      <c r="G107" s="1158">
        <v>559800279.63999999</v>
      </c>
      <c r="H107" s="1639" t="str">
        <f>IF((INDEX(Inputs_EndYrBal_prior,MATCH($D108,Inputs_FF1_Map,0))-G107)&lt;1,"-","Check values!")</f>
        <v>-</v>
      </c>
      <c r="I107" s="757"/>
      <c r="J107" s="2636"/>
      <c r="K107" s="761"/>
      <c r="L107" s="761"/>
      <c r="M107" s="762"/>
      <c r="P107" s="2255"/>
    </row>
    <row r="108" spans="1:16" s="387" customFormat="1">
      <c r="A108" s="2241"/>
      <c r="B108" s="758">
        <f>+B107+1</f>
        <v>80</v>
      </c>
      <c r="C108" s="771" t="s">
        <v>358</v>
      </c>
      <c r="D108" s="395" t="s">
        <v>1357</v>
      </c>
      <c r="E108" s="395"/>
      <c r="F108" s="1578">
        <f>+F107+1</f>
        <v>2016</v>
      </c>
      <c r="G108" s="1732">
        <v>550553312</v>
      </c>
      <c r="H108" s="1639" t="str">
        <f>IF((INDEX(Inputs_EndYrBal,MATCH($D108,Inputs_FF1_Map,0))-G108)&lt;1,"-","Check values!")</f>
        <v>-</v>
      </c>
      <c r="I108" s="757"/>
      <c r="J108" s="2636"/>
      <c r="K108" s="757"/>
      <c r="L108" s="757"/>
      <c r="M108" s="770"/>
      <c r="P108" s="2255"/>
    </row>
    <row r="109" spans="1:16" s="387" customFormat="1" ht="15.75">
      <c r="A109" s="2243">
        <f>'Appendix A'!$A$24</f>
        <v>8</v>
      </c>
      <c r="B109" s="758">
        <f>+B108+1</f>
        <v>81</v>
      </c>
      <c r="C109" s="773" t="s">
        <v>627</v>
      </c>
      <c r="D109" s="1001" t="str">
        <f>IF(Toggle=Projection,"(line "&amp;B108&amp;")",IF(Toggle=True_up,"(sum lines "&amp;B107&amp;" &amp; "&amp;B108&amp;") /2","Set Toggle!"))</f>
        <v>(sum lines 79 &amp; 80) /2</v>
      </c>
      <c r="E109" s="996" t="str">
        <f>'Appendix A'!$E$24</f>
        <v>(Note N)</v>
      </c>
      <c r="F109" s="999" t="str">
        <f>Toggle</f>
        <v>True-up</v>
      </c>
      <c r="G109" s="1243">
        <f>IF(Toggle=Projection,G108,IF(Toggle=True_up,AVERAGE(G107:G108),"Set Toggle!"))</f>
        <v>555176795.81999993</v>
      </c>
      <c r="H109" s="772" t="s">
        <v>1014</v>
      </c>
      <c r="I109" s="757"/>
      <c r="J109" s="2636"/>
      <c r="K109" s="391"/>
      <c r="L109" s="391"/>
      <c r="M109" s="2146"/>
      <c r="P109" s="2255"/>
    </row>
    <row r="110" spans="1:16" s="387" customFormat="1">
      <c r="A110" s="2241"/>
      <c r="B110" s="758"/>
      <c r="C110" s="765"/>
      <c r="D110" s="757"/>
      <c r="E110" s="757"/>
      <c r="F110" s="779"/>
      <c r="G110" s="1154"/>
      <c r="H110" s="764"/>
      <c r="I110" s="757"/>
      <c r="J110" s="2636"/>
      <c r="K110" s="391"/>
      <c r="L110" s="391"/>
      <c r="M110" s="2146"/>
      <c r="O110" s="2136"/>
      <c r="P110" s="2255"/>
    </row>
    <row r="111" spans="1:16" s="387" customFormat="1" ht="15.75">
      <c r="A111" s="2241"/>
      <c r="B111" s="758"/>
      <c r="C111" s="756" t="s">
        <v>628</v>
      </c>
      <c r="D111" s="757" t="s">
        <v>26</v>
      </c>
      <c r="E111" s="757"/>
      <c r="F111" s="758" t="s">
        <v>141</v>
      </c>
      <c r="G111" s="1153" t="s">
        <v>158</v>
      </c>
      <c r="H111" s="769"/>
      <c r="I111" s="757"/>
      <c r="J111" s="2636"/>
      <c r="K111" s="391"/>
      <c r="L111" s="391"/>
      <c r="M111" s="2146"/>
      <c r="O111" s="2136"/>
      <c r="P111" s="2255"/>
    </row>
    <row r="112" spans="1:16" s="387" customFormat="1">
      <c r="A112" s="2241"/>
      <c r="B112" s="758">
        <f>+B109+1</f>
        <v>82</v>
      </c>
      <c r="C112" s="763" t="s">
        <v>358</v>
      </c>
      <c r="D112" s="392" t="s">
        <v>1366</v>
      </c>
      <c r="E112" s="392"/>
      <c r="F112" s="1577">
        <f>+F107</f>
        <v>2015</v>
      </c>
      <c r="G112" s="1158">
        <v>418947736.92000002</v>
      </c>
      <c r="H112" s="1639" t="str">
        <f>IF((INDEX(Inputs_EndYrBal_prior,MATCH($D113,Inputs_FF1_Map,0))-G112)&lt;1,"-","Check values!")</f>
        <v>-</v>
      </c>
      <c r="I112" s="757"/>
      <c r="J112" s="2636"/>
      <c r="K112" s="391"/>
      <c r="L112" s="391"/>
      <c r="M112" s="2146"/>
      <c r="O112" s="2136"/>
      <c r="P112" s="2255"/>
    </row>
    <row r="113" spans="1:16" s="387" customFormat="1">
      <c r="A113" s="2241"/>
      <c r="B113" s="758">
        <f>+B112+1</f>
        <v>83</v>
      </c>
      <c r="C113" s="771" t="s">
        <v>358</v>
      </c>
      <c r="D113" s="395" t="s">
        <v>1358</v>
      </c>
      <c r="E113" s="395"/>
      <c r="F113" s="1578">
        <f>+F112+1</f>
        <v>2016</v>
      </c>
      <c r="G113" s="1576">
        <v>434316473.50999999</v>
      </c>
      <c r="H113" s="1639" t="str">
        <f>IF((INDEX(Inputs_EndYrBal,MATCH($D113,Inputs_FF1_Map,0))-G113)&lt;1,"-","Check values!")</f>
        <v>-</v>
      </c>
      <c r="I113" s="757"/>
      <c r="J113" s="2636"/>
      <c r="K113" s="391"/>
      <c r="L113" s="391"/>
      <c r="M113" s="2146"/>
      <c r="O113" s="2137"/>
      <c r="P113" s="2255"/>
    </row>
    <row r="114" spans="1:16" s="387" customFormat="1" ht="15.75">
      <c r="A114" s="2241">
        <f>'Appendix A'!$A$56</f>
        <v>26</v>
      </c>
      <c r="B114" s="758">
        <f>+B113+1</f>
        <v>84</v>
      </c>
      <c r="C114" s="773" t="s">
        <v>318</v>
      </c>
      <c r="D114" s="1001" t="str">
        <f>IF(Toggle=Projection,"(line "&amp;B113&amp;")",IF(Toggle=True_up,"(sum lines "&amp;B112&amp;" &amp; "&amp;B113&amp;") /2","Set Toggle!"))</f>
        <v>(sum lines 82 &amp; 83) /2</v>
      </c>
      <c r="E114" s="996" t="str">
        <f>'Appendix A'!$E$56</f>
        <v>(Note N)</v>
      </c>
      <c r="F114" s="999" t="str">
        <f>Toggle</f>
        <v>True-up</v>
      </c>
      <c r="G114" s="1243">
        <f>IF(Toggle=Projection,G113,IF(Toggle=True_up,AVERAGE(G112:G113),"Set Toggle!"))</f>
        <v>426632105.21500003</v>
      </c>
      <c r="H114" s="772" t="s">
        <v>1014</v>
      </c>
      <c r="I114" s="757"/>
      <c r="J114" s="2636"/>
      <c r="K114" s="391"/>
      <c r="L114" s="391"/>
      <c r="M114" s="2146"/>
      <c r="O114" s="2136"/>
      <c r="P114" s="2255"/>
    </row>
    <row r="115" spans="1:16" s="387" customFormat="1">
      <c r="A115" s="2241"/>
      <c r="B115" s="758"/>
      <c r="C115" s="768"/>
      <c r="D115" s="392"/>
      <c r="E115" s="392"/>
      <c r="F115" s="780"/>
      <c r="G115" s="1154"/>
      <c r="H115" s="769"/>
      <c r="I115" s="757"/>
      <c r="J115" s="2636"/>
      <c r="K115" s="391"/>
      <c r="L115" s="391"/>
      <c r="M115" s="2146"/>
      <c r="O115" s="2137"/>
      <c r="P115" s="2255"/>
    </row>
    <row r="116" spans="1:16" s="387" customFormat="1" ht="15.75">
      <c r="A116" s="2241"/>
      <c r="B116" s="758"/>
      <c r="C116" s="756" t="s">
        <v>629</v>
      </c>
      <c r="D116" s="757" t="s">
        <v>26</v>
      </c>
      <c r="E116" s="757"/>
      <c r="F116" s="758" t="s">
        <v>141</v>
      </c>
      <c r="G116" s="1153" t="s">
        <v>158</v>
      </c>
      <c r="H116" s="769"/>
      <c r="I116" s="757"/>
      <c r="J116" s="2636"/>
      <c r="K116" s="391"/>
      <c r="L116" s="391"/>
      <c r="M116" s="2146"/>
      <c r="P116" s="2256"/>
    </row>
    <row r="117" spans="1:16" s="387" customFormat="1">
      <c r="A117" s="2241"/>
      <c r="B117" s="758">
        <f>+B114+1</f>
        <v>85</v>
      </c>
      <c r="C117" s="763" t="s">
        <v>358</v>
      </c>
      <c r="D117" s="392" t="s">
        <v>1365</v>
      </c>
      <c r="E117" s="392"/>
      <c r="F117" s="1577">
        <f>+F112</f>
        <v>2015</v>
      </c>
      <c r="G117" s="1158">
        <v>4061975025.0500002</v>
      </c>
      <c r="H117" s="1639"/>
      <c r="I117" s="757"/>
      <c r="J117" s="2636"/>
      <c r="K117" s="391"/>
      <c r="L117" s="391"/>
      <c r="M117" s="2146"/>
      <c r="O117" s="954"/>
      <c r="P117" s="2256"/>
    </row>
    <row r="118" spans="1:16" s="387" customFormat="1">
      <c r="A118" s="2241"/>
      <c r="B118" s="758">
        <f t="shared" ref="B118:B130" si="10">+B117+1</f>
        <v>86</v>
      </c>
      <c r="C118" s="781" t="s">
        <v>350</v>
      </c>
      <c r="D118" s="757" t="s">
        <v>631</v>
      </c>
      <c r="E118" s="757"/>
      <c r="F118" s="1577">
        <f>+F117+1</f>
        <v>2016</v>
      </c>
      <c r="G118" s="1158">
        <v>4088852267.6900001</v>
      </c>
      <c r="H118" s="769"/>
      <c r="I118" s="757"/>
      <c r="J118" s="2636"/>
      <c r="K118" s="391"/>
      <c r="L118" s="391"/>
      <c r="M118" s="2146"/>
      <c r="O118" s="954"/>
      <c r="P118" s="2256"/>
    </row>
    <row r="119" spans="1:16" s="387" customFormat="1" ht="15" customHeight="1">
      <c r="A119" s="2241"/>
      <c r="B119" s="758">
        <f t="shared" si="10"/>
        <v>87</v>
      </c>
      <c r="C119" s="768" t="s">
        <v>351</v>
      </c>
      <c r="D119" s="757" t="s">
        <v>631</v>
      </c>
      <c r="E119" s="757"/>
      <c r="F119" s="1577">
        <f t="shared" ref="F119:F129" si="11">+F118</f>
        <v>2016</v>
      </c>
      <c r="G119" s="1158">
        <v>4120541147.5</v>
      </c>
      <c r="H119" s="769"/>
      <c r="I119" s="757"/>
      <c r="J119" s="2636"/>
      <c r="K119" s="391"/>
      <c r="L119" s="391"/>
      <c r="M119" s="2146"/>
      <c r="O119" s="954"/>
      <c r="P119" s="2256"/>
    </row>
    <row r="120" spans="1:16" s="387" customFormat="1" ht="15" customHeight="1">
      <c r="A120" s="2241"/>
      <c r="B120" s="758">
        <f t="shared" si="10"/>
        <v>88</v>
      </c>
      <c r="C120" s="768" t="s">
        <v>352</v>
      </c>
      <c r="D120" s="757" t="s">
        <v>631</v>
      </c>
      <c r="E120" s="757"/>
      <c r="F120" s="1577">
        <f t="shared" si="11"/>
        <v>2016</v>
      </c>
      <c r="G120" s="1158">
        <v>4130768465.7799997</v>
      </c>
      <c r="H120" s="769"/>
      <c r="I120" s="757"/>
      <c r="J120" s="2636"/>
      <c r="K120" s="391"/>
      <c r="L120" s="391"/>
      <c r="M120" s="2146"/>
      <c r="O120" s="954"/>
      <c r="P120" s="2256"/>
    </row>
    <row r="121" spans="1:16" s="387" customFormat="1">
      <c r="A121" s="2241"/>
      <c r="B121" s="758">
        <f t="shared" si="10"/>
        <v>89</v>
      </c>
      <c r="C121" s="781" t="s">
        <v>143</v>
      </c>
      <c r="D121" s="757" t="s">
        <v>631</v>
      </c>
      <c r="E121" s="757"/>
      <c r="F121" s="1577">
        <f t="shared" si="11"/>
        <v>2016</v>
      </c>
      <c r="G121" s="1158">
        <v>4150083534.71</v>
      </c>
      <c r="H121" s="769"/>
      <c r="I121" s="757"/>
      <c r="J121" s="2636"/>
      <c r="K121" s="391"/>
      <c r="L121" s="391"/>
      <c r="M121" s="2146"/>
      <c r="O121" s="954"/>
      <c r="P121" s="2256"/>
    </row>
    <row r="122" spans="1:16" s="387" customFormat="1">
      <c r="A122" s="2241"/>
      <c r="B122" s="758">
        <f t="shared" si="10"/>
        <v>90</v>
      </c>
      <c r="C122" s="768" t="s">
        <v>144</v>
      </c>
      <c r="D122" s="757" t="s">
        <v>631</v>
      </c>
      <c r="E122" s="757"/>
      <c r="F122" s="1577">
        <f t="shared" si="11"/>
        <v>2016</v>
      </c>
      <c r="G122" s="1158">
        <v>4121984142.8000002</v>
      </c>
      <c r="H122" s="769"/>
      <c r="I122" s="757"/>
      <c r="J122" s="2636"/>
      <c r="K122" s="391"/>
      <c r="L122" s="391"/>
      <c r="M122" s="2146"/>
      <c r="O122" s="954"/>
      <c r="P122" s="2256"/>
    </row>
    <row r="123" spans="1:16" s="387" customFormat="1">
      <c r="A123" s="2241"/>
      <c r="B123" s="758">
        <f t="shared" si="10"/>
        <v>91</v>
      </c>
      <c r="C123" s="768" t="s">
        <v>611</v>
      </c>
      <c r="D123" s="757" t="s">
        <v>631</v>
      </c>
      <c r="E123" s="757"/>
      <c r="F123" s="1577">
        <f t="shared" si="11"/>
        <v>2016</v>
      </c>
      <c r="G123" s="1158">
        <v>4155466026.96</v>
      </c>
      <c r="H123" s="769"/>
      <c r="I123" s="757"/>
      <c r="J123" s="2636"/>
      <c r="K123" s="391"/>
      <c r="L123" s="391"/>
      <c r="M123" s="2146"/>
      <c r="O123" s="954"/>
      <c r="P123" s="2256"/>
    </row>
    <row r="124" spans="1:16" s="387" customFormat="1">
      <c r="A124" s="2241"/>
      <c r="B124" s="758">
        <f t="shared" si="10"/>
        <v>92</v>
      </c>
      <c r="C124" s="781" t="s">
        <v>353</v>
      </c>
      <c r="D124" s="757" t="s">
        <v>631</v>
      </c>
      <c r="E124" s="757"/>
      <c r="F124" s="1577">
        <f t="shared" si="11"/>
        <v>2016</v>
      </c>
      <c r="G124" s="1158">
        <v>4177674043.6199999</v>
      </c>
      <c r="H124" s="769"/>
      <c r="I124" s="757"/>
      <c r="J124" s="2636"/>
      <c r="K124" s="391"/>
      <c r="L124" s="391"/>
      <c r="M124" s="2146"/>
      <c r="P124" s="2255"/>
    </row>
    <row r="125" spans="1:16" s="387" customFormat="1">
      <c r="A125" s="2241"/>
      <c r="B125" s="758">
        <f t="shared" si="10"/>
        <v>93</v>
      </c>
      <c r="C125" s="768" t="s">
        <v>354</v>
      </c>
      <c r="D125" s="757" t="s">
        <v>631</v>
      </c>
      <c r="E125" s="757"/>
      <c r="F125" s="1577">
        <f t="shared" si="11"/>
        <v>2016</v>
      </c>
      <c r="G125" s="1158">
        <v>4207703499.0600004</v>
      </c>
      <c r="H125" s="769"/>
      <c r="I125" s="757"/>
      <c r="J125" s="2636"/>
      <c r="K125" s="391"/>
      <c r="L125" s="391"/>
      <c r="M125" s="2146"/>
      <c r="P125" s="2255"/>
    </row>
    <row r="126" spans="1:16" s="387" customFormat="1">
      <c r="A126" s="2241"/>
      <c r="B126" s="758">
        <f t="shared" si="10"/>
        <v>94</v>
      </c>
      <c r="C126" s="768" t="s">
        <v>355</v>
      </c>
      <c r="D126" s="757" t="s">
        <v>631</v>
      </c>
      <c r="E126" s="757"/>
      <c r="F126" s="1577">
        <f t="shared" si="11"/>
        <v>2016</v>
      </c>
      <c r="G126" s="1158">
        <v>4231859767.1800003</v>
      </c>
      <c r="H126" s="769"/>
      <c r="I126" s="757"/>
      <c r="J126" s="2636"/>
      <c r="K126" s="391"/>
      <c r="L126" s="391"/>
      <c r="M126" s="2146"/>
      <c r="P126" s="2255"/>
    </row>
    <row r="127" spans="1:16" s="387" customFormat="1">
      <c r="A127" s="2241"/>
      <c r="B127" s="758">
        <f t="shared" si="10"/>
        <v>95</v>
      </c>
      <c r="C127" s="781" t="s">
        <v>612</v>
      </c>
      <c r="D127" s="757" t="s">
        <v>631</v>
      </c>
      <c r="E127" s="757"/>
      <c r="F127" s="1577">
        <f t="shared" si="11"/>
        <v>2016</v>
      </c>
      <c r="G127" s="1158">
        <v>4260897822.0499997</v>
      </c>
      <c r="H127" s="769"/>
      <c r="I127" s="757"/>
      <c r="J127" s="2636"/>
      <c r="K127" s="391"/>
      <c r="L127" s="391"/>
      <c r="M127" s="2146"/>
      <c r="P127" s="2255"/>
    </row>
    <row r="128" spans="1:16" s="387" customFormat="1">
      <c r="A128" s="2241"/>
      <c r="B128" s="758">
        <f t="shared" si="10"/>
        <v>96</v>
      </c>
      <c r="C128" s="781" t="s">
        <v>357</v>
      </c>
      <c r="D128" s="757" t="s">
        <v>631</v>
      </c>
      <c r="E128" s="757"/>
      <c r="F128" s="1577">
        <f t="shared" si="11"/>
        <v>2016</v>
      </c>
      <c r="G128" s="1158">
        <v>4284029621.8500004</v>
      </c>
      <c r="H128" s="764"/>
      <c r="I128" s="757"/>
      <c r="J128" s="2636"/>
      <c r="K128" s="391"/>
      <c r="L128" s="391"/>
      <c r="M128" s="2146"/>
      <c r="P128" s="2255"/>
    </row>
    <row r="129" spans="1:16" s="387" customFormat="1">
      <c r="A129" s="2241"/>
      <c r="B129" s="758">
        <f t="shared" si="10"/>
        <v>97</v>
      </c>
      <c r="C129" s="771" t="s">
        <v>358</v>
      </c>
      <c r="D129" s="395" t="s">
        <v>1364</v>
      </c>
      <c r="E129" s="395"/>
      <c r="F129" s="1578">
        <f t="shared" si="11"/>
        <v>2016</v>
      </c>
      <c r="G129" s="1576">
        <v>4320104047.46</v>
      </c>
      <c r="H129" s="1639" t="str">
        <f>IF((INDEX(Inputs_EndYrBal,MATCH($D129,Inputs_FF1_Map,0))-G129)&lt;1,"-","Check values!")</f>
        <v>-</v>
      </c>
      <c r="I129" s="757"/>
      <c r="J129" s="2636"/>
      <c r="K129" s="391"/>
      <c r="L129" s="391"/>
      <c r="M129" s="2146"/>
      <c r="P129" s="2255"/>
    </row>
    <row r="130" spans="1:16" s="387" customFormat="1" ht="15.75">
      <c r="A130" s="2241"/>
      <c r="B130" s="758">
        <f t="shared" si="10"/>
        <v>98</v>
      </c>
      <c r="C130" s="773" t="s">
        <v>630</v>
      </c>
      <c r="D130" s="1001" t="str">
        <f>IF(Toggle=Projection,"(line "&amp;B129&amp;")",IF(Toggle=True_up,"(sum lines "&amp;B117&amp;"-"&amp;B129&amp;") /13","Set Toggle!"))</f>
        <v>(sum lines 85-97) /13</v>
      </c>
      <c r="E130" s="757"/>
      <c r="F130" s="999" t="str">
        <f>Toggle</f>
        <v>True-up</v>
      </c>
      <c r="G130" s="1151">
        <f>IF(Toggle=Projection,G129,IF(Toggle=True_up,AVERAGE(G117:G129),"Set Toggle!"))</f>
        <v>4177841493.2084613</v>
      </c>
      <c r="H130" s="2145"/>
      <c r="I130" s="757"/>
      <c r="J130" s="2636"/>
      <c r="K130" s="391"/>
      <c r="L130" s="391"/>
      <c r="M130" s="2146"/>
      <c r="P130" s="2255"/>
    </row>
    <row r="131" spans="1:16" s="387" customFormat="1">
      <c r="A131" s="2241"/>
      <c r="B131" s="758"/>
      <c r="C131" s="768"/>
      <c r="D131" s="757"/>
      <c r="E131" s="757"/>
      <c r="F131" s="776"/>
      <c r="G131" s="1152"/>
      <c r="H131" s="764"/>
      <c r="I131" s="757"/>
      <c r="J131" s="2636"/>
      <c r="K131" s="391"/>
      <c r="L131" s="391"/>
      <c r="M131" s="2146"/>
      <c r="P131" s="2255"/>
    </row>
    <row r="132" spans="1:16" s="387" customFormat="1" ht="15.75">
      <c r="A132" s="801">
        <f>+'Appendix A'!A23</f>
        <v>7</v>
      </c>
      <c r="B132" s="758">
        <f>+B130+1</f>
        <v>99</v>
      </c>
      <c r="C132" s="789" t="str">
        <f>'Appendix A'!C23</f>
        <v>Accumulated Depreciation (Total Electric Plant)</v>
      </c>
      <c r="D132" s="757" t="str">
        <f>"(sum lines "&amp;B88&amp;", "&amp;B104&amp;", "&amp;B114&amp;", &amp; "&amp;B130&amp;")"</f>
        <v>(sum lines 64, 78, 84, &amp; 98)</v>
      </c>
      <c r="E132" s="996" t="str">
        <f>'Appendix A'!$E$23</f>
        <v>(Note M)</v>
      </c>
      <c r="F132" s="999" t="str">
        <f>Toggle</f>
        <v>True-up</v>
      </c>
      <c r="G132" s="1245">
        <f>SUM(G130,G114,G104,G88)</f>
        <v>8783488446.8103848</v>
      </c>
      <c r="H132" s="772" t="s">
        <v>1014</v>
      </c>
      <c r="I132" s="757"/>
      <c r="J132" s="2636"/>
      <c r="K132" s="391"/>
      <c r="L132" s="391"/>
      <c r="M132" s="2146"/>
      <c r="P132" s="2255"/>
    </row>
    <row r="133" spans="1:16" s="387" customFormat="1" ht="15.75">
      <c r="A133" s="2241"/>
      <c r="B133" s="758"/>
      <c r="C133" s="773"/>
      <c r="D133" s="757"/>
      <c r="E133" s="757"/>
      <c r="F133" s="774"/>
      <c r="G133" s="1151"/>
      <c r="H133" s="764"/>
      <c r="I133" s="757"/>
      <c r="J133" s="2636"/>
      <c r="K133" s="391"/>
      <c r="L133" s="391"/>
      <c r="M133" s="2146"/>
      <c r="P133" s="2255"/>
    </row>
    <row r="134" spans="1:16" s="387" customFormat="1" ht="15.75">
      <c r="A134" s="2241"/>
      <c r="B134" s="758">
        <f>+B132+1</f>
        <v>100</v>
      </c>
      <c r="C134" s="789" t="s">
        <v>249</v>
      </c>
      <c r="D134" s="392" t="str">
        <f>"(sum lines "&amp;B88&amp;", "&amp;B104&amp;", "&amp;B109&amp;", "&amp;B114&amp;", &amp; "&amp;B130&amp;")"</f>
        <v>(sum lines 64, 78, 81, 84, &amp; 98)</v>
      </c>
      <c r="E134" s="392"/>
      <c r="F134" s="999" t="str">
        <f>Toggle</f>
        <v>True-up</v>
      </c>
      <c r="G134" s="1155">
        <f>SUM(G130,G114,G104,G88,G109)</f>
        <v>9338665242.6303844</v>
      </c>
      <c r="H134" s="788"/>
      <c r="I134" s="757"/>
      <c r="J134" s="2636"/>
      <c r="K134" s="391"/>
      <c r="L134" s="391"/>
      <c r="M134" s="2146"/>
      <c r="P134" s="2255"/>
    </row>
    <row r="135" spans="1:16" s="387" customFormat="1" ht="15.75" thickBot="1">
      <c r="A135" s="790"/>
      <c r="B135" s="791"/>
      <c r="C135" s="792"/>
      <c r="D135" s="793"/>
      <c r="E135" s="866"/>
      <c r="F135" s="794"/>
      <c r="G135" s="795"/>
      <c r="H135" s="796"/>
      <c r="I135" s="797"/>
      <c r="J135" s="797"/>
      <c r="K135" s="798"/>
      <c r="L135" s="798"/>
      <c r="M135" s="799"/>
      <c r="P135" s="2255"/>
    </row>
    <row r="136" spans="1:16" s="880" customFormat="1">
      <c r="A136" s="871"/>
      <c r="B136" s="859"/>
      <c r="C136" s="874"/>
      <c r="D136" s="862"/>
      <c r="E136" s="862"/>
      <c r="F136" s="875"/>
      <c r="G136" s="874"/>
      <c r="H136" s="876"/>
      <c r="I136" s="863"/>
      <c r="J136" s="863"/>
      <c r="K136" s="864"/>
      <c r="L136" s="864"/>
      <c r="M136" s="864"/>
      <c r="P136" s="2255"/>
    </row>
    <row r="137" spans="1:16" s="880" customFormat="1">
      <c r="A137" s="778"/>
      <c r="B137" s="767"/>
      <c r="C137" s="768"/>
      <c r="D137" s="757"/>
      <c r="E137" s="757"/>
      <c r="F137" s="776"/>
      <c r="G137" s="768"/>
      <c r="H137" s="787"/>
      <c r="I137" s="758"/>
      <c r="J137" s="758"/>
      <c r="K137" s="761"/>
      <c r="L137" s="761"/>
      <c r="M137" s="761"/>
      <c r="P137" s="2255"/>
    </row>
    <row r="138" spans="1:16" s="880" customFormat="1" ht="16.5" thickBot="1">
      <c r="A138" s="878" t="s">
        <v>634</v>
      </c>
      <c r="B138" s="860"/>
      <c r="C138" s="865"/>
      <c r="D138" s="866"/>
      <c r="E138" s="866"/>
      <c r="F138" s="867"/>
      <c r="G138" s="865"/>
      <c r="H138" s="850"/>
      <c r="I138" s="870"/>
      <c r="J138" s="870"/>
      <c r="K138" s="851"/>
      <c r="L138" s="851"/>
      <c r="M138" s="851"/>
      <c r="P138" s="2255"/>
    </row>
    <row r="139" spans="1:16" s="880" customFormat="1" ht="30">
      <c r="A139" s="2688" t="s">
        <v>206</v>
      </c>
      <c r="B139" s="2689"/>
      <c r="C139" s="2689"/>
      <c r="D139" s="2689"/>
      <c r="E139" s="2689"/>
      <c r="F139" s="2689"/>
      <c r="G139" s="2690"/>
      <c r="H139" s="907" t="s">
        <v>207</v>
      </c>
      <c r="I139" s="908"/>
      <c r="J139" s="908"/>
      <c r="K139" s="908"/>
      <c r="L139" s="908"/>
      <c r="M139" s="909"/>
      <c r="P139" s="2255"/>
    </row>
    <row r="140" spans="1:16" s="387" customFormat="1">
      <c r="A140" s="801"/>
      <c r="B140" s="767"/>
      <c r="C140" s="768"/>
      <c r="D140" s="757"/>
      <c r="E140" s="757"/>
      <c r="F140" s="776"/>
      <c r="G140" s="777"/>
      <c r="H140" s="787"/>
      <c r="I140" s="758"/>
      <c r="J140" s="758"/>
      <c r="K140" s="761"/>
      <c r="L140" s="761"/>
      <c r="M140" s="762"/>
      <c r="P140" s="2255"/>
    </row>
    <row r="141" spans="1:16" s="387" customFormat="1">
      <c r="A141" s="2244"/>
      <c r="B141" s="767"/>
      <c r="C141" s="51" t="s">
        <v>321</v>
      </c>
      <c r="D141" s="37"/>
      <c r="E141" s="37"/>
      <c r="F141" s="37" t="s">
        <v>632</v>
      </c>
      <c r="G141" s="241" t="s">
        <v>329</v>
      </c>
      <c r="H141" s="1149">
        <f>INDEX(Inputs_EndYrBal_prior,MATCH(G141,Inputs_FF1_Map,0))</f>
        <v>0</v>
      </c>
      <c r="I141" s="758"/>
      <c r="J141" s="758"/>
      <c r="K141" s="761"/>
      <c r="L141" s="761"/>
      <c r="M141" s="762"/>
      <c r="P141" s="2255"/>
    </row>
    <row r="142" spans="1:16" s="387" customFormat="1">
      <c r="A142" s="801"/>
      <c r="B142" s="767"/>
      <c r="C142" s="332"/>
      <c r="D142" s="47"/>
      <c r="E142" s="47"/>
      <c r="F142" s="510" t="s">
        <v>633</v>
      </c>
      <c r="G142" s="966" t="s">
        <v>329</v>
      </c>
      <c r="H142" s="1149">
        <f>INDEX(Inputs_EndYrBal,MATCH(G142,Inputs_FF1_Map,0))</f>
        <v>0</v>
      </c>
      <c r="I142" s="758"/>
      <c r="J142" s="758"/>
      <c r="K142" s="761"/>
      <c r="L142" s="761"/>
      <c r="M142" s="762"/>
      <c r="P142" s="2255"/>
    </row>
    <row r="143" spans="1:16" s="387" customFormat="1" ht="15.75">
      <c r="A143" s="801">
        <f>+'Appendix A'!A87</f>
        <v>39</v>
      </c>
      <c r="B143" s="767"/>
      <c r="C143" s="332"/>
      <c r="D143" s="391"/>
      <c r="E143" s="996" t="str">
        <f>'Appendix A'!$E$87</f>
        <v>(Note N)</v>
      </c>
      <c r="F143" s="499" t="s">
        <v>1014</v>
      </c>
      <c r="G143" s="1002" t="str">
        <f>Toggle</f>
        <v>True-up</v>
      </c>
      <c r="H143" s="1135">
        <f>IF(Toggle=Projection,H142,IF(Toggle=True_up,AVERAGE(H141:H142),"Set Toggle!"))</f>
        <v>0</v>
      </c>
      <c r="I143" s="1001" t="str">
        <f>IF(Toggle=Projection,"current end-of-year balance",IF(Toggle=True_up,"beg-of-year and end-of-year average ","Set Toggle!"))</f>
        <v xml:space="preserve">beg-of-year and end-of-year average </v>
      </c>
      <c r="J143" s="1003"/>
      <c r="K143" s="761"/>
      <c r="L143" s="761"/>
      <c r="M143" s="762"/>
      <c r="P143" s="2255"/>
    </row>
    <row r="144" spans="1:16" s="880" customFormat="1">
      <c r="A144" s="801"/>
      <c r="B144" s="767"/>
      <c r="C144" s="332"/>
      <c r="D144" s="391"/>
      <c r="E144" s="758"/>
      <c r="F144" s="37"/>
      <c r="G144" s="869"/>
      <c r="H144" s="1150"/>
      <c r="I144" s="758"/>
      <c r="K144" s="761"/>
      <c r="L144" s="761"/>
      <c r="M144" s="762"/>
      <c r="P144" s="2255"/>
    </row>
    <row r="145" spans="1:252" s="387" customFormat="1">
      <c r="A145" s="2244"/>
      <c r="B145" s="767"/>
      <c r="C145" s="332" t="s">
        <v>363</v>
      </c>
      <c r="D145" s="391"/>
      <c r="E145" s="758"/>
      <c r="F145" s="37" t="s">
        <v>632</v>
      </c>
      <c r="G145" s="869" t="s">
        <v>408</v>
      </c>
      <c r="H145" s="1149">
        <f>INDEX(Inputs_EndYrBal_prior,MATCH(G145,Inputs_FF1_Map,0))</f>
        <v>134703542</v>
      </c>
      <c r="I145" s="758"/>
      <c r="K145" s="761"/>
      <c r="L145" s="761"/>
      <c r="M145" s="762"/>
      <c r="P145" s="2255"/>
    </row>
    <row r="146" spans="1:252" s="387" customFormat="1">
      <c r="A146" s="801"/>
      <c r="B146" s="767"/>
      <c r="C146" s="332"/>
      <c r="D146" s="391"/>
      <c r="E146" s="758"/>
      <c r="F146" s="510" t="s">
        <v>633</v>
      </c>
      <c r="G146" s="967" t="s">
        <v>408</v>
      </c>
      <c r="H146" s="1149">
        <f>INDEX(Inputs_EndYrBal,MATCH(G146,Inputs_FF1_Map,0))</f>
        <v>142252190</v>
      </c>
      <c r="I146" s="758"/>
      <c r="K146" s="761"/>
      <c r="L146" s="761"/>
      <c r="M146" s="762"/>
      <c r="P146" s="2255"/>
    </row>
    <row r="147" spans="1:252" s="387" customFormat="1" ht="15.75">
      <c r="A147" s="801">
        <f>+'Appendix A'!A90</f>
        <v>42</v>
      </c>
      <c r="B147" s="767"/>
      <c r="C147" s="332"/>
      <c r="D147" s="391"/>
      <c r="E147" s="996" t="str">
        <f>'Appendix A'!$E$90</f>
        <v>(Note N)</v>
      </c>
      <c r="F147" s="499" t="s">
        <v>1014</v>
      </c>
      <c r="G147" s="1002" t="str">
        <f>Toggle</f>
        <v>True-up</v>
      </c>
      <c r="H147" s="1135">
        <f>IF(Toggle=Projection,H146,IF(Toggle=True_up,AVERAGE(H145:H146),"Set Toggle!"))</f>
        <v>138477866</v>
      </c>
      <c r="I147" s="1001" t="str">
        <f>IF(Toggle=Projection,"current end-of-year balance",IF(Toggle=True_up,"beg-of-year and end-of-year average ","Set Toggle!"))</f>
        <v xml:space="preserve">beg-of-year and end-of-year average </v>
      </c>
      <c r="J147" s="1003"/>
      <c r="K147" s="761"/>
      <c r="L147" s="761"/>
      <c r="M147" s="762"/>
      <c r="P147" s="2255"/>
    </row>
    <row r="148" spans="1:252" s="880" customFormat="1">
      <c r="A148" s="801"/>
      <c r="B148" s="767"/>
      <c r="C148" s="332"/>
      <c r="D148" s="391"/>
      <c r="E148" s="758"/>
      <c r="F148" s="37"/>
      <c r="G148" s="869"/>
      <c r="H148" s="1150"/>
      <c r="I148" s="802"/>
      <c r="K148" s="761"/>
      <c r="L148" s="761"/>
      <c r="M148" s="762"/>
      <c r="P148" s="2255"/>
    </row>
    <row r="149" spans="1:252" s="387" customFormat="1">
      <c r="A149" s="2244"/>
      <c r="B149" s="767"/>
      <c r="C149" s="332" t="s">
        <v>234</v>
      </c>
      <c r="D149" s="391"/>
      <c r="E149" s="758"/>
      <c r="F149" s="37" t="s">
        <v>632</v>
      </c>
      <c r="G149" s="241" t="s">
        <v>330</v>
      </c>
      <c r="H149" s="1149">
        <f>INDEX(Inputs_EndYrBal_prior,MATCH(G149,Inputs_FF1_Map,0))</f>
        <v>653625</v>
      </c>
      <c r="I149" s="758"/>
      <c r="K149" s="761"/>
      <c r="L149" s="761"/>
      <c r="M149" s="762"/>
      <c r="P149" s="2255"/>
    </row>
    <row r="150" spans="1:252" s="387" customFormat="1">
      <c r="A150" s="801"/>
      <c r="B150" s="767"/>
      <c r="C150" s="768"/>
      <c r="D150" s="391"/>
      <c r="E150" s="758"/>
      <c r="F150" s="510" t="s">
        <v>633</v>
      </c>
      <c r="G150" s="966" t="s">
        <v>330</v>
      </c>
      <c r="H150" s="1149">
        <f>INDEX(Inputs_EndYrBal,MATCH(G150,Inputs_FF1_Map,0))</f>
        <v>715287</v>
      </c>
      <c r="I150" s="758"/>
      <c r="K150" s="761"/>
      <c r="L150" s="761"/>
      <c r="M150" s="762"/>
      <c r="P150" s="2255"/>
    </row>
    <row r="151" spans="1:252" s="880" customFormat="1" ht="15.75">
      <c r="A151" s="801">
        <f>+'Appendix A'!A93</f>
        <v>45</v>
      </c>
      <c r="B151" s="767"/>
      <c r="C151" s="768"/>
      <c r="D151" s="391"/>
      <c r="E151" s="996" t="str">
        <f>'Appendix A'!$E$93</f>
        <v>(Note N)</v>
      </c>
      <c r="F151" s="499" t="s">
        <v>1014</v>
      </c>
      <c r="G151" s="1002" t="str">
        <f>Toggle</f>
        <v>True-up</v>
      </c>
      <c r="H151" s="1135">
        <f>IF(Toggle=Projection,H150,IF(Toggle=True_up,AVERAGE(H149:H150),"Set Toggle!"))</f>
        <v>684456</v>
      </c>
      <c r="I151" s="1001" t="str">
        <f>IF(Toggle=Projection,"current end-of-year balance",IF(Toggle=True_up,"beg-of-year and end-of-year average ","Set Toggle!"))</f>
        <v xml:space="preserve">beg-of-year and end-of-year average </v>
      </c>
      <c r="J151" s="1003"/>
      <c r="K151" s="761"/>
      <c r="L151" s="761"/>
      <c r="M151" s="762"/>
      <c r="P151" s="2255"/>
    </row>
    <row r="152" spans="1:252" s="387" customFormat="1" ht="15.75" thickBot="1">
      <c r="A152" s="790"/>
      <c r="B152" s="860"/>
      <c r="C152" s="865"/>
      <c r="D152" s="866"/>
      <c r="E152" s="866"/>
      <c r="F152" s="868"/>
      <c r="G152" s="795"/>
      <c r="H152" s="803"/>
      <c r="I152" s="797"/>
      <c r="J152" s="797"/>
      <c r="K152" s="798"/>
      <c r="L152" s="798"/>
      <c r="M152" s="799"/>
      <c r="P152" s="2255"/>
    </row>
    <row r="153" spans="1:252" s="387" customFormat="1" ht="15.75" customHeight="1">
      <c r="A153" s="961"/>
      <c r="B153" s="393"/>
      <c r="C153" s="394"/>
      <c r="D153" s="388"/>
      <c r="E153" s="955"/>
      <c r="F153" s="396"/>
      <c r="G153" s="394"/>
      <c r="H153" s="397"/>
      <c r="I153" s="389"/>
      <c r="J153" s="389"/>
      <c r="K153" s="390"/>
      <c r="L153" s="390"/>
      <c r="P153" s="2255"/>
    </row>
    <row r="154" spans="1:252" s="954" customFormat="1" ht="15.75" customHeight="1">
      <c r="A154" s="961"/>
      <c r="B154" s="958"/>
      <c r="C154" s="959"/>
      <c r="D154" s="955"/>
      <c r="E154" s="955"/>
      <c r="F154" s="960"/>
      <c r="G154" s="959"/>
      <c r="H154" s="397"/>
      <c r="I154" s="956"/>
      <c r="J154" s="956"/>
      <c r="K154" s="957"/>
      <c r="L154" s="957"/>
      <c r="P154" s="2255"/>
    </row>
    <row r="155" spans="1:252" s="349" customFormat="1" ht="16.5" thickBot="1">
      <c r="A155" s="878" t="s">
        <v>253</v>
      </c>
      <c r="P155" s="2254"/>
      <c r="T155" s="18"/>
      <c r="U155" s="18"/>
      <c r="V155" s="18"/>
      <c r="W155" s="18"/>
      <c r="X155" s="18"/>
      <c r="Y155" s="18"/>
      <c r="Z155" s="18"/>
      <c r="AA155" s="18"/>
      <c r="AB155" s="18"/>
      <c r="AC155" s="18"/>
      <c r="AD155" s="18"/>
      <c r="AE155" s="18"/>
      <c r="AF155" s="18"/>
      <c r="AG155" s="18"/>
      <c r="AH155" s="18"/>
      <c r="AI155" s="18"/>
      <c r="AJ155" s="18"/>
      <c r="AK155" s="18"/>
      <c r="AL155" s="18"/>
      <c r="AM155" s="18"/>
      <c r="AN155" s="18"/>
      <c r="AO155" s="18"/>
      <c r="AP155" s="18"/>
      <c r="AQ155" s="18"/>
      <c r="AR155" s="18"/>
      <c r="AS155" s="18"/>
      <c r="AT155" s="18"/>
      <c r="AU155" s="18"/>
      <c r="AV155" s="18"/>
      <c r="AW155" s="18"/>
      <c r="AX155" s="18"/>
      <c r="AY155" s="18"/>
      <c r="AZ155" s="18"/>
      <c r="BA155" s="18"/>
      <c r="BB155" s="18"/>
      <c r="BC155" s="18"/>
      <c r="BD155" s="18"/>
      <c r="BE155" s="18"/>
      <c r="BF155" s="18"/>
      <c r="BG155" s="18"/>
      <c r="BH155" s="18"/>
      <c r="BI155" s="18"/>
      <c r="BJ155" s="18"/>
      <c r="BK155" s="18"/>
      <c r="BL155" s="18"/>
      <c r="BM155" s="18"/>
      <c r="BN155" s="18"/>
      <c r="BO155" s="18"/>
      <c r="BP155" s="18"/>
      <c r="BQ155" s="18"/>
      <c r="BR155" s="18"/>
      <c r="BS155" s="18"/>
      <c r="BT155" s="18"/>
      <c r="BU155" s="18"/>
      <c r="BV155" s="18"/>
      <c r="BW155" s="18"/>
      <c r="BX155" s="18"/>
      <c r="BY155" s="18"/>
      <c r="BZ155" s="18"/>
      <c r="CA155" s="18"/>
      <c r="CB155" s="18"/>
      <c r="CC155" s="18"/>
      <c r="CD155" s="18"/>
      <c r="CE155" s="18"/>
      <c r="CF155" s="18"/>
      <c r="CG155" s="18"/>
      <c r="CH155" s="18"/>
      <c r="CI155" s="18"/>
      <c r="CJ155" s="18"/>
      <c r="CK155" s="18"/>
      <c r="CL155" s="18"/>
      <c r="CM155" s="18"/>
      <c r="CN155" s="18"/>
      <c r="CO155" s="18"/>
      <c r="CP155" s="18"/>
      <c r="CQ155" s="18"/>
      <c r="CR155" s="18"/>
      <c r="CS155" s="18"/>
      <c r="CT155" s="18"/>
      <c r="CU155" s="18"/>
      <c r="CV155" s="18"/>
      <c r="CW155" s="18"/>
      <c r="CX155" s="18"/>
      <c r="CY155" s="18"/>
      <c r="CZ155" s="18"/>
      <c r="DA155" s="18"/>
      <c r="DB155" s="18"/>
      <c r="DC155" s="18"/>
      <c r="DD155" s="18"/>
      <c r="DE155" s="18"/>
      <c r="DF155" s="18"/>
      <c r="DG155" s="18"/>
      <c r="DH155" s="18"/>
      <c r="DI155" s="18"/>
      <c r="DJ155" s="18"/>
      <c r="DK155" s="18"/>
      <c r="DL155" s="18"/>
      <c r="DM155" s="18"/>
      <c r="DN155" s="18"/>
      <c r="DO155" s="18"/>
      <c r="DP155" s="18"/>
      <c r="DQ155" s="18"/>
      <c r="DR155" s="18"/>
      <c r="DS155" s="18"/>
      <c r="DT155" s="18"/>
      <c r="DU155" s="18"/>
      <c r="DV155" s="18"/>
      <c r="DW155" s="18"/>
      <c r="DX155" s="18"/>
      <c r="DY155" s="18"/>
      <c r="DZ155" s="18"/>
      <c r="EA155" s="18"/>
      <c r="EB155" s="18"/>
      <c r="EC155" s="18"/>
      <c r="ED155" s="18"/>
      <c r="EE155" s="18"/>
      <c r="EF155" s="18"/>
      <c r="EG155" s="18"/>
      <c r="EH155" s="18"/>
      <c r="EI155" s="18"/>
      <c r="EJ155" s="18"/>
      <c r="EK155" s="18"/>
      <c r="EL155" s="18"/>
      <c r="EM155" s="18"/>
      <c r="EN155" s="18"/>
      <c r="EO155" s="18"/>
      <c r="EP155" s="18"/>
      <c r="EQ155" s="18"/>
      <c r="ER155" s="18"/>
      <c r="ES155" s="18"/>
      <c r="ET155" s="18"/>
      <c r="EU155" s="18"/>
      <c r="EV155" s="18"/>
      <c r="EW155" s="18"/>
      <c r="EX155" s="18"/>
      <c r="EY155" s="18"/>
      <c r="EZ155" s="18"/>
      <c r="FA155" s="18"/>
      <c r="FB155" s="18"/>
      <c r="FC155" s="18"/>
      <c r="FD155" s="18"/>
      <c r="FE155" s="18"/>
      <c r="FF155" s="18"/>
      <c r="FG155" s="18"/>
      <c r="FH155" s="18"/>
      <c r="FI155" s="18"/>
      <c r="FJ155" s="18"/>
      <c r="FK155" s="18"/>
      <c r="FL155" s="18"/>
      <c r="FM155" s="18"/>
      <c r="FN155" s="18"/>
      <c r="FO155" s="18"/>
      <c r="FP155" s="18"/>
      <c r="FQ155" s="18"/>
      <c r="FR155" s="18"/>
      <c r="FS155" s="18"/>
      <c r="FT155" s="18"/>
      <c r="FU155" s="18"/>
      <c r="FV155" s="18"/>
      <c r="FW155" s="18"/>
      <c r="FX155" s="18"/>
      <c r="FY155" s="18"/>
      <c r="FZ155" s="18"/>
      <c r="GA155" s="18"/>
      <c r="GB155" s="18"/>
      <c r="GC155" s="18"/>
      <c r="GD155" s="18"/>
      <c r="GE155" s="18"/>
      <c r="GF155" s="18"/>
      <c r="GG155" s="18"/>
      <c r="GH155" s="18"/>
      <c r="GI155" s="18"/>
      <c r="GJ155" s="18"/>
      <c r="GK155" s="18"/>
      <c r="GL155" s="18"/>
      <c r="GM155" s="18"/>
      <c r="GN155" s="18"/>
      <c r="GO155" s="18"/>
      <c r="GP155" s="18"/>
      <c r="GQ155" s="18"/>
      <c r="GR155" s="18"/>
      <c r="GS155" s="18"/>
      <c r="GT155" s="18"/>
      <c r="GU155" s="18"/>
      <c r="GV155" s="18"/>
      <c r="GW155" s="18"/>
      <c r="GX155" s="18"/>
      <c r="GY155" s="18"/>
      <c r="GZ155" s="18"/>
      <c r="HA155" s="18"/>
      <c r="HB155" s="18"/>
      <c r="HC155" s="18"/>
      <c r="HD155" s="18"/>
      <c r="HE155" s="18"/>
      <c r="HF155" s="18"/>
      <c r="HG155" s="18"/>
      <c r="HH155" s="18"/>
      <c r="HI155" s="18"/>
      <c r="HJ155" s="18"/>
      <c r="HK155" s="18"/>
      <c r="HL155" s="18"/>
      <c r="HM155" s="18"/>
      <c r="HN155" s="18"/>
      <c r="HO155" s="18"/>
      <c r="HP155" s="18"/>
      <c r="HQ155" s="18"/>
      <c r="HR155" s="18"/>
      <c r="HS155" s="18"/>
      <c r="HT155" s="18"/>
      <c r="HU155" s="18"/>
      <c r="HV155" s="18"/>
      <c r="HW155" s="18"/>
      <c r="HX155" s="18"/>
      <c r="HY155" s="18"/>
      <c r="HZ155" s="18"/>
      <c r="IA155" s="18"/>
      <c r="IB155" s="18"/>
      <c r="IC155" s="18"/>
      <c r="ID155" s="18"/>
      <c r="IE155" s="18"/>
      <c r="IF155" s="18"/>
      <c r="IG155" s="18"/>
      <c r="IH155" s="18"/>
      <c r="II155" s="18"/>
      <c r="IJ155" s="18"/>
      <c r="IK155" s="18"/>
      <c r="IL155" s="18"/>
      <c r="IM155" s="18"/>
      <c r="IN155" s="18"/>
      <c r="IO155" s="18"/>
      <c r="IP155" s="18"/>
      <c r="IQ155" s="18"/>
      <c r="IR155" s="18"/>
    </row>
    <row r="156" spans="1:252" s="349" customFormat="1" ht="31.5">
      <c r="A156" s="2696" t="s">
        <v>206</v>
      </c>
      <c r="B156" s="2697"/>
      <c r="C156" s="2697"/>
      <c r="D156" s="2697"/>
      <c r="E156" s="2697"/>
      <c r="F156" s="2697"/>
      <c r="G156" s="2698"/>
      <c r="H156" s="907" t="s">
        <v>207</v>
      </c>
      <c r="I156" s="907" t="s">
        <v>1126</v>
      </c>
      <c r="J156" s="1165" t="s">
        <v>1127</v>
      </c>
      <c r="K156" s="2693" t="s">
        <v>83</v>
      </c>
      <c r="L156" s="2693"/>
      <c r="M156" s="2694"/>
      <c r="P156" s="2254"/>
      <c r="T156" s="18"/>
      <c r="U156" s="18"/>
      <c r="V156" s="18"/>
      <c r="W156" s="18"/>
      <c r="X156" s="18"/>
      <c r="Y156" s="18"/>
      <c r="Z156" s="18"/>
      <c r="AA156" s="18"/>
      <c r="AB156" s="18"/>
      <c r="AC156" s="18"/>
      <c r="AD156" s="18"/>
      <c r="AE156" s="18"/>
      <c r="AF156" s="18"/>
      <c r="AG156" s="18"/>
      <c r="AH156" s="18"/>
      <c r="AI156" s="18"/>
      <c r="AJ156" s="18"/>
      <c r="AK156" s="18"/>
      <c r="AL156" s="18"/>
      <c r="AM156" s="18"/>
      <c r="AN156" s="18"/>
      <c r="AO156" s="18"/>
      <c r="AP156" s="18"/>
      <c r="AQ156" s="18"/>
      <c r="AR156" s="18"/>
      <c r="AS156" s="18"/>
      <c r="AT156" s="18"/>
      <c r="AU156" s="18"/>
      <c r="AV156" s="18"/>
      <c r="AW156" s="18"/>
      <c r="AX156" s="18"/>
      <c r="AY156" s="18"/>
      <c r="AZ156" s="18"/>
      <c r="BA156" s="18"/>
      <c r="BB156" s="18"/>
      <c r="BC156" s="18"/>
      <c r="BD156" s="18"/>
      <c r="BE156" s="18"/>
      <c r="BF156" s="18"/>
      <c r="BG156" s="18"/>
      <c r="BH156" s="18"/>
      <c r="BI156" s="18"/>
      <c r="BJ156" s="18"/>
      <c r="BK156" s="18"/>
      <c r="BL156" s="18"/>
      <c r="BM156" s="18"/>
      <c r="BN156" s="18"/>
      <c r="BO156" s="18"/>
      <c r="BP156" s="18"/>
      <c r="BQ156" s="18"/>
      <c r="BR156" s="18"/>
      <c r="BS156" s="18"/>
      <c r="BT156" s="18"/>
      <c r="BU156" s="18"/>
      <c r="BV156" s="18"/>
      <c r="BW156" s="18"/>
      <c r="BX156" s="18"/>
      <c r="BY156" s="18"/>
      <c r="BZ156" s="18"/>
      <c r="CA156" s="18"/>
      <c r="CB156" s="18"/>
      <c r="CC156" s="18"/>
      <c r="CD156" s="18"/>
      <c r="CE156" s="18"/>
      <c r="CF156" s="18"/>
      <c r="CG156" s="18"/>
      <c r="CH156" s="18"/>
      <c r="CI156" s="18"/>
      <c r="CJ156" s="18"/>
      <c r="CK156" s="18"/>
      <c r="CL156" s="18"/>
      <c r="CM156" s="18"/>
      <c r="CN156" s="18"/>
      <c r="CO156" s="18"/>
      <c r="CP156" s="18"/>
      <c r="CQ156" s="18"/>
      <c r="CR156" s="18"/>
      <c r="CS156" s="18"/>
      <c r="CT156" s="18"/>
      <c r="CU156" s="18"/>
      <c r="CV156" s="18"/>
      <c r="CW156" s="18"/>
      <c r="CX156" s="18"/>
      <c r="CY156" s="18"/>
      <c r="CZ156" s="18"/>
      <c r="DA156" s="18"/>
      <c r="DB156" s="18"/>
      <c r="DC156" s="18"/>
      <c r="DD156" s="18"/>
      <c r="DE156" s="18"/>
      <c r="DF156" s="18"/>
      <c r="DG156" s="18"/>
      <c r="DH156" s="18"/>
      <c r="DI156" s="18"/>
      <c r="DJ156" s="18"/>
      <c r="DK156" s="18"/>
      <c r="DL156" s="18"/>
      <c r="DM156" s="18"/>
      <c r="DN156" s="18"/>
      <c r="DO156" s="18"/>
      <c r="DP156" s="18"/>
      <c r="DQ156" s="18"/>
      <c r="DR156" s="18"/>
      <c r="DS156" s="18"/>
      <c r="DT156" s="18"/>
      <c r="DU156" s="18"/>
      <c r="DV156" s="18"/>
      <c r="DW156" s="18"/>
      <c r="DX156" s="18"/>
      <c r="DY156" s="18"/>
      <c r="DZ156" s="18"/>
      <c r="EA156" s="18"/>
      <c r="EB156" s="18"/>
      <c r="EC156" s="18"/>
      <c r="ED156" s="18"/>
      <c r="EE156" s="18"/>
      <c r="EF156" s="18"/>
      <c r="EG156" s="18"/>
      <c r="EH156" s="18"/>
      <c r="EI156" s="18"/>
      <c r="EJ156" s="18"/>
      <c r="EK156" s="18"/>
      <c r="EL156" s="18"/>
      <c r="EM156" s="18"/>
      <c r="EN156" s="18"/>
      <c r="EO156" s="18"/>
      <c r="EP156" s="18"/>
      <c r="EQ156" s="18"/>
      <c r="ER156" s="18"/>
      <c r="ES156" s="18"/>
      <c r="ET156" s="18"/>
      <c r="EU156" s="18"/>
      <c r="EV156" s="18"/>
      <c r="EW156" s="18"/>
      <c r="EX156" s="18"/>
      <c r="EY156" s="18"/>
      <c r="EZ156" s="18"/>
      <c r="FA156" s="18"/>
      <c r="FB156" s="18"/>
      <c r="FC156" s="18"/>
      <c r="FD156" s="18"/>
      <c r="FE156" s="18"/>
      <c r="FF156" s="18"/>
      <c r="FG156" s="18"/>
      <c r="FH156" s="18"/>
      <c r="FI156" s="18"/>
      <c r="FJ156" s="18"/>
      <c r="FK156" s="18"/>
      <c r="FL156" s="18"/>
      <c r="FM156" s="18"/>
      <c r="FN156" s="18"/>
      <c r="FO156" s="18"/>
      <c r="FP156" s="18"/>
      <c r="FQ156" s="18"/>
      <c r="FR156" s="18"/>
      <c r="FS156" s="18"/>
      <c r="FT156" s="18"/>
      <c r="FU156" s="18"/>
      <c r="FV156" s="18"/>
      <c r="FW156" s="18"/>
      <c r="FX156" s="18"/>
      <c r="FY156" s="18"/>
      <c r="FZ156" s="18"/>
      <c r="GA156" s="18"/>
      <c r="GB156" s="18"/>
      <c r="GC156" s="18"/>
      <c r="GD156" s="18"/>
      <c r="GE156" s="18"/>
      <c r="GF156" s="18"/>
      <c r="GG156" s="18"/>
      <c r="GH156" s="18"/>
      <c r="GI156" s="18"/>
      <c r="GJ156" s="18"/>
      <c r="GK156" s="18"/>
      <c r="GL156" s="18"/>
      <c r="GM156" s="18"/>
      <c r="GN156" s="18"/>
      <c r="GO156" s="18"/>
      <c r="GP156" s="18"/>
      <c r="GQ156" s="18"/>
      <c r="GR156" s="18"/>
      <c r="GS156" s="18"/>
      <c r="GT156" s="18"/>
      <c r="GU156" s="18"/>
      <c r="GV156" s="18"/>
      <c r="GW156" s="18"/>
      <c r="GX156" s="18"/>
      <c r="GY156" s="18"/>
      <c r="GZ156" s="18"/>
      <c r="HA156" s="18"/>
      <c r="HB156" s="18"/>
      <c r="HC156" s="18"/>
      <c r="HD156" s="18"/>
      <c r="HE156" s="18"/>
      <c r="HF156" s="18"/>
      <c r="HG156" s="18"/>
      <c r="HH156" s="18"/>
      <c r="HI156" s="18"/>
      <c r="HJ156" s="18"/>
      <c r="HK156" s="18"/>
      <c r="HL156" s="18"/>
      <c r="HM156" s="18"/>
      <c r="HN156" s="18"/>
      <c r="HO156" s="18"/>
      <c r="HP156" s="18"/>
      <c r="HQ156" s="18"/>
      <c r="HR156" s="18"/>
      <c r="HS156" s="18"/>
      <c r="HT156" s="18"/>
      <c r="HU156" s="18"/>
      <c r="HV156" s="18"/>
      <c r="HW156" s="18"/>
      <c r="HX156" s="18"/>
      <c r="HY156" s="18"/>
      <c r="HZ156" s="18"/>
      <c r="IA156" s="18"/>
      <c r="IB156" s="18"/>
      <c r="IC156" s="18"/>
      <c r="ID156" s="18"/>
      <c r="IE156" s="18"/>
      <c r="IF156" s="18"/>
      <c r="IG156" s="18"/>
      <c r="IH156" s="18"/>
      <c r="II156" s="18"/>
      <c r="IJ156" s="18"/>
      <c r="IK156" s="18"/>
      <c r="IL156" s="18"/>
      <c r="IM156" s="18"/>
      <c r="IN156" s="18"/>
      <c r="IO156" s="18"/>
      <c r="IP156" s="18"/>
      <c r="IQ156" s="18"/>
      <c r="IR156" s="18"/>
    </row>
    <row r="157" spans="1:252" s="349" customFormat="1">
      <c r="A157" s="230"/>
      <c r="B157" s="235"/>
      <c r="C157" s="36"/>
      <c r="D157" s="37"/>
      <c r="E157" s="37"/>
      <c r="F157" s="236"/>
      <c r="G157" s="237"/>
      <c r="H157" s="256"/>
      <c r="J157" s="252"/>
      <c r="K157" s="382"/>
      <c r="L157" s="382"/>
      <c r="M157" s="383"/>
      <c r="P157" s="2254"/>
      <c r="T157" s="18"/>
      <c r="U157" s="18"/>
      <c r="V157" s="18"/>
      <c r="W157" s="18"/>
      <c r="X157" s="18"/>
      <c r="Y157" s="18"/>
      <c r="Z157" s="18"/>
      <c r="AA157" s="18"/>
      <c r="AB157" s="18"/>
      <c r="AC157" s="18"/>
      <c r="AD157" s="18"/>
      <c r="AE157" s="18"/>
      <c r="AF157" s="18"/>
      <c r="AG157" s="18"/>
      <c r="AH157" s="18"/>
      <c r="AI157" s="18"/>
      <c r="AJ157" s="18"/>
      <c r="AK157" s="18"/>
      <c r="AL157" s="18"/>
      <c r="AM157" s="18"/>
      <c r="AN157" s="18"/>
      <c r="AO157" s="18"/>
      <c r="AP157" s="18"/>
      <c r="AQ157" s="18"/>
      <c r="AR157" s="18"/>
      <c r="AS157" s="18"/>
      <c r="AT157" s="18"/>
      <c r="AU157" s="18"/>
      <c r="AV157" s="18"/>
      <c r="AW157" s="18"/>
      <c r="AX157" s="18"/>
      <c r="AY157" s="18"/>
      <c r="AZ157" s="18"/>
      <c r="BA157" s="18"/>
      <c r="BB157" s="18"/>
      <c r="BC157" s="18"/>
      <c r="BD157" s="18"/>
      <c r="BE157" s="18"/>
      <c r="BF157" s="18"/>
      <c r="BG157" s="18"/>
      <c r="BH157" s="18"/>
      <c r="BI157" s="18"/>
      <c r="BJ157" s="18"/>
      <c r="BK157" s="18"/>
      <c r="BL157" s="18"/>
      <c r="BM157" s="18"/>
      <c r="BN157" s="18"/>
      <c r="BO157" s="18"/>
      <c r="BP157" s="18"/>
      <c r="BQ157" s="18"/>
      <c r="BR157" s="18"/>
      <c r="BS157" s="18"/>
      <c r="BT157" s="18"/>
      <c r="BU157" s="18"/>
      <c r="BV157" s="18"/>
      <c r="BW157" s="18"/>
      <c r="BX157" s="18"/>
      <c r="BY157" s="18"/>
      <c r="BZ157" s="18"/>
      <c r="CA157" s="18"/>
      <c r="CB157" s="18"/>
      <c r="CC157" s="18"/>
      <c r="CD157" s="18"/>
      <c r="CE157" s="18"/>
      <c r="CF157" s="18"/>
      <c r="CG157" s="18"/>
      <c r="CH157" s="18"/>
      <c r="CI157" s="18"/>
      <c r="CJ157" s="18"/>
      <c r="CK157" s="18"/>
      <c r="CL157" s="18"/>
      <c r="CM157" s="18"/>
      <c r="CN157" s="18"/>
      <c r="CO157" s="18"/>
      <c r="CP157" s="18"/>
      <c r="CQ157" s="18"/>
      <c r="CR157" s="18"/>
      <c r="CS157" s="18"/>
      <c r="CT157" s="18"/>
      <c r="CU157" s="18"/>
      <c r="CV157" s="18"/>
      <c r="CW157" s="18"/>
      <c r="CX157" s="18"/>
      <c r="CY157" s="18"/>
      <c r="CZ157" s="18"/>
      <c r="DA157" s="18"/>
      <c r="DB157" s="18"/>
      <c r="DC157" s="18"/>
      <c r="DD157" s="18"/>
      <c r="DE157" s="18"/>
      <c r="DF157" s="18"/>
      <c r="DG157" s="18"/>
      <c r="DH157" s="18"/>
      <c r="DI157" s="18"/>
      <c r="DJ157" s="18"/>
      <c r="DK157" s="18"/>
      <c r="DL157" s="18"/>
      <c r="DM157" s="18"/>
      <c r="DN157" s="18"/>
      <c r="DO157" s="18"/>
      <c r="DP157" s="18"/>
      <c r="DQ157" s="18"/>
      <c r="DR157" s="18"/>
      <c r="DS157" s="18"/>
      <c r="DT157" s="18"/>
      <c r="DU157" s="18"/>
      <c r="DV157" s="18"/>
      <c r="DW157" s="18"/>
      <c r="DX157" s="18"/>
      <c r="DY157" s="18"/>
      <c r="DZ157" s="18"/>
      <c r="EA157" s="18"/>
      <c r="EB157" s="18"/>
      <c r="EC157" s="18"/>
      <c r="ED157" s="18"/>
      <c r="EE157" s="18"/>
      <c r="EF157" s="18"/>
      <c r="EG157" s="18"/>
      <c r="EH157" s="18"/>
      <c r="EI157" s="18"/>
      <c r="EJ157" s="18"/>
      <c r="EK157" s="18"/>
      <c r="EL157" s="18"/>
      <c r="EM157" s="18"/>
      <c r="EN157" s="18"/>
      <c r="EO157" s="18"/>
      <c r="EP157" s="18"/>
      <c r="EQ157" s="18"/>
      <c r="ER157" s="18"/>
      <c r="ES157" s="18"/>
      <c r="ET157" s="18"/>
      <c r="EU157" s="18"/>
      <c r="EV157" s="18"/>
      <c r="EW157" s="18"/>
      <c r="EX157" s="18"/>
      <c r="EY157" s="18"/>
      <c r="EZ157" s="18"/>
      <c r="FA157" s="18"/>
      <c r="FB157" s="18"/>
      <c r="FC157" s="18"/>
      <c r="FD157" s="18"/>
      <c r="FE157" s="18"/>
      <c r="FF157" s="18"/>
      <c r="FG157" s="18"/>
      <c r="FH157" s="18"/>
      <c r="FI157" s="18"/>
      <c r="FJ157" s="18"/>
      <c r="FK157" s="18"/>
      <c r="FL157" s="18"/>
      <c r="FM157" s="18"/>
      <c r="FN157" s="18"/>
      <c r="FO157" s="18"/>
      <c r="FP157" s="18"/>
      <c r="FQ157" s="18"/>
      <c r="FR157" s="18"/>
      <c r="FS157" s="18"/>
      <c r="FT157" s="18"/>
      <c r="FU157" s="18"/>
      <c r="FV157" s="18"/>
      <c r="FW157" s="18"/>
      <c r="FX157" s="18"/>
      <c r="FY157" s="18"/>
      <c r="FZ157" s="18"/>
      <c r="GA157" s="18"/>
      <c r="GB157" s="18"/>
      <c r="GC157" s="18"/>
      <c r="GD157" s="18"/>
      <c r="GE157" s="18"/>
      <c r="GF157" s="18"/>
      <c r="GG157" s="18"/>
      <c r="GH157" s="18"/>
      <c r="GI157" s="18"/>
      <c r="GJ157" s="18"/>
      <c r="GK157" s="18"/>
      <c r="GL157" s="18"/>
      <c r="GM157" s="18"/>
      <c r="GN157" s="18"/>
      <c r="GO157" s="18"/>
      <c r="GP157" s="18"/>
      <c r="GQ157" s="18"/>
      <c r="GR157" s="18"/>
      <c r="GS157" s="18"/>
      <c r="GT157" s="18"/>
      <c r="GU157" s="18"/>
      <c r="GV157" s="18"/>
      <c r="GW157" s="18"/>
      <c r="GX157" s="18"/>
      <c r="GY157" s="18"/>
      <c r="GZ157" s="18"/>
      <c r="HA157" s="18"/>
      <c r="HB157" s="18"/>
      <c r="HC157" s="18"/>
      <c r="HD157" s="18"/>
      <c r="HE157" s="18"/>
      <c r="HF157" s="18"/>
      <c r="HG157" s="18"/>
      <c r="HH157" s="18"/>
      <c r="HI157" s="18"/>
      <c r="HJ157" s="18"/>
      <c r="HK157" s="18"/>
      <c r="HL157" s="18"/>
      <c r="HM157" s="18"/>
      <c r="HN157" s="18"/>
      <c r="HO157" s="18"/>
      <c r="HP157" s="18"/>
      <c r="HQ157" s="18"/>
      <c r="HR157" s="18"/>
      <c r="HS157" s="18"/>
      <c r="HT157" s="18"/>
      <c r="HU157" s="18"/>
      <c r="HV157" s="18"/>
      <c r="HW157" s="18"/>
      <c r="HX157" s="18"/>
      <c r="HY157" s="18"/>
      <c r="HZ157" s="18"/>
      <c r="IA157" s="18"/>
      <c r="IB157" s="18"/>
      <c r="IC157" s="18"/>
      <c r="ID157" s="18"/>
      <c r="IE157" s="18"/>
      <c r="IF157" s="18"/>
      <c r="IG157" s="18"/>
      <c r="IH157" s="18"/>
      <c r="II157" s="18"/>
      <c r="IJ157" s="18"/>
      <c r="IK157" s="18"/>
      <c r="IL157" s="18"/>
      <c r="IM157" s="18"/>
      <c r="IN157" s="18"/>
      <c r="IO157" s="18"/>
      <c r="IP157" s="18"/>
      <c r="IQ157" s="18"/>
      <c r="IR157" s="18"/>
    </row>
    <row r="158" spans="1:252" s="349" customFormat="1" ht="30.75">
      <c r="A158" s="2245"/>
      <c r="B158" s="154" t="s">
        <v>286</v>
      </c>
      <c r="C158" s="36"/>
      <c r="D158" s="37"/>
      <c r="E158" s="37"/>
      <c r="F158" s="236"/>
      <c r="G158" s="810"/>
      <c r="H158" s="936"/>
      <c r="I158" s="940" t="str">
        <f>'Appendix A'!B33</f>
        <v>Net Plant Allocator</v>
      </c>
      <c r="J158" s="252"/>
      <c r="L158" s="37"/>
      <c r="M158" s="853"/>
      <c r="P158" s="2254"/>
      <c r="T158" s="18"/>
      <c r="U158" s="18"/>
      <c r="V158" s="18"/>
      <c r="W158" s="18"/>
      <c r="X158" s="18"/>
      <c r="Y158" s="18"/>
      <c r="Z158" s="18"/>
      <c r="AA158" s="18"/>
      <c r="AB158" s="18"/>
      <c r="AC158" s="18"/>
      <c r="AD158" s="18"/>
      <c r="AE158" s="18"/>
      <c r="AF158" s="18"/>
      <c r="AG158" s="18"/>
      <c r="AH158" s="18"/>
      <c r="AI158" s="18"/>
      <c r="AJ158" s="18"/>
      <c r="AK158" s="18"/>
      <c r="AL158" s="18"/>
      <c r="AM158" s="18"/>
      <c r="AN158" s="18"/>
      <c r="AO158" s="18"/>
      <c r="AP158" s="18"/>
      <c r="AQ158" s="18"/>
      <c r="AR158" s="18"/>
      <c r="AS158" s="18"/>
      <c r="AT158" s="18"/>
      <c r="AU158" s="18"/>
      <c r="AV158" s="18"/>
      <c r="AW158" s="18"/>
      <c r="AX158" s="18"/>
      <c r="AY158" s="18"/>
      <c r="AZ158" s="18"/>
      <c r="BA158" s="18"/>
      <c r="BB158" s="18"/>
      <c r="BC158" s="18"/>
      <c r="BD158" s="18"/>
      <c r="BE158" s="18"/>
      <c r="BF158" s="18"/>
      <c r="BG158" s="18"/>
      <c r="BH158" s="18"/>
      <c r="BI158" s="18"/>
      <c r="BJ158" s="18"/>
      <c r="BK158" s="18"/>
      <c r="BL158" s="18"/>
      <c r="BM158" s="18"/>
      <c r="BN158" s="18"/>
      <c r="BO158" s="18"/>
      <c r="BP158" s="18"/>
      <c r="BQ158" s="18"/>
      <c r="BR158" s="18"/>
      <c r="BS158" s="18"/>
      <c r="BT158" s="18"/>
      <c r="BU158" s="18"/>
      <c r="BV158" s="18"/>
      <c r="BW158" s="18"/>
      <c r="BX158" s="18"/>
      <c r="BY158" s="18"/>
      <c r="BZ158" s="18"/>
      <c r="CA158" s="18"/>
      <c r="CB158" s="18"/>
      <c r="CC158" s="18"/>
      <c r="CD158" s="18"/>
      <c r="CE158" s="18"/>
      <c r="CF158" s="18"/>
      <c r="CG158" s="18"/>
      <c r="CH158" s="18"/>
      <c r="CI158" s="18"/>
      <c r="CJ158" s="18"/>
      <c r="CK158" s="18"/>
      <c r="CL158" s="18"/>
      <c r="CM158" s="18"/>
      <c r="CN158" s="18"/>
      <c r="CO158" s="18"/>
      <c r="CP158" s="18"/>
      <c r="CQ158" s="18"/>
      <c r="CR158" s="18"/>
      <c r="CS158" s="18"/>
      <c r="CT158" s="18"/>
      <c r="CU158" s="18"/>
      <c r="CV158" s="18"/>
      <c r="CW158" s="18"/>
      <c r="CX158" s="18"/>
      <c r="CY158" s="18"/>
      <c r="CZ158" s="18"/>
      <c r="DA158" s="18"/>
      <c r="DB158" s="18"/>
      <c r="DC158" s="18"/>
      <c r="DD158" s="18"/>
      <c r="DE158" s="18"/>
      <c r="DF158" s="18"/>
      <c r="DG158" s="18"/>
      <c r="DH158" s="18"/>
      <c r="DI158" s="18"/>
      <c r="DJ158" s="18"/>
      <c r="DK158" s="18"/>
      <c r="DL158" s="18"/>
      <c r="DM158" s="18"/>
      <c r="DN158" s="18"/>
      <c r="DO158" s="18"/>
      <c r="DP158" s="18"/>
      <c r="DQ158" s="18"/>
      <c r="DR158" s="18"/>
      <c r="DS158" s="18"/>
      <c r="DT158" s="18"/>
      <c r="DU158" s="18"/>
      <c r="DV158" s="18"/>
      <c r="DW158" s="18"/>
      <c r="DX158" s="18"/>
      <c r="DY158" s="18"/>
      <c r="DZ158" s="18"/>
      <c r="EA158" s="18"/>
      <c r="EB158" s="18"/>
      <c r="EC158" s="18"/>
      <c r="ED158" s="18"/>
      <c r="EE158" s="18"/>
      <c r="EF158" s="18"/>
      <c r="EG158" s="18"/>
      <c r="EH158" s="18"/>
      <c r="EI158" s="18"/>
      <c r="EJ158" s="18"/>
      <c r="EK158" s="18"/>
      <c r="EL158" s="18"/>
      <c r="EM158" s="18"/>
      <c r="EN158" s="18"/>
      <c r="EO158" s="18"/>
      <c r="EP158" s="18"/>
      <c r="EQ158" s="18"/>
      <c r="ER158" s="18"/>
      <c r="ES158" s="18"/>
      <c r="ET158" s="18"/>
      <c r="EU158" s="18"/>
      <c r="EV158" s="18"/>
      <c r="EW158" s="18"/>
      <c r="EX158" s="18"/>
      <c r="EY158" s="18"/>
      <c r="EZ158" s="18"/>
      <c r="FA158" s="18"/>
      <c r="FB158" s="18"/>
      <c r="FC158" s="18"/>
      <c r="FD158" s="18"/>
      <c r="FE158" s="18"/>
      <c r="FF158" s="18"/>
      <c r="FG158" s="18"/>
      <c r="FH158" s="18"/>
      <c r="FI158" s="18"/>
      <c r="FJ158" s="18"/>
      <c r="FK158" s="18"/>
      <c r="FL158" s="18"/>
      <c r="FM158" s="18"/>
      <c r="FN158" s="18"/>
      <c r="FO158" s="18"/>
      <c r="FP158" s="18"/>
      <c r="FQ158" s="18"/>
      <c r="FR158" s="18"/>
      <c r="FS158" s="18"/>
      <c r="FT158" s="18"/>
      <c r="FU158" s="18"/>
      <c r="FV158" s="18"/>
      <c r="FW158" s="18"/>
      <c r="FX158" s="18"/>
      <c r="FY158" s="18"/>
      <c r="FZ158" s="18"/>
      <c r="GA158" s="18"/>
      <c r="GB158" s="18"/>
      <c r="GC158" s="18"/>
      <c r="GD158" s="18"/>
      <c r="GE158" s="18"/>
      <c r="GF158" s="18"/>
      <c r="GG158" s="18"/>
      <c r="GH158" s="18"/>
      <c r="GI158" s="18"/>
      <c r="GJ158" s="18"/>
      <c r="GK158" s="18"/>
      <c r="GL158" s="18"/>
      <c r="GM158" s="18"/>
      <c r="GN158" s="18"/>
      <c r="GO158" s="18"/>
      <c r="GP158" s="18"/>
      <c r="GQ158" s="18"/>
      <c r="GR158" s="18"/>
      <c r="GS158" s="18"/>
      <c r="GT158" s="18"/>
      <c r="GU158" s="18"/>
      <c r="GV158" s="18"/>
      <c r="GW158" s="18"/>
      <c r="GX158" s="18"/>
      <c r="GY158" s="18"/>
      <c r="GZ158" s="18"/>
      <c r="HA158" s="18"/>
      <c r="HB158" s="18"/>
      <c r="HC158" s="18"/>
      <c r="HD158" s="18"/>
      <c r="HE158" s="18"/>
      <c r="HF158" s="18"/>
      <c r="HG158" s="18"/>
      <c r="HH158" s="18"/>
      <c r="HI158" s="18"/>
      <c r="HJ158" s="18"/>
      <c r="HK158" s="18"/>
      <c r="HL158" s="18"/>
      <c r="HM158" s="18"/>
      <c r="HN158" s="18"/>
      <c r="HO158" s="18"/>
      <c r="HP158" s="18"/>
      <c r="HQ158" s="18"/>
      <c r="HR158" s="18"/>
      <c r="HS158" s="18"/>
      <c r="HT158" s="18"/>
      <c r="HU158" s="18"/>
      <c r="HV158" s="18"/>
      <c r="HW158" s="18"/>
      <c r="HX158" s="18"/>
      <c r="HY158" s="18"/>
      <c r="HZ158" s="18"/>
      <c r="IA158" s="18"/>
      <c r="IB158" s="18"/>
      <c r="IC158" s="18"/>
      <c r="ID158" s="18"/>
      <c r="IE158" s="18"/>
      <c r="IF158" s="18"/>
      <c r="IG158" s="18"/>
      <c r="IH158" s="18"/>
      <c r="II158" s="18"/>
      <c r="IJ158" s="18"/>
      <c r="IK158" s="18"/>
      <c r="IL158" s="18"/>
      <c r="IM158" s="18"/>
      <c r="IN158" s="18"/>
      <c r="IO158" s="18"/>
      <c r="IP158" s="18"/>
      <c r="IQ158" s="18"/>
      <c r="IR158" s="18"/>
    </row>
    <row r="159" spans="1:252" s="349" customFormat="1" ht="15.75">
      <c r="A159" s="230">
        <f>+'Appendix A'!A233</f>
        <v>133</v>
      </c>
      <c r="B159" s="154"/>
      <c r="C159" s="36" t="s">
        <v>1010</v>
      </c>
      <c r="D159" s="37"/>
      <c r="E159" s="37"/>
      <c r="F159" s="236"/>
      <c r="G159" s="950" t="s">
        <v>409</v>
      </c>
      <c r="H159" s="1680">
        <v>-4341401.0599999996</v>
      </c>
      <c r="I159" s="952">
        <f>Allocator.net.plant</f>
        <v>0.26011327313078736</v>
      </c>
      <c r="J159" s="1080">
        <f>H159*I159</f>
        <v>-1129256.0396900696</v>
      </c>
      <c r="L159" s="37"/>
      <c r="M159" s="853"/>
      <c r="P159" s="2254"/>
    </row>
    <row r="160" spans="1:252" s="349" customFormat="1" ht="15.75">
      <c r="A160" s="230"/>
      <c r="B160" s="154"/>
      <c r="C160" s="36"/>
      <c r="D160" s="37"/>
      <c r="E160" s="37"/>
      <c r="F160" s="236"/>
      <c r="G160" s="1079"/>
      <c r="H160" s="1128"/>
      <c r="I160" s="952"/>
      <c r="J160" s="1148"/>
      <c r="L160" s="37"/>
      <c r="M160" s="853"/>
      <c r="P160" s="2254"/>
    </row>
    <row r="161" spans="1:252" s="349" customFormat="1" ht="15.75">
      <c r="A161" s="230"/>
      <c r="B161" s="154" t="s">
        <v>1081</v>
      </c>
      <c r="C161" s="36"/>
      <c r="D161" s="37"/>
      <c r="E161" s="37"/>
      <c r="F161" s="236"/>
      <c r="G161" s="1079"/>
      <c r="H161" s="1128"/>
      <c r="I161" s="952"/>
      <c r="J161" s="1148"/>
      <c r="K161" s="37"/>
      <c r="L161" s="37"/>
      <c r="M161" s="853"/>
      <c r="P161" s="2254"/>
    </row>
    <row r="162" spans="1:252" s="349" customFormat="1" ht="15.75">
      <c r="A162" s="230"/>
      <c r="B162" s="154"/>
      <c r="C162" s="36" t="s">
        <v>1082</v>
      </c>
      <c r="D162" s="37"/>
      <c r="E162" s="37"/>
      <c r="F162" s="236"/>
      <c r="G162" s="1079"/>
      <c r="H162" s="1128"/>
      <c r="I162" s="952"/>
      <c r="J162" s="1148"/>
      <c r="K162" s="37"/>
      <c r="L162" s="37"/>
      <c r="M162" s="853"/>
      <c r="P162" s="2254"/>
    </row>
    <row r="163" spans="1:252" s="349" customFormat="1" ht="15.75">
      <c r="A163" s="230"/>
      <c r="B163" s="154"/>
      <c r="C163" s="36"/>
      <c r="D163" s="37"/>
      <c r="E163" s="37"/>
      <c r="F163" s="1204" t="s">
        <v>1137</v>
      </c>
      <c r="G163" s="1768" t="s">
        <v>1650</v>
      </c>
      <c r="H163" s="1680">
        <f>321067+54665</f>
        <v>375732</v>
      </c>
      <c r="I163" s="952"/>
      <c r="J163" s="1148"/>
      <c r="K163" s="1596"/>
      <c r="L163" s="37"/>
      <c r="M163" s="853"/>
      <c r="P163" s="2254"/>
    </row>
    <row r="164" spans="1:252" s="349" customFormat="1" ht="15.75">
      <c r="A164" s="230"/>
      <c r="B164" s="154"/>
      <c r="F164" s="1204" t="s">
        <v>1136</v>
      </c>
      <c r="G164" s="1768" t="s">
        <v>1650</v>
      </c>
      <c r="H164" s="1680">
        <f>203740+50419</f>
        <v>254159</v>
      </c>
      <c r="K164" s="1596"/>
      <c r="L164" s="37"/>
      <c r="M164" s="853"/>
      <c r="P164" s="2254"/>
    </row>
    <row r="165" spans="1:252" s="349" customFormat="1" ht="15.75">
      <c r="A165" s="230">
        <f>'Appendix A'!$A$75</f>
        <v>35</v>
      </c>
      <c r="B165" s="154"/>
      <c r="C165" s="36" t="s">
        <v>1082</v>
      </c>
      <c r="D165" s="37"/>
      <c r="E165" s="37"/>
      <c r="F165" s="236"/>
      <c r="G165" s="1205" t="s">
        <v>1138</v>
      </c>
      <c r="H165" s="1206">
        <f>AVERAGE(H163:H164)</f>
        <v>314945.5</v>
      </c>
      <c r="I165" s="1767">
        <f>Allocator.net.plant</f>
        <v>0.26011327313078736</v>
      </c>
      <c r="J165" s="1080">
        <f>H165*I165</f>
        <v>81921.504862812391</v>
      </c>
      <c r="K165" s="37" t="s">
        <v>1080</v>
      </c>
      <c r="L165" s="37"/>
      <c r="M165" s="853"/>
      <c r="P165" s="2254"/>
    </row>
    <row r="166" spans="1:252" s="349" customFormat="1" ht="15.75" thickBot="1">
      <c r="A166" s="238"/>
      <c r="B166" s="837"/>
      <c r="C166" s="841"/>
      <c r="D166" s="844"/>
      <c r="E166" s="844"/>
      <c r="F166" s="854"/>
      <c r="G166" s="240"/>
      <c r="H166" s="257"/>
      <c r="I166" s="258"/>
      <c r="J166" s="259"/>
      <c r="K166" s="2691"/>
      <c r="L166" s="2691"/>
      <c r="M166" s="2692"/>
      <c r="P166" s="2254"/>
      <c r="T166" s="18"/>
      <c r="U166" s="18"/>
      <c r="V166" s="18"/>
      <c r="W166" s="18"/>
      <c r="X166" s="18"/>
      <c r="Y166" s="18"/>
      <c r="Z166" s="18"/>
      <c r="AA166" s="18"/>
      <c r="AB166" s="18"/>
      <c r="AC166" s="18"/>
      <c r="AD166" s="18"/>
      <c r="AE166" s="18"/>
      <c r="AF166" s="18"/>
      <c r="AG166" s="18"/>
      <c r="AH166" s="18"/>
      <c r="AI166" s="18"/>
      <c r="AJ166" s="18"/>
      <c r="AK166" s="18"/>
      <c r="AL166" s="18"/>
      <c r="AM166" s="18"/>
      <c r="AN166" s="18"/>
      <c r="AO166" s="18"/>
      <c r="AP166" s="18"/>
      <c r="AQ166" s="18"/>
      <c r="AR166" s="18"/>
      <c r="AS166" s="18"/>
      <c r="AT166" s="18"/>
      <c r="AU166" s="18"/>
      <c r="AV166" s="18"/>
      <c r="AW166" s="18"/>
      <c r="AX166" s="18"/>
      <c r="AY166" s="18"/>
      <c r="AZ166" s="18"/>
      <c r="BA166" s="18"/>
      <c r="BB166" s="18"/>
      <c r="BC166" s="18"/>
      <c r="BD166" s="18"/>
      <c r="BE166" s="18"/>
      <c r="BF166" s="18"/>
      <c r="BG166" s="18"/>
      <c r="BH166" s="18"/>
      <c r="BI166" s="18"/>
      <c r="BJ166" s="18"/>
      <c r="BK166" s="18"/>
      <c r="BL166" s="18"/>
      <c r="BM166" s="18"/>
      <c r="BN166" s="18"/>
      <c r="BO166" s="18"/>
      <c r="BP166" s="18"/>
      <c r="BQ166" s="18"/>
      <c r="BR166" s="18"/>
      <c r="BS166" s="18"/>
      <c r="BT166" s="18"/>
      <c r="BU166" s="18"/>
      <c r="BV166" s="18"/>
      <c r="BW166" s="18"/>
      <c r="BX166" s="18"/>
      <c r="BY166" s="18"/>
      <c r="BZ166" s="18"/>
      <c r="CA166" s="18"/>
      <c r="CB166" s="18"/>
      <c r="CC166" s="18"/>
      <c r="CD166" s="18"/>
      <c r="CE166" s="18"/>
      <c r="CF166" s="18"/>
      <c r="CG166" s="18"/>
      <c r="CH166" s="18"/>
      <c r="CI166" s="18"/>
      <c r="CJ166" s="18"/>
      <c r="CK166" s="18"/>
      <c r="CL166" s="18"/>
      <c r="CM166" s="18"/>
      <c r="CN166" s="18"/>
      <c r="CO166" s="18"/>
      <c r="CP166" s="18"/>
      <c r="CQ166" s="18"/>
      <c r="CR166" s="18"/>
      <c r="CS166" s="18"/>
      <c r="CT166" s="18"/>
      <c r="CU166" s="18"/>
      <c r="CV166" s="18"/>
      <c r="CW166" s="18"/>
      <c r="CX166" s="18"/>
      <c r="CY166" s="18"/>
      <c r="CZ166" s="18"/>
      <c r="DA166" s="18"/>
      <c r="DB166" s="18"/>
      <c r="DC166" s="18"/>
      <c r="DD166" s="18"/>
      <c r="DE166" s="18"/>
      <c r="DF166" s="18"/>
      <c r="DG166" s="18"/>
      <c r="DH166" s="18"/>
      <c r="DI166" s="18"/>
      <c r="DJ166" s="18"/>
      <c r="DK166" s="18"/>
      <c r="DL166" s="18"/>
      <c r="DM166" s="18"/>
      <c r="DN166" s="18"/>
      <c r="DO166" s="18"/>
      <c r="DP166" s="18"/>
      <c r="DQ166" s="18"/>
      <c r="DR166" s="18"/>
      <c r="DS166" s="18"/>
      <c r="DT166" s="18"/>
      <c r="DU166" s="18"/>
      <c r="DV166" s="18"/>
      <c r="DW166" s="18"/>
      <c r="DX166" s="18"/>
      <c r="DY166" s="18"/>
      <c r="DZ166" s="18"/>
      <c r="EA166" s="18"/>
      <c r="EB166" s="18"/>
      <c r="EC166" s="18"/>
      <c r="ED166" s="18"/>
      <c r="EE166" s="18"/>
      <c r="EF166" s="18"/>
      <c r="EG166" s="18"/>
      <c r="EH166" s="18"/>
      <c r="EI166" s="18"/>
      <c r="EJ166" s="18"/>
      <c r="EK166" s="18"/>
      <c r="EL166" s="18"/>
      <c r="EM166" s="18"/>
      <c r="EN166" s="18"/>
      <c r="EO166" s="18"/>
      <c r="EP166" s="18"/>
      <c r="EQ166" s="18"/>
      <c r="ER166" s="18"/>
      <c r="ES166" s="18"/>
      <c r="ET166" s="18"/>
      <c r="EU166" s="18"/>
      <c r="EV166" s="18"/>
      <c r="EW166" s="18"/>
      <c r="EX166" s="18"/>
      <c r="EY166" s="18"/>
      <c r="EZ166" s="18"/>
      <c r="FA166" s="18"/>
      <c r="FB166" s="18"/>
      <c r="FC166" s="18"/>
      <c r="FD166" s="18"/>
      <c r="FE166" s="18"/>
      <c r="FF166" s="18"/>
      <c r="FG166" s="18"/>
      <c r="FH166" s="18"/>
      <c r="FI166" s="18"/>
      <c r="FJ166" s="18"/>
      <c r="FK166" s="18"/>
      <c r="FL166" s="18"/>
      <c r="FM166" s="18"/>
      <c r="FN166" s="18"/>
      <c r="FO166" s="18"/>
      <c r="FP166" s="18"/>
      <c r="FQ166" s="18"/>
      <c r="FR166" s="18"/>
      <c r="FS166" s="18"/>
      <c r="FT166" s="18"/>
      <c r="FU166" s="18"/>
      <c r="FV166" s="18"/>
      <c r="FW166" s="18"/>
      <c r="FX166" s="18"/>
      <c r="FY166" s="18"/>
      <c r="FZ166" s="18"/>
      <c r="GA166" s="18"/>
      <c r="GB166" s="18"/>
      <c r="GC166" s="18"/>
      <c r="GD166" s="18"/>
      <c r="GE166" s="18"/>
      <c r="GF166" s="18"/>
      <c r="GG166" s="18"/>
      <c r="GH166" s="18"/>
      <c r="GI166" s="18"/>
      <c r="GJ166" s="18"/>
      <c r="GK166" s="18"/>
      <c r="GL166" s="18"/>
      <c r="GM166" s="18"/>
      <c r="GN166" s="18"/>
      <c r="GO166" s="18"/>
      <c r="GP166" s="18"/>
      <c r="GQ166" s="18"/>
      <c r="GR166" s="18"/>
      <c r="GS166" s="18"/>
      <c r="GT166" s="18"/>
      <c r="GU166" s="18"/>
      <c r="GV166" s="18"/>
      <c r="GW166" s="18"/>
      <c r="GX166" s="18"/>
      <c r="GY166" s="18"/>
      <c r="GZ166" s="18"/>
      <c r="HA166" s="18"/>
      <c r="HB166" s="18"/>
      <c r="HC166" s="18"/>
      <c r="HD166" s="18"/>
      <c r="HE166" s="18"/>
      <c r="HF166" s="18"/>
      <c r="HG166" s="18"/>
      <c r="HH166" s="18"/>
      <c r="HI166" s="18"/>
      <c r="HJ166" s="18"/>
      <c r="HK166" s="18"/>
      <c r="HL166" s="18"/>
      <c r="HM166" s="18"/>
      <c r="HN166" s="18"/>
      <c r="HO166" s="18"/>
      <c r="HP166" s="18"/>
      <c r="HQ166" s="18"/>
      <c r="HR166" s="18"/>
      <c r="HS166" s="18"/>
      <c r="HT166" s="18"/>
      <c r="HU166" s="18"/>
      <c r="HV166" s="18"/>
      <c r="HW166" s="18"/>
      <c r="HX166" s="18"/>
      <c r="HY166" s="18"/>
      <c r="HZ166" s="18"/>
      <c r="IA166" s="18"/>
      <c r="IB166" s="18"/>
      <c r="IC166" s="18"/>
      <c r="ID166" s="18"/>
      <c r="IE166" s="18"/>
      <c r="IF166" s="18"/>
      <c r="IG166" s="18"/>
      <c r="IH166" s="18"/>
      <c r="II166" s="18"/>
      <c r="IJ166" s="18"/>
      <c r="IK166" s="18"/>
      <c r="IL166" s="18"/>
      <c r="IM166" s="18"/>
      <c r="IN166" s="18"/>
      <c r="IO166" s="18"/>
      <c r="IP166" s="18"/>
      <c r="IQ166" s="18"/>
      <c r="IR166" s="18"/>
    </row>
    <row r="167" spans="1:252">
      <c r="O167" s="349"/>
      <c r="Q167" s="349"/>
      <c r="R167" s="349"/>
      <c r="S167" s="349"/>
      <c r="T167" s="349"/>
      <c r="U167" s="349"/>
    </row>
    <row r="168" spans="1:252">
      <c r="O168" s="349"/>
      <c r="Q168" s="349"/>
      <c r="R168" s="349"/>
      <c r="S168" s="349"/>
      <c r="T168" s="349"/>
      <c r="U168" s="349"/>
    </row>
    <row r="169" spans="1:252" s="349" customFormat="1" ht="16.5" thickBot="1">
      <c r="A169" s="878" t="s">
        <v>166</v>
      </c>
      <c r="P169" s="2254"/>
      <c r="V169" s="18"/>
      <c r="W169" s="18"/>
      <c r="X169" s="18"/>
      <c r="Y169" s="18"/>
      <c r="Z169" s="18"/>
      <c r="AA169" s="18"/>
      <c r="AB169" s="18"/>
      <c r="AC169" s="18"/>
      <c r="AD169" s="18"/>
      <c r="AE169" s="18"/>
      <c r="AF169" s="18"/>
      <c r="AG169" s="18"/>
      <c r="AH169" s="18"/>
      <c r="AI169" s="18"/>
      <c r="AJ169" s="18"/>
      <c r="AK169" s="18"/>
      <c r="AL169" s="18"/>
      <c r="AM169" s="18"/>
      <c r="AN169" s="18"/>
      <c r="AO169" s="18"/>
      <c r="AP169" s="18"/>
      <c r="AQ169" s="18"/>
      <c r="AR169" s="18"/>
      <c r="AS169" s="18"/>
      <c r="AT169" s="18"/>
      <c r="AU169" s="18"/>
      <c r="AV169" s="18"/>
      <c r="AW169" s="18"/>
      <c r="AX169" s="18"/>
      <c r="AY169" s="18"/>
      <c r="AZ169" s="18"/>
      <c r="BA169" s="18"/>
      <c r="BB169" s="18"/>
      <c r="BC169" s="18"/>
      <c r="BD169" s="18"/>
      <c r="BE169" s="18"/>
      <c r="BF169" s="18"/>
      <c r="BG169" s="18"/>
      <c r="BH169" s="18"/>
      <c r="BI169" s="18"/>
      <c r="BJ169" s="18"/>
      <c r="BK169" s="18"/>
      <c r="BL169" s="18"/>
      <c r="BM169" s="18"/>
      <c r="BN169" s="18"/>
      <c r="BO169" s="18"/>
      <c r="BP169" s="18"/>
      <c r="BQ169" s="18"/>
      <c r="BR169" s="18"/>
      <c r="BS169" s="18"/>
      <c r="BT169" s="18"/>
      <c r="BU169" s="18"/>
      <c r="BV169" s="18"/>
      <c r="BW169" s="18"/>
      <c r="BX169" s="18"/>
      <c r="BY169" s="18"/>
      <c r="BZ169" s="18"/>
      <c r="CA169" s="18"/>
      <c r="CB169" s="18"/>
      <c r="CC169" s="18"/>
      <c r="CD169" s="18"/>
      <c r="CE169" s="18"/>
      <c r="CF169" s="18"/>
      <c r="CG169" s="18"/>
      <c r="CH169" s="18"/>
      <c r="CI169" s="18"/>
      <c r="CJ169" s="18"/>
      <c r="CK169" s="18"/>
      <c r="CL169" s="18"/>
      <c r="CM169" s="18"/>
      <c r="CN169" s="18"/>
      <c r="CO169" s="18"/>
      <c r="CP169" s="18"/>
      <c r="CQ169" s="18"/>
      <c r="CR169" s="18"/>
      <c r="CS169" s="18"/>
      <c r="CT169" s="18"/>
      <c r="CU169" s="18"/>
      <c r="CV169" s="18"/>
      <c r="CW169" s="18"/>
      <c r="CX169" s="18"/>
      <c r="CY169" s="18"/>
      <c r="CZ169" s="18"/>
      <c r="DA169" s="18"/>
      <c r="DB169" s="18"/>
      <c r="DC169" s="18"/>
      <c r="DD169" s="18"/>
      <c r="DE169" s="18"/>
      <c r="DF169" s="18"/>
      <c r="DG169" s="18"/>
      <c r="DH169" s="18"/>
      <c r="DI169" s="18"/>
      <c r="DJ169" s="18"/>
      <c r="DK169" s="18"/>
      <c r="DL169" s="18"/>
      <c r="DM169" s="18"/>
      <c r="DN169" s="18"/>
      <c r="DO169" s="18"/>
      <c r="DP169" s="18"/>
      <c r="DQ169" s="18"/>
      <c r="DR169" s="18"/>
      <c r="DS169" s="18"/>
      <c r="DT169" s="18"/>
      <c r="DU169" s="18"/>
      <c r="DV169" s="18"/>
      <c r="DW169" s="18"/>
      <c r="DX169" s="18"/>
      <c r="DY169" s="18"/>
      <c r="DZ169" s="18"/>
      <c r="EA169" s="18"/>
      <c r="EB169" s="18"/>
      <c r="EC169" s="18"/>
      <c r="ED169" s="18"/>
      <c r="EE169" s="18"/>
      <c r="EF169" s="18"/>
      <c r="EG169" s="18"/>
      <c r="EH169" s="18"/>
      <c r="EI169" s="18"/>
      <c r="EJ169" s="18"/>
      <c r="EK169" s="18"/>
      <c r="EL169" s="18"/>
      <c r="EM169" s="18"/>
      <c r="EN169" s="18"/>
      <c r="EO169" s="18"/>
      <c r="EP169" s="18"/>
      <c r="EQ169" s="18"/>
      <c r="ER169" s="18"/>
      <c r="ES169" s="18"/>
      <c r="ET169" s="18"/>
      <c r="EU169" s="18"/>
      <c r="EV169" s="18"/>
      <c r="EW169" s="18"/>
      <c r="EX169" s="18"/>
      <c r="EY169" s="18"/>
      <c r="EZ169" s="18"/>
      <c r="FA169" s="18"/>
      <c r="FB169" s="18"/>
      <c r="FC169" s="18"/>
      <c r="FD169" s="18"/>
      <c r="FE169" s="18"/>
      <c r="FF169" s="18"/>
      <c r="FG169" s="18"/>
      <c r="FH169" s="18"/>
      <c r="FI169" s="18"/>
      <c r="FJ169" s="18"/>
      <c r="FK169" s="18"/>
      <c r="FL169" s="18"/>
      <c r="FM169" s="18"/>
      <c r="FN169" s="18"/>
      <c r="FO169" s="18"/>
      <c r="FP169" s="18"/>
      <c r="FQ169" s="18"/>
      <c r="FR169" s="18"/>
      <c r="FS169" s="18"/>
      <c r="FT169" s="18"/>
      <c r="FU169" s="18"/>
      <c r="FV169" s="18"/>
      <c r="FW169" s="18"/>
      <c r="FX169" s="18"/>
      <c r="FY169" s="18"/>
      <c r="FZ169" s="18"/>
      <c r="GA169" s="18"/>
      <c r="GB169" s="18"/>
      <c r="GC169" s="18"/>
      <c r="GD169" s="18"/>
      <c r="GE169" s="18"/>
      <c r="GF169" s="18"/>
      <c r="GG169" s="18"/>
      <c r="GH169" s="18"/>
      <c r="GI169" s="18"/>
      <c r="GJ169" s="18"/>
      <c r="GK169" s="18"/>
      <c r="GL169" s="18"/>
      <c r="GM169" s="18"/>
      <c r="GN169" s="18"/>
      <c r="GO169" s="18"/>
      <c r="GP169" s="18"/>
      <c r="GQ169" s="18"/>
      <c r="GR169" s="18"/>
      <c r="GS169" s="18"/>
      <c r="GT169" s="18"/>
      <c r="GU169" s="18"/>
      <c r="GV169" s="18"/>
      <c r="GW169" s="18"/>
      <c r="GX169" s="18"/>
      <c r="GY169" s="18"/>
      <c r="GZ169" s="18"/>
      <c r="HA169" s="18"/>
      <c r="HB169" s="18"/>
      <c r="HC169" s="18"/>
      <c r="HD169" s="18"/>
      <c r="HE169" s="18"/>
      <c r="HF169" s="18"/>
      <c r="HG169" s="18"/>
      <c r="HH169" s="18"/>
      <c r="HI169" s="18"/>
      <c r="HJ169" s="18"/>
      <c r="HK169" s="18"/>
      <c r="HL169" s="18"/>
      <c r="HM169" s="18"/>
      <c r="HN169" s="18"/>
      <c r="HO169" s="18"/>
      <c r="HP169" s="18"/>
      <c r="HQ169" s="18"/>
      <c r="HR169" s="18"/>
      <c r="HS169" s="18"/>
      <c r="HT169" s="18"/>
      <c r="HU169" s="18"/>
      <c r="HV169" s="18"/>
      <c r="HW169" s="18"/>
      <c r="HX169" s="18"/>
      <c r="HY169" s="18"/>
      <c r="HZ169" s="18"/>
      <c r="IA169" s="18"/>
      <c r="IB169" s="18"/>
      <c r="IC169" s="18"/>
      <c r="ID169" s="18"/>
      <c r="IE169" s="18"/>
      <c r="IF169" s="18"/>
      <c r="IG169" s="18"/>
      <c r="IH169" s="18"/>
      <c r="II169" s="18"/>
      <c r="IJ169" s="18"/>
      <c r="IK169" s="18"/>
      <c r="IL169" s="18"/>
      <c r="IM169" s="18"/>
      <c r="IN169" s="18"/>
      <c r="IO169" s="18"/>
      <c r="IP169" s="18"/>
      <c r="IQ169" s="18"/>
      <c r="IR169" s="18"/>
    </row>
    <row r="170" spans="1:252" s="349" customFormat="1" ht="45">
      <c r="A170" s="2696" t="s">
        <v>206</v>
      </c>
      <c r="B170" s="2697"/>
      <c r="C170" s="2697"/>
      <c r="D170" s="2697"/>
      <c r="E170" s="2697"/>
      <c r="F170" s="2697"/>
      <c r="G170" s="2698"/>
      <c r="H170" s="907" t="s">
        <v>207</v>
      </c>
      <c r="I170" s="907" t="s">
        <v>103</v>
      </c>
      <c r="J170" s="907" t="s">
        <v>160</v>
      </c>
      <c r="K170" s="910" t="s">
        <v>83</v>
      </c>
      <c r="L170" s="910"/>
      <c r="M170" s="911"/>
      <c r="O170" s="23"/>
      <c r="P170" s="2254"/>
      <c r="V170" s="18"/>
      <c r="W170" s="18"/>
      <c r="X170" s="18"/>
      <c r="Y170" s="18"/>
      <c r="Z170" s="18"/>
      <c r="AA170" s="18"/>
      <c r="AB170" s="18"/>
      <c r="AC170" s="18"/>
      <c r="AD170" s="18"/>
      <c r="AE170" s="18"/>
      <c r="AF170" s="18"/>
      <c r="AG170" s="18"/>
      <c r="AH170" s="18"/>
      <c r="AI170" s="18"/>
      <c r="AJ170" s="18"/>
      <c r="AK170" s="18"/>
      <c r="AL170" s="18"/>
      <c r="AM170" s="18"/>
      <c r="AN170" s="18"/>
      <c r="AO170" s="18"/>
      <c r="AP170" s="18"/>
      <c r="AQ170" s="18"/>
      <c r="AR170" s="18"/>
      <c r="AS170" s="18"/>
      <c r="AT170" s="18"/>
      <c r="AU170" s="18"/>
      <c r="AV170" s="18"/>
      <c r="AW170" s="18"/>
      <c r="AX170" s="18"/>
      <c r="AY170" s="18"/>
      <c r="AZ170" s="18"/>
      <c r="BA170" s="18"/>
      <c r="BB170" s="18"/>
      <c r="BC170" s="18"/>
      <c r="BD170" s="18"/>
      <c r="BE170" s="18"/>
      <c r="BF170" s="18"/>
      <c r="BG170" s="18"/>
      <c r="BH170" s="18"/>
      <c r="BI170" s="18"/>
      <c r="BJ170" s="18"/>
      <c r="BK170" s="18"/>
      <c r="BL170" s="18"/>
      <c r="BM170" s="18"/>
      <c r="BN170" s="18"/>
      <c r="BO170" s="18"/>
      <c r="BP170" s="18"/>
      <c r="BQ170" s="18"/>
      <c r="BR170" s="18"/>
      <c r="BS170" s="18"/>
      <c r="BT170" s="18"/>
      <c r="BU170" s="18"/>
      <c r="BV170" s="18"/>
      <c r="BW170" s="18"/>
      <c r="BX170" s="18"/>
      <c r="BY170" s="18"/>
      <c r="BZ170" s="18"/>
      <c r="CA170" s="18"/>
      <c r="CB170" s="18"/>
      <c r="CC170" s="18"/>
      <c r="CD170" s="18"/>
      <c r="CE170" s="18"/>
      <c r="CF170" s="18"/>
      <c r="CG170" s="18"/>
      <c r="CH170" s="18"/>
      <c r="CI170" s="18"/>
      <c r="CJ170" s="18"/>
      <c r="CK170" s="18"/>
      <c r="CL170" s="18"/>
      <c r="CM170" s="18"/>
      <c r="CN170" s="18"/>
      <c r="CO170" s="18"/>
      <c r="CP170" s="18"/>
      <c r="CQ170" s="18"/>
      <c r="CR170" s="18"/>
      <c r="CS170" s="18"/>
      <c r="CT170" s="18"/>
      <c r="CU170" s="18"/>
      <c r="CV170" s="18"/>
      <c r="CW170" s="18"/>
      <c r="CX170" s="18"/>
      <c r="CY170" s="18"/>
      <c r="CZ170" s="18"/>
      <c r="DA170" s="18"/>
      <c r="DB170" s="18"/>
      <c r="DC170" s="18"/>
      <c r="DD170" s="18"/>
      <c r="DE170" s="18"/>
      <c r="DF170" s="18"/>
      <c r="DG170" s="18"/>
      <c r="DH170" s="18"/>
      <c r="DI170" s="18"/>
      <c r="DJ170" s="18"/>
      <c r="DK170" s="18"/>
      <c r="DL170" s="18"/>
      <c r="DM170" s="18"/>
      <c r="DN170" s="18"/>
      <c r="DO170" s="18"/>
      <c r="DP170" s="18"/>
      <c r="DQ170" s="18"/>
      <c r="DR170" s="18"/>
      <c r="DS170" s="18"/>
      <c r="DT170" s="18"/>
      <c r="DU170" s="18"/>
      <c r="DV170" s="18"/>
      <c r="DW170" s="18"/>
      <c r="DX170" s="18"/>
      <c r="DY170" s="18"/>
      <c r="DZ170" s="18"/>
      <c r="EA170" s="18"/>
      <c r="EB170" s="18"/>
      <c r="EC170" s="18"/>
      <c r="ED170" s="18"/>
      <c r="EE170" s="18"/>
      <c r="EF170" s="18"/>
      <c r="EG170" s="18"/>
      <c r="EH170" s="18"/>
      <c r="EI170" s="18"/>
      <c r="EJ170" s="18"/>
      <c r="EK170" s="18"/>
      <c r="EL170" s="18"/>
      <c r="EM170" s="18"/>
      <c r="EN170" s="18"/>
      <c r="EO170" s="18"/>
      <c r="EP170" s="18"/>
      <c r="EQ170" s="18"/>
      <c r="ER170" s="18"/>
      <c r="ES170" s="18"/>
      <c r="ET170" s="18"/>
      <c r="EU170" s="18"/>
      <c r="EV170" s="18"/>
      <c r="EW170" s="18"/>
      <c r="EX170" s="18"/>
      <c r="EY170" s="18"/>
      <c r="EZ170" s="18"/>
      <c r="FA170" s="18"/>
      <c r="FB170" s="18"/>
      <c r="FC170" s="18"/>
      <c r="FD170" s="18"/>
      <c r="FE170" s="18"/>
      <c r="FF170" s="18"/>
      <c r="FG170" s="18"/>
      <c r="FH170" s="18"/>
      <c r="FI170" s="18"/>
      <c r="FJ170" s="18"/>
      <c r="FK170" s="18"/>
      <c r="FL170" s="18"/>
      <c r="FM170" s="18"/>
      <c r="FN170" s="18"/>
      <c r="FO170" s="18"/>
      <c r="FP170" s="18"/>
      <c r="FQ170" s="18"/>
      <c r="FR170" s="18"/>
      <c r="FS170" s="18"/>
      <c r="FT170" s="18"/>
      <c r="FU170" s="18"/>
      <c r="FV170" s="18"/>
      <c r="FW170" s="18"/>
      <c r="FX170" s="18"/>
      <c r="FY170" s="18"/>
      <c r="FZ170" s="18"/>
      <c r="GA170" s="18"/>
      <c r="GB170" s="18"/>
      <c r="GC170" s="18"/>
      <c r="GD170" s="18"/>
      <c r="GE170" s="18"/>
      <c r="GF170" s="18"/>
      <c r="GG170" s="18"/>
      <c r="GH170" s="18"/>
      <c r="GI170" s="18"/>
      <c r="GJ170" s="18"/>
      <c r="GK170" s="18"/>
      <c r="GL170" s="18"/>
      <c r="GM170" s="18"/>
      <c r="GN170" s="18"/>
      <c r="GO170" s="18"/>
      <c r="GP170" s="18"/>
      <c r="GQ170" s="18"/>
      <c r="GR170" s="18"/>
      <c r="GS170" s="18"/>
      <c r="GT170" s="18"/>
      <c r="GU170" s="18"/>
      <c r="GV170" s="18"/>
      <c r="GW170" s="18"/>
      <c r="GX170" s="18"/>
      <c r="GY170" s="18"/>
      <c r="GZ170" s="18"/>
      <c r="HA170" s="18"/>
      <c r="HB170" s="18"/>
      <c r="HC170" s="18"/>
      <c r="HD170" s="18"/>
      <c r="HE170" s="18"/>
      <c r="HF170" s="18"/>
      <c r="HG170" s="18"/>
      <c r="HH170" s="18"/>
      <c r="HI170" s="18"/>
      <c r="HJ170" s="18"/>
      <c r="HK170" s="18"/>
      <c r="HL170" s="18"/>
      <c r="HM170" s="18"/>
      <c r="HN170" s="18"/>
      <c r="HO170" s="18"/>
      <c r="HP170" s="18"/>
      <c r="HQ170" s="18"/>
      <c r="HR170" s="18"/>
      <c r="HS170" s="18"/>
      <c r="HT170" s="18"/>
      <c r="HU170" s="18"/>
      <c r="HV170" s="18"/>
      <c r="HW170" s="18"/>
      <c r="HX170" s="18"/>
      <c r="HY170" s="18"/>
      <c r="HZ170" s="18"/>
      <c r="IA170" s="18"/>
      <c r="IB170" s="18"/>
      <c r="IC170" s="18"/>
      <c r="ID170" s="18"/>
      <c r="IE170" s="18"/>
      <c r="IF170" s="18"/>
      <c r="IG170" s="18"/>
      <c r="IH170" s="18"/>
      <c r="II170" s="18"/>
      <c r="IJ170" s="18"/>
      <c r="IK170" s="18"/>
      <c r="IL170" s="18"/>
      <c r="IM170" s="18"/>
      <c r="IN170" s="18"/>
      <c r="IO170" s="18"/>
      <c r="IP170" s="18"/>
      <c r="IQ170" s="18"/>
      <c r="IR170" s="18"/>
    </row>
    <row r="171" spans="1:252" s="349" customFormat="1" ht="15.75">
      <c r="A171" s="2245"/>
      <c r="B171" s="124" t="str">
        <f>+'Appendix A'!C48</f>
        <v>Land Held for Future Use</v>
      </c>
      <c r="C171" s="38"/>
      <c r="D171" s="99"/>
      <c r="E171" s="99"/>
      <c r="F171" s="38"/>
      <c r="G171" s="995"/>
      <c r="H171" s="855"/>
      <c r="K171" s="38"/>
      <c r="L171" s="38"/>
      <c r="M171" s="310"/>
      <c r="O171" s="23"/>
      <c r="P171" s="2254"/>
      <c r="V171" s="18"/>
      <c r="W171" s="18"/>
      <c r="X171" s="18"/>
      <c r="Y171" s="18"/>
      <c r="Z171" s="18"/>
      <c r="AA171" s="18"/>
      <c r="AB171" s="18"/>
      <c r="AC171" s="18"/>
      <c r="AD171" s="18"/>
      <c r="AE171" s="18"/>
      <c r="AF171" s="18"/>
      <c r="AG171" s="18"/>
      <c r="AH171" s="18"/>
      <c r="AI171" s="18"/>
      <c r="AJ171" s="18"/>
      <c r="AK171" s="18"/>
      <c r="AL171" s="18"/>
      <c r="AM171" s="18"/>
      <c r="AN171" s="18"/>
      <c r="AO171" s="18"/>
      <c r="AP171" s="18"/>
      <c r="AQ171" s="18"/>
      <c r="AR171" s="18"/>
      <c r="AS171" s="18"/>
      <c r="AT171" s="18"/>
      <c r="AU171" s="18"/>
      <c r="AV171" s="18"/>
      <c r="AW171" s="18"/>
      <c r="AX171" s="18"/>
      <c r="AY171" s="18"/>
      <c r="AZ171" s="18"/>
      <c r="BA171" s="18"/>
      <c r="BB171" s="18"/>
      <c r="BC171" s="18"/>
      <c r="BD171" s="18"/>
      <c r="BE171" s="18"/>
      <c r="BF171" s="18"/>
      <c r="BG171" s="18"/>
      <c r="BH171" s="18"/>
      <c r="BI171" s="18"/>
      <c r="BJ171" s="18"/>
      <c r="BK171" s="18"/>
      <c r="BL171" s="18"/>
      <c r="BM171" s="18"/>
      <c r="BN171" s="18"/>
      <c r="BO171" s="18"/>
      <c r="BP171" s="18"/>
      <c r="BQ171" s="18"/>
      <c r="BR171" s="18"/>
      <c r="BS171" s="18"/>
      <c r="BT171" s="18"/>
      <c r="BU171" s="18"/>
      <c r="BV171" s="18"/>
      <c r="BW171" s="18"/>
      <c r="BX171" s="18"/>
      <c r="BY171" s="18"/>
      <c r="BZ171" s="18"/>
      <c r="CA171" s="18"/>
      <c r="CB171" s="18"/>
      <c r="CC171" s="18"/>
      <c r="CD171" s="18"/>
      <c r="CE171" s="18"/>
      <c r="CF171" s="18"/>
      <c r="CG171" s="18"/>
      <c r="CH171" s="18"/>
      <c r="CI171" s="18"/>
      <c r="CJ171" s="18"/>
      <c r="CK171" s="18"/>
      <c r="CL171" s="18"/>
      <c r="CM171" s="18"/>
      <c r="CN171" s="18"/>
      <c r="CO171" s="18"/>
      <c r="CP171" s="18"/>
      <c r="CQ171" s="18"/>
      <c r="CR171" s="18"/>
      <c r="CS171" s="18"/>
      <c r="CT171" s="18"/>
      <c r="CU171" s="18"/>
      <c r="CV171" s="18"/>
      <c r="CW171" s="18"/>
      <c r="CX171" s="18"/>
      <c r="CY171" s="18"/>
      <c r="CZ171" s="18"/>
      <c r="DA171" s="18"/>
      <c r="DB171" s="18"/>
      <c r="DC171" s="18"/>
      <c r="DD171" s="18"/>
      <c r="DE171" s="18"/>
      <c r="DF171" s="18"/>
      <c r="DG171" s="18"/>
      <c r="DH171" s="18"/>
      <c r="DI171" s="18"/>
      <c r="DJ171" s="18"/>
      <c r="DK171" s="18"/>
      <c r="DL171" s="18"/>
      <c r="DM171" s="18"/>
      <c r="DN171" s="18"/>
      <c r="DO171" s="18"/>
      <c r="DP171" s="18"/>
      <c r="DQ171" s="18"/>
      <c r="DR171" s="18"/>
      <c r="DS171" s="18"/>
      <c r="DT171" s="18"/>
      <c r="DU171" s="18"/>
      <c r="DV171" s="18"/>
      <c r="DW171" s="18"/>
      <c r="DX171" s="18"/>
      <c r="DY171" s="18"/>
      <c r="DZ171" s="18"/>
      <c r="EA171" s="18"/>
      <c r="EB171" s="18"/>
      <c r="EC171" s="18"/>
      <c r="ED171" s="18"/>
      <c r="EE171" s="18"/>
      <c r="EF171" s="18"/>
      <c r="EG171" s="18"/>
      <c r="EH171" s="18"/>
      <c r="EI171" s="18"/>
      <c r="EJ171" s="18"/>
      <c r="EK171" s="18"/>
      <c r="EL171" s="18"/>
      <c r="EM171" s="18"/>
      <c r="EN171" s="18"/>
      <c r="EO171" s="18"/>
      <c r="EP171" s="18"/>
      <c r="EQ171" s="18"/>
      <c r="ER171" s="18"/>
      <c r="ES171" s="18"/>
      <c r="ET171" s="18"/>
      <c r="EU171" s="18"/>
      <c r="EV171" s="18"/>
      <c r="EW171" s="18"/>
      <c r="EX171" s="18"/>
      <c r="EY171" s="18"/>
      <c r="EZ171" s="18"/>
      <c r="FA171" s="18"/>
      <c r="FB171" s="18"/>
      <c r="FC171" s="18"/>
      <c r="FD171" s="18"/>
      <c r="FE171" s="18"/>
      <c r="FF171" s="18"/>
      <c r="FG171" s="18"/>
      <c r="FH171" s="18"/>
      <c r="FI171" s="18"/>
      <c r="FJ171" s="18"/>
      <c r="FK171" s="18"/>
      <c r="FL171" s="18"/>
      <c r="FM171" s="18"/>
      <c r="FN171" s="18"/>
      <c r="FO171" s="18"/>
      <c r="FP171" s="18"/>
      <c r="FQ171" s="18"/>
      <c r="FR171" s="18"/>
      <c r="FS171" s="18"/>
      <c r="FT171" s="18"/>
      <c r="FU171" s="18"/>
      <c r="FV171" s="18"/>
      <c r="FW171" s="18"/>
      <c r="FX171" s="18"/>
      <c r="FY171" s="18"/>
      <c r="FZ171" s="18"/>
      <c r="GA171" s="18"/>
      <c r="GB171" s="18"/>
      <c r="GC171" s="18"/>
      <c r="GD171" s="18"/>
      <c r="GE171" s="18"/>
      <c r="GF171" s="18"/>
      <c r="GG171" s="18"/>
      <c r="GH171" s="18"/>
      <c r="GI171" s="18"/>
      <c r="GJ171" s="18"/>
      <c r="GK171" s="18"/>
      <c r="GL171" s="18"/>
      <c r="GM171" s="18"/>
      <c r="GN171" s="18"/>
      <c r="GO171" s="18"/>
      <c r="GP171" s="18"/>
      <c r="GQ171" s="18"/>
      <c r="GR171" s="18"/>
      <c r="GS171" s="18"/>
      <c r="GT171" s="18"/>
      <c r="GU171" s="18"/>
      <c r="GV171" s="18"/>
      <c r="GW171" s="18"/>
      <c r="GX171" s="18"/>
      <c r="GY171" s="18"/>
      <c r="GZ171" s="18"/>
      <c r="HA171" s="18"/>
      <c r="HB171" s="18"/>
      <c r="HC171" s="18"/>
      <c r="HD171" s="18"/>
      <c r="HE171" s="18"/>
      <c r="HF171" s="18"/>
      <c r="HG171" s="18"/>
      <c r="HH171" s="18"/>
      <c r="HI171" s="18"/>
      <c r="HJ171" s="18"/>
      <c r="HK171" s="18"/>
      <c r="HL171" s="18"/>
      <c r="HM171" s="18"/>
      <c r="HN171" s="18"/>
      <c r="HO171" s="18"/>
      <c r="HP171" s="18"/>
      <c r="HQ171" s="18"/>
      <c r="HR171" s="18"/>
      <c r="HS171" s="18"/>
      <c r="HT171" s="18"/>
      <c r="HU171" s="18"/>
      <c r="HV171" s="18"/>
      <c r="HW171" s="18"/>
      <c r="HX171" s="18"/>
      <c r="HY171" s="18"/>
      <c r="HZ171" s="18"/>
      <c r="IA171" s="18"/>
      <c r="IB171" s="18"/>
      <c r="IC171" s="18"/>
      <c r="ID171" s="18"/>
      <c r="IE171" s="18"/>
      <c r="IF171" s="18"/>
      <c r="IG171" s="18"/>
      <c r="IH171" s="18"/>
      <c r="II171" s="18"/>
      <c r="IJ171" s="18"/>
      <c r="IK171" s="18"/>
      <c r="IL171" s="18"/>
      <c r="IM171" s="18"/>
      <c r="IN171" s="18"/>
      <c r="IO171" s="18"/>
      <c r="IP171" s="18"/>
      <c r="IQ171" s="18"/>
      <c r="IR171" s="18"/>
    </row>
    <row r="172" spans="1:252" s="349" customFormat="1" ht="15.75">
      <c r="A172" s="2245"/>
      <c r="B172" s="124"/>
      <c r="C172" s="38"/>
      <c r="D172" s="99"/>
      <c r="E172" s="99"/>
      <c r="F172" s="28" t="s">
        <v>632</v>
      </c>
      <c r="G172" s="241" t="s">
        <v>332</v>
      </c>
      <c r="H172" s="1107">
        <f>INDEX(Inputs_EndYrBal_prior,MATCH(G172,Inputs_FF1_Map,0))</f>
        <v>23319217</v>
      </c>
      <c r="I172" s="1006">
        <f>'Att 12 - Plant Held Future Use'!$D$16</f>
        <v>3657534.48</v>
      </c>
      <c r="J172" s="1125">
        <f>H172-I172</f>
        <v>19661682.52</v>
      </c>
      <c r="K172" s="38" t="s">
        <v>1036</v>
      </c>
      <c r="L172" s="38"/>
      <c r="M172" s="310"/>
      <c r="O172" s="2637"/>
      <c r="P172" s="2254"/>
    </row>
    <row r="173" spans="1:252" s="349" customFormat="1" ht="15.75">
      <c r="A173" s="230"/>
      <c r="B173" s="235"/>
      <c r="C173" s="332"/>
      <c r="D173" s="99"/>
      <c r="E173" s="99"/>
      <c r="F173" s="28" t="s">
        <v>633</v>
      </c>
      <c r="G173" s="241" t="s">
        <v>332</v>
      </c>
      <c r="H173" s="1104">
        <f>INDEX(Inputs_EndYrBal,MATCH(G173,Inputs_FF1_Map,0))</f>
        <v>23502790</v>
      </c>
      <c r="I173" s="1006">
        <f>'Att 12 - Plant Held Future Use'!$E$16</f>
        <v>3657534.48</v>
      </c>
      <c r="J173" s="1125">
        <f>H173-I173</f>
        <v>19845255.52</v>
      </c>
      <c r="K173" s="38" t="s">
        <v>1036</v>
      </c>
      <c r="L173" s="37"/>
      <c r="M173" s="310"/>
      <c r="O173" s="2637"/>
      <c r="P173" s="2254"/>
      <c r="V173" s="18"/>
      <c r="W173" s="18"/>
      <c r="X173" s="18"/>
      <c r="Y173" s="18"/>
      <c r="Z173" s="18"/>
      <c r="AA173" s="18"/>
      <c r="AB173" s="18"/>
      <c r="AC173" s="18"/>
      <c r="AD173" s="18"/>
      <c r="AE173" s="18"/>
      <c r="AF173" s="18"/>
      <c r="AG173" s="18"/>
      <c r="AH173" s="18"/>
      <c r="AI173" s="18"/>
      <c r="AJ173" s="18"/>
      <c r="AK173" s="18"/>
      <c r="AL173" s="18"/>
      <c r="AM173" s="18"/>
      <c r="AN173" s="18"/>
      <c r="AO173" s="18"/>
      <c r="AP173" s="18"/>
      <c r="AQ173" s="18"/>
      <c r="AR173" s="18"/>
      <c r="AS173" s="18"/>
      <c r="AT173" s="18"/>
      <c r="AU173" s="18"/>
      <c r="AV173" s="18"/>
      <c r="AW173" s="18"/>
      <c r="AX173" s="18"/>
      <c r="AY173" s="18"/>
      <c r="AZ173" s="18"/>
      <c r="BA173" s="18"/>
      <c r="BB173" s="18"/>
      <c r="BC173" s="18"/>
      <c r="BD173" s="18"/>
      <c r="BE173" s="18"/>
      <c r="BF173" s="18"/>
      <c r="BG173" s="18"/>
      <c r="BH173" s="18"/>
      <c r="BI173" s="18"/>
      <c r="BJ173" s="18"/>
      <c r="BK173" s="18"/>
      <c r="BL173" s="18"/>
      <c r="BM173" s="18"/>
      <c r="BN173" s="18"/>
      <c r="BO173" s="18"/>
      <c r="BP173" s="18"/>
      <c r="BQ173" s="18"/>
      <c r="BR173" s="18"/>
      <c r="BS173" s="18"/>
      <c r="BT173" s="18"/>
      <c r="BU173" s="18"/>
      <c r="BV173" s="18"/>
      <c r="BW173" s="18"/>
      <c r="BX173" s="18"/>
      <c r="BY173" s="18"/>
      <c r="BZ173" s="18"/>
      <c r="CA173" s="18"/>
      <c r="CB173" s="18"/>
      <c r="CC173" s="18"/>
      <c r="CD173" s="18"/>
      <c r="CE173" s="18"/>
      <c r="CF173" s="18"/>
      <c r="CG173" s="18"/>
      <c r="CH173" s="18"/>
      <c r="CI173" s="18"/>
      <c r="CJ173" s="18"/>
      <c r="CK173" s="18"/>
      <c r="CL173" s="18"/>
      <c r="CM173" s="18"/>
      <c r="CN173" s="18"/>
      <c r="CO173" s="18"/>
      <c r="CP173" s="18"/>
      <c r="CQ173" s="18"/>
      <c r="CR173" s="18"/>
      <c r="CS173" s="18"/>
      <c r="CT173" s="18"/>
      <c r="CU173" s="18"/>
      <c r="CV173" s="18"/>
      <c r="CW173" s="18"/>
      <c r="CX173" s="18"/>
      <c r="CY173" s="18"/>
      <c r="CZ173" s="18"/>
      <c r="DA173" s="18"/>
      <c r="DB173" s="18"/>
      <c r="DC173" s="18"/>
      <c r="DD173" s="18"/>
      <c r="DE173" s="18"/>
      <c r="DF173" s="18"/>
      <c r="DG173" s="18"/>
      <c r="DH173" s="18"/>
      <c r="DI173" s="18"/>
      <c r="DJ173" s="18"/>
      <c r="DK173" s="18"/>
      <c r="DL173" s="18"/>
      <c r="DM173" s="18"/>
      <c r="DN173" s="18"/>
      <c r="DO173" s="18"/>
      <c r="DP173" s="18"/>
      <c r="DQ173" s="18"/>
      <c r="DR173" s="18"/>
      <c r="DS173" s="18"/>
      <c r="DT173" s="18"/>
      <c r="DU173" s="18"/>
      <c r="DV173" s="18"/>
      <c r="DW173" s="18"/>
      <c r="DX173" s="18"/>
      <c r="DY173" s="18"/>
      <c r="DZ173" s="18"/>
      <c r="EA173" s="18"/>
      <c r="EB173" s="18"/>
      <c r="EC173" s="18"/>
      <c r="ED173" s="18"/>
      <c r="EE173" s="18"/>
      <c r="EF173" s="18"/>
      <c r="EG173" s="18"/>
      <c r="EH173" s="18"/>
      <c r="EI173" s="18"/>
      <c r="EJ173" s="18"/>
      <c r="EK173" s="18"/>
      <c r="EL173" s="18"/>
      <c r="EM173" s="18"/>
      <c r="EN173" s="18"/>
      <c r="EO173" s="18"/>
      <c r="EP173" s="18"/>
      <c r="EQ173" s="18"/>
      <c r="ER173" s="18"/>
      <c r="ES173" s="18"/>
      <c r="ET173" s="18"/>
      <c r="EU173" s="18"/>
      <c r="EV173" s="18"/>
      <c r="EW173" s="18"/>
      <c r="EX173" s="18"/>
      <c r="EY173" s="18"/>
      <c r="EZ173" s="18"/>
      <c r="FA173" s="18"/>
      <c r="FB173" s="18"/>
      <c r="FC173" s="18"/>
      <c r="FD173" s="18"/>
      <c r="FE173" s="18"/>
      <c r="FF173" s="18"/>
      <c r="FG173" s="18"/>
      <c r="FH173" s="18"/>
      <c r="FI173" s="18"/>
      <c r="FJ173" s="18"/>
      <c r="FK173" s="18"/>
      <c r="FL173" s="18"/>
      <c r="FM173" s="18"/>
      <c r="FN173" s="18"/>
      <c r="FO173" s="18"/>
      <c r="FP173" s="18"/>
      <c r="FQ173" s="18"/>
      <c r="FR173" s="18"/>
      <c r="FS173" s="18"/>
      <c r="FT173" s="18"/>
      <c r="FU173" s="18"/>
      <c r="FV173" s="18"/>
      <c r="FW173" s="18"/>
      <c r="FX173" s="18"/>
      <c r="FY173" s="18"/>
      <c r="FZ173" s="18"/>
      <c r="GA173" s="18"/>
      <c r="GB173" s="18"/>
      <c r="GC173" s="18"/>
      <c r="GD173" s="18"/>
      <c r="GE173" s="18"/>
      <c r="GF173" s="18"/>
      <c r="GG173" s="18"/>
      <c r="GH173" s="18"/>
      <c r="GI173" s="18"/>
      <c r="GJ173" s="18"/>
      <c r="GK173" s="18"/>
      <c r="GL173" s="18"/>
      <c r="GM173" s="18"/>
      <c r="GN173" s="18"/>
      <c r="GO173" s="18"/>
      <c r="GP173" s="18"/>
      <c r="GQ173" s="18"/>
      <c r="GR173" s="18"/>
      <c r="GS173" s="18"/>
      <c r="GT173" s="18"/>
      <c r="GU173" s="18"/>
      <c r="GV173" s="18"/>
      <c r="GW173" s="18"/>
      <c r="GX173" s="18"/>
      <c r="GY173" s="18"/>
      <c r="GZ173" s="18"/>
      <c r="HA173" s="18"/>
      <c r="HB173" s="18"/>
      <c r="HC173" s="18"/>
      <c r="HD173" s="18"/>
      <c r="HE173" s="18"/>
      <c r="HF173" s="18"/>
      <c r="HG173" s="18"/>
      <c r="HH173" s="18"/>
      <c r="HI173" s="18"/>
      <c r="HJ173" s="18"/>
      <c r="HK173" s="18"/>
      <c r="HL173" s="18"/>
      <c r="HM173" s="18"/>
      <c r="HN173" s="18"/>
      <c r="HO173" s="18"/>
      <c r="HP173" s="18"/>
      <c r="HQ173" s="18"/>
      <c r="HR173" s="18"/>
      <c r="HS173" s="18"/>
      <c r="HT173" s="18"/>
      <c r="HU173" s="18"/>
      <c r="HV173" s="18"/>
      <c r="HW173" s="18"/>
      <c r="HX173" s="18"/>
      <c r="HY173" s="18"/>
      <c r="HZ173" s="18"/>
      <c r="IA173" s="18"/>
      <c r="IB173" s="18"/>
      <c r="IC173" s="18"/>
      <c r="ID173" s="18"/>
      <c r="IE173" s="18"/>
      <c r="IF173" s="18"/>
      <c r="IG173" s="18"/>
      <c r="IH173" s="18"/>
      <c r="II173" s="18"/>
      <c r="IJ173" s="18"/>
      <c r="IK173" s="18"/>
      <c r="IL173" s="18"/>
      <c r="IM173" s="18"/>
      <c r="IN173" s="18"/>
      <c r="IO173" s="18"/>
      <c r="IP173" s="18"/>
      <c r="IQ173" s="18"/>
      <c r="IR173" s="18"/>
    </row>
    <row r="174" spans="1:252" s="349" customFormat="1" ht="15.75">
      <c r="A174" s="230">
        <f>+'Appendix A'!A48</f>
        <v>23</v>
      </c>
      <c r="B174" s="235"/>
      <c r="C174" s="332"/>
      <c r="D174" s="38"/>
      <c r="E174" s="1110" t="str">
        <f>'Appendix A'!E48</f>
        <v>(Notes B &amp; L)</v>
      </c>
      <c r="F174" s="1109" t="s">
        <v>1014</v>
      </c>
      <c r="G174" s="1108" t="str">
        <f>Toggle</f>
        <v>True-up</v>
      </c>
      <c r="H174" s="1147"/>
      <c r="I174" s="1005">
        <f>IF(Toggle=Projection,I173,IF(Toggle=True_up,AVERAGE(I172:I173),"Set Toggle!"))</f>
        <v>3657534.48</v>
      </c>
      <c r="J174" s="1147"/>
      <c r="K174" s="1001" t="str">
        <f>IF(Toggle=Projection,"current end-of-year balance",IF(Toggle=True_up,"beg-of-year and end-of-year average ","Set Toggle!"))</f>
        <v xml:space="preserve">beg-of-year and end-of-year average </v>
      </c>
      <c r="L174" s="1003"/>
      <c r="M174" s="812"/>
      <c r="O174" s="23"/>
      <c r="P174" s="2254"/>
      <c r="V174" s="18"/>
      <c r="W174" s="18"/>
      <c r="X174" s="18"/>
      <c r="Y174" s="18"/>
      <c r="Z174" s="18"/>
      <c r="AA174" s="18"/>
      <c r="AB174" s="18"/>
      <c r="AC174" s="18"/>
      <c r="AD174" s="18"/>
      <c r="AE174" s="18"/>
      <c r="AF174" s="18"/>
      <c r="AG174" s="18"/>
      <c r="AH174" s="18"/>
      <c r="AI174" s="18"/>
      <c r="AJ174" s="18"/>
      <c r="AK174" s="18"/>
      <c r="AL174" s="18"/>
      <c r="AM174" s="18"/>
      <c r="AN174" s="18"/>
      <c r="AO174" s="18"/>
      <c r="AP174" s="18"/>
      <c r="AQ174" s="18"/>
      <c r="AR174" s="18"/>
      <c r="AS174" s="18"/>
      <c r="AT174" s="18"/>
      <c r="AU174" s="18"/>
      <c r="AV174" s="18"/>
      <c r="AW174" s="18"/>
      <c r="AX174" s="18"/>
      <c r="AY174" s="18"/>
      <c r="AZ174" s="18"/>
      <c r="BA174" s="18"/>
      <c r="BB174" s="18"/>
      <c r="BC174" s="18"/>
      <c r="BD174" s="18"/>
      <c r="BE174" s="18"/>
      <c r="BF174" s="18"/>
      <c r="BG174" s="18"/>
      <c r="BH174" s="18"/>
      <c r="BI174" s="18"/>
      <c r="BJ174" s="18"/>
      <c r="BK174" s="18"/>
      <c r="BL174" s="18"/>
      <c r="BM174" s="18"/>
      <c r="BN174" s="18"/>
      <c r="BO174" s="18"/>
      <c r="BP174" s="18"/>
      <c r="BQ174" s="18"/>
      <c r="BR174" s="18"/>
      <c r="BS174" s="18"/>
      <c r="BT174" s="18"/>
      <c r="BU174" s="18"/>
      <c r="BV174" s="18"/>
      <c r="BW174" s="18"/>
      <c r="BX174" s="18"/>
      <c r="BY174" s="18"/>
      <c r="BZ174" s="18"/>
      <c r="CA174" s="18"/>
      <c r="CB174" s="18"/>
      <c r="CC174" s="18"/>
      <c r="CD174" s="18"/>
      <c r="CE174" s="18"/>
      <c r="CF174" s="18"/>
      <c r="CG174" s="18"/>
      <c r="CH174" s="18"/>
      <c r="CI174" s="18"/>
      <c r="CJ174" s="18"/>
      <c r="CK174" s="18"/>
      <c r="CL174" s="18"/>
      <c r="CM174" s="18"/>
      <c r="CN174" s="18"/>
      <c r="CO174" s="18"/>
      <c r="CP174" s="18"/>
      <c r="CQ174" s="18"/>
      <c r="CR174" s="18"/>
      <c r="CS174" s="18"/>
      <c r="CT174" s="18"/>
      <c r="CU174" s="18"/>
      <c r="CV174" s="18"/>
      <c r="CW174" s="18"/>
      <c r="CX174" s="18"/>
      <c r="CY174" s="18"/>
      <c r="CZ174" s="18"/>
      <c r="DA174" s="18"/>
      <c r="DB174" s="18"/>
      <c r="DC174" s="18"/>
      <c r="DD174" s="18"/>
      <c r="DE174" s="18"/>
      <c r="DF174" s="18"/>
      <c r="DG174" s="18"/>
      <c r="DH174" s="18"/>
      <c r="DI174" s="18"/>
      <c r="DJ174" s="18"/>
      <c r="DK174" s="18"/>
      <c r="DL174" s="18"/>
      <c r="DM174" s="18"/>
      <c r="DN174" s="18"/>
      <c r="DO174" s="18"/>
      <c r="DP174" s="18"/>
      <c r="DQ174" s="18"/>
      <c r="DR174" s="18"/>
      <c r="DS174" s="18"/>
      <c r="DT174" s="18"/>
      <c r="DU174" s="18"/>
      <c r="DV174" s="18"/>
      <c r="DW174" s="18"/>
      <c r="DX174" s="18"/>
      <c r="DY174" s="18"/>
      <c r="DZ174" s="18"/>
      <c r="EA174" s="18"/>
      <c r="EB174" s="18"/>
      <c r="EC174" s="18"/>
      <c r="ED174" s="18"/>
      <c r="EE174" s="18"/>
      <c r="EF174" s="18"/>
      <c r="EG174" s="18"/>
      <c r="EH174" s="18"/>
      <c r="EI174" s="18"/>
      <c r="EJ174" s="18"/>
      <c r="EK174" s="18"/>
      <c r="EL174" s="18"/>
      <c r="EM174" s="18"/>
      <c r="EN174" s="18"/>
      <c r="EO174" s="18"/>
      <c r="EP174" s="18"/>
      <c r="EQ174" s="18"/>
      <c r="ER174" s="18"/>
      <c r="ES174" s="18"/>
      <c r="ET174" s="18"/>
      <c r="EU174" s="18"/>
      <c r="EV174" s="18"/>
      <c r="EW174" s="18"/>
      <c r="EX174" s="18"/>
      <c r="EY174" s="18"/>
      <c r="EZ174" s="18"/>
      <c r="FA174" s="18"/>
      <c r="FB174" s="18"/>
      <c r="FC174" s="18"/>
      <c r="FD174" s="18"/>
      <c r="FE174" s="18"/>
      <c r="FF174" s="18"/>
      <c r="FG174" s="18"/>
      <c r="FH174" s="18"/>
      <c r="FI174" s="18"/>
      <c r="FJ174" s="18"/>
      <c r="FK174" s="18"/>
      <c r="FL174" s="18"/>
      <c r="FM174" s="18"/>
      <c r="FN174" s="18"/>
      <c r="FO174" s="18"/>
      <c r="FP174" s="18"/>
      <c r="FQ174" s="18"/>
      <c r="FR174" s="18"/>
      <c r="FS174" s="18"/>
      <c r="FT174" s="18"/>
      <c r="FU174" s="18"/>
      <c r="FV174" s="18"/>
      <c r="FW174" s="18"/>
      <c r="FX174" s="18"/>
      <c r="FY174" s="18"/>
      <c r="FZ174" s="18"/>
      <c r="GA174" s="18"/>
      <c r="GB174" s="18"/>
      <c r="GC174" s="18"/>
      <c r="GD174" s="18"/>
      <c r="GE174" s="18"/>
      <c r="GF174" s="18"/>
      <c r="GG174" s="18"/>
      <c r="GH174" s="18"/>
      <c r="GI174" s="18"/>
      <c r="GJ174" s="18"/>
      <c r="GK174" s="18"/>
      <c r="GL174" s="18"/>
      <c r="GM174" s="18"/>
      <c r="GN174" s="18"/>
      <c r="GO174" s="18"/>
      <c r="GP174" s="18"/>
      <c r="GQ174" s="18"/>
      <c r="GR174" s="18"/>
      <c r="GS174" s="18"/>
      <c r="GT174" s="18"/>
      <c r="GU174" s="18"/>
      <c r="GV174" s="18"/>
      <c r="GW174" s="18"/>
      <c r="GX174" s="18"/>
      <c r="GY174" s="18"/>
      <c r="GZ174" s="18"/>
      <c r="HA174" s="18"/>
      <c r="HB174" s="18"/>
      <c r="HC174" s="18"/>
      <c r="HD174" s="18"/>
      <c r="HE174" s="18"/>
      <c r="HF174" s="18"/>
      <c r="HG174" s="18"/>
      <c r="HH174" s="18"/>
      <c r="HI174" s="18"/>
      <c r="HJ174" s="18"/>
      <c r="HK174" s="18"/>
      <c r="HL174" s="18"/>
      <c r="HM174" s="18"/>
      <c r="HN174" s="18"/>
      <c r="HO174" s="18"/>
      <c r="HP174" s="18"/>
      <c r="HQ174" s="18"/>
      <c r="HR174" s="18"/>
      <c r="HS174" s="18"/>
      <c r="HT174" s="18"/>
      <c r="HU174" s="18"/>
      <c r="HV174" s="18"/>
      <c r="HW174" s="18"/>
      <c r="HX174" s="18"/>
      <c r="HY174" s="18"/>
      <c r="HZ174" s="18"/>
      <c r="IA174" s="18"/>
      <c r="IB174" s="18"/>
      <c r="IC174" s="18"/>
      <c r="ID174" s="18"/>
      <c r="IE174" s="18"/>
      <c r="IF174" s="18"/>
      <c r="IG174" s="18"/>
      <c r="IH174" s="18"/>
      <c r="II174" s="18"/>
      <c r="IJ174" s="18"/>
      <c r="IK174" s="18"/>
      <c r="IL174" s="18"/>
      <c r="IM174" s="18"/>
      <c r="IN174" s="18"/>
      <c r="IO174" s="18"/>
      <c r="IP174" s="18"/>
      <c r="IQ174" s="18"/>
      <c r="IR174" s="18"/>
    </row>
    <row r="175" spans="1:252" s="349" customFormat="1" ht="16.5" thickBot="1">
      <c r="A175" s="238"/>
      <c r="B175" s="837"/>
      <c r="C175" s="841"/>
      <c r="D175" s="844"/>
      <c r="E175" s="844"/>
      <c r="F175" s="854"/>
      <c r="G175" s="244"/>
      <c r="H175" s="872"/>
      <c r="I175" s="902"/>
      <c r="J175" s="872"/>
      <c r="K175" s="872"/>
      <c r="L175" s="872"/>
      <c r="M175" s="261"/>
      <c r="O175" s="23"/>
      <c r="P175" s="2254"/>
      <c r="V175" s="18"/>
      <c r="W175" s="18"/>
      <c r="X175" s="18"/>
      <c r="Y175" s="18"/>
      <c r="Z175" s="18"/>
      <c r="AA175" s="18"/>
      <c r="AB175" s="18"/>
      <c r="AC175" s="18"/>
      <c r="AD175" s="18"/>
      <c r="AE175" s="18"/>
      <c r="AF175" s="18"/>
      <c r="AG175" s="18"/>
      <c r="AH175" s="18"/>
      <c r="AI175" s="18"/>
      <c r="AJ175" s="18"/>
      <c r="AK175" s="18"/>
      <c r="AL175" s="18"/>
      <c r="AM175" s="18"/>
      <c r="AN175" s="18"/>
      <c r="AO175" s="18"/>
      <c r="AP175" s="18"/>
      <c r="AQ175" s="18"/>
      <c r="AR175" s="18"/>
      <c r="AS175" s="18"/>
      <c r="AT175" s="18"/>
      <c r="AU175" s="18"/>
      <c r="AV175" s="18"/>
      <c r="AW175" s="18"/>
      <c r="AX175" s="18"/>
      <c r="AY175" s="18"/>
      <c r="AZ175" s="18"/>
      <c r="BA175" s="18"/>
      <c r="BB175" s="18"/>
      <c r="BC175" s="18"/>
      <c r="BD175" s="18"/>
      <c r="BE175" s="18"/>
      <c r="BF175" s="18"/>
      <c r="BG175" s="18"/>
      <c r="BH175" s="18"/>
      <c r="BI175" s="18"/>
      <c r="BJ175" s="18"/>
      <c r="BK175" s="18"/>
      <c r="BL175" s="18"/>
      <c r="BM175" s="18"/>
      <c r="BN175" s="18"/>
      <c r="BO175" s="18"/>
      <c r="BP175" s="18"/>
      <c r="BQ175" s="18"/>
      <c r="BR175" s="18"/>
      <c r="BS175" s="18"/>
      <c r="BT175" s="18"/>
      <c r="BU175" s="18"/>
      <c r="BV175" s="18"/>
      <c r="BW175" s="18"/>
      <c r="BX175" s="18"/>
      <c r="BY175" s="18"/>
      <c r="BZ175" s="18"/>
      <c r="CA175" s="18"/>
      <c r="CB175" s="18"/>
      <c r="CC175" s="18"/>
      <c r="CD175" s="18"/>
      <c r="CE175" s="18"/>
      <c r="CF175" s="18"/>
      <c r="CG175" s="18"/>
      <c r="CH175" s="18"/>
      <c r="CI175" s="18"/>
      <c r="CJ175" s="18"/>
      <c r="CK175" s="18"/>
      <c r="CL175" s="18"/>
      <c r="CM175" s="18"/>
      <c r="CN175" s="18"/>
      <c r="CO175" s="18"/>
      <c r="CP175" s="18"/>
      <c r="CQ175" s="18"/>
      <c r="CR175" s="18"/>
      <c r="CS175" s="18"/>
      <c r="CT175" s="18"/>
      <c r="CU175" s="18"/>
      <c r="CV175" s="18"/>
      <c r="CW175" s="18"/>
      <c r="CX175" s="18"/>
      <c r="CY175" s="18"/>
      <c r="CZ175" s="18"/>
      <c r="DA175" s="18"/>
      <c r="DB175" s="18"/>
      <c r="DC175" s="18"/>
      <c r="DD175" s="18"/>
      <c r="DE175" s="18"/>
      <c r="DF175" s="18"/>
      <c r="DG175" s="18"/>
      <c r="DH175" s="18"/>
      <c r="DI175" s="18"/>
      <c r="DJ175" s="18"/>
      <c r="DK175" s="18"/>
      <c r="DL175" s="18"/>
      <c r="DM175" s="18"/>
      <c r="DN175" s="18"/>
      <c r="DO175" s="18"/>
      <c r="DP175" s="18"/>
      <c r="DQ175" s="18"/>
      <c r="DR175" s="18"/>
      <c r="DS175" s="18"/>
      <c r="DT175" s="18"/>
      <c r="DU175" s="18"/>
      <c r="DV175" s="18"/>
      <c r="DW175" s="18"/>
      <c r="DX175" s="18"/>
      <c r="DY175" s="18"/>
      <c r="DZ175" s="18"/>
      <c r="EA175" s="18"/>
      <c r="EB175" s="18"/>
      <c r="EC175" s="18"/>
      <c r="ED175" s="18"/>
      <c r="EE175" s="18"/>
      <c r="EF175" s="18"/>
      <c r="EG175" s="18"/>
      <c r="EH175" s="18"/>
      <c r="EI175" s="18"/>
      <c r="EJ175" s="18"/>
      <c r="EK175" s="18"/>
      <c r="EL175" s="18"/>
      <c r="EM175" s="18"/>
      <c r="EN175" s="18"/>
      <c r="EO175" s="18"/>
      <c r="EP175" s="18"/>
      <c r="EQ175" s="18"/>
      <c r="ER175" s="18"/>
      <c r="ES175" s="18"/>
      <c r="ET175" s="18"/>
      <c r="EU175" s="18"/>
      <c r="EV175" s="18"/>
      <c r="EW175" s="18"/>
      <c r="EX175" s="18"/>
      <c r="EY175" s="18"/>
      <c r="EZ175" s="18"/>
      <c r="FA175" s="18"/>
      <c r="FB175" s="18"/>
      <c r="FC175" s="18"/>
      <c r="FD175" s="18"/>
      <c r="FE175" s="18"/>
      <c r="FF175" s="18"/>
      <c r="FG175" s="18"/>
      <c r="FH175" s="18"/>
      <c r="FI175" s="18"/>
      <c r="FJ175" s="18"/>
      <c r="FK175" s="18"/>
      <c r="FL175" s="18"/>
      <c r="FM175" s="18"/>
      <c r="FN175" s="18"/>
      <c r="FO175" s="18"/>
      <c r="FP175" s="18"/>
      <c r="FQ175" s="18"/>
      <c r="FR175" s="18"/>
      <c r="FS175" s="18"/>
      <c r="FT175" s="18"/>
      <c r="FU175" s="18"/>
      <c r="FV175" s="18"/>
      <c r="FW175" s="18"/>
      <c r="FX175" s="18"/>
      <c r="FY175" s="18"/>
      <c r="FZ175" s="18"/>
      <c r="GA175" s="18"/>
      <c r="GB175" s="18"/>
      <c r="GC175" s="18"/>
      <c r="GD175" s="18"/>
      <c r="GE175" s="18"/>
      <c r="GF175" s="18"/>
      <c r="GG175" s="18"/>
      <c r="GH175" s="18"/>
      <c r="GI175" s="18"/>
      <c r="GJ175" s="18"/>
      <c r="GK175" s="18"/>
      <c r="GL175" s="18"/>
      <c r="GM175" s="18"/>
      <c r="GN175" s="18"/>
      <c r="GO175" s="18"/>
      <c r="GP175" s="18"/>
      <c r="GQ175" s="18"/>
      <c r="GR175" s="18"/>
      <c r="GS175" s="18"/>
      <c r="GT175" s="18"/>
      <c r="GU175" s="18"/>
      <c r="GV175" s="18"/>
      <c r="GW175" s="18"/>
      <c r="GX175" s="18"/>
      <c r="GY175" s="18"/>
      <c r="GZ175" s="18"/>
      <c r="HA175" s="18"/>
      <c r="HB175" s="18"/>
      <c r="HC175" s="18"/>
      <c r="HD175" s="18"/>
      <c r="HE175" s="18"/>
      <c r="HF175" s="18"/>
      <c r="HG175" s="18"/>
      <c r="HH175" s="18"/>
      <c r="HI175" s="18"/>
      <c r="HJ175" s="18"/>
      <c r="HK175" s="18"/>
      <c r="HL175" s="18"/>
      <c r="HM175" s="18"/>
      <c r="HN175" s="18"/>
      <c r="HO175" s="18"/>
      <c r="HP175" s="18"/>
      <c r="HQ175" s="18"/>
      <c r="HR175" s="18"/>
      <c r="HS175" s="18"/>
      <c r="HT175" s="18"/>
      <c r="HU175" s="18"/>
      <c r="HV175" s="18"/>
      <c r="HW175" s="18"/>
      <c r="HX175" s="18"/>
      <c r="HY175" s="18"/>
      <c r="HZ175" s="18"/>
      <c r="IA175" s="18"/>
      <c r="IB175" s="18"/>
      <c r="IC175" s="18"/>
      <c r="ID175" s="18"/>
      <c r="IE175" s="18"/>
      <c r="IF175" s="18"/>
      <c r="IG175" s="18"/>
      <c r="IH175" s="18"/>
      <c r="II175" s="18"/>
      <c r="IJ175" s="18"/>
      <c r="IK175" s="18"/>
      <c r="IL175" s="18"/>
      <c r="IM175" s="18"/>
      <c r="IN175" s="18"/>
      <c r="IO175" s="18"/>
      <c r="IP175" s="18"/>
      <c r="IQ175" s="18"/>
      <c r="IR175" s="18"/>
    </row>
    <row r="176" spans="1:252">
      <c r="O176" s="23"/>
      <c r="Q176" s="349"/>
      <c r="R176" s="349"/>
      <c r="S176" s="349"/>
      <c r="T176" s="349"/>
      <c r="U176" s="349"/>
    </row>
    <row r="177" spans="1:252">
      <c r="O177" s="23"/>
    </row>
    <row r="178" spans="1:252" s="349" customFormat="1" ht="16.5" thickBot="1">
      <c r="A178" s="878" t="s">
        <v>194</v>
      </c>
      <c r="B178" s="23"/>
      <c r="C178" s="23"/>
      <c r="D178" s="23"/>
      <c r="E178" s="23"/>
      <c r="F178" s="23"/>
      <c r="G178" s="23"/>
      <c r="H178" s="23"/>
      <c r="I178" s="23"/>
      <c r="O178" s="23"/>
      <c r="P178" s="2254"/>
      <c r="T178" s="18"/>
      <c r="U178" s="18"/>
      <c r="V178" s="18"/>
      <c r="W178" s="18"/>
      <c r="X178" s="18"/>
      <c r="Y178" s="18"/>
      <c r="Z178" s="18"/>
      <c r="AA178" s="18"/>
      <c r="AB178" s="18"/>
      <c r="AC178" s="18"/>
      <c r="AD178" s="18"/>
      <c r="AE178" s="18"/>
      <c r="AF178" s="18"/>
      <c r="AG178" s="18"/>
      <c r="AH178" s="18"/>
      <c r="AI178" s="18"/>
      <c r="AJ178" s="18"/>
      <c r="AK178" s="18"/>
      <c r="AL178" s="18"/>
      <c r="AM178" s="18"/>
      <c r="AN178" s="18"/>
      <c r="AO178" s="18"/>
      <c r="AP178" s="18"/>
      <c r="AQ178" s="18"/>
      <c r="AR178" s="18"/>
      <c r="AS178" s="18"/>
      <c r="AT178" s="18"/>
      <c r="AU178" s="18"/>
      <c r="AV178" s="18"/>
      <c r="AW178" s="18"/>
      <c r="AX178" s="18"/>
      <c r="AY178" s="18"/>
      <c r="AZ178" s="18"/>
      <c r="BA178" s="18"/>
      <c r="BB178" s="18"/>
      <c r="BC178" s="18"/>
      <c r="BD178" s="18"/>
      <c r="BE178" s="18"/>
      <c r="BF178" s="18"/>
      <c r="BG178" s="18"/>
      <c r="BH178" s="18"/>
      <c r="BI178" s="18"/>
      <c r="BJ178" s="18"/>
      <c r="BK178" s="18"/>
      <c r="BL178" s="18"/>
      <c r="BM178" s="18"/>
      <c r="BN178" s="18"/>
      <c r="BO178" s="18"/>
      <c r="BP178" s="18"/>
      <c r="BQ178" s="18"/>
      <c r="BR178" s="18"/>
      <c r="BS178" s="18"/>
      <c r="BT178" s="18"/>
      <c r="BU178" s="18"/>
      <c r="BV178" s="18"/>
      <c r="BW178" s="18"/>
      <c r="BX178" s="18"/>
      <c r="BY178" s="18"/>
      <c r="BZ178" s="18"/>
      <c r="CA178" s="18"/>
      <c r="CB178" s="18"/>
      <c r="CC178" s="18"/>
      <c r="CD178" s="18"/>
      <c r="CE178" s="18"/>
      <c r="CF178" s="18"/>
      <c r="CG178" s="18"/>
      <c r="CH178" s="18"/>
      <c r="CI178" s="18"/>
      <c r="CJ178" s="18"/>
      <c r="CK178" s="18"/>
      <c r="CL178" s="18"/>
      <c r="CM178" s="18"/>
      <c r="CN178" s="18"/>
      <c r="CO178" s="18"/>
      <c r="CP178" s="18"/>
      <c r="CQ178" s="18"/>
      <c r="CR178" s="18"/>
      <c r="CS178" s="18"/>
      <c r="CT178" s="18"/>
      <c r="CU178" s="18"/>
      <c r="CV178" s="18"/>
      <c r="CW178" s="18"/>
      <c r="CX178" s="18"/>
      <c r="CY178" s="18"/>
      <c r="CZ178" s="18"/>
      <c r="DA178" s="18"/>
      <c r="DB178" s="18"/>
      <c r="DC178" s="18"/>
      <c r="DD178" s="18"/>
      <c r="DE178" s="18"/>
      <c r="DF178" s="18"/>
      <c r="DG178" s="18"/>
      <c r="DH178" s="18"/>
      <c r="DI178" s="18"/>
      <c r="DJ178" s="18"/>
      <c r="DK178" s="18"/>
      <c r="DL178" s="18"/>
      <c r="DM178" s="18"/>
      <c r="DN178" s="18"/>
      <c r="DO178" s="18"/>
      <c r="DP178" s="18"/>
      <c r="DQ178" s="18"/>
      <c r="DR178" s="18"/>
      <c r="DS178" s="18"/>
      <c r="DT178" s="18"/>
      <c r="DU178" s="18"/>
      <c r="DV178" s="18"/>
      <c r="DW178" s="18"/>
      <c r="DX178" s="18"/>
      <c r="DY178" s="18"/>
      <c r="DZ178" s="18"/>
      <c r="EA178" s="18"/>
      <c r="EB178" s="18"/>
      <c r="EC178" s="18"/>
      <c r="ED178" s="18"/>
      <c r="EE178" s="18"/>
      <c r="EF178" s="18"/>
      <c r="EG178" s="18"/>
      <c r="EH178" s="18"/>
      <c r="EI178" s="18"/>
      <c r="EJ178" s="18"/>
      <c r="EK178" s="18"/>
      <c r="EL178" s="18"/>
      <c r="EM178" s="18"/>
      <c r="EN178" s="18"/>
      <c r="EO178" s="18"/>
      <c r="EP178" s="18"/>
      <c r="EQ178" s="18"/>
      <c r="ER178" s="18"/>
      <c r="ES178" s="18"/>
      <c r="ET178" s="18"/>
      <c r="EU178" s="18"/>
      <c r="EV178" s="18"/>
      <c r="EW178" s="18"/>
      <c r="EX178" s="18"/>
      <c r="EY178" s="18"/>
      <c r="EZ178" s="18"/>
      <c r="FA178" s="18"/>
      <c r="FB178" s="18"/>
      <c r="FC178" s="18"/>
      <c r="FD178" s="18"/>
      <c r="FE178" s="18"/>
      <c r="FF178" s="18"/>
      <c r="FG178" s="18"/>
      <c r="FH178" s="18"/>
      <c r="FI178" s="18"/>
      <c r="FJ178" s="18"/>
      <c r="FK178" s="18"/>
      <c r="FL178" s="18"/>
      <c r="FM178" s="18"/>
      <c r="FN178" s="18"/>
      <c r="FO178" s="18"/>
      <c r="FP178" s="18"/>
      <c r="FQ178" s="18"/>
      <c r="FR178" s="18"/>
      <c r="FS178" s="18"/>
      <c r="FT178" s="18"/>
      <c r="FU178" s="18"/>
      <c r="FV178" s="18"/>
      <c r="FW178" s="18"/>
      <c r="FX178" s="18"/>
      <c r="FY178" s="18"/>
      <c r="FZ178" s="18"/>
      <c r="GA178" s="18"/>
      <c r="GB178" s="18"/>
      <c r="GC178" s="18"/>
      <c r="GD178" s="18"/>
      <c r="GE178" s="18"/>
      <c r="GF178" s="18"/>
      <c r="GG178" s="18"/>
      <c r="GH178" s="18"/>
      <c r="GI178" s="18"/>
      <c r="GJ178" s="18"/>
      <c r="GK178" s="18"/>
      <c r="GL178" s="18"/>
      <c r="GM178" s="18"/>
      <c r="GN178" s="18"/>
      <c r="GO178" s="18"/>
      <c r="GP178" s="18"/>
      <c r="GQ178" s="18"/>
      <c r="GR178" s="18"/>
      <c r="GS178" s="18"/>
      <c r="GT178" s="18"/>
      <c r="GU178" s="18"/>
      <c r="GV178" s="18"/>
      <c r="GW178" s="18"/>
      <c r="GX178" s="18"/>
      <c r="GY178" s="18"/>
      <c r="GZ178" s="18"/>
      <c r="HA178" s="18"/>
      <c r="HB178" s="18"/>
      <c r="HC178" s="18"/>
      <c r="HD178" s="18"/>
      <c r="HE178" s="18"/>
      <c r="HF178" s="18"/>
      <c r="HG178" s="18"/>
      <c r="HH178" s="18"/>
      <c r="HI178" s="18"/>
      <c r="HJ178" s="18"/>
      <c r="HK178" s="18"/>
      <c r="HL178" s="18"/>
      <c r="HM178" s="18"/>
      <c r="HN178" s="18"/>
      <c r="HO178" s="18"/>
      <c r="HP178" s="18"/>
      <c r="HQ178" s="18"/>
      <c r="HR178" s="18"/>
      <c r="HS178" s="18"/>
      <c r="HT178" s="18"/>
      <c r="HU178" s="18"/>
      <c r="HV178" s="18"/>
      <c r="HW178" s="18"/>
      <c r="HX178" s="18"/>
      <c r="HY178" s="18"/>
      <c r="HZ178" s="18"/>
      <c r="IA178" s="18"/>
      <c r="IB178" s="18"/>
      <c r="IC178" s="18"/>
      <c r="ID178" s="18"/>
      <c r="IE178" s="18"/>
      <c r="IF178" s="18"/>
      <c r="IG178" s="18"/>
      <c r="IH178" s="18"/>
      <c r="II178" s="18"/>
      <c r="IJ178" s="18"/>
      <c r="IK178" s="18"/>
      <c r="IL178" s="18"/>
      <c r="IM178" s="18"/>
      <c r="IN178" s="18"/>
      <c r="IO178" s="18"/>
      <c r="IP178" s="18"/>
      <c r="IQ178" s="18"/>
      <c r="IR178" s="18"/>
    </row>
    <row r="179" spans="1:252" s="349" customFormat="1">
      <c r="A179" s="2696" t="s">
        <v>206</v>
      </c>
      <c r="B179" s="2697"/>
      <c r="C179" s="2697"/>
      <c r="D179" s="2697"/>
      <c r="E179" s="2697"/>
      <c r="F179" s="2697"/>
      <c r="G179" s="2698"/>
      <c r="H179" s="906"/>
      <c r="I179" s="907" t="s">
        <v>1</v>
      </c>
      <c r="J179" s="907"/>
      <c r="K179" s="2693" t="s">
        <v>83</v>
      </c>
      <c r="L179" s="2693"/>
      <c r="M179" s="2694"/>
      <c r="P179" s="2254"/>
      <c r="T179" s="18"/>
      <c r="U179" s="18"/>
      <c r="V179" s="18"/>
      <c r="W179" s="18"/>
      <c r="X179" s="18"/>
      <c r="Y179" s="18"/>
      <c r="Z179" s="18"/>
      <c r="AA179" s="18"/>
      <c r="AB179" s="18"/>
      <c r="AC179" s="18"/>
      <c r="AD179" s="18"/>
      <c r="AE179" s="18"/>
      <c r="AF179" s="18"/>
      <c r="AG179" s="18"/>
      <c r="AH179" s="18"/>
      <c r="AI179" s="18"/>
      <c r="AJ179" s="18"/>
      <c r="AK179" s="18"/>
      <c r="AL179" s="18"/>
      <c r="AM179" s="18"/>
      <c r="AN179" s="18"/>
      <c r="AO179" s="18"/>
      <c r="AP179" s="18"/>
      <c r="AQ179" s="18"/>
      <c r="AR179" s="18"/>
      <c r="AS179" s="18"/>
      <c r="AT179" s="18"/>
      <c r="AU179" s="18"/>
      <c r="AV179" s="18"/>
      <c r="AW179" s="18"/>
      <c r="AX179" s="18"/>
      <c r="AY179" s="18"/>
      <c r="AZ179" s="18"/>
      <c r="BA179" s="18"/>
      <c r="BB179" s="18"/>
      <c r="BC179" s="18"/>
      <c r="BD179" s="18"/>
      <c r="BE179" s="18"/>
      <c r="BF179" s="18"/>
      <c r="BG179" s="18"/>
      <c r="BH179" s="18"/>
      <c r="BI179" s="18"/>
      <c r="BJ179" s="18"/>
      <c r="BK179" s="18"/>
      <c r="BL179" s="18"/>
      <c r="BM179" s="18"/>
      <c r="BN179" s="18"/>
      <c r="BO179" s="18"/>
      <c r="BP179" s="18"/>
      <c r="BQ179" s="18"/>
      <c r="BR179" s="18"/>
      <c r="BS179" s="18"/>
      <c r="BT179" s="18"/>
      <c r="BU179" s="18"/>
      <c r="BV179" s="18"/>
      <c r="BW179" s="18"/>
      <c r="BX179" s="18"/>
      <c r="BY179" s="18"/>
      <c r="BZ179" s="18"/>
      <c r="CA179" s="18"/>
      <c r="CB179" s="18"/>
      <c r="CC179" s="18"/>
      <c r="CD179" s="18"/>
      <c r="CE179" s="18"/>
      <c r="CF179" s="18"/>
      <c r="CG179" s="18"/>
      <c r="CH179" s="18"/>
      <c r="CI179" s="18"/>
      <c r="CJ179" s="18"/>
      <c r="CK179" s="18"/>
      <c r="CL179" s="18"/>
      <c r="CM179" s="18"/>
      <c r="CN179" s="18"/>
      <c r="CO179" s="18"/>
      <c r="CP179" s="18"/>
      <c r="CQ179" s="18"/>
      <c r="CR179" s="18"/>
      <c r="CS179" s="18"/>
      <c r="CT179" s="18"/>
      <c r="CU179" s="18"/>
      <c r="CV179" s="18"/>
      <c r="CW179" s="18"/>
      <c r="CX179" s="18"/>
      <c r="CY179" s="18"/>
      <c r="CZ179" s="18"/>
      <c r="DA179" s="18"/>
      <c r="DB179" s="18"/>
      <c r="DC179" s="18"/>
      <c r="DD179" s="18"/>
      <c r="DE179" s="18"/>
      <c r="DF179" s="18"/>
      <c r="DG179" s="18"/>
      <c r="DH179" s="18"/>
      <c r="DI179" s="18"/>
      <c r="DJ179" s="18"/>
      <c r="DK179" s="18"/>
      <c r="DL179" s="18"/>
      <c r="DM179" s="18"/>
      <c r="DN179" s="18"/>
      <c r="DO179" s="18"/>
      <c r="DP179" s="18"/>
      <c r="DQ179" s="18"/>
      <c r="DR179" s="18"/>
      <c r="DS179" s="18"/>
      <c r="DT179" s="18"/>
      <c r="DU179" s="18"/>
      <c r="DV179" s="18"/>
      <c r="DW179" s="18"/>
      <c r="DX179" s="18"/>
      <c r="DY179" s="18"/>
      <c r="DZ179" s="18"/>
      <c r="EA179" s="18"/>
      <c r="EB179" s="18"/>
      <c r="EC179" s="18"/>
      <c r="ED179" s="18"/>
      <c r="EE179" s="18"/>
      <c r="EF179" s="18"/>
      <c r="EG179" s="18"/>
      <c r="EH179" s="18"/>
      <c r="EI179" s="18"/>
      <c r="EJ179" s="18"/>
      <c r="EK179" s="18"/>
      <c r="EL179" s="18"/>
      <c r="EM179" s="18"/>
      <c r="EN179" s="18"/>
      <c r="EO179" s="18"/>
      <c r="EP179" s="18"/>
      <c r="EQ179" s="18"/>
      <c r="ER179" s="18"/>
      <c r="ES179" s="18"/>
      <c r="ET179" s="18"/>
      <c r="EU179" s="18"/>
      <c r="EV179" s="18"/>
      <c r="EW179" s="18"/>
      <c r="EX179" s="18"/>
      <c r="EY179" s="18"/>
      <c r="EZ179" s="18"/>
      <c r="FA179" s="18"/>
      <c r="FB179" s="18"/>
      <c r="FC179" s="18"/>
      <c r="FD179" s="18"/>
      <c r="FE179" s="18"/>
      <c r="FF179" s="18"/>
      <c r="FG179" s="18"/>
      <c r="FH179" s="18"/>
      <c r="FI179" s="18"/>
      <c r="FJ179" s="18"/>
      <c r="FK179" s="18"/>
      <c r="FL179" s="18"/>
      <c r="FM179" s="18"/>
      <c r="FN179" s="18"/>
      <c r="FO179" s="18"/>
      <c r="FP179" s="18"/>
      <c r="FQ179" s="18"/>
      <c r="FR179" s="18"/>
      <c r="FS179" s="18"/>
      <c r="FT179" s="18"/>
      <c r="FU179" s="18"/>
      <c r="FV179" s="18"/>
      <c r="FW179" s="18"/>
      <c r="FX179" s="18"/>
      <c r="FY179" s="18"/>
      <c r="FZ179" s="18"/>
      <c r="GA179" s="18"/>
      <c r="GB179" s="18"/>
      <c r="GC179" s="18"/>
      <c r="GD179" s="18"/>
      <c r="GE179" s="18"/>
      <c r="GF179" s="18"/>
      <c r="GG179" s="18"/>
      <c r="GH179" s="18"/>
      <c r="GI179" s="18"/>
      <c r="GJ179" s="18"/>
      <c r="GK179" s="18"/>
      <c r="GL179" s="18"/>
      <c r="GM179" s="18"/>
      <c r="GN179" s="18"/>
      <c r="GO179" s="18"/>
      <c r="GP179" s="18"/>
      <c r="GQ179" s="18"/>
      <c r="GR179" s="18"/>
      <c r="GS179" s="18"/>
      <c r="GT179" s="18"/>
      <c r="GU179" s="18"/>
      <c r="GV179" s="18"/>
      <c r="GW179" s="18"/>
      <c r="GX179" s="18"/>
      <c r="GY179" s="18"/>
      <c r="GZ179" s="18"/>
      <c r="HA179" s="18"/>
      <c r="HB179" s="18"/>
      <c r="HC179" s="18"/>
      <c r="HD179" s="18"/>
      <c r="HE179" s="18"/>
      <c r="HF179" s="18"/>
      <c r="HG179" s="18"/>
      <c r="HH179" s="18"/>
      <c r="HI179" s="18"/>
      <c r="HJ179" s="18"/>
      <c r="HK179" s="18"/>
      <c r="HL179" s="18"/>
      <c r="HM179" s="18"/>
      <c r="HN179" s="18"/>
      <c r="HO179" s="18"/>
      <c r="HP179" s="18"/>
      <c r="HQ179" s="18"/>
      <c r="HR179" s="18"/>
      <c r="HS179" s="18"/>
      <c r="HT179" s="18"/>
      <c r="HU179" s="18"/>
      <c r="HV179" s="18"/>
      <c r="HW179" s="18"/>
      <c r="HX179" s="18"/>
      <c r="HY179" s="18"/>
      <c r="HZ179" s="18"/>
      <c r="IA179" s="18"/>
      <c r="IB179" s="18"/>
      <c r="IC179" s="18"/>
      <c r="ID179" s="18"/>
      <c r="IE179" s="18"/>
      <c r="IF179" s="18"/>
      <c r="IG179" s="18"/>
      <c r="IH179" s="18"/>
      <c r="II179" s="18"/>
      <c r="IJ179" s="18"/>
      <c r="IK179" s="18"/>
      <c r="IL179" s="18"/>
      <c r="IM179" s="18"/>
      <c r="IN179" s="18"/>
      <c r="IO179" s="18"/>
      <c r="IP179" s="18"/>
      <c r="IQ179" s="18"/>
      <c r="IR179" s="18"/>
    </row>
    <row r="180" spans="1:252" s="349" customFormat="1" ht="15.75">
      <c r="A180" s="230"/>
      <c r="B180" s="17"/>
      <c r="C180" s="37"/>
      <c r="D180" s="37"/>
      <c r="E180" s="37"/>
      <c r="F180" s="245"/>
      <c r="G180" s="853"/>
      <c r="H180" s="255"/>
      <c r="I180" s="384"/>
      <c r="J180" s="38"/>
      <c r="K180" s="919"/>
      <c r="L180" s="919"/>
      <c r="M180" s="920"/>
      <c r="P180" s="2254"/>
      <c r="T180" s="18"/>
      <c r="U180" s="18"/>
      <c r="V180" s="18"/>
      <c r="W180" s="18"/>
      <c r="X180" s="18"/>
      <c r="Y180" s="18"/>
      <c r="Z180" s="18"/>
      <c r="AA180" s="18"/>
      <c r="AB180" s="18"/>
      <c r="AC180" s="18"/>
      <c r="AD180" s="18"/>
      <c r="AE180" s="18"/>
      <c r="AF180" s="18"/>
      <c r="AG180" s="18"/>
      <c r="AH180" s="18"/>
      <c r="AI180" s="18"/>
      <c r="AJ180" s="18"/>
      <c r="AK180" s="18"/>
      <c r="AL180" s="18"/>
      <c r="AM180" s="18"/>
      <c r="AN180" s="18"/>
      <c r="AO180" s="18"/>
      <c r="AP180" s="18"/>
      <c r="AQ180" s="18"/>
      <c r="AR180" s="18"/>
      <c r="AS180" s="18"/>
      <c r="AT180" s="18"/>
      <c r="AU180" s="18"/>
      <c r="AV180" s="18"/>
      <c r="AW180" s="18"/>
      <c r="AX180" s="18"/>
      <c r="AY180" s="18"/>
      <c r="AZ180" s="18"/>
      <c r="BA180" s="18"/>
      <c r="BB180" s="18"/>
      <c r="BC180" s="18"/>
      <c r="BD180" s="18"/>
      <c r="BE180" s="18"/>
      <c r="BF180" s="18"/>
      <c r="BG180" s="18"/>
      <c r="BH180" s="18"/>
      <c r="BI180" s="18"/>
      <c r="BJ180" s="18"/>
      <c r="BK180" s="18"/>
      <c r="BL180" s="18"/>
      <c r="BM180" s="18"/>
      <c r="BN180" s="18"/>
      <c r="BO180" s="18"/>
      <c r="BP180" s="18"/>
      <c r="BQ180" s="18"/>
      <c r="BR180" s="18"/>
      <c r="BS180" s="18"/>
      <c r="BT180" s="18"/>
      <c r="BU180" s="18"/>
      <c r="BV180" s="18"/>
      <c r="BW180" s="18"/>
      <c r="BX180" s="18"/>
      <c r="BY180" s="18"/>
      <c r="BZ180" s="18"/>
      <c r="CA180" s="18"/>
      <c r="CB180" s="18"/>
      <c r="CC180" s="18"/>
      <c r="CD180" s="18"/>
      <c r="CE180" s="18"/>
      <c r="CF180" s="18"/>
      <c r="CG180" s="18"/>
      <c r="CH180" s="18"/>
      <c r="CI180" s="18"/>
      <c r="CJ180" s="18"/>
      <c r="CK180" s="18"/>
      <c r="CL180" s="18"/>
      <c r="CM180" s="18"/>
      <c r="CN180" s="18"/>
      <c r="CO180" s="18"/>
      <c r="CP180" s="18"/>
      <c r="CQ180" s="18"/>
      <c r="CR180" s="18"/>
      <c r="CS180" s="18"/>
      <c r="CT180" s="18"/>
      <c r="CU180" s="18"/>
      <c r="CV180" s="18"/>
      <c r="CW180" s="18"/>
      <c r="CX180" s="18"/>
      <c r="CY180" s="18"/>
      <c r="CZ180" s="18"/>
      <c r="DA180" s="18"/>
      <c r="DB180" s="18"/>
      <c r="DC180" s="18"/>
      <c r="DD180" s="18"/>
      <c r="DE180" s="18"/>
      <c r="DF180" s="18"/>
      <c r="DG180" s="18"/>
      <c r="DH180" s="18"/>
      <c r="DI180" s="18"/>
      <c r="DJ180" s="18"/>
      <c r="DK180" s="18"/>
      <c r="DL180" s="18"/>
      <c r="DM180" s="18"/>
      <c r="DN180" s="18"/>
      <c r="DO180" s="18"/>
      <c r="DP180" s="18"/>
      <c r="DQ180" s="18"/>
      <c r="DR180" s="18"/>
      <c r="DS180" s="18"/>
      <c r="DT180" s="18"/>
      <c r="DU180" s="18"/>
      <c r="DV180" s="18"/>
      <c r="DW180" s="18"/>
      <c r="DX180" s="18"/>
      <c r="DY180" s="18"/>
      <c r="DZ180" s="18"/>
      <c r="EA180" s="18"/>
      <c r="EB180" s="18"/>
      <c r="EC180" s="18"/>
      <c r="ED180" s="18"/>
      <c r="EE180" s="18"/>
      <c r="EF180" s="18"/>
      <c r="EG180" s="18"/>
      <c r="EH180" s="18"/>
      <c r="EI180" s="18"/>
      <c r="EJ180" s="18"/>
      <c r="EK180" s="18"/>
      <c r="EL180" s="18"/>
      <c r="EM180" s="18"/>
      <c r="EN180" s="18"/>
      <c r="EO180" s="18"/>
      <c r="EP180" s="18"/>
      <c r="EQ180" s="18"/>
      <c r="ER180" s="18"/>
      <c r="ES180" s="18"/>
      <c r="ET180" s="18"/>
      <c r="EU180" s="18"/>
      <c r="EV180" s="18"/>
      <c r="EW180" s="18"/>
      <c r="EX180" s="18"/>
      <c r="EY180" s="18"/>
      <c r="EZ180" s="18"/>
      <c r="FA180" s="18"/>
      <c r="FB180" s="18"/>
      <c r="FC180" s="18"/>
      <c r="FD180" s="18"/>
      <c r="FE180" s="18"/>
      <c r="FF180" s="18"/>
      <c r="FG180" s="18"/>
      <c r="FH180" s="18"/>
      <c r="FI180" s="18"/>
      <c r="FJ180" s="18"/>
      <c r="FK180" s="18"/>
      <c r="FL180" s="18"/>
      <c r="FM180" s="18"/>
      <c r="FN180" s="18"/>
      <c r="FO180" s="18"/>
      <c r="FP180" s="18"/>
      <c r="FQ180" s="18"/>
      <c r="FR180" s="18"/>
      <c r="FS180" s="18"/>
      <c r="FT180" s="18"/>
      <c r="FU180" s="18"/>
      <c r="FV180" s="18"/>
      <c r="FW180" s="18"/>
      <c r="FX180" s="18"/>
      <c r="FY180" s="18"/>
      <c r="FZ180" s="18"/>
      <c r="GA180" s="18"/>
      <c r="GB180" s="18"/>
      <c r="GC180" s="18"/>
      <c r="GD180" s="18"/>
      <c r="GE180" s="18"/>
      <c r="GF180" s="18"/>
      <c r="GG180" s="18"/>
      <c r="GH180" s="18"/>
      <c r="GI180" s="18"/>
      <c r="GJ180" s="18"/>
      <c r="GK180" s="18"/>
      <c r="GL180" s="18"/>
      <c r="GM180" s="18"/>
      <c r="GN180" s="18"/>
      <c r="GO180" s="18"/>
      <c r="GP180" s="18"/>
      <c r="GQ180" s="18"/>
      <c r="GR180" s="18"/>
      <c r="GS180" s="18"/>
      <c r="GT180" s="18"/>
      <c r="GU180" s="18"/>
      <c r="GV180" s="18"/>
      <c r="GW180" s="18"/>
      <c r="GX180" s="18"/>
      <c r="GY180" s="18"/>
      <c r="GZ180" s="18"/>
      <c r="HA180" s="18"/>
      <c r="HB180" s="18"/>
      <c r="HC180" s="18"/>
      <c r="HD180" s="18"/>
      <c r="HE180" s="18"/>
      <c r="HF180" s="18"/>
      <c r="HG180" s="18"/>
      <c r="HH180" s="18"/>
      <c r="HI180" s="18"/>
      <c r="HJ180" s="18"/>
      <c r="HK180" s="18"/>
      <c r="HL180" s="18"/>
      <c r="HM180" s="18"/>
      <c r="HN180" s="18"/>
      <c r="HO180" s="18"/>
      <c r="HP180" s="18"/>
      <c r="HQ180" s="18"/>
      <c r="HR180" s="18"/>
      <c r="HS180" s="18"/>
      <c r="HT180" s="18"/>
      <c r="HU180" s="18"/>
      <c r="HV180" s="18"/>
      <c r="HW180" s="18"/>
      <c r="HX180" s="18"/>
      <c r="HY180" s="18"/>
      <c r="HZ180" s="18"/>
      <c r="IA180" s="18"/>
      <c r="IB180" s="18"/>
      <c r="IC180" s="18"/>
      <c r="ID180" s="18"/>
      <c r="IE180" s="18"/>
      <c r="IF180" s="18"/>
      <c r="IG180" s="18"/>
      <c r="IH180" s="18"/>
      <c r="II180" s="18"/>
      <c r="IJ180" s="18"/>
      <c r="IK180" s="18"/>
      <c r="IL180" s="18"/>
      <c r="IM180" s="18"/>
      <c r="IN180" s="18"/>
      <c r="IO180" s="18"/>
      <c r="IP180" s="18"/>
      <c r="IQ180" s="18"/>
      <c r="IR180" s="18"/>
    </row>
    <row r="181" spans="1:252" s="349" customFormat="1" ht="15.75">
      <c r="A181" s="230"/>
      <c r="B181" s="228"/>
      <c r="C181" s="332"/>
      <c r="D181" s="37"/>
      <c r="E181" s="37"/>
      <c r="F181" s="245"/>
      <c r="G181" s="853"/>
      <c r="H181" s="248"/>
      <c r="I181" s="120"/>
      <c r="J181" s="120"/>
      <c r="K181" s="379"/>
      <c r="L181" s="380"/>
      <c r="M181" s="381"/>
      <c r="P181" s="2254"/>
      <c r="X181" s="18"/>
      <c r="Y181" s="18"/>
      <c r="Z181" s="18"/>
      <c r="AA181" s="18"/>
      <c r="AB181" s="18"/>
      <c r="AC181" s="18"/>
      <c r="AD181" s="18"/>
      <c r="AE181" s="18"/>
      <c r="AF181" s="18"/>
      <c r="AG181" s="18"/>
      <c r="AH181" s="18"/>
      <c r="AI181" s="18"/>
      <c r="AJ181" s="18"/>
      <c r="AK181" s="18"/>
      <c r="AL181" s="18"/>
      <c r="AM181" s="18"/>
      <c r="AN181" s="18"/>
      <c r="AO181" s="18"/>
      <c r="AP181" s="18"/>
      <c r="AQ181" s="18"/>
      <c r="AR181" s="18"/>
      <c r="AS181" s="18"/>
      <c r="AT181" s="18"/>
      <c r="AU181" s="18"/>
      <c r="AV181" s="18"/>
      <c r="AW181" s="18"/>
      <c r="AX181" s="18"/>
      <c r="AY181" s="18"/>
      <c r="AZ181" s="18"/>
      <c r="BA181" s="18"/>
      <c r="BB181" s="18"/>
      <c r="BC181" s="18"/>
      <c r="BD181" s="18"/>
      <c r="BE181" s="18"/>
      <c r="BF181" s="18"/>
      <c r="BG181" s="18"/>
      <c r="BH181" s="18"/>
      <c r="BI181" s="18"/>
      <c r="BJ181" s="18"/>
      <c r="BK181" s="18"/>
      <c r="BL181" s="18"/>
      <c r="BM181" s="18"/>
      <c r="BN181" s="18"/>
      <c r="BO181" s="18"/>
      <c r="BP181" s="18"/>
      <c r="BQ181" s="18"/>
      <c r="BR181" s="18"/>
      <c r="BS181" s="18"/>
      <c r="BT181" s="18"/>
      <c r="BU181" s="18"/>
      <c r="BV181" s="18"/>
      <c r="BW181" s="18"/>
      <c r="BX181" s="18"/>
      <c r="BY181" s="18"/>
      <c r="BZ181" s="18"/>
      <c r="CA181" s="18"/>
      <c r="CB181" s="18"/>
      <c r="CC181" s="18"/>
      <c r="CD181" s="18"/>
      <c r="CE181" s="18"/>
      <c r="CF181" s="18"/>
      <c r="CG181" s="18"/>
      <c r="CH181" s="18"/>
      <c r="CI181" s="18"/>
      <c r="CJ181" s="18"/>
      <c r="CK181" s="18"/>
      <c r="CL181" s="18"/>
      <c r="CM181" s="18"/>
      <c r="CN181" s="18"/>
      <c r="CO181" s="18"/>
      <c r="CP181" s="18"/>
      <c r="CQ181" s="18"/>
      <c r="CR181" s="18"/>
      <c r="CS181" s="18"/>
      <c r="CT181" s="18"/>
      <c r="CU181" s="18"/>
      <c r="CV181" s="18"/>
      <c r="CW181" s="18"/>
      <c r="CX181" s="18"/>
      <c r="CY181" s="18"/>
      <c r="CZ181" s="18"/>
      <c r="DA181" s="18"/>
      <c r="DB181" s="18"/>
      <c r="DC181" s="18"/>
      <c r="DD181" s="18"/>
      <c r="DE181" s="18"/>
      <c r="DF181" s="18"/>
      <c r="DG181" s="18"/>
      <c r="DH181" s="18"/>
      <c r="DI181" s="18"/>
      <c r="DJ181" s="18"/>
      <c r="DK181" s="18"/>
      <c r="DL181" s="18"/>
      <c r="DM181" s="18"/>
      <c r="DN181" s="18"/>
      <c r="DO181" s="18"/>
      <c r="DP181" s="18"/>
      <c r="DQ181" s="18"/>
      <c r="DR181" s="18"/>
      <c r="DS181" s="18"/>
      <c r="DT181" s="18"/>
      <c r="DU181" s="18"/>
      <c r="DV181" s="18"/>
      <c r="DW181" s="18"/>
      <c r="DX181" s="18"/>
      <c r="DY181" s="18"/>
      <c r="DZ181" s="18"/>
      <c r="EA181" s="18"/>
      <c r="EB181" s="18"/>
      <c r="EC181" s="18"/>
      <c r="ED181" s="18"/>
      <c r="EE181" s="18"/>
      <c r="EF181" s="18"/>
      <c r="EG181" s="18"/>
      <c r="EH181" s="18"/>
      <c r="EI181" s="18"/>
      <c r="EJ181" s="18"/>
      <c r="EK181" s="18"/>
      <c r="EL181" s="18"/>
      <c r="EM181" s="18"/>
      <c r="EN181" s="18"/>
      <c r="EO181" s="18"/>
      <c r="EP181" s="18"/>
      <c r="EQ181" s="18"/>
      <c r="ER181" s="18"/>
      <c r="ES181" s="18"/>
      <c r="ET181" s="18"/>
      <c r="EU181" s="18"/>
      <c r="EV181" s="18"/>
      <c r="EW181" s="18"/>
      <c r="EX181" s="18"/>
      <c r="EY181" s="18"/>
      <c r="EZ181" s="18"/>
      <c r="FA181" s="18"/>
      <c r="FB181" s="18"/>
      <c r="FC181" s="18"/>
      <c r="FD181" s="18"/>
      <c r="FE181" s="18"/>
      <c r="FF181" s="18"/>
      <c r="FG181" s="18"/>
      <c r="FH181" s="18"/>
      <c r="FI181" s="18"/>
      <c r="FJ181" s="18"/>
      <c r="FK181" s="18"/>
      <c r="FL181" s="18"/>
      <c r="FM181" s="18"/>
      <c r="FN181" s="18"/>
      <c r="FO181" s="18"/>
      <c r="FP181" s="18"/>
      <c r="FQ181" s="18"/>
      <c r="FR181" s="18"/>
      <c r="FS181" s="18"/>
      <c r="FT181" s="18"/>
      <c r="FU181" s="18"/>
      <c r="FV181" s="18"/>
      <c r="FW181" s="18"/>
      <c r="FX181" s="18"/>
      <c r="FY181" s="18"/>
      <c r="FZ181" s="18"/>
      <c r="GA181" s="18"/>
      <c r="GB181" s="18"/>
      <c r="GC181" s="18"/>
      <c r="GD181" s="18"/>
      <c r="GE181" s="18"/>
      <c r="GF181" s="18"/>
      <c r="GG181" s="18"/>
      <c r="GH181" s="18"/>
      <c r="GI181" s="18"/>
      <c r="GJ181" s="18"/>
      <c r="GK181" s="18"/>
      <c r="GL181" s="18"/>
      <c r="GM181" s="18"/>
      <c r="GN181" s="18"/>
      <c r="GO181" s="18"/>
      <c r="GP181" s="18"/>
      <c r="GQ181" s="18"/>
      <c r="GR181" s="18"/>
      <c r="GS181" s="18"/>
      <c r="GT181" s="18"/>
      <c r="GU181" s="18"/>
      <c r="GV181" s="18"/>
      <c r="GW181" s="18"/>
      <c r="GX181" s="18"/>
      <c r="GY181" s="18"/>
      <c r="GZ181" s="18"/>
      <c r="HA181" s="18"/>
      <c r="HB181" s="18"/>
      <c r="HC181" s="18"/>
      <c r="HD181" s="18"/>
      <c r="HE181" s="18"/>
      <c r="HF181" s="18"/>
      <c r="HG181" s="18"/>
      <c r="HH181" s="18"/>
      <c r="HI181" s="18"/>
      <c r="HJ181" s="18"/>
      <c r="HK181" s="18"/>
      <c r="HL181" s="18"/>
      <c r="HM181" s="18"/>
      <c r="HN181" s="18"/>
      <c r="HO181" s="18"/>
      <c r="HP181" s="18"/>
      <c r="HQ181" s="18"/>
      <c r="HR181" s="18"/>
      <c r="HS181" s="18"/>
      <c r="HT181" s="18"/>
      <c r="HU181" s="18"/>
      <c r="HV181" s="18"/>
      <c r="HW181" s="18"/>
      <c r="HX181" s="18"/>
      <c r="HY181" s="18"/>
      <c r="HZ181" s="18"/>
      <c r="IA181" s="18"/>
      <c r="IB181" s="18"/>
      <c r="IC181" s="18"/>
      <c r="ID181" s="18"/>
      <c r="IE181" s="18"/>
      <c r="IF181" s="18"/>
      <c r="IG181" s="18"/>
      <c r="IH181" s="18"/>
      <c r="II181" s="18"/>
      <c r="IJ181" s="18"/>
      <c r="IK181" s="18"/>
      <c r="IL181" s="18"/>
      <c r="IM181" s="18"/>
      <c r="IN181" s="18"/>
      <c r="IO181" s="18"/>
      <c r="IP181" s="18"/>
      <c r="IQ181" s="18"/>
      <c r="IR181" s="18"/>
    </row>
    <row r="182" spans="1:252" s="349" customFormat="1" ht="15.75">
      <c r="A182" s="2245"/>
      <c r="B182" s="332" t="s">
        <v>739</v>
      </c>
      <c r="C182" s="51"/>
      <c r="D182" s="37"/>
      <c r="E182" s="37"/>
      <c r="F182" s="245"/>
      <c r="G182" s="853"/>
      <c r="H182" s="248"/>
      <c r="I182" s="120"/>
      <c r="J182" s="120"/>
      <c r="K182" s="490"/>
      <c r="L182" s="448"/>
      <c r="M182" s="449"/>
      <c r="P182" s="2254"/>
    </row>
    <row r="183" spans="1:252" s="349" customFormat="1" ht="15.75">
      <c r="A183" s="2245"/>
      <c r="B183" s="332"/>
      <c r="C183" s="51"/>
      <c r="D183" s="37"/>
      <c r="E183" s="37"/>
      <c r="F183" s="245"/>
      <c r="G183" s="853"/>
      <c r="H183" s="248"/>
      <c r="I183" s="120"/>
      <c r="J183" s="120"/>
      <c r="K183" s="490"/>
      <c r="L183" s="497"/>
      <c r="M183" s="498"/>
      <c r="P183" s="2254"/>
    </row>
    <row r="184" spans="1:252" s="349" customFormat="1" ht="15.75">
      <c r="A184" s="230"/>
      <c r="B184" s="228"/>
      <c r="C184" s="1663" t="s">
        <v>1411</v>
      </c>
      <c r="D184" s="852"/>
      <c r="E184" s="852"/>
      <c r="F184" s="407"/>
      <c r="G184" s="951" t="s">
        <v>1726</v>
      </c>
      <c r="H184" s="1662"/>
      <c r="I184" s="1137">
        <v>47850</v>
      </c>
      <c r="J184" s="2636"/>
      <c r="K184" s="490"/>
      <c r="L184" s="497"/>
      <c r="M184" s="498"/>
      <c r="P184" s="2254"/>
    </row>
    <row r="185" spans="1:252" s="349" customFormat="1" ht="15.75">
      <c r="A185" s="230"/>
      <c r="B185" s="228"/>
      <c r="C185" s="1663" t="s">
        <v>1412</v>
      </c>
      <c r="D185" s="852"/>
      <c r="E185" s="852"/>
      <c r="F185" s="407"/>
      <c r="G185" s="951" t="s">
        <v>1726</v>
      </c>
      <c r="H185" s="1662"/>
      <c r="I185" s="1137">
        <v>2875</v>
      </c>
      <c r="J185" s="2636"/>
      <c r="K185" s="490"/>
      <c r="L185" s="497"/>
      <c r="M185" s="498"/>
      <c r="P185" s="2254"/>
    </row>
    <row r="186" spans="1:252" s="349" customFormat="1" ht="15.75">
      <c r="A186" s="230"/>
      <c r="B186" s="228"/>
      <c r="C186" s="1663" t="s">
        <v>740</v>
      </c>
      <c r="D186" s="852"/>
      <c r="E186" s="852"/>
      <c r="F186" s="407"/>
      <c r="G186" s="951" t="s">
        <v>1726</v>
      </c>
      <c r="H186" s="1662"/>
      <c r="I186" s="1137">
        <v>98499.979999999981</v>
      </c>
      <c r="J186" s="2636"/>
      <c r="K186" s="490"/>
      <c r="L186" s="497"/>
      <c r="M186" s="498"/>
      <c r="P186" s="2254"/>
    </row>
    <row r="187" spans="1:252" s="349" customFormat="1" ht="15.75">
      <c r="A187" s="230"/>
      <c r="B187" s="228"/>
      <c r="C187" s="1663" t="s">
        <v>1392</v>
      </c>
      <c r="D187" s="852"/>
      <c r="E187" s="852"/>
      <c r="F187" s="407"/>
      <c r="G187" s="951" t="s">
        <v>1726</v>
      </c>
      <c r="H187" s="1662"/>
      <c r="I187" s="1137">
        <v>10500</v>
      </c>
      <c r="J187" s="2636"/>
      <c r="K187" s="490"/>
      <c r="L187" s="497"/>
      <c r="M187" s="498"/>
      <c r="P187" s="2254"/>
    </row>
    <row r="188" spans="1:252" s="349" customFormat="1" ht="15.75">
      <c r="A188" s="230">
        <f>'Appendix A'!$A$123</f>
        <v>63</v>
      </c>
      <c r="B188" s="228"/>
      <c r="C188" s="1055" t="s">
        <v>282</v>
      </c>
      <c r="D188" s="592"/>
      <c r="E188" s="592" t="str">
        <f>'Appendix A'!E123</f>
        <v>(Note C)</v>
      </c>
      <c r="F188" s="1056"/>
      <c r="G188" s="977" t="s">
        <v>1016</v>
      </c>
      <c r="H188" s="1139"/>
      <c r="I188" s="1140">
        <f>SUM(I184:I187)</f>
        <v>159724.97999999998</v>
      </c>
      <c r="J188" s="120"/>
      <c r="K188" s="490"/>
      <c r="L188" s="448"/>
      <c r="M188" s="449"/>
      <c r="N188" s="2427"/>
      <c r="O188" s="2293"/>
      <c r="P188" s="2254"/>
    </row>
    <row r="189" spans="1:252" s="349" customFormat="1" ht="15.75">
      <c r="A189" s="230"/>
      <c r="B189" s="228"/>
      <c r="C189" s="469"/>
      <c r="D189" s="37"/>
      <c r="E189" s="37"/>
      <c r="F189" s="245"/>
      <c r="G189" s="853"/>
      <c r="H189" s="1141"/>
      <c r="I189" s="631"/>
      <c r="J189" s="120"/>
      <c r="K189" s="490"/>
      <c r="L189" s="497"/>
      <c r="M189" s="498"/>
      <c r="P189" s="2254"/>
    </row>
    <row r="190" spans="1:252" s="349" customFormat="1" ht="15.75">
      <c r="A190" s="230"/>
      <c r="B190" s="332" t="s">
        <v>987</v>
      </c>
      <c r="C190" s="38"/>
      <c r="D190" s="37"/>
      <c r="E190" s="37"/>
      <c r="F190" s="245"/>
      <c r="G190" s="853"/>
      <c r="H190" s="1141"/>
      <c r="I190" s="631"/>
      <c r="J190" s="120"/>
      <c r="K190" s="490"/>
      <c r="L190" s="497"/>
      <c r="M190" s="498"/>
      <c r="P190" s="2254"/>
    </row>
    <row r="191" spans="1:252" s="349" customFormat="1" ht="15.75">
      <c r="A191" s="232"/>
      <c r="B191" s="228"/>
      <c r="C191" s="332" t="str">
        <f>IF(Toggle=True_up,"Fixed PBOP expense",IF(Toggle=Projection,"Authorized filed PBOP expense"))</f>
        <v>Fixed PBOP expense</v>
      </c>
      <c r="D191" s="37"/>
      <c r="E191" s="37"/>
      <c r="F191" s="245"/>
      <c r="G191" s="2295" t="s">
        <v>1851</v>
      </c>
      <c r="H191" s="1136"/>
      <c r="I191" s="1142">
        <f>'Att 17 - PBOP'!D54</f>
        <v>-9493940.2599999998</v>
      </c>
      <c r="J191" s="242"/>
      <c r="K191" s="490"/>
      <c r="L191" s="380"/>
      <c r="M191" s="381"/>
      <c r="P191" s="2254"/>
      <c r="X191" s="18"/>
      <c r="Y191" s="18"/>
      <c r="Z191" s="18"/>
      <c r="AA191" s="18"/>
      <c r="AB191" s="18"/>
      <c r="AC191" s="18"/>
      <c r="AD191" s="18"/>
      <c r="AE191" s="18"/>
      <c r="AF191" s="18"/>
      <c r="AG191" s="18"/>
      <c r="AH191" s="18"/>
      <c r="AI191" s="18"/>
      <c r="AJ191" s="18"/>
      <c r="AK191" s="18"/>
      <c r="AL191" s="18"/>
      <c r="AM191" s="18"/>
      <c r="AN191" s="18"/>
      <c r="AO191" s="18"/>
      <c r="AP191" s="18"/>
      <c r="AQ191" s="18"/>
      <c r="AR191" s="18"/>
      <c r="AS191" s="18"/>
      <c r="AT191" s="18"/>
      <c r="AU191" s="18"/>
      <c r="AV191" s="18"/>
      <c r="AW191" s="18"/>
      <c r="AX191" s="18"/>
      <c r="AY191" s="18"/>
      <c r="AZ191" s="18"/>
      <c r="BA191" s="18"/>
      <c r="BB191" s="18"/>
      <c r="BC191" s="18"/>
      <c r="BD191" s="18"/>
      <c r="BE191" s="18"/>
      <c r="BF191" s="18"/>
      <c r="BG191" s="18"/>
      <c r="BH191" s="18"/>
      <c r="BI191" s="18"/>
      <c r="BJ191" s="18"/>
      <c r="BK191" s="18"/>
      <c r="BL191" s="18"/>
      <c r="BM191" s="18"/>
      <c r="BN191" s="18"/>
      <c r="BO191" s="18"/>
      <c r="BP191" s="18"/>
      <c r="BQ191" s="18"/>
      <c r="BR191" s="18"/>
      <c r="BS191" s="18"/>
      <c r="BT191" s="18"/>
      <c r="BU191" s="18"/>
      <c r="BV191" s="18"/>
      <c r="BW191" s="18"/>
      <c r="BX191" s="18"/>
      <c r="BY191" s="18"/>
      <c r="BZ191" s="18"/>
      <c r="CA191" s="18"/>
      <c r="CB191" s="18"/>
      <c r="CC191" s="18"/>
      <c r="CD191" s="18"/>
      <c r="CE191" s="18"/>
      <c r="CF191" s="18"/>
      <c r="CG191" s="18"/>
      <c r="CH191" s="18"/>
      <c r="CI191" s="18"/>
      <c r="CJ191" s="18"/>
      <c r="CK191" s="18"/>
      <c r="CL191" s="18"/>
      <c r="CM191" s="18"/>
      <c r="CN191" s="18"/>
      <c r="CO191" s="18"/>
      <c r="CP191" s="18"/>
      <c r="CQ191" s="18"/>
      <c r="CR191" s="18"/>
      <c r="CS191" s="18"/>
      <c r="CT191" s="18"/>
      <c r="CU191" s="18"/>
      <c r="CV191" s="18"/>
      <c r="CW191" s="18"/>
      <c r="CX191" s="18"/>
      <c r="CY191" s="18"/>
      <c r="CZ191" s="18"/>
      <c r="DA191" s="18"/>
      <c r="DB191" s="18"/>
      <c r="DC191" s="18"/>
      <c r="DD191" s="18"/>
      <c r="DE191" s="18"/>
      <c r="DF191" s="18"/>
      <c r="DG191" s="18"/>
      <c r="DH191" s="18"/>
      <c r="DI191" s="18"/>
      <c r="DJ191" s="18"/>
      <c r="DK191" s="18"/>
      <c r="DL191" s="18"/>
      <c r="DM191" s="18"/>
      <c r="DN191" s="18"/>
      <c r="DO191" s="18"/>
      <c r="DP191" s="18"/>
      <c r="DQ191" s="18"/>
      <c r="DR191" s="18"/>
      <c r="DS191" s="18"/>
      <c r="DT191" s="18"/>
      <c r="DU191" s="18"/>
      <c r="DV191" s="18"/>
      <c r="DW191" s="18"/>
      <c r="DX191" s="18"/>
      <c r="DY191" s="18"/>
      <c r="DZ191" s="18"/>
      <c r="EA191" s="18"/>
      <c r="EB191" s="18"/>
      <c r="EC191" s="18"/>
      <c r="ED191" s="18"/>
      <c r="EE191" s="18"/>
      <c r="EF191" s="18"/>
      <c r="EG191" s="18"/>
      <c r="EH191" s="18"/>
      <c r="EI191" s="18"/>
      <c r="EJ191" s="18"/>
      <c r="EK191" s="18"/>
      <c r="EL191" s="18"/>
      <c r="EM191" s="18"/>
      <c r="EN191" s="18"/>
      <c r="EO191" s="18"/>
      <c r="EP191" s="18"/>
      <c r="EQ191" s="18"/>
      <c r="ER191" s="18"/>
      <c r="ES191" s="18"/>
      <c r="ET191" s="18"/>
      <c r="EU191" s="18"/>
      <c r="EV191" s="18"/>
      <c r="EW191" s="18"/>
      <c r="EX191" s="18"/>
      <c r="EY191" s="18"/>
      <c r="EZ191" s="18"/>
      <c r="FA191" s="18"/>
      <c r="FB191" s="18"/>
      <c r="FC191" s="18"/>
      <c r="FD191" s="18"/>
      <c r="FE191" s="18"/>
      <c r="FF191" s="18"/>
      <c r="FG191" s="18"/>
      <c r="FH191" s="18"/>
      <c r="FI191" s="18"/>
      <c r="FJ191" s="18"/>
      <c r="FK191" s="18"/>
      <c r="FL191" s="18"/>
      <c r="FM191" s="18"/>
      <c r="FN191" s="18"/>
      <c r="FO191" s="18"/>
      <c r="FP191" s="18"/>
      <c r="FQ191" s="18"/>
      <c r="FR191" s="18"/>
      <c r="FS191" s="18"/>
      <c r="FT191" s="18"/>
      <c r="FU191" s="18"/>
      <c r="FV191" s="18"/>
      <c r="FW191" s="18"/>
      <c r="FX191" s="18"/>
      <c r="FY191" s="18"/>
      <c r="FZ191" s="18"/>
      <c r="GA191" s="18"/>
      <c r="GB191" s="18"/>
      <c r="GC191" s="18"/>
      <c r="GD191" s="18"/>
      <c r="GE191" s="18"/>
      <c r="GF191" s="18"/>
      <c r="GG191" s="18"/>
      <c r="GH191" s="18"/>
      <c r="GI191" s="18"/>
      <c r="GJ191" s="18"/>
      <c r="GK191" s="18"/>
      <c r="GL191" s="18"/>
      <c r="GM191" s="18"/>
      <c r="GN191" s="18"/>
      <c r="GO191" s="18"/>
      <c r="GP191" s="18"/>
      <c r="GQ191" s="18"/>
      <c r="GR191" s="18"/>
      <c r="GS191" s="18"/>
      <c r="GT191" s="18"/>
      <c r="GU191" s="18"/>
      <c r="GV191" s="18"/>
      <c r="GW191" s="18"/>
      <c r="GX191" s="18"/>
      <c r="GY191" s="18"/>
      <c r="GZ191" s="18"/>
      <c r="HA191" s="18"/>
      <c r="HB191" s="18"/>
      <c r="HC191" s="18"/>
      <c r="HD191" s="18"/>
      <c r="HE191" s="18"/>
      <c r="HF191" s="18"/>
      <c r="HG191" s="18"/>
      <c r="HH191" s="18"/>
      <c r="HI191" s="18"/>
      <c r="HJ191" s="18"/>
      <c r="HK191" s="18"/>
      <c r="HL191" s="18"/>
      <c r="HM191" s="18"/>
      <c r="HN191" s="18"/>
      <c r="HO191" s="18"/>
      <c r="HP191" s="18"/>
      <c r="HQ191" s="18"/>
      <c r="HR191" s="18"/>
      <c r="HS191" s="18"/>
      <c r="HT191" s="18"/>
      <c r="HU191" s="18"/>
      <c r="HV191" s="18"/>
      <c r="HW191" s="18"/>
      <c r="HX191" s="18"/>
      <c r="HY191" s="18"/>
      <c r="HZ191" s="18"/>
      <c r="IA191" s="18"/>
      <c r="IB191" s="18"/>
      <c r="IC191" s="18"/>
      <c r="ID191" s="18"/>
      <c r="IE191" s="18"/>
      <c r="IF191" s="18"/>
      <c r="IG191" s="18"/>
      <c r="IH191" s="18"/>
      <c r="II191" s="18"/>
      <c r="IJ191" s="18"/>
      <c r="IK191" s="18"/>
      <c r="IL191" s="18"/>
      <c r="IM191" s="18"/>
      <c r="IN191" s="18"/>
      <c r="IO191" s="18"/>
      <c r="IP191" s="18"/>
      <c r="IQ191" s="18"/>
      <c r="IR191" s="18"/>
    </row>
    <row r="192" spans="1:252" s="349" customFormat="1" ht="15.75">
      <c r="A192" s="232"/>
      <c r="B192" s="38"/>
      <c r="C192" s="510" t="s">
        <v>988</v>
      </c>
      <c r="D192" s="968"/>
      <c r="E192" s="968"/>
      <c r="F192" s="968"/>
      <c r="G192" s="976" t="str">
        <f>IF(Toggle=True_up,"Attachement 17",IF(Toggle=Projection,"Attachment 17 total"))</f>
        <v>Attachement 17</v>
      </c>
      <c r="H192" s="2238"/>
      <c r="I192" s="1143">
        <f>'Att 17 - PBOP'!$D$54</f>
        <v>-9493940.2599999998</v>
      </c>
      <c r="J192" s="23"/>
      <c r="K192" s="490"/>
      <c r="L192" s="380"/>
      <c r="M192" s="381"/>
      <c r="P192" s="2254"/>
      <c r="X192" s="18"/>
      <c r="Y192" s="18"/>
      <c r="Z192" s="18"/>
      <c r="AA192" s="18"/>
      <c r="AB192" s="18"/>
      <c r="AC192" s="18"/>
      <c r="AD192" s="18"/>
      <c r="AE192" s="18"/>
      <c r="AF192" s="18"/>
      <c r="AG192" s="18"/>
      <c r="AH192" s="18"/>
      <c r="AI192" s="18"/>
      <c r="AJ192" s="18"/>
      <c r="AK192" s="18"/>
      <c r="AL192" s="18"/>
      <c r="AM192" s="18"/>
      <c r="AN192" s="18"/>
      <c r="AO192" s="18"/>
      <c r="AP192" s="18"/>
      <c r="AQ192" s="18"/>
      <c r="AR192" s="18"/>
      <c r="AS192" s="18"/>
      <c r="AT192" s="18"/>
      <c r="AU192" s="18"/>
      <c r="AV192" s="18"/>
      <c r="AW192" s="18"/>
      <c r="AX192" s="18"/>
      <c r="AY192" s="18"/>
      <c r="AZ192" s="18"/>
      <c r="BA192" s="18"/>
      <c r="BB192" s="18"/>
      <c r="BC192" s="18"/>
      <c r="BD192" s="18"/>
      <c r="BE192" s="18"/>
      <c r="BF192" s="18"/>
      <c r="BG192" s="18"/>
      <c r="BH192" s="18"/>
      <c r="BI192" s="18"/>
      <c r="BJ192" s="18"/>
      <c r="BK192" s="18"/>
      <c r="BL192" s="18"/>
      <c r="BM192" s="18"/>
      <c r="BN192" s="18"/>
      <c r="BO192" s="18"/>
      <c r="BP192" s="18"/>
      <c r="BQ192" s="18"/>
      <c r="BR192" s="18"/>
      <c r="BS192" s="18"/>
      <c r="BT192" s="18"/>
      <c r="BU192" s="18"/>
      <c r="BV192" s="18"/>
      <c r="BW192" s="18"/>
      <c r="BX192" s="18"/>
      <c r="BY192" s="18"/>
      <c r="BZ192" s="18"/>
      <c r="CA192" s="18"/>
      <c r="CB192" s="18"/>
      <c r="CC192" s="18"/>
      <c r="CD192" s="18"/>
      <c r="CE192" s="18"/>
      <c r="CF192" s="18"/>
      <c r="CG192" s="18"/>
      <c r="CH192" s="18"/>
      <c r="CI192" s="18"/>
      <c r="CJ192" s="18"/>
      <c r="CK192" s="18"/>
      <c r="CL192" s="18"/>
      <c r="CM192" s="18"/>
      <c r="CN192" s="18"/>
      <c r="CO192" s="18"/>
      <c r="CP192" s="18"/>
      <c r="CQ192" s="18"/>
      <c r="CR192" s="18"/>
      <c r="CS192" s="18"/>
      <c r="CT192" s="18"/>
      <c r="CU192" s="18"/>
      <c r="CV192" s="18"/>
      <c r="CW192" s="18"/>
      <c r="CX192" s="18"/>
      <c r="CY192" s="18"/>
      <c r="CZ192" s="18"/>
      <c r="DA192" s="18"/>
      <c r="DB192" s="18"/>
      <c r="DC192" s="18"/>
      <c r="DD192" s="18"/>
      <c r="DE192" s="18"/>
      <c r="DF192" s="18"/>
      <c r="DG192" s="18"/>
      <c r="DH192" s="18"/>
      <c r="DI192" s="18"/>
      <c r="DJ192" s="18"/>
      <c r="DK192" s="18"/>
      <c r="DL192" s="18"/>
      <c r="DM192" s="18"/>
      <c r="DN192" s="18"/>
      <c r="DO192" s="18"/>
      <c r="DP192" s="18"/>
      <c r="DQ192" s="18"/>
      <c r="DR192" s="18"/>
      <c r="DS192" s="18"/>
      <c r="DT192" s="18"/>
      <c r="DU192" s="18"/>
      <c r="DV192" s="18"/>
      <c r="DW192" s="18"/>
      <c r="DX192" s="18"/>
      <c r="DY192" s="18"/>
      <c r="DZ192" s="18"/>
      <c r="EA192" s="18"/>
      <c r="EB192" s="18"/>
      <c r="EC192" s="18"/>
      <c r="ED192" s="18"/>
      <c r="EE192" s="18"/>
      <c r="EF192" s="18"/>
      <c r="EG192" s="18"/>
      <c r="EH192" s="18"/>
      <c r="EI192" s="18"/>
      <c r="EJ192" s="18"/>
      <c r="EK192" s="18"/>
      <c r="EL192" s="18"/>
      <c r="EM192" s="18"/>
      <c r="EN192" s="18"/>
      <c r="EO192" s="18"/>
      <c r="EP192" s="18"/>
      <c r="EQ192" s="18"/>
      <c r="ER192" s="18"/>
      <c r="ES192" s="18"/>
      <c r="ET192" s="18"/>
      <c r="EU192" s="18"/>
      <c r="EV192" s="18"/>
      <c r="EW192" s="18"/>
      <c r="EX192" s="18"/>
      <c r="EY192" s="18"/>
      <c r="EZ192" s="18"/>
      <c r="FA192" s="18"/>
      <c r="FB192" s="18"/>
      <c r="FC192" s="18"/>
      <c r="FD192" s="18"/>
      <c r="FE192" s="18"/>
      <c r="FF192" s="18"/>
      <c r="FG192" s="18"/>
      <c r="FH192" s="18"/>
      <c r="FI192" s="18"/>
      <c r="FJ192" s="18"/>
      <c r="FK192" s="18"/>
      <c r="FL192" s="18"/>
      <c r="FM192" s="18"/>
      <c r="FN192" s="18"/>
      <c r="FO192" s="18"/>
      <c r="FP192" s="18"/>
      <c r="FQ192" s="18"/>
      <c r="FR192" s="18"/>
      <c r="FS192" s="18"/>
      <c r="FT192" s="18"/>
      <c r="FU192" s="18"/>
      <c r="FV192" s="18"/>
      <c r="FW192" s="18"/>
      <c r="FX192" s="18"/>
      <c r="FY192" s="18"/>
      <c r="FZ192" s="18"/>
      <c r="GA192" s="18"/>
      <c r="GB192" s="18"/>
      <c r="GC192" s="18"/>
      <c r="GD192" s="18"/>
      <c r="GE192" s="18"/>
      <c r="GF192" s="18"/>
      <c r="GG192" s="18"/>
      <c r="GH192" s="18"/>
      <c r="GI192" s="18"/>
      <c r="GJ192" s="18"/>
      <c r="GK192" s="18"/>
      <c r="GL192" s="18"/>
      <c r="GM192" s="18"/>
      <c r="GN192" s="18"/>
      <c r="GO192" s="18"/>
      <c r="GP192" s="18"/>
      <c r="GQ192" s="18"/>
      <c r="GR192" s="18"/>
      <c r="GS192" s="18"/>
      <c r="GT192" s="18"/>
      <c r="GU192" s="18"/>
      <c r="GV192" s="18"/>
      <c r="GW192" s="18"/>
      <c r="GX192" s="18"/>
      <c r="GY192" s="18"/>
      <c r="GZ192" s="18"/>
      <c r="HA192" s="18"/>
      <c r="HB192" s="18"/>
      <c r="HC192" s="18"/>
      <c r="HD192" s="18"/>
      <c r="HE192" s="18"/>
      <c r="HF192" s="18"/>
      <c r="HG192" s="18"/>
      <c r="HH192" s="18"/>
      <c r="HI192" s="18"/>
      <c r="HJ192" s="18"/>
      <c r="HK192" s="18"/>
      <c r="HL192" s="18"/>
      <c r="HM192" s="18"/>
      <c r="HN192" s="18"/>
      <c r="HO192" s="18"/>
      <c r="HP192" s="18"/>
      <c r="HQ192" s="18"/>
      <c r="HR192" s="18"/>
      <c r="HS192" s="18"/>
      <c r="HT192" s="18"/>
      <c r="HU192" s="18"/>
      <c r="HV192" s="18"/>
      <c r="HW192" s="18"/>
      <c r="HX192" s="18"/>
      <c r="HY192" s="18"/>
      <c r="HZ192" s="18"/>
      <c r="IA192" s="18"/>
      <c r="IB192" s="18"/>
      <c r="IC192" s="18"/>
      <c r="ID192" s="18"/>
      <c r="IE192" s="18"/>
      <c r="IF192" s="18"/>
      <c r="IG192" s="18"/>
      <c r="IH192" s="18"/>
      <c r="II192" s="18"/>
      <c r="IJ192" s="18"/>
      <c r="IK192" s="18"/>
      <c r="IL192" s="18"/>
      <c r="IM192" s="18"/>
      <c r="IN192" s="18"/>
      <c r="IO192" s="18"/>
      <c r="IP192" s="18"/>
      <c r="IQ192" s="18"/>
      <c r="IR192" s="18"/>
    </row>
    <row r="193" spans="1:252" s="349" customFormat="1" ht="15.75">
      <c r="A193" s="232">
        <f>+'Appendix A'!A118</f>
        <v>58</v>
      </c>
      <c r="B193" s="38"/>
      <c r="C193" s="469" t="str">
        <f>IF(Toggle=True_up,"Adjusted total (Current year actual)",IF(Toggle=Projection,"Actual PBOP Expense Adjustment"))</f>
        <v>Adjusted total (Current year actual)</v>
      </c>
      <c r="D193" s="592"/>
      <c r="E193" s="103"/>
      <c r="F193" s="38"/>
      <c r="G193" s="977" t="s">
        <v>1016</v>
      </c>
      <c r="H193" s="2134" t="str">
        <f>Toggle</f>
        <v>True-up</v>
      </c>
      <c r="I193" s="1144">
        <f>I191-I192</f>
        <v>0</v>
      </c>
      <c r="J193" s="2294" t="s">
        <v>1850</v>
      </c>
      <c r="K193" s="490"/>
      <c r="L193" s="497"/>
      <c r="M193" s="498"/>
      <c r="P193" s="2254"/>
    </row>
    <row r="194" spans="1:252" s="349" customFormat="1" ht="15.75">
      <c r="A194" s="232"/>
      <c r="B194" s="38"/>
      <c r="C194" s="469"/>
      <c r="D194" s="38"/>
      <c r="E194" s="38"/>
      <c r="F194" s="38"/>
      <c r="G194" s="810"/>
      <c r="H194" s="1141"/>
      <c r="I194" s="659"/>
      <c r="J194" s="879"/>
      <c r="K194" s="490"/>
      <c r="L194" s="497"/>
      <c r="M194" s="498"/>
      <c r="P194" s="2254"/>
    </row>
    <row r="195" spans="1:252" s="349" customFormat="1" ht="15.75">
      <c r="A195" s="232"/>
      <c r="B195" s="38" t="s">
        <v>989</v>
      </c>
      <c r="C195" s="249"/>
      <c r="D195" s="38"/>
      <c r="E195" s="38"/>
      <c r="F195" s="38"/>
      <c r="G195" s="810"/>
      <c r="H195" s="1141"/>
      <c r="I195" s="659"/>
      <c r="J195" s="879"/>
      <c r="K195" s="490"/>
      <c r="L195" s="497"/>
      <c r="M195" s="498"/>
      <c r="P195" s="2254"/>
    </row>
    <row r="196" spans="1:252" s="349" customFormat="1" ht="15.75">
      <c r="A196" s="2245"/>
      <c r="B196" s="38"/>
      <c r="C196" s="78" t="str">
        <f xml:space="preserve">    'Appendix A'!C133</f>
        <v>Property Insurance Account 924</v>
      </c>
      <c r="D196" s="968"/>
      <c r="E196" s="968"/>
      <c r="F196" s="968"/>
      <c r="G196" s="1122" t="str">
        <f>'Appendix A'!F119</f>
        <v>323.185b</v>
      </c>
      <c r="H196" s="1138"/>
      <c r="I196" s="1145">
        <f>INDEX(Inputs_EndYrBal,MATCH(G196,Inputs_FF1_Map,0))</f>
        <v>14265351</v>
      </c>
      <c r="J196" s="23"/>
      <c r="K196" s="490"/>
      <c r="L196" s="28"/>
      <c r="M196" s="234"/>
      <c r="P196" s="2254"/>
      <c r="X196" s="18"/>
      <c r="Y196" s="18"/>
      <c r="Z196" s="18"/>
      <c r="AA196" s="18"/>
      <c r="AB196" s="18"/>
      <c r="AC196" s="18"/>
      <c r="AD196" s="18"/>
      <c r="AE196" s="18"/>
      <c r="AF196" s="18"/>
      <c r="AG196" s="18"/>
      <c r="AH196" s="18"/>
      <c r="AI196" s="18"/>
      <c r="AJ196" s="18"/>
      <c r="AK196" s="18"/>
      <c r="AL196" s="18"/>
      <c r="AM196" s="18"/>
      <c r="AN196" s="18"/>
      <c r="AO196" s="18"/>
      <c r="AP196" s="18"/>
      <c r="AQ196" s="18"/>
      <c r="AR196" s="18"/>
      <c r="AS196" s="18"/>
      <c r="AT196" s="18"/>
      <c r="AU196" s="18"/>
      <c r="AV196" s="18"/>
      <c r="AW196" s="18"/>
      <c r="AX196" s="18"/>
      <c r="AY196" s="18"/>
      <c r="AZ196" s="18"/>
      <c r="BA196" s="18"/>
      <c r="BB196" s="18"/>
      <c r="BC196" s="18"/>
      <c r="BD196" s="18"/>
      <c r="BE196" s="18"/>
      <c r="BF196" s="18"/>
      <c r="BG196" s="18"/>
      <c r="BH196" s="18"/>
      <c r="BI196" s="18"/>
      <c r="BJ196" s="18"/>
      <c r="BK196" s="18"/>
      <c r="BL196" s="18"/>
      <c r="BM196" s="18"/>
      <c r="BN196" s="18"/>
      <c r="BO196" s="18"/>
      <c r="BP196" s="18"/>
      <c r="BQ196" s="18"/>
      <c r="BR196" s="18"/>
      <c r="BS196" s="18"/>
      <c r="BT196" s="18"/>
      <c r="BU196" s="18"/>
      <c r="BV196" s="18"/>
      <c r="BW196" s="18"/>
      <c r="BX196" s="18"/>
      <c r="BY196" s="18"/>
      <c r="BZ196" s="18"/>
      <c r="CA196" s="18"/>
      <c r="CB196" s="18"/>
      <c r="CC196" s="18"/>
      <c r="CD196" s="18"/>
      <c r="CE196" s="18"/>
      <c r="CF196" s="18"/>
      <c r="CG196" s="18"/>
      <c r="CH196" s="18"/>
      <c r="CI196" s="18"/>
      <c r="CJ196" s="18"/>
      <c r="CK196" s="18"/>
      <c r="CL196" s="18"/>
      <c r="CM196" s="18"/>
      <c r="CN196" s="18"/>
      <c r="CO196" s="18"/>
      <c r="CP196" s="18"/>
      <c r="CQ196" s="18"/>
      <c r="CR196" s="18"/>
      <c r="CS196" s="18"/>
      <c r="CT196" s="18"/>
      <c r="CU196" s="18"/>
      <c r="CV196" s="18"/>
      <c r="CW196" s="18"/>
      <c r="CX196" s="18"/>
      <c r="CY196" s="18"/>
      <c r="CZ196" s="18"/>
      <c r="DA196" s="18"/>
      <c r="DB196" s="18"/>
      <c r="DC196" s="18"/>
      <c r="DD196" s="18"/>
      <c r="DE196" s="18"/>
      <c r="DF196" s="18"/>
      <c r="DG196" s="18"/>
      <c r="DH196" s="18"/>
      <c r="DI196" s="18"/>
      <c r="DJ196" s="18"/>
      <c r="DK196" s="18"/>
      <c r="DL196" s="18"/>
      <c r="DM196" s="18"/>
      <c r="DN196" s="18"/>
      <c r="DO196" s="18"/>
      <c r="DP196" s="18"/>
      <c r="DQ196" s="18"/>
      <c r="DR196" s="18"/>
      <c r="DS196" s="18"/>
      <c r="DT196" s="18"/>
      <c r="DU196" s="18"/>
      <c r="DV196" s="18"/>
      <c r="DW196" s="18"/>
      <c r="DX196" s="18"/>
      <c r="DY196" s="18"/>
      <c r="DZ196" s="18"/>
      <c r="EA196" s="18"/>
      <c r="EB196" s="18"/>
      <c r="EC196" s="18"/>
      <c r="ED196" s="18"/>
      <c r="EE196" s="18"/>
      <c r="EF196" s="18"/>
      <c r="EG196" s="18"/>
      <c r="EH196" s="18"/>
      <c r="EI196" s="18"/>
      <c r="EJ196" s="18"/>
      <c r="EK196" s="18"/>
      <c r="EL196" s="18"/>
      <c r="EM196" s="18"/>
      <c r="EN196" s="18"/>
      <c r="EO196" s="18"/>
      <c r="EP196" s="18"/>
      <c r="EQ196" s="18"/>
      <c r="ER196" s="18"/>
      <c r="ES196" s="18"/>
      <c r="ET196" s="18"/>
      <c r="EU196" s="18"/>
      <c r="EV196" s="18"/>
      <c r="EW196" s="18"/>
      <c r="EX196" s="18"/>
      <c r="EY196" s="18"/>
      <c r="EZ196" s="18"/>
      <c r="FA196" s="18"/>
      <c r="FB196" s="18"/>
      <c r="FC196" s="18"/>
      <c r="FD196" s="18"/>
      <c r="FE196" s="18"/>
      <c r="FF196" s="18"/>
      <c r="FG196" s="18"/>
      <c r="FH196" s="18"/>
      <c r="FI196" s="18"/>
      <c r="FJ196" s="18"/>
      <c r="FK196" s="18"/>
      <c r="FL196" s="18"/>
      <c r="FM196" s="18"/>
      <c r="FN196" s="18"/>
      <c r="FO196" s="18"/>
      <c r="FP196" s="18"/>
      <c r="FQ196" s="18"/>
      <c r="FR196" s="18"/>
      <c r="FS196" s="18"/>
      <c r="FT196" s="18"/>
      <c r="FU196" s="18"/>
      <c r="FV196" s="18"/>
      <c r="FW196" s="18"/>
      <c r="FX196" s="18"/>
      <c r="FY196" s="18"/>
      <c r="FZ196" s="18"/>
      <c r="GA196" s="18"/>
      <c r="GB196" s="18"/>
      <c r="GC196" s="18"/>
      <c r="GD196" s="18"/>
      <c r="GE196" s="18"/>
      <c r="GF196" s="18"/>
      <c r="GG196" s="18"/>
      <c r="GH196" s="18"/>
      <c r="GI196" s="18"/>
      <c r="GJ196" s="18"/>
      <c r="GK196" s="18"/>
      <c r="GL196" s="18"/>
      <c r="GM196" s="18"/>
      <c r="GN196" s="18"/>
      <c r="GO196" s="18"/>
      <c r="GP196" s="18"/>
      <c r="GQ196" s="18"/>
      <c r="GR196" s="18"/>
      <c r="GS196" s="18"/>
      <c r="GT196" s="18"/>
      <c r="GU196" s="18"/>
      <c r="GV196" s="18"/>
      <c r="GW196" s="18"/>
      <c r="GX196" s="18"/>
      <c r="GY196" s="18"/>
      <c r="GZ196" s="18"/>
      <c r="HA196" s="18"/>
      <c r="HB196" s="18"/>
      <c r="HC196" s="18"/>
      <c r="HD196" s="18"/>
      <c r="HE196" s="18"/>
      <c r="HF196" s="18"/>
      <c r="HG196" s="18"/>
      <c r="HH196" s="18"/>
      <c r="HI196" s="18"/>
      <c r="HJ196" s="18"/>
      <c r="HK196" s="18"/>
      <c r="HL196" s="18"/>
      <c r="HM196" s="18"/>
      <c r="HN196" s="18"/>
      <c r="HO196" s="18"/>
      <c r="HP196" s="18"/>
      <c r="HQ196" s="18"/>
      <c r="HR196" s="18"/>
      <c r="HS196" s="18"/>
      <c r="HT196" s="18"/>
      <c r="HU196" s="18"/>
      <c r="HV196" s="18"/>
      <c r="HW196" s="18"/>
      <c r="HX196" s="18"/>
      <c r="HY196" s="18"/>
      <c r="HZ196" s="18"/>
      <c r="IA196" s="18"/>
      <c r="IB196" s="18"/>
      <c r="IC196" s="18"/>
      <c r="ID196" s="18"/>
      <c r="IE196" s="18"/>
      <c r="IF196" s="18"/>
      <c r="IG196" s="18"/>
      <c r="IH196" s="18"/>
      <c r="II196" s="18"/>
      <c r="IJ196" s="18"/>
      <c r="IK196" s="18"/>
      <c r="IL196" s="18"/>
      <c r="IM196" s="18"/>
      <c r="IN196" s="18"/>
      <c r="IO196" s="18"/>
      <c r="IP196" s="18"/>
      <c r="IQ196" s="18"/>
      <c r="IR196" s="18"/>
    </row>
    <row r="197" spans="1:252" s="349" customFormat="1" ht="15.75">
      <c r="A197" s="232">
        <f>'Appendix A'!A133</f>
        <v>70</v>
      </c>
      <c r="B197" s="38"/>
      <c r="C197" s="332"/>
      <c r="D197" s="38"/>
      <c r="E197" s="426" t="str">
        <f>'Appendix A'!$E$133</f>
        <v>(Note F)</v>
      </c>
      <c r="F197" s="38"/>
      <c r="G197" s="977" t="s">
        <v>1016</v>
      </c>
      <c r="H197" s="1136"/>
      <c r="I197" s="1146">
        <f>I196</f>
        <v>14265351</v>
      </c>
      <c r="K197" s="493"/>
      <c r="L197" s="493"/>
      <c r="M197" s="494"/>
      <c r="P197" s="2254"/>
    </row>
    <row r="198" spans="1:252" s="349" customFormat="1" ht="15.75" thickBot="1">
      <c r="A198" s="238"/>
      <c r="B198" s="849"/>
      <c r="C198" s="841"/>
      <c r="D198" s="877"/>
      <c r="E198" s="877"/>
      <c r="F198" s="854"/>
      <c r="G198" s="244"/>
      <c r="H198" s="264"/>
      <c r="I198" s="868"/>
      <c r="J198" s="266"/>
      <c r="K198" s="266"/>
      <c r="L198" s="265"/>
      <c r="M198" s="267"/>
      <c r="P198" s="2254"/>
      <c r="X198" s="18"/>
      <c r="Y198" s="18"/>
      <c r="Z198" s="18"/>
      <c r="AA198" s="18"/>
      <c r="AB198" s="18"/>
      <c r="AC198" s="18"/>
      <c r="AD198" s="18"/>
      <c r="AE198" s="18"/>
      <c r="AF198" s="18"/>
      <c r="AG198" s="18"/>
      <c r="AH198" s="18"/>
      <c r="AI198" s="18"/>
      <c r="AJ198" s="18"/>
      <c r="AK198" s="18"/>
      <c r="AL198" s="18"/>
      <c r="AM198" s="18"/>
      <c r="AN198" s="18"/>
      <c r="AO198" s="18"/>
      <c r="AP198" s="18"/>
      <c r="AQ198" s="18"/>
      <c r="AR198" s="18"/>
      <c r="AS198" s="18"/>
      <c r="AT198" s="18"/>
      <c r="AU198" s="18"/>
      <c r="AV198" s="18"/>
      <c r="AW198" s="18"/>
      <c r="AX198" s="18"/>
      <c r="AY198" s="18"/>
      <c r="AZ198" s="18"/>
      <c r="BA198" s="18"/>
      <c r="BB198" s="18"/>
      <c r="BC198" s="18"/>
      <c r="BD198" s="18"/>
      <c r="BE198" s="18"/>
      <c r="BF198" s="18"/>
      <c r="BG198" s="18"/>
      <c r="BH198" s="18"/>
      <c r="BI198" s="18"/>
      <c r="BJ198" s="18"/>
      <c r="BK198" s="18"/>
      <c r="BL198" s="18"/>
      <c r="BM198" s="18"/>
      <c r="BN198" s="18"/>
      <c r="BO198" s="18"/>
      <c r="BP198" s="18"/>
      <c r="BQ198" s="18"/>
      <c r="BR198" s="18"/>
      <c r="BS198" s="18"/>
      <c r="BT198" s="18"/>
      <c r="BU198" s="18"/>
      <c r="BV198" s="18"/>
      <c r="BW198" s="18"/>
      <c r="BX198" s="18"/>
      <c r="BY198" s="18"/>
      <c r="BZ198" s="18"/>
      <c r="CA198" s="18"/>
      <c r="CB198" s="18"/>
      <c r="CC198" s="18"/>
      <c r="CD198" s="18"/>
      <c r="CE198" s="18"/>
      <c r="CF198" s="18"/>
      <c r="CG198" s="18"/>
      <c r="CH198" s="18"/>
      <c r="CI198" s="18"/>
      <c r="CJ198" s="18"/>
      <c r="CK198" s="18"/>
      <c r="CL198" s="18"/>
      <c r="CM198" s="18"/>
      <c r="CN198" s="18"/>
      <c r="CO198" s="18"/>
      <c r="CP198" s="18"/>
      <c r="CQ198" s="18"/>
      <c r="CR198" s="18"/>
      <c r="CS198" s="18"/>
      <c r="CT198" s="18"/>
      <c r="CU198" s="18"/>
      <c r="CV198" s="18"/>
      <c r="CW198" s="18"/>
      <c r="CX198" s="18"/>
      <c r="CY198" s="18"/>
      <c r="CZ198" s="18"/>
      <c r="DA198" s="18"/>
      <c r="DB198" s="18"/>
      <c r="DC198" s="18"/>
      <c r="DD198" s="18"/>
      <c r="DE198" s="18"/>
      <c r="DF198" s="18"/>
      <c r="DG198" s="18"/>
      <c r="DH198" s="18"/>
      <c r="DI198" s="18"/>
      <c r="DJ198" s="18"/>
      <c r="DK198" s="18"/>
      <c r="DL198" s="18"/>
      <c r="DM198" s="18"/>
      <c r="DN198" s="18"/>
      <c r="DO198" s="18"/>
      <c r="DP198" s="18"/>
      <c r="DQ198" s="18"/>
      <c r="DR198" s="18"/>
      <c r="DS198" s="18"/>
      <c r="DT198" s="18"/>
      <c r="DU198" s="18"/>
      <c r="DV198" s="18"/>
      <c r="DW198" s="18"/>
      <c r="DX198" s="18"/>
      <c r="DY198" s="18"/>
      <c r="DZ198" s="18"/>
      <c r="EA198" s="18"/>
      <c r="EB198" s="18"/>
      <c r="EC198" s="18"/>
      <c r="ED198" s="18"/>
      <c r="EE198" s="18"/>
      <c r="EF198" s="18"/>
      <c r="EG198" s="18"/>
      <c r="EH198" s="18"/>
      <c r="EI198" s="18"/>
      <c r="EJ198" s="18"/>
      <c r="EK198" s="18"/>
      <c r="EL198" s="18"/>
      <c r="EM198" s="18"/>
      <c r="EN198" s="18"/>
      <c r="EO198" s="18"/>
      <c r="EP198" s="18"/>
      <c r="EQ198" s="18"/>
      <c r="ER198" s="18"/>
      <c r="ES198" s="18"/>
      <c r="ET198" s="18"/>
      <c r="EU198" s="18"/>
      <c r="EV198" s="18"/>
      <c r="EW198" s="18"/>
      <c r="EX198" s="18"/>
      <c r="EY198" s="18"/>
      <c r="EZ198" s="18"/>
      <c r="FA198" s="18"/>
      <c r="FB198" s="18"/>
      <c r="FC198" s="18"/>
      <c r="FD198" s="18"/>
      <c r="FE198" s="18"/>
      <c r="FF198" s="18"/>
      <c r="FG198" s="18"/>
      <c r="FH198" s="18"/>
      <c r="FI198" s="18"/>
      <c r="FJ198" s="18"/>
      <c r="FK198" s="18"/>
      <c r="FL198" s="18"/>
      <c r="FM198" s="18"/>
      <c r="FN198" s="18"/>
      <c r="FO198" s="18"/>
      <c r="FP198" s="18"/>
      <c r="FQ198" s="18"/>
      <c r="FR198" s="18"/>
      <c r="FS198" s="18"/>
      <c r="FT198" s="18"/>
      <c r="FU198" s="18"/>
      <c r="FV198" s="18"/>
      <c r="FW198" s="18"/>
      <c r="FX198" s="18"/>
      <c r="FY198" s="18"/>
      <c r="FZ198" s="18"/>
      <c r="GA198" s="18"/>
      <c r="GB198" s="18"/>
      <c r="GC198" s="18"/>
      <c r="GD198" s="18"/>
      <c r="GE198" s="18"/>
      <c r="GF198" s="18"/>
      <c r="GG198" s="18"/>
      <c r="GH198" s="18"/>
      <c r="GI198" s="18"/>
      <c r="GJ198" s="18"/>
      <c r="GK198" s="18"/>
      <c r="GL198" s="18"/>
      <c r="GM198" s="18"/>
      <c r="GN198" s="18"/>
      <c r="GO198" s="18"/>
      <c r="GP198" s="18"/>
      <c r="GQ198" s="18"/>
      <c r="GR198" s="18"/>
      <c r="GS198" s="18"/>
      <c r="GT198" s="18"/>
      <c r="GU198" s="18"/>
      <c r="GV198" s="18"/>
      <c r="GW198" s="18"/>
      <c r="GX198" s="18"/>
      <c r="GY198" s="18"/>
      <c r="GZ198" s="18"/>
      <c r="HA198" s="18"/>
      <c r="HB198" s="18"/>
      <c r="HC198" s="18"/>
      <c r="HD198" s="18"/>
      <c r="HE198" s="18"/>
      <c r="HF198" s="18"/>
      <c r="HG198" s="18"/>
      <c r="HH198" s="18"/>
      <c r="HI198" s="18"/>
      <c r="HJ198" s="18"/>
      <c r="HK198" s="18"/>
      <c r="HL198" s="18"/>
      <c r="HM198" s="18"/>
      <c r="HN198" s="18"/>
      <c r="HO198" s="18"/>
      <c r="HP198" s="18"/>
      <c r="HQ198" s="18"/>
      <c r="HR198" s="18"/>
      <c r="HS198" s="18"/>
      <c r="HT198" s="18"/>
      <c r="HU198" s="18"/>
      <c r="HV198" s="18"/>
      <c r="HW198" s="18"/>
      <c r="HX198" s="18"/>
      <c r="HY198" s="18"/>
      <c r="HZ198" s="18"/>
      <c r="IA198" s="18"/>
      <c r="IB198" s="18"/>
      <c r="IC198" s="18"/>
      <c r="ID198" s="18"/>
      <c r="IE198" s="18"/>
      <c r="IF198" s="18"/>
      <c r="IG198" s="18"/>
      <c r="IH198" s="18"/>
      <c r="II198" s="18"/>
      <c r="IJ198" s="18"/>
      <c r="IK198" s="18"/>
      <c r="IL198" s="18"/>
      <c r="IM198" s="18"/>
      <c r="IN198" s="18"/>
      <c r="IO198" s="18"/>
      <c r="IP198" s="18"/>
      <c r="IQ198" s="18"/>
      <c r="IR198" s="18"/>
    </row>
    <row r="199" spans="1:252">
      <c r="O199" s="349"/>
      <c r="Q199" s="349"/>
      <c r="R199" s="349"/>
      <c r="S199" s="349"/>
      <c r="T199" s="349"/>
      <c r="U199" s="349"/>
      <c r="V199" s="349"/>
      <c r="W199" s="349"/>
    </row>
    <row r="200" spans="1:252" s="349" customFormat="1">
      <c r="A200" s="23"/>
      <c r="I200" s="120"/>
      <c r="P200" s="2254"/>
      <c r="X200" s="18"/>
      <c r="Y200" s="18"/>
      <c r="Z200" s="18"/>
      <c r="AA200" s="18"/>
      <c r="AB200" s="18"/>
      <c r="AC200" s="18"/>
      <c r="AD200" s="18"/>
      <c r="AE200" s="18"/>
      <c r="AF200" s="18"/>
      <c r="AG200" s="18"/>
      <c r="AH200" s="18"/>
      <c r="AI200" s="18"/>
      <c r="AJ200" s="18"/>
      <c r="AK200" s="18"/>
      <c r="AL200" s="18"/>
      <c r="AM200" s="18"/>
      <c r="AN200" s="18"/>
      <c r="AO200" s="18"/>
      <c r="AP200" s="18"/>
      <c r="AQ200" s="18"/>
      <c r="AR200" s="18"/>
      <c r="AS200" s="18"/>
      <c r="AT200" s="18"/>
      <c r="AU200" s="18"/>
      <c r="AV200" s="18"/>
      <c r="AW200" s="18"/>
      <c r="AX200" s="18"/>
      <c r="AY200" s="18"/>
      <c r="AZ200" s="18"/>
      <c r="BA200" s="18"/>
      <c r="BB200" s="18"/>
      <c r="BC200" s="18"/>
      <c r="BD200" s="18"/>
      <c r="BE200" s="18"/>
      <c r="BF200" s="18"/>
      <c r="BG200" s="18"/>
      <c r="BH200" s="18"/>
      <c r="BI200" s="18"/>
      <c r="BJ200" s="18"/>
      <c r="BK200" s="18"/>
      <c r="BL200" s="18"/>
      <c r="BM200" s="18"/>
      <c r="BN200" s="18"/>
      <c r="BO200" s="18"/>
      <c r="BP200" s="18"/>
      <c r="BQ200" s="18"/>
      <c r="BR200" s="18"/>
      <c r="BS200" s="18"/>
      <c r="BT200" s="18"/>
      <c r="BU200" s="18"/>
      <c r="BV200" s="18"/>
      <c r="BW200" s="18"/>
      <c r="BX200" s="18"/>
      <c r="BY200" s="18"/>
      <c r="BZ200" s="18"/>
      <c r="CA200" s="18"/>
      <c r="CB200" s="18"/>
      <c r="CC200" s="18"/>
      <c r="CD200" s="18"/>
      <c r="CE200" s="18"/>
      <c r="CF200" s="18"/>
      <c r="CG200" s="18"/>
      <c r="CH200" s="18"/>
      <c r="CI200" s="18"/>
      <c r="CJ200" s="18"/>
      <c r="CK200" s="18"/>
      <c r="CL200" s="18"/>
      <c r="CM200" s="18"/>
      <c r="CN200" s="18"/>
      <c r="CO200" s="18"/>
      <c r="CP200" s="18"/>
      <c r="CQ200" s="18"/>
      <c r="CR200" s="18"/>
      <c r="CS200" s="18"/>
      <c r="CT200" s="18"/>
      <c r="CU200" s="18"/>
      <c r="CV200" s="18"/>
      <c r="CW200" s="18"/>
      <c r="CX200" s="18"/>
      <c r="CY200" s="18"/>
      <c r="CZ200" s="18"/>
      <c r="DA200" s="18"/>
      <c r="DB200" s="18"/>
      <c r="DC200" s="18"/>
      <c r="DD200" s="18"/>
      <c r="DE200" s="18"/>
      <c r="DF200" s="18"/>
      <c r="DG200" s="18"/>
      <c r="DH200" s="18"/>
      <c r="DI200" s="18"/>
      <c r="DJ200" s="18"/>
      <c r="DK200" s="18"/>
      <c r="DL200" s="18"/>
      <c r="DM200" s="18"/>
      <c r="DN200" s="18"/>
      <c r="DO200" s="18"/>
      <c r="DP200" s="18"/>
      <c r="DQ200" s="18"/>
      <c r="DR200" s="18"/>
      <c r="DS200" s="18"/>
      <c r="DT200" s="18"/>
      <c r="DU200" s="18"/>
      <c r="DV200" s="18"/>
      <c r="DW200" s="18"/>
      <c r="DX200" s="18"/>
      <c r="DY200" s="18"/>
      <c r="DZ200" s="18"/>
      <c r="EA200" s="18"/>
      <c r="EB200" s="18"/>
      <c r="EC200" s="18"/>
      <c r="ED200" s="18"/>
      <c r="EE200" s="18"/>
      <c r="EF200" s="18"/>
      <c r="EG200" s="18"/>
      <c r="EH200" s="18"/>
      <c r="EI200" s="18"/>
      <c r="EJ200" s="18"/>
      <c r="EK200" s="18"/>
      <c r="EL200" s="18"/>
      <c r="EM200" s="18"/>
      <c r="EN200" s="18"/>
      <c r="EO200" s="18"/>
      <c r="EP200" s="18"/>
      <c r="EQ200" s="18"/>
      <c r="ER200" s="18"/>
      <c r="ES200" s="18"/>
      <c r="ET200" s="18"/>
      <c r="EU200" s="18"/>
      <c r="EV200" s="18"/>
      <c r="EW200" s="18"/>
      <c r="EX200" s="18"/>
      <c r="EY200" s="18"/>
      <c r="EZ200" s="18"/>
      <c r="FA200" s="18"/>
      <c r="FB200" s="18"/>
      <c r="FC200" s="18"/>
      <c r="FD200" s="18"/>
      <c r="FE200" s="18"/>
      <c r="FF200" s="18"/>
      <c r="FG200" s="18"/>
      <c r="FH200" s="18"/>
      <c r="FI200" s="18"/>
      <c r="FJ200" s="18"/>
      <c r="FK200" s="18"/>
      <c r="FL200" s="18"/>
      <c r="FM200" s="18"/>
      <c r="FN200" s="18"/>
      <c r="FO200" s="18"/>
      <c r="FP200" s="18"/>
      <c r="FQ200" s="18"/>
      <c r="FR200" s="18"/>
      <c r="FS200" s="18"/>
      <c r="FT200" s="18"/>
      <c r="FU200" s="18"/>
      <c r="FV200" s="18"/>
      <c r="FW200" s="18"/>
      <c r="FX200" s="18"/>
      <c r="FY200" s="18"/>
      <c r="FZ200" s="18"/>
      <c r="GA200" s="18"/>
      <c r="GB200" s="18"/>
      <c r="GC200" s="18"/>
      <c r="GD200" s="18"/>
      <c r="GE200" s="18"/>
      <c r="GF200" s="18"/>
      <c r="GG200" s="18"/>
      <c r="GH200" s="18"/>
      <c r="GI200" s="18"/>
      <c r="GJ200" s="18"/>
      <c r="GK200" s="18"/>
      <c r="GL200" s="18"/>
      <c r="GM200" s="18"/>
      <c r="GN200" s="18"/>
      <c r="GO200" s="18"/>
      <c r="GP200" s="18"/>
      <c r="GQ200" s="18"/>
      <c r="GR200" s="18"/>
      <c r="GS200" s="18"/>
      <c r="GT200" s="18"/>
      <c r="GU200" s="18"/>
      <c r="GV200" s="18"/>
      <c r="GW200" s="18"/>
      <c r="GX200" s="18"/>
      <c r="GY200" s="18"/>
      <c r="GZ200" s="18"/>
      <c r="HA200" s="18"/>
      <c r="HB200" s="18"/>
      <c r="HC200" s="18"/>
      <c r="HD200" s="18"/>
      <c r="HE200" s="18"/>
      <c r="HF200" s="18"/>
      <c r="HG200" s="18"/>
      <c r="HH200" s="18"/>
      <c r="HI200" s="18"/>
      <c r="HJ200" s="18"/>
      <c r="HK200" s="18"/>
      <c r="HL200" s="18"/>
      <c r="HM200" s="18"/>
      <c r="HN200" s="18"/>
      <c r="HO200" s="18"/>
      <c r="HP200" s="18"/>
      <c r="HQ200" s="18"/>
      <c r="HR200" s="18"/>
      <c r="HS200" s="18"/>
      <c r="HT200" s="18"/>
      <c r="HU200" s="18"/>
      <c r="HV200" s="18"/>
      <c r="HW200" s="18"/>
      <c r="HX200" s="18"/>
      <c r="HY200" s="18"/>
      <c r="HZ200" s="18"/>
      <c r="IA200" s="18"/>
      <c r="IB200" s="18"/>
      <c r="IC200" s="18"/>
      <c r="ID200" s="18"/>
      <c r="IE200" s="18"/>
      <c r="IF200" s="18"/>
      <c r="IG200" s="18"/>
      <c r="IH200" s="18"/>
      <c r="II200" s="18"/>
      <c r="IJ200" s="18"/>
      <c r="IK200" s="18"/>
      <c r="IL200" s="18"/>
      <c r="IM200" s="18"/>
      <c r="IN200" s="18"/>
      <c r="IO200" s="18"/>
      <c r="IP200" s="18"/>
      <c r="IQ200" s="18"/>
      <c r="IR200" s="18"/>
    </row>
    <row r="201" spans="1:252" s="349" customFormat="1" ht="16.5" thickBot="1">
      <c r="A201" s="878" t="s">
        <v>167</v>
      </c>
      <c r="P201" s="2254"/>
      <c r="X201" s="18"/>
      <c r="Y201" s="18"/>
      <c r="Z201" s="18"/>
      <c r="AA201" s="18"/>
      <c r="AB201" s="18"/>
      <c r="AC201" s="18"/>
      <c r="AD201" s="18"/>
      <c r="AE201" s="18"/>
      <c r="AF201" s="18"/>
      <c r="AG201" s="18"/>
      <c r="AH201" s="18"/>
      <c r="AI201" s="18"/>
      <c r="AJ201" s="18"/>
      <c r="AK201" s="18"/>
      <c r="AL201" s="18"/>
      <c r="AM201" s="18"/>
      <c r="AN201" s="18"/>
      <c r="AO201" s="18"/>
      <c r="AP201" s="18"/>
      <c r="AQ201" s="18"/>
      <c r="AR201" s="18"/>
      <c r="AS201" s="18"/>
      <c r="AT201" s="18"/>
      <c r="AU201" s="18"/>
      <c r="AV201" s="18"/>
      <c r="AW201" s="18"/>
      <c r="AX201" s="18"/>
      <c r="AY201" s="18"/>
      <c r="AZ201" s="18"/>
      <c r="BA201" s="18"/>
      <c r="BB201" s="18"/>
      <c r="BC201" s="18"/>
      <c r="BD201" s="18"/>
      <c r="BE201" s="18"/>
      <c r="BF201" s="18"/>
      <c r="BG201" s="18"/>
      <c r="BH201" s="18"/>
      <c r="BI201" s="18"/>
      <c r="BJ201" s="18"/>
      <c r="BK201" s="18"/>
      <c r="BL201" s="18"/>
      <c r="BM201" s="18"/>
      <c r="BN201" s="18"/>
      <c r="BO201" s="18"/>
      <c r="BP201" s="18"/>
      <c r="BQ201" s="18"/>
      <c r="BR201" s="18"/>
      <c r="BS201" s="18"/>
      <c r="BT201" s="18"/>
      <c r="BU201" s="18"/>
      <c r="BV201" s="18"/>
      <c r="BW201" s="18"/>
      <c r="BX201" s="18"/>
      <c r="BY201" s="18"/>
      <c r="BZ201" s="18"/>
      <c r="CA201" s="18"/>
      <c r="CB201" s="18"/>
      <c r="CC201" s="18"/>
      <c r="CD201" s="18"/>
      <c r="CE201" s="18"/>
      <c r="CF201" s="18"/>
      <c r="CG201" s="18"/>
      <c r="CH201" s="18"/>
      <c r="CI201" s="18"/>
      <c r="CJ201" s="18"/>
      <c r="CK201" s="18"/>
      <c r="CL201" s="18"/>
      <c r="CM201" s="18"/>
      <c r="CN201" s="18"/>
      <c r="CO201" s="18"/>
      <c r="CP201" s="18"/>
      <c r="CQ201" s="18"/>
      <c r="CR201" s="18"/>
      <c r="CS201" s="18"/>
      <c r="CT201" s="18"/>
      <c r="CU201" s="18"/>
      <c r="CV201" s="18"/>
      <c r="CW201" s="18"/>
      <c r="CX201" s="18"/>
      <c r="CY201" s="18"/>
      <c r="CZ201" s="18"/>
      <c r="DA201" s="18"/>
      <c r="DB201" s="18"/>
      <c r="DC201" s="18"/>
      <c r="DD201" s="18"/>
      <c r="DE201" s="18"/>
      <c r="DF201" s="18"/>
      <c r="DG201" s="18"/>
      <c r="DH201" s="18"/>
      <c r="DI201" s="18"/>
      <c r="DJ201" s="18"/>
      <c r="DK201" s="18"/>
      <c r="DL201" s="18"/>
      <c r="DM201" s="18"/>
      <c r="DN201" s="18"/>
      <c r="DO201" s="18"/>
      <c r="DP201" s="18"/>
      <c r="DQ201" s="18"/>
      <c r="DR201" s="18"/>
      <c r="DS201" s="18"/>
      <c r="DT201" s="18"/>
      <c r="DU201" s="18"/>
      <c r="DV201" s="18"/>
      <c r="DW201" s="18"/>
      <c r="DX201" s="18"/>
      <c r="DY201" s="18"/>
      <c r="DZ201" s="18"/>
      <c r="EA201" s="18"/>
      <c r="EB201" s="18"/>
      <c r="EC201" s="18"/>
      <c r="ED201" s="18"/>
      <c r="EE201" s="18"/>
      <c r="EF201" s="18"/>
      <c r="EG201" s="18"/>
      <c r="EH201" s="18"/>
      <c r="EI201" s="18"/>
      <c r="EJ201" s="18"/>
      <c r="EK201" s="18"/>
      <c r="EL201" s="18"/>
      <c r="EM201" s="18"/>
      <c r="EN201" s="18"/>
      <c r="EO201" s="18"/>
      <c r="EP201" s="18"/>
      <c r="EQ201" s="18"/>
      <c r="ER201" s="18"/>
      <c r="ES201" s="18"/>
      <c r="ET201" s="18"/>
      <c r="EU201" s="18"/>
      <c r="EV201" s="18"/>
      <c r="EW201" s="18"/>
      <c r="EX201" s="18"/>
      <c r="EY201" s="18"/>
      <c r="EZ201" s="18"/>
      <c r="FA201" s="18"/>
      <c r="FB201" s="18"/>
      <c r="FC201" s="18"/>
      <c r="FD201" s="18"/>
      <c r="FE201" s="18"/>
      <c r="FF201" s="18"/>
      <c r="FG201" s="18"/>
      <c r="FH201" s="18"/>
      <c r="FI201" s="18"/>
      <c r="FJ201" s="18"/>
      <c r="FK201" s="18"/>
      <c r="FL201" s="18"/>
      <c r="FM201" s="18"/>
      <c r="FN201" s="18"/>
      <c r="FO201" s="18"/>
      <c r="FP201" s="18"/>
      <c r="FQ201" s="18"/>
      <c r="FR201" s="18"/>
      <c r="FS201" s="18"/>
      <c r="FT201" s="18"/>
      <c r="FU201" s="18"/>
      <c r="FV201" s="18"/>
      <c r="FW201" s="18"/>
      <c r="FX201" s="18"/>
      <c r="FY201" s="18"/>
      <c r="FZ201" s="18"/>
      <c r="GA201" s="18"/>
      <c r="GB201" s="18"/>
      <c r="GC201" s="18"/>
      <c r="GD201" s="18"/>
      <c r="GE201" s="18"/>
      <c r="GF201" s="18"/>
      <c r="GG201" s="18"/>
      <c r="GH201" s="18"/>
      <c r="GI201" s="18"/>
      <c r="GJ201" s="18"/>
      <c r="GK201" s="18"/>
      <c r="GL201" s="18"/>
      <c r="GM201" s="18"/>
      <c r="GN201" s="18"/>
      <c r="GO201" s="18"/>
      <c r="GP201" s="18"/>
      <c r="GQ201" s="18"/>
      <c r="GR201" s="18"/>
      <c r="GS201" s="18"/>
      <c r="GT201" s="18"/>
      <c r="GU201" s="18"/>
      <c r="GV201" s="18"/>
      <c r="GW201" s="18"/>
      <c r="GX201" s="18"/>
      <c r="GY201" s="18"/>
      <c r="GZ201" s="18"/>
      <c r="HA201" s="18"/>
      <c r="HB201" s="18"/>
      <c r="HC201" s="18"/>
      <c r="HD201" s="18"/>
      <c r="HE201" s="18"/>
      <c r="HF201" s="18"/>
      <c r="HG201" s="18"/>
      <c r="HH201" s="18"/>
      <c r="HI201" s="18"/>
      <c r="HJ201" s="18"/>
      <c r="HK201" s="18"/>
      <c r="HL201" s="18"/>
      <c r="HM201" s="18"/>
      <c r="HN201" s="18"/>
      <c r="HO201" s="18"/>
      <c r="HP201" s="18"/>
      <c r="HQ201" s="18"/>
      <c r="HR201" s="18"/>
      <c r="HS201" s="18"/>
      <c r="HT201" s="18"/>
      <c r="HU201" s="18"/>
      <c r="HV201" s="18"/>
      <c r="HW201" s="18"/>
      <c r="HX201" s="18"/>
      <c r="HY201" s="18"/>
      <c r="HZ201" s="18"/>
      <c r="IA201" s="18"/>
      <c r="IB201" s="18"/>
      <c r="IC201" s="18"/>
      <c r="ID201" s="18"/>
      <c r="IE201" s="18"/>
      <c r="IF201" s="18"/>
      <c r="IG201" s="18"/>
      <c r="IH201" s="18"/>
      <c r="II201" s="18"/>
      <c r="IJ201" s="18"/>
      <c r="IK201" s="18"/>
      <c r="IL201" s="18"/>
      <c r="IM201" s="18"/>
      <c r="IN201" s="18"/>
      <c r="IO201" s="18"/>
      <c r="IP201" s="18"/>
      <c r="IQ201" s="18"/>
      <c r="IR201" s="18"/>
    </row>
    <row r="202" spans="1:252" s="349" customFormat="1" ht="61.5">
      <c r="A202" s="2696" t="s">
        <v>206</v>
      </c>
      <c r="B202" s="2697"/>
      <c r="C202" s="2697"/>
      <c r="D202" s="2697"/>
      <c r="E202" s="2697"/>
      <c r="F202" s="2697"/>
      <c r="G202" s="2698"/>
      <c r="H202" s="906" t="s">
        <v>207</v>
      </c>
      <c r="I202" s="907" t="s">
        <v>1115</v>
      </c>
      <c r="J202" s="907" t="s">
        <v>160</v>
      </c>
      <c r="K202" s="910" t="s">
        <v>83</v>
      </c>
      <c r="L202" s="910"/>
      <c r="M202" s="911"/>
      <c r="P202" s="2254"/>
      <c r="X202" s="18"/>
      <c r="Y202" s="18"/>
      <c r="Z202" s="18"/>
      <c r="AA202" s="18"/>
      <c r="AB202" s="18"/>
      <c r="AC202" s="18"/>
      <c r="AD202" s="18"/>
      <c r="AE202" s="18"/>
      <c r="AF202" s="18"/>
      <c r="AG202" s="18"/>
      <c r="AH202" s="18"/>
      <c r="AI202" s="18"/>
      <c r="AJ202" s="18"/>
      <c r="AK202" s="18"/>
      <c r="AL202" s="18"/>
      <c r="AM202" s="18"/>
      <c r="AN202" s="18"/>
      <c r="AO202" s="18"/>
      <c r="AP202" s="18"/>
      <c r="AQ202" s="18"/>
      <c r="AR202" s="18"/>
      <c r="AS202" s="18"/>
      <c r="AT202" s="18"/>
      <c r="AU202" s="18"/>
      <c r="AV202" s="18"/>
      <c r="AW202" s="18"/>
      <c r="AX202" s="18"/>
      <c r="AY202" s="18"/>
      <c r="AZ202" s="18"/>
      <c r="BA202" s="18"/>
      <c r="BB202" s="18"/>
      <c r="BC202" s="18"/>
      <c r="BD202" s="18"/>
      <c r="BE202" s="18"/>
      <c r="BF202" s="18"/>
      <c r="BG202" s="18"/>
      <c r="BH202" s="18"/>
      <c r="BI202" s="18"/>
      <c r="BJ202" s="18"/>
      <c r="BK202" s="18"/>
      <c r="BL202" s="18"/>
      <c r="BM202" s="18"/>
      <c r="BN202" s="18"/>
      <c r="BO202" s="18"/>
      <c r="BP202" s="18"/>
      <c r="BQ202" s="18"/>
      <c r="BR202" s="18"/>
      <c r="BS202" s="18"/>
      <c r="BT202" s="18"/>
      <c r="BU202" s="18"/>
      <c r="BV202" s="18"/>
      <c r="BW202" s="18"/>
      <c r="BX202" s="18"/>
      <c r="BY202" s="18"/>
      <c r="BZ202" s="18"/>
      <c r="CA202" s="18"/>
      <c r="CB202" s="18"/>
      <c r="CC202" s="18"/>
      <c r="CD202" s="18"/>
      <c r="CE202" s="18"/>
      <c r="CF202" s="18"/>
      <c r="CG202" s="18"/>
      <c r="CH202" s="18"/>
      <c r="CI202" s="18"/>
      <c r="CJ202" s="18"/>
      <c r="CK202" s="18"/>
      <c r="CL202" s="18"/>
      <c r="CM202" s="18"/>
      <c r="CN202" s="18"/>
      <c r="CO202" s="18"/>
      <c r="CP202" s="18"/>
      <c r="CQ202" s="18"/>
      <c r="CR202" s="18"/>
      <c r="CS202" s="18"/>
      <c r="CT202" s="18"/>
      <c r="CU202" s="18"/>
      <c r="CV202" s="18"/>
      <c r="CW202" s="18"/>
      <c r="CX202" s="18"/>
      <c r="CY202" s="18"/>
      <c r="CZ202" s="18"/>
      <c r="DA202" s="18"/>
      <c r="DB202" s="18"/>
      <c r="DC202" s="18"/>
      <c r="DD202" s="18"/>
      <c r="DE202" s="18"/>
      <c r="DF202" s="18"/>
      <c r="DG202" s="18"/>
      <c r="DH202" s="18"/>
      <c r="DI202" s="18"/>
      <c r="DJ202" s="18"/>
      <c r="DK202" s="18"/>
      <c r="DL202" s="18"/>
      <c r="DM202" s="18"/>
      <c r="DN202" s="18"/>
      <c r="DO202" s="18"/>
      <c r="DP202" s="18"/>
      <c r="DQ202" s="18"/>
      <c r="DR202" s="18"/>
      <c r="DS202" s="18"/>
      <c r="DT202" s="18"/>
      <c r="DU202" s="18"/>
      <c r="DV202" s="18"/>
      <c r="DW202" s="18"/>
      <c r="DX202" s="18"/>
      <c r="DY202" s="18"/>
      <c r="DZ202" s="18"/>
      <c r="EA202" s="18"/>
      <c r="EB202" s="18"/>
      <c r="EC202" s="18"/>
      <c r="ED202" s="18"/>
      <c r="EE202" s="18"/>
      <c r="EF202" s="18"/>
      <c r="EG202" s="18"/>
      <c r="EH202" s="18"/>
      <c r="EI202" s="18"/>
      <c r="EJ202" s="18"/>
      <c r="EK202" s="18"/>
      <c r="EL202" s="18"/>
      <c r="EM202" s="18"/>
      <c r="EN202" s="18"/>
      <c r="EO202" s="18"/>
      <c r="EP202" s="18"/>
      <c r="EQ202" s="18"/>
      <c r="ER202" s="18"/>
      <c r="ES202" s="18"/>
      <c r="ET202" s="18"/>
      <c r="EU202" s="18"/>
      <c r="EV202" s="18"/>
      <c r="EW202" s="18"/>
      <c r="EX202" s="18"/>
      <c r="EY202" s="18"/>
      <c r="EZ202" s="18"/>
      <c r="FA202" s="18"/>
      <c r="FB202" s="18"/>
      <c r="FC202" s="18"/>
      <c r="FD202" s="18"/>
      <c r="FE202" s="18"/>
      <c r="FF202" s="18"/>
      <c r="FG202" s="18"/>
      <c r="FH202" s="18"/>
      <c r="FI202" s="18"/>
      <c r="FJ202" s="18"/>
      <c r="FK202" s="18"/>
      <c r="FL202" s="18"/>
      <c r="FM202" s="18"/>
      <c r="FN202" s="18"/>
      <c r="FO202" s="18"/>
      <c r="FP202" s="18"/>
      <c r="FQ202" s="18"/>
      <c r="FR202" s="18"/>
      <c r="FS202" s="18"/>
      <c r="FT202" s="18"/>
      <c r="FU202" s="18"/>
      <c r="FV202" s="18"/>
      <c r="FW202" s="18"/>
      <c r="FX202" s="18"/>
      <c r="FY202" s="18"/>
      <c r="FZ202" s="18"/>
      <c r="GA202" s="18"/>
      <c r="GB202" s="18"/>
      <c r="GC202" s="18"/>
      <c r="GD202" s="18"/>
      <c r="GE202" s="18"/>
      <c r="GF202" s="18"/>
      <c r="GG202" s="18"/>
      <c r="GH202" s="18"/>
      <c r="GI202" s="18"/>
      <c r="GJ202" s="18"/>
      <c r="GK202" s="18"/>
      <c r="GL202" s="18"/>
      <c r="GM202" s="18"/>
      <c r="GN202" s="18"/>
      <c r="GO202" s="18"/>
      <c r="GP202" s="18"/>
      <c r="GQ202" s="18"/>
      <c r="GR202" s="18"/>
      <c r="GS202" s="18"/>
      <c r="GT202" s="18"/>
      <c r="GU202" s="18"/>
      <c r="GV202" s="18"/>
      <c r="GW202" s="18"/>
      <c r="GX202" s="18"/>
      <c r="GY202" s="18"/>
      <c r="GZ202" s="18"/>
      <c r="HA202" s="18"/>
      <c r="HB202" s="18"/>
      <c r="HC202" s="18"/>
      <c r="HD202" s="18"/>
      <c r="HE202" s="18"/>
      <c r="HF202" s="18"/>
      <c r="HG202" s="18"/>
      <c r="HH202" s="18"/>
      <c r="HI202" s="18"/>
      <c r="HJ202" s="18"/>
      <c r="HK202" s="18"/>
      <c r="HL202" s="18"/>
      <c r="HM202" s="18"/>
      <c r="HN202" s="18"/>
      <c r="HO202" s="18"/>
      <c r="HP202" s="18"/>
      <c r="HQ202" s="18"/>
      <c r="HR202" s="18"/>
      <c r="HS202" s="18"/>
      <c r="HT202" s="18"/>
      <c r="HU202" s="18"/>
      <c r="HV202" s="18"/>
      <c r="HW202" s="18"/>
      <c r="HX202" s="18"/>
      <c r="HY202" s="18"/>
      <c r="HZ202" s="18"/>
      <c r="IA202" s="18"/>
      <c r="IB202" s="18"/>
      <c r="IC202" s="18"/>
      <c r="ID202" s="18"/>
      <c r="IE202" s="18"/>
      <c r="IF202" s="18"/>
      <c r="IG202" s="18"/>
      <c r="IH202" s="18"/>
      <c r="II202" s="18"/>
      <c r="IJ202" s="18"/>
      <c r="IK202" s="18"/>
      <c r="IL202" s="18"/>
      <c r="IM202" s="18"/>
      <c r="IN202" s="18"/>
      <c r="IO202" s="18"/>
      <c r="IP202" s="18"/>
      <c r="IQ202" s="18"/>
      <c r="IR202" s="18"/>
    </row>
    <row r="203" spans="1:252" s="349" customFormat="1" ht="15.75">
      <c r="A203" s="2245"/>
      <c r="B203" s="228" t="s">
        <v>235</v>
      </c>
      <c r="C203" s="47"/>
      <c r="D203" s="37"/>
      <c r="E203" s="37"/>
      <c r="F203" s="243"/>
      <c r="G203" s="947"/>
      <c r="H203" s="268"/>
      <c r="I203" s="252"/>
      <c r="J203" s="92"/>
      <c r="K203" s="38"/>
      <c r="L203" s="38"/>
      <c r="M203" s="229"/>
      <c r="P203" s="2254"/>
      <c r="X203" s="18"/>
      <c r="Y203" s="18"/>
      <c r="Z203" s="18"/>
      <c r="AA203" s="18"/>
      <c r="AB203" s="18"/>
      <c r="AC203" s="18"/>
      <c r="AD203" s="18"/>
      <c r="AE203" s="18"/>
      <c r="AF203" s="18"/>
      <c r="AG203" s="18"/>
      <c r="AH203" s="18"/>
      <c r="AI203" s="18"/>
      <c r="AJ203" s="18"/>
      <c r="AK203" s="18"/>
      <c r="AL203" s="18"/>
      <c r="AM203" s="18"/>
      <c r="AN203" s="18"/>
      <c r="AO203" s="18"/>
      <c r="AP203" s="18"/>
      <c r="AQ203" s="18"/>
      <c r="AR203" s="18"/>
      <c r="AS203" s="18"/>
      <c r="AT203" s="18"/>
      <c r="AU203" s="18"/>
      <c r="AV203" s="18"/>
      <c r="AW203" s="18"/>
      <c r="AX203" s="18"/>
      <c r="AY203" s="18"/>
      <c r="AZ203" s="18"/>
      <c r="BA203" s="18"/>
      <c r="BB203" s="18"/>
      <c r="BC203" s="18"/>
      <c r="BD203" s="18"/>
      <c r="BE203" s="18"/>
      <c r="BF203" s="18"/>
      <c r="BG203" s="18"/>
      <c r="BH203" s="18"/>
      <c r="BI203" s="18"/>
      <c r="BJ203" s="18"/>
      <c r="BK203" s="18"/>
      <c r="BL203" s="18"/>
      <c r="BM203" s="18"/>
      <c r="BN203" s="18"/>
      <c r="BO203" s="18"/>
      <c r="BP203" s="18"/>
      <c r="BQ203" s="18"/>
      <c r="BR203" s="18"/>
      <c r="BS203" s="18"/>
      <c r="BT203" s="18"/>
      <c r="BU203" s="18"/>
      <c r="BV203" s="18"/>
      <c r="BW203" s="18"/>
      <c r="BX203" s="18"/>
      <c r="BY203" s="18"/>
      <c r="BZ203" s="18"/>
      <c r="CA203" s="18"/>
      <c r="CB203" s="18"/>
      <c r="CC203" s="18"/>
      <c r="CD203" s="18"/>
      <c r="CE203" s="18"/>
      <c r="CF203" s="18"/>
      <c r="CG203" s="18"/>
      <c r="CH203" s="18"/>
      <c r="CI203" s="18"/>
      <c r="CJ203" s="18"/>
      <c r="CK203" s="18"/>
      <c r="CL203" s="18"/>
      <c r="CM203" s="18"/>
      <c r="CN203" s="18"/>
      <c r="CO203" s="18"/>
      <c r="CP203" s="18"/>
      <c r="CQ203" s="18"/>
      <c r="CR203" s="18"/>
      <c r="CS203" s="18"/>
      <c r="CT203" s="18"/>
      <c r="CU203" s="18"/>
      <c r="CV203" s="18"/>
      <c r="CW203" s="18"/>
      <c r="CX203" s="18"/>
      <c r="CY203" s="18"/>
      <c r="CZ203" s="18"/>
      <c r="DA203" s="18"/>
      <c r="DB203" s="18"/>
      <c r="DC203" s="18"/>
      <c r="DD203" s="18"/>
      <c r="DE203" s="18"/>
      <c r="DF203" s="18"/>
      <c r="DG203" s="18"/>
      <c r="DH203" s="18"/>
      <c r="DI203" s="18"/>
      <c r="DJ203" s="18"/>
      <c r="DK203" s="18"/>
      <c r="DL203" s="18"/>
      <c r="DM203" s="18"/>
      <c r="DN203" s="18"/>
      <c r="DO203" s="18"/>
      <c r="DP203" s="18"/>
      <c r="DQ203" s="18"/>
      <c r="DR203" s="18"/>
      <c r="DS203" s="18"/>
      <c r="DT203" s="18"/>
      <c r="DU203" s="18"/>
      <c r="DV203" s="18"/>
      <c r="DW203" s="18"/>
      <c r="DX203" s="18"/>
      <c r="DY203" s="18"/>
      <c r="DZ203" s="18"/>
      <c r="EA203" s="18"/>
      <c r="EB203" s="18"/>
      <c r="EC203" s="18"/>
      <c r="ED203" s="18"/>
      <c r="EE203" s="18"/>
      <c r="EF203" s="18"/>
      <c r="EG203" s="18"/>
      <c r="EH203" s="18"/>
      <c r="EI203" s="18"/>
      <c r="EJ203" s="18"/>
      <c r="EK203" s="18"/>
      <c r="EL203" s="18"/>
      <c r="EM203" s="18"/>
      <c r="EN203" s="18"/>
      <c r="EO203" s="18"/>
      <c r="EP203" s="18"/>
      <c r="EQ203" s="18"/>
      <c r="ER203" s="18"/>
      <c r="ES203" s="18"/>
      <c r="ET203" s="18"/>
      <c r="EU203" s="18"/>
      <c r="EV203" s="18"/>
      <c r="EW203" s="18"/>
      <c r="EX203" s="18"/>
      <c r="EY203" s="18"/>
      <c r="EZ203" s="18"/>
      <c r="FA203" s="18"/>
      <c r="FB203" s="18"/>
      <c r="FC203" s="18"/>
      <c r="FD203" s="18"/>
      <c r="FE203" s="18"/>
      <c r="FF203" s="18"/>
      <c r="FG203" s="18"/>
      <c r="FH203" s="18"/>
      <c r="FI203" s="18"/>
      <c r="FJ203" s="18"/>
      <c r="FK203" s="18"/>
      <c r="FL203" s="18"/>
      <c r="FM203" s="18"/>
      <c r="FN203" s="18"/>
      <c r="FO203" s="18"/>
      <c r="FP203" s="18"/>
      <c r="FQ203" s="18"/>
      <c r="FR203" s="18"/>
      <c r="FS203" s="18"/>
      <c r="FT203" s="18"/>
      <c r="FU203" s="18"/>
      <c r="FV203" s="18"/>
      <c r="FW203" s="18"/>
      <c r="FX203" s="18"/>
      <c r="FY203" s="18"/>
      <c r="FZ203" s="18"/>
      <c r="GA203" s="18"/>
      <c r="GB203" s="18"/>
      <c r="GC203" s="18"/>
      <c r="GD203" s="18"/>
      <c r="GE203" s="18"/>
      <c r="GF203" s="18"/>
      <c r="GG203" s="18"/>
      <c r="GH203" s="18"/>
      <c r="GI203" s="18"/>
      <c r="GJ203" s="18"/>
      <c r="GK203" s="18"/>
      <c r="GL203" s="18"/>
      <c r="GM203" s="18"/>
      <c r="GN203" s="18"/>
      <c r="GO203" s="18"/>
      <c r="GP203" s="18"/>
      <c r="GQ203" s="18"/>
      <c r="GR203" s="18"/>
      <c r="GS203" s="18"/>
      <c r="GT203" s="18"/>
      <c r="GU203" s="18"/>
      <c r="GV203" s="18"/>
      <c r="GW203" s="18"/>
      <c r="GX203" s="18"/>
      <c r="GY203" s="18"/>
      <c r="GZ203" s="18"/>
      <c r="HA203" s="18"/>
      <c r="HB203" s="18"/>
      <c r="HC203" s="18"/>
      <c r="HD203" s="18"/>
      <c r="HE203" s="18"/>
      <c r="HF203" s="18"/>
      <c r="HG203" s="18"/>
      <c r="HH203" s="18"/>
      <c r="HI203" s="18"/>
      <c r="HJ203" s="18"/>
      <c r="HK203" s="18"/>
      <c r="HL203" s="18"/>
      <c r="HM203" s="18"/>
      <c r="HN203" s="18"/>
      <c r="HO203" s="18"/>
      <c r="HP203" s="18"/>
      <c r="HQ203" s="18"/>
      <c r="HR203" s="18"/>
      <c r="HS203" s="18"/>
      <c r="HT203" s="18"/>
      <c r="HU203" s="18"/>
      <c r="HV203" s="18"/>
      <c r="HW203" s="18"/>
      <c r="HX203" s="18"/>
      <c r="HY203" s="18"/>
      <c r="HZ203" s="18"/>
      <c r="IA203" s="18"/>
      <c r="IB203" s="18"/>
      <c r="IC203" s="18"/>
      <c r="ID203" s="18"/>
      <c r="IE203" s="18"/>
      <c r="IF203" s="18"/>
      <c r="IG203" s="18"/>
      <c r="IH203" s="18"/>
      <c r="II203" s="18"/>
      <c r="IJ203" s="18"/>
      <c r="IK203" s="18"/>
      <c r="IL203" s="18"/>
      <c r="IM203" s="18"/>
      <c r="IN203" s="18"/>
      <c r="IO203" s="18"/>
      <c r="IP203" s="18"/>
      <c r="IQ203" s="18"/>
      <c r="IR203" s="18"/>
    </row>
    <row r="204" spans="1:252" s="349" customFormat="1" ht="15.75">
      <c r="A204" s="230"/>
      <c r="B204" s="228"/>
      <c r="C204" s="47"/>
      <c r="D204" s="37"/>
      <c r="E204" s="37"/>
      <c r="F204" s="243"/>
      <c r="G204" s="947"/>
      <c r="H204" s="268"/>
      <c r="I204" s="252"/>
      <c r="J204" s="92"/>
      <c r="K204" s="38"/>
      <c r="L204" s="38"/>
      <c r="M204" s="229"/>
      <c r="P204" s="2254"/>
    </row>
    <row r="205" spans="1:252" s="349" customFormat="1" ht="15.75">
      <c r="A205" s="946" t="s">
        <v>834</v>
      </c>
      <c r="B205" s="17"/>
      <c r="C205" s="51"/>
      <c r="D205" s="37"/>
      <c r="E205" s="37"/>
      <c r="F205" s="233"/>
      <c r="G205" s="945"/>
      <c r="H205" s="805"/>
      <c r="I205" s="245"/>
      <c r="J205" s="806"/>
      <c r="K205" s="51"/>
      <c r="L205" s="51"/>
      <c r="M205" s="262"/>
      <c r="P205" s="2254"/>
    </row>
    <row r="206" spans="1:252" s="349" customFormat="1" ht="15.75">
      <c r="A206" s="230"/>
      <c r="B206" s="17"/>
      <c r="C206" s="47"/>
      <c r="D206" s="37"/>
      <c r="E206" s="37"/>
      <c r="F206" s="233"/>
      <c r="G206" s="945"/>
      <c r="H206" s="807"/>
      <c r="I206" s="574"/>
      <c r="J206" s="808"/>
      <c r="K206" s="200"/>
      <c r="L206" s="51"/>
      <c r="M206" s="262"/>
      <c r="O206" s="23"/>
      <c r="P206" s="2254"/>
    </row>
    <row r="207" spans="1:252" s="349" customFormat="1" ht="15.75">
      <c r="A207" s="230"/>
      <c r="B207" s="17"/>
      <c r="C207" s="51" t="s">
        <v>735</v>
      </c>
      <c r="D207" s="51"/>
      <c r="E207" s="51"/>
      <c r="F207" s="51"/>
      <c r="G207" s="262"/>
      <c r="H207" s="807"/>
      <c r="I207" s="574"/>
      <c r="J207" s="808"/>
      <c r="K207" s="200"/>
      <c r="L207" s="51"/>
      <c r="M207" s="262"/>
      <c r="O207" s="23"/>
      <c r="P207" s="2254"/>
    </row>
    <row r="208" spans="1:252" s="349" customFormat="1" ht="15.75">
      <c r="A208" s="230"/>
      <c r="B208" s="17"/>
      <c r="C208" s="944" t="s">
        <v>736</v>
      </c>
      <c r="D208" s="51"/>
      <c r="E208" s="51"/>
      <c r="F208" s="51"/>
      <c r="G208" s="1765" t="s">
        <v>1413</v>
      </c>
      <c r="H208" s="1681">
        <v>1913622.0999999999</v>
      </c>
      <c r="I208" s="969">
        <f>H208</f>
        <v>1913622.0999999999</v>
      </c>
      <c r="J208" s="1762"/>
      <c r="K208" s="2636"/>
      <c r="L208" s="51"/>
      <c r="M208" s="262"/>
      <c r="O208" s="23"/>
      <c r="P208" s="2254"/>
    </row>
    <row r="209" spans="1:252" s="349" customFormat="1" ht="15.75">
      <c r="A209" s="230"/>
      <c r="B209" s="17"/>
      <c r="C209" s="944" t="s">
        <v>1394</v>
      </c>
      <c r="D209" s="51"/>
      <c r="E209" s="51"/>
      <c r="F209" s="51"/>
      <c r="G209" s="1765" t="s">
        <v>1414</v>
      </c>
      <c r="H209" s="1681">
        <v>2289581.4000000004</v>
      </c>
      <c r="I209" s="969"/>
      <c r="J209" s="969">
        <f>+H209</f>
        <v>2289581.4000000004</v>
      </c>
      <c r="K209" s="2636"/>
      <c r="L209" s="51"/>
      <c r="M209" s="262"/>
      <c r="O209" s="23"/>
      <c r="P209" s="2254"/>
    </row>
    <row r="210" spans="1:252" s="349" customFormat="1" ht="15.75">
      <c r="A210" s="230"/>
      <c r="B210" s="17"/>
      <c r="C210" s="944" t="s">
        <v>737</v>
      </c>
      <c r="D210" s="51"/>
      <c r="E210" s="51"/>
      <c r="F210" s="51"/>
      <c r="G210" s="1765" t="s">
        <v>1729</v>
      </c>
      <c r="H210" s="1681">
        <v>206205.7000000003</v>
      </c>
      <c r="I210" s="969">
        <f>H210</f>
        <v>206205.7000000003</v>
      </c>
      <c r="J210" s="969"/>
      <c r="K210" s="2636"/>
      <c r="L210" s="51"/>
      <c r="M210" s="262"/>
      <c r="O210" s="23"/>
      <c r="P210" s="2254"/>
    </row>
    <row r="211" spans="1:252" s="349" customFormat="1" ht="15.75">
      <c r="A211" s="230"/>
      <c r="B211" s="17"/>
      <c r="C211" s="944" t="s">
        <v>1393</v>
      </c>
      <c r="D211" s="51"/>
      <c r="E211" s="51"/>
      <c r="F211" s="51"/>
      <c r="G211" s="1765" t="s">
        <v>1730</v>
      </c>
      <c r="H211" s="1681">
        <v>983203.02000000014</v>
      </c>
      <c r="I211" s="969">
        <v>980836.81999999983</v>
      </c>
      <c r="J211" s="969">
        <v>2366.1999999999998</v>
      </c>
      <c r="K211" s="2636"/>
      <c r="L211" s="51"/>
      <c r="M211" s="262"/>
      <c r="O211" s="2637"/>
      <c r="P211" s="2254"/>
    </row>
    <row r="212" spans="1:252" s="349" customFormat="1" ht="15.75">
      <c r="A212" s="230">
        <f>+'Appendix A'!A129</f>
        <v>67</v>
      </c>
      <c r="B212" s="17"/>
      <c r="C212" s="943" t="s">
        <v>282</v>
      </c>
      <c r="D212" s="942"/>
      <c r="E212" s="997"/>
      <c r="F212" s="942"/>
      <c r="G212" s="1766" t="s">
        <v>1098</v>
      </c>
      <c r="H212" s="1761">
        <f>SUM(H208:H211)</f>
        <v>5392612.2200000007</v>
      </c>
      <c r="I212" s="1763">
        <f>SUM(I208:I211)</f>
        <v>3100664.62</v>
      </c>
      <c r="J212" s="1764">
        <f>SUM(J208:J211)</f>
        <v>2291947.6000000006</v>
      </c>
      <c r="K212" s="200"/>
      <c r="L212" s="51"/>
      <c r="M212" s="262"/>
      <c r="O212" s="23"/>
      <c r="P212" s="2254"/>
    </row>
    <row r="213" spans="1:252" s="349" customFormat="1" ht="15.75" thickBot="1">
      <c r="A213" s="1009"/>
      <c r="B213" s="837"/>
      <c r="C213" s="841"/>
      <c r="D213" s="941"/>
      <c r="E213" s="941"/>
      <c r="F213" s="854"/>
      <c r="G213" s="244"/>
      <c r="H213" s="575"/>
      <c r="I213" s="835"/>
      <c r="J213" s="258"/>
      <c r="K213" s="2691"/>
      <c r="L213" s="2691"/>
      <c r="M213" s="2692"/>
      <c r="O213" s="23"/>
      <c r="P213" s="2254"/>
      <c r="X213" s="18"/>
      <c r="Y213" s="18"/>
      <c r="Z213" s="18"/>
      <c r="AA213" s="18"/>
      <c r="AB213" s="18"/>
      <c r="AC213" s="18"/>
      <c r="AD213" s="18"/>
      <c r="AE213" s="18"/>
      <c r="AF213" s="18"/>
      <c r="AG213" s="18"/>
      <c r="AH213" s="18"/>
      <c r="AI213" s="18"/>
      <c r="AJ213" s="18"/>
      <c r="AK213" s="18"/>
      <c r="AL213" s="18"/>
      <c r="AM213" s="18"/>
      <c r="AN213" s="18"/>
      <c r="AO213" s="18"/>
      <c r="AP213" s="18"/>
      <c r="AQ213" s="18"/>
      <c r="AR213" s="18"/>
      <c r="AS213" s="18"/>
      <c r="AT213" s="18"/>
      <c r="AU213" s="18"/>
      <c r="AV213" s="18"/>
      <c r="AW213" s="18"/>
      <c r="AX213" s="18"/>
      <c r="AY213" s="18"/>
      <c r="AZ213" s="18"/>
      <c r="BA213" s="18"/>
      <c r="BB213" s="18"/>
      <c r="BC213" s="18"/>
      <c r="BD213" s="18"/>
      <c r="BE213" s="18"/>
      <c r="BF213" s="18"/>
      <c r="BG213" s="18"/>
      <c r="BH213" s="18"/>
      <c r="BI213" s="18"/>
      <c r="BJ213" s="18"/>
      <c r="BK213" s="18"/>
      <c r="BL213" s="18"/>
      <c r="BM213" s="18"/>
      <c r="BN213" s="18"/>
      <c r="BO213" s="18"/>
      <c r="BP213" s="18"/>
      <c r="BQ213" s="18"/>
      <c r="BR213" s="18"/>
      <c r="BS213" s="18"/>
      <c r="BT213" s="18"/>
      <c r="BU213" s="18"/>
      <c r="BV213" s="18"/>
      <c r="BW213" s="18"/>
      <c r="BX213" s="18"/>
      <c r="BY213" s="18"/>
      <c r="BZ213" s="18"/>
      <c r="CA213" s="18"/>
      <c r="CB213" s="18"/>
      <c r="CC213" s="18"/>
      <c r="CD213" s="18"/>
      <c r="CE213" s="18"/>
      <c r="CF213" s="18"/>
      <c r="CG213" s="18"/>
      <c r="CH213" s="18"/>
      <c r="CI213" s="18"/>
      <c r="CJ213" s="18"/>
      <c r="CK213" s="18"/>
      <c r="CL213" s="18"/>
      <c r="CM213" s="18"/>
      <c r="CN213" s="18"/>
      <c r="CO213" s="18"/>
      <c r="CP213" s="18"/>
      <c r="CQ213" s="18"/>
      <c r="CR213" s="18"/>
      <c r="CS213" s="18"/>
      <c r="CT213" s="18"/>
      <c r="CU213" s="18"/>
      <c r="CV213" s="18"/>
      <c r="CW213" s="18"/>
      <c r="CX213" s="18"/>
      <c r="CY213" s="18"/>
      <c r="CZ213" s="18"/>
      <c r="DA213" s="18"/>
      <c r="DB213" s="18"/>
      <c r="DC213" s="18"/>
      <c r="DD213" s="18"/>
      <c r="DE213" s="18"/>
      <c r="DF213" s="18"/>
      <c r="DG213" s="18"/>
      <c r="DH213" s="18"/>
      <c r="DI213" s="18"/>
      <c r="DJ213" s="18"/>
      <c r="DK213" s="18"/>
      <c r="DL213" s="18"/>
      <c r="DM213" s="18"/>
      <c r="DN213" s="18"/>
      <c r="DO213" s="18"/>
      <c r="DP213" s="18"/>
      <c r="DQ213" s="18"/>
      <c r="DR213" s="18"/>
      <c r="DS213" s="18"/>
      <c r="DT213" s="18"/>
      <c r="DU213" s="18"/>
      <c r="DV213" s="18"/>
      <c r="DW213" s="18"/>
      <c r="DX213" s="18"/>
      <c r="DY213" s="18"/>
      <c r="DZ213" s="18"/>
      <c r="EA213" s="18"/>
      <c r="EB213" s="18"/>
      <c r="EC213" s="18"/>
      <c r="ED213" s="18"/>
      <c r="EE213" s="18"/>
      <c r="EF213" s="18"/>
      <c r="EG213" s="18"/>
      <c r="EH213" s="18"/>
      <c r="EI213" s="18"/>
      <c r="EJ213" s="18"/>
      <c r="EK213" s="18"/>
      <c r="EL213" s="18"/>
      <c r="EM213" s="18"/>
      <c r="EN213" s="18"/>
      <c r="EO213" s="18"/>
      <c r="EP213" s="18"/>
      <c r="EQ213" s="18"/>
      <c r="ER213" s="18"/>
      <c r="ES213" s="18"/>
      <c r="ET213" s="18"/>
      <c r="EU213" s="18"/>
      <c r="EV213" s="18"/>
      <c r="EW213" s="18"/>
      <c r="EX213" s="18"/>
      <c r="EY213" s="18"/>
      <c r="EZ213" s="18"/>
      <c r="FA213" s="18"/>
      <c r="FB213" s="18"/>
      <c r="FC213" s="18"/>
      <c r="FD213" s="18"/>
      <c r="FE213" s="18"/>
      <c r="FF213" s="18"/>
      <c r="FG213" s="18"/>
      <c r="FH213" s="18"/>
      <c r="FI213" s="18"/>
      <c r="FJ213" s="18"/>
      <c r="FK213" s="18"/>
      <c r="FL213" s="18"/>
      <c r="FM213" s="18"/>
      <c r="FN213" s="18"/>
      <c r="FO213" s="18"/>
      <c r="FP213" s="18"/>
      <c r="FQ213" s="18"/>
      <c r="FR213" s="18"/>
      <c r="FS213" s="18"/>
      <c r="FT213" s="18"/>
      <c r="FU213" s="18"/>
      <c r="FV213" s="18"/>
      <c r="FW213" s="18"/>
      <c r="FX213" s="18"/>
      <c r="FY213" s="18"/>
      <c r="FZ213" s="18"/>
      <c r="GA213" s="18"/>
      <c r="GB213" s="18"/>
      <c r="GC213" s="18"/>
      <c r="GD213" s="18"/>
      <c r="GE213" s="18"/>
      <c r="GF213" s="18"/>
      <c r="GG213" s="18"/>
      <c r="GH213" s="18"/>
      <c r="GI213" s="18"/>
      <c r="GJ213" s="18"/>
      <c r="GK213" s="18"/>
      <c r="GL213" s="18"/>
      <c r="GM213" s="18"/>
      <c r="GN213" s="18"/>
      <c r="GO213" s="18"/>
      <c r="GP213" s="18"/>
      <c r="GQ213" s="18"/>
      <c r="GR213" s="18"/>
      <c r="GS213" s="18"/>
      <c r="GT213" s="18"/>
      <c r="GU213" s="18"/>
      <c r="GV213" s="18"/>
      <c r="GW213" s="18"/>
      <c r="GX213" s="18"/>
      <c r="GY213" s="18"/>
      <c r="GZ213" s="18"/>
      <c r="HA213" s="18"/>
      <c r="HB213" s="18"/>
      <c r="HC213" s="18"/>
      <c r="HD213" s="18"/>
      <c r="HE213" s="18"/>
      <c r="HF213" s="18"/>
      <c r="HG213" s="18"/>
      <c r="HH213" s="18"/>
      <c r="HI213" s="18"/>
      <c r="HJ213" s="18"/>
      <c r="HK213" s="18"/>
      <c r="HL213" s="18"/>
      <c r="HM213" s="18"/>
      <c r="HN213" s="18"/>
      <c r="HO213" s="18"/>
      <c r="HP213" s="18"/>
      <c r="HQ213" s="18"/>
      <c r="HR213" s="18"/>
      <c r="HS213" s="18"/>
      <c r="HT213" s="18"/>
      <c r="HU213" s="18"/>
      <c r="HV213" s="18"/>
      <c r="HW213" s="18"/>
      <c r="HX213" s="18"/>
      <c r="HY213" s="18"/>
      <c r="HZ213" s="18"/>
      <c r="IA213" s="18"/>
      <c r="IB213" s="18"/>
      <c r="IC213" s="18"/>
      <c r="ID213" s="18"/>
      <c r="IE213" s="18"/>
      <c r="IF213" s="18"/>
      <c r="IG213" s="18"/>
      <c r="IH213" s="18"/>
      <c r="II213" s="18"/>
      <c r="IJ213" s="18"/>
      <c r="IK213" s="18"/>
      <c r="IL213" s="18"/>
      <c r="IM213" s="18"/>
      <c r="IN213" s="18"/>
      <c r="IO213" s="18"/>
      <c r="IP213" s="18"/>
      <c r="IQ213" s="18"/>
      <c r="IR213" s="18"/>
    </row>
    <row r="214" spans="1:252">
      <c r="O214" s="23"/>
    </row>
    <row r="215" spans="1:252">
      <c r="O215" s="23"/>
    </row>
    <row r="216" spans="1:252" s="349" customFormat="1" ht="16.5" thickBot="1">
      <c r="A216" s="878" t="s">
        <v>168</v>
      </c>
      <c r="B216" s="23"/>
      <c r="C216" s="23"/>
      <c r="O216" s="23"/>
      <c r="P216" s="2254"/>
      <c r="X216" s="18"/>
      <c r="Y216" s="18"/>
      <c r="Z216" s="18"/>
      <c r="AA216" s="18"/>
      <c r="AB216" s="18"/>
      <c r="AC216" s="18"/>
      <c r="AD216" s="18"/>
      <c r="AE216" s="18"/>
      <c r="AF216" s="18"/>
      <c r="AG216" s="18"/>
      <c r="AH216" s="18"/>
      <c r="AI216" s="18"/>
      <c r="AJ216" s="18"/>
      <c r="AK216" s="18"/>
      <c r="AL216" s="18"/>
      <c r="AM216" s="18"/>
      <c r="AN216" s="18"/>
      <c r="AO216" s="18"/>
      <c r="AP216" s="18"/>
      <c r="AQ216" s="18"/>
      <c r="AR216" s="18"/>
      <c r="AS216" s="18"/>
      <c r="AT216" s="18"/>
      <c r="AU216" s="18"/>
      <c r="AV216" s="18"/>
      <c r="AW216" s="18"/>
      <c r="AX216" s="18"/>
      <c r="AY216" s="18"/>
      <c r="AZ216" s="18"/>
      <c r="BA216" s="18"/>
      <c r="BB216" s="18"/>
      <c r="BC216" s="18"/>
      <c r="BD216" s="18"/>
      <c r="BE216" s="18"/>
      <c r="BF216" s="18"/>
      <c r="BG216" s="18"/>
      <c r="BH216" s="18"/>
      <c r="BI216" s="18"/>
      <c r="BJ216" s="18"/>
      <c r="BK216" s="18"/>
      <c r="BL216" s="18"/>
      <c r="BM216" s="18"/>
      <c r="BN216" s="18"/>
      <c r="BO216" s="18"/>
      <c r="BP216" s="18"/>
      <c r="BQ216" s="18"/>
      <c r="BR216" s="18"/>
      <c r="BS216" s="18"/>
      <c r="BT216" s="18"/>
      <c r="BU216" s="18"/>
      <c r="BV216" s="18"/>
      <c r="BW216" s="18"/>
      <c r="BX216" s="18"/>
      <c r="BY216" s="18"/>
      <c r="BZ216" s="18"/>
      <c r="CA216" s="18"/>
      <c r="CB216" s="18"/>
      <c r="CC216" s="18"/>
      <c r="CD216" s="18"/>
      <c r="CE216" s="18"/>
      <c r="CF216" s="18"/>
      <c r="CG216" s="18"/>
      <c r="CH216" s="18"/>
      <c r="CI216" s="18"/>
      <c r="CJ216" s="18"/>
      <c r="CK216" s="18"/>
      <c r="CL216" s="18"/>
      <c r="CM216" s="18"/>
      <c r="CN216" s="18"/>
      <c r="CO216" s="18"/>
      <c r="CP216" s="18"/>
      <c r="CQ216" s="18"/>
      <c r="CR216" s="18"/>
      <c r="CS216" s="18"/>
      <c r="CT216" s="18"/>
      <c r="CU216" s="18"/>
      <c r="CV216" s="18"/>
      <c r="CW216" s="18"/>
      <c r="CX216" s="18"/>
      <c r="CY216" s="18"/>
      <c r="CZ216" s="18"/>
      <c r="DA216" s="18"/>
      <c r="DB216" s="18"/>
      <c r="DC216" s="18"/>
      <c r="DD216" s="18"/>
      <c r="DE216" s="18"/>
      <c r="DF216" s="18"/>
      <c r="DG216" s="18"/>
      <c r="DH216" s="18"/>
      <c r="DI216" s="18"/>
      <c r="DJ216" s="18"/>
      <c r="DK216" s="18"/>
      <c r="DL216" s="18"/>
      <c r="DM216" s="18"/>
      <c r="DN216" s="18"/>
      <c r="DO216" s="18"/>
      <c r="DP216" s="18"/>
      <c r="DQ216" s="18"/>
      <c r="DR216" s="18"/>
      <c r="DS216" s="18"/>
      <c r="DT216" s="18"/>
      <c r="DU216" s="18"/>
      <c r="DV216" s="18"/>
      <c r="DW216" s="18"/>
      <c r="DX216" s="18"/>
      <c r="DY216" s="18"/>
      <c r="DZ216" s="18"/>
      <c r="EA216" s="18"/>
      <c r="EB216" s="18"/>
      <c r="EC216" s="18"/>
      <c r="ED216" s="18"/>
      <c r="EE216" s="18"/>
      <c r="EF216" s="18"/>
      <c r="EG216" s="18"/>
      <c r="EH216" s="18"/>
      <c r="EI216" s="18"/>
      <c r="EJ216" s="18"/>
      <c r="EK216" s="18"/>
      <c r="EL216" s="18"/>
      <c r="EM216" s="18"/>
      <c r="EN216" s="18"/>
      <c r="EO216" s="18"/>
      <c r="EP216" s="18"/>
      <c r="EQ216" s="18"/>
      <c r="ER216" s="18"/>
      <c r="ES216" s="18"/>
      <c r="ET216" s="18"/>
      <c r="EU216" s="18"/>
      <c r="EV216" s="18"/>
      <c r="EW216" s="18"/>
      <c r="EX216" s="18"/>
      <c r="EY216" s="18"/>
      <c r="EZ216" s="18"/>
      <c r="FA216" s="18"/>
      <c r="FB216" s="18"/>
      <c r="FC216" s="18"/>
      <c r="FD216" s="18"/>
      <c r="FE216" s="18"/>
      <c r="FF216" s="18"/>
      <c r="FG216" s="18"/>
      <c r="FH216" s="18"/>
      <c r="FI216" s="18"/>
      <c r="FJ216" s="18"/>
      <c r="FK216" s="18"/>
      <c r="FL216" s="18"/>
      <c r="FM216" s="18"/>
      <c r="FN216" s="18"/>
      <c r="FO216" s="18"/>
      <c r="FP216" s="18"/>
      <c r="FQ216" s="18"/>
      <c r="FR216" s="18"/>
      <c r="FS216" s="18"/>
      <c r="FT216" s="18"/>
      <c r="FU216" s="18"/>
      <c r="FV216" s="18"/>
      <c r="FW216" s="18"/>
      <c r="FX216" s="18"/>
      <c r="FY216" s="18"/>
      <c r="FZ216" s="18"/>
      <c r="GA216" s="18"/>
      <c r="GB216" s="18"/>
      <c r="GC216" s="18"/>
      <c r="GD216" s="18"/>
      <c r="GE216" s="18"/>
      <c r="GF216" s="18"/>
      <c r="GG216" s="18"/>
      <c r="GH216" s="18"/>
      <c r="GI216" s="18"/>
      <c r="GJ216" s="18"/>
      <c r="GK216" s="18"/>
      <c r="GL216" s="18"/>
      <c r="GM216" s="18"/>
      <c r="GN216" s="18"/>
      <c r="GO216" s="18"/>
      <c r="GP216" s="18"/>
      <c r="GQ216" s="18"/>
      <c r="GR216" s="18"/>
      <c r="GS216" s="18"/>
      <c r="GT216" s="18"/>
      <c r="GU216" s="18"/>
      <c r="GV216" s="18"/>
      <c r="GW216" s="18"/>
      <c r="GX216" s="18"/>
      <c r="GY216" s="18"/>
      <c r="GZ216" s="18"/>
      <c r="HA216" s="18"/>
      <c r="HB216" s="18"/>
      <c r="HC216" s="18"/>
      <c r="HD216" s="18"/>
      <c r="HE216" s="18"/>
      <c r="HF216" s="18"/>
      <c r="HG216" s="18"/>
      <c r="HH216" s="18"/>
      <c r="HI216" s="18"/>
      <c r="HJ216" s="18"/>
      <c r="HK216" s="18"/>
      <c r="HL216" s="18"/>
      <c r="HM216" s="18"/>
      <c r="HN216" s="18"/>
      <c r="HO216" s="18"/>
      <c r="HP216" s="18"/>
      <c r="HQ216" s="18"/>
      <c r="HR216" s="18"/>
      <c r="HS216" s="18"/>
      <c r="HT216" s="18"/>
      <c r="HU216" s="18"/>
      <c r="HV216" s="18"/>
      <c r="HW216" s="18"/>
      <c r="HX216" s="18"/>
      <c r="HY216" s="18"/>
      <c r="HZ216" s="18"/>
      <c r="IA216" s="18"/>
      <c r="IB216" s="18"/>
      <c r="IC216" s="18"/>
      <c r="ID216" s="18"/>
      <c r="IE216" s="18"/>
      <c r="IF216" s="18"/>
      <c r="IG216" s="18"/>
      <c r="IH216" s="18"/>
      <c r="II216" s="18"/>
      <c r="IJ216" s="18"/>
      <c r="IK216" s="18"/>
      <c r="IL216" s="18"/>
      <c r="IM216" s="18"/>
      <c r="IN216" s="18"/>
      <c r="IO216" s="18"/>
      <c r="IP216" s="18"/>
      <c r="IQ216" s="18"/>
      <c r="IR216" s="18"/>
    </row>
    <row r="217" spans="1:252" s="349" customFormat="1" ht="46.5">
      <c r="A217" s="2696" t="s">
        <v>206</v>
      </c>
      <c r="B217" s="2697"/>
      <c r="C217" s="2697"/>
      <c r="D217" s="2697"/>
      <c r="E217" s="2697"/>
      <c r="F217" s="2697"/>
      <c r="G217" s="2698"/>
      <c r="H217" s="907" t="s">
        <v>207</v>
      </c>
      <c r="I217" s="907" t="s">
        <v>1118</v>
      </c>
      <c r="J217" s="907" t="s">
        <v>161</v>
      </c>
      <c r="K217" s="910" t="s">
        <v>83</v>
      </c>
      <c r="L217" s="910"/>
      <c r="M217" s="911"/>
      <c r="O217" s="23"/>
      <c r="P217" s="2254"/>
      <c r="X217" s="18"/>
      <c r="Y217" s="18"/>
      <c r="Z217" s="18"/>
      <c r="AA217" s="18"/>
      <c r="AB217" s="18"/>
      <c r="AC217" s="18"/>
      <c r="AD217" s="18"/>
      <c r="AE217" s="18"/>
      <c r="AF217" s="18"/>
      <c r="AG217" s="18"/>
      <c r="AH217" s="18"/>
      <c r="AI217" s="18"/>
      <c r="AJ217" s="18"/>
      <c r="AK217" s="18"/>
      <c r="AL217" s="18"/>
      <c r="AM217" s="18"/>
      <c r="AN217" s="18"/>
      <c r="AO217" s="18"/>
      <c r="AP217" s="18"/>
      <c r="AQ217" s="18"/>
      <c r="AR217" s="18"/>
      <c r="AS217" s="18"/>
      <c r="AT217" s="18"/>
      <c r="AU217" s="18"/>
      <c r="AV217" s="18"/>
      <c r="AW217" s="18"/>
      <c r="AX217" s="18"/>
      <c r="AY217" s="18"/>
      <c r="AZ217" s="18"/>
      <c r="BA217" s="18"/>
      <c r="BB217" s="18"/>
      <c r="BC217" s="18"/>
      <c r="BD217" s="18"/>
      <c r="BE217" s="18"/>
      <c r="BF217" s="18"/>
      <c r="BG217" s="18"/>
      <c r="BH217" s="18"/>
      <c r="BI217" s="18"/>
      <c r="BJ217" s="18"/>
      <c r="BK217" s="18"/>
      <c r="BL217" s="18"/>
      <c r="BM217" s="18"/>
      <c r="BN217" s="18"/>
      <c r="BO217" s="18"/>
      <c r="BP217" s="18"/>
      <c r="BQ217" s="18"/>
      <c r="BR217" s="18"/>
      <c r="BS217" s="18"/>
      <c r="BT217" s="18"/>
      <c r="BU217" s="18"/>
      <c r="BV217" s="18"/>
      <c r="BW217" s="18"/>
      <c r="BX217" s="18"/>
      <c r="BY217" s="18"/>
      <c r="BZ217" s="18"/>
      <c r="CA217" s="18"/>
      <c r="CB217" s="18"/>
      <c r="CC217" s="18"/>
      <c r="CD217" s="18"/>
      <c r="CE217" s="18"/>
      <c r="CF217" s="18"/>
      <c r="CG217" s="18"/>
      <c r="CH217" s="18"/>
      <c r="CI217" s="18"/>
      <c r="CJ217" s="18"/>
      <c r="CK217" s="18"/>
      <c r="CL217" s="18"/>
      <c r="CM217" s="18"/>
      <c r="CN217" s="18"/>
      <c r="CO217" s="18"/>
      <c r="CP217" s="18"/>
      <c r="CQ217" s="18"/>
      <c r="CR217" s="18"/>
      <c r="CS217" s="18"/>
      <c r="CT217" s="18"/>
      <c r="CU217" s="18"/>
      <c r="CV217" s="18"/>
      <c r="CW217" s="18"/>
      <c r="CX217" s="18"/>
      <c r="CY217" s="18"/>
      <c r="CZ217" s="18"/>
      <c r="DA217" s="18"/>
      <c r="DB217" s="18"/>
      <c r="DC217" s="18"/>
      <c r="DD217" s="18"/>
      <c r="DE217" s="18"/>
      <c r="DF217" s="18"/>
      <c r="DG217" s="18"/>
      <c r="DH217" s="18"/>
      <c r="DI217" s="18"/>
      <c r="DJ217" s="18"/>
      <c r="DK217" s="18"/>
      <c r="DL217" s="18"/>
      <c r="DM217" s="18"/>
      <c r="DN217" s="18"/>
      <c r="DO217" s="18"/>
      <c r="DP217" s="18"/>
      <c r="DQ217" s="18"/>
      <c r="DR217" s="18"/>
      <c r="DS217" s="18"/>
      <c r="DT217" s="18"/>
      <c r="DU217" s="18"/>
      <c r="DV217" s="18"/>
      <c r="DW217" s="18"/>
      <c r="DX217" s="18"/>
      <c r="DY217" s="18"/>
      <c r="DZ217" s="18"/>
      <c r="EA217" s="18"/>
      <c r="EB217" s="18"/>
      <c r="EC217" s="18"/>
      <c r="ED217" s="18"/>
      <c r="EE217" s="18"/>
      <c r="EF217" s="18"/>
      <c r="EG217" s="18"/>
      <c r="EH217" s="18"/>
      <c r="EI217" s="18"/>
      <c r="EJ217" s="18"/>
      <c r="EK217" s="18"/>
      <c r="EL217" s="18"/>
      <c r="EM217" s="18"/>
      <c r="EN217" s="18"/>
      <c r="EO217" s="18"/>
      <c r="EP217" s="18"/>
      <c r="EQ217" s="18"/>
      <c r="ER217" s="18"/>
      <c r="ES217" s="18"/>
      <c r="ET217" s="18"/>
      <c r="EU217" s="18"/>
      <c r="EV217" s="18"/>
      <c r="EW217" s="18"/>
      <c r="EX217" s="18"/>
      <c r="EY217" s="18"/>
      <c r="EZ217" s="18"/>
      <c r="FA217" s="18"/>
      <c r="FB217" s="18"/>
      <c r="FC217" s="18"/>
      <c r="FD217" s="18"/>
      <c r="FE217" s="18"/>
      <c r="FF217" s="18"/>
      <c r="FG217" s="18"/>
      <c r="FH217" s="18"/>
      <c r="FI217" s="18"/>
      <c r="FJ217" s="18"/>
      <c r="FK217" s="18"/>
      <c r="FL217" s="18"/>
      <c r="FM217" s="18"/>
      <c r="FN217" s="18"/>
      <c r="FO217" s="18"/>
      <c r="FP217" s="18"/>
      <c r="FQ217" s="18"/>
      <c r="FR217" s="18"/>
      <c r="FS217" s="18"/>
      <c r="FT217" s="18"/>
      <c r="FU217" s="18"/>
      <c r="FV217" s="18"/>
      <c r="FW217" s="18"/>
      <c r="FX217" s="18"/>
      <c r="FY217" s="18"/>
      <c r="FZ217" s="18"/>
      <c r="GA217" s="18"/>
      <c r="GB217" s="18"/>
      <c r="GC217" s="18"/>
      <c r="GD217" s="18"/>
      <c r="GE217" s="18"/>
      <c r="GF217" s="18"/>
      <c r="GG217" s="18"/>
      <c r="GH217" s="18"/>
      <c r="GI217" s="18"/>
      <c r="GJ217" s="18"/>
      <c r="GK217" s="18"/>
      <c r="GL217" s="18"/>
      <c r="GM217" s="18"/>
      <c r="GN217" s="18"/>
      <c r="GO217" s="18"/>
      <c r="GP217" s="18"/>
      <c r="GQ217" s="18"/>
      <c r="GR217" s="18"/>
      <c r="GS217" s="18"/>
      <c r="GT217" s="18"/>
      <c r="GU217" s="18"/>
      <c r="GV217" s="18"/>
      <c r="GW217" s="18"/>
      <c r="GX217" s="18"/>
      <c r="GY217" s="18"/>
      <c r="GZ217" s="18"/>
      <c r="HA217" s="18"/>
      <c r="HB217" s="18"/>
      <c r="HC217" s="18"/>
      <c r="HD217" s="18"/>
      <c r="HE217" s="18"/>
      <c r="HF217" s="18"/>
      <c r="HG217" s="18"/>
      <c r="HH217" s="18"/>
      <c r="HI217" s="18"/>
      <c r="HJ217" s="18"/>
      <c r="HK217" s="18"/>
      <c r="HL217" s="18"/>
      <c r="HM217" s="18"/>
      <c r="HN217" s="18"/>
      <c r="HO217" s="18"/>
      <c r="HP217" s="18"/>
      <c r="HQ217" s="18"/>
      <c r="HR217" s="18"/>
      <c r="HS217" s="18"/>
      <c r="HT217" s="18"/>
      <c r="HU217" s="18"/>
      <c r="HV217" s="18"/>
      <c r="HW217" s="18"/>
      <c r="HX217" s="18"/>
      <c r="HY217" s="18"/>
      <c r="HZ217" s="18"/>
      <c r="IA217" s="18"/>
      <c r="IB217" s="18"/>
      <c r="IC217" s="18"/>
      <c r="ID217" s="18"/>
      <c r="IE217" s="18"/>
      <c r="IF217" s="18"/>
      <c r="IG217" s="18"/>
      <c r="IH217" s="18"/>
      <c r="II217" s="18"/>
      <c r="IJ217" s="18"/>
      <c r="IK217" s="18"/>
      <c r="IL217" s="18"/>
      <c r="IM217" s="18"/>
      <c r="IN217" s="18"/>
      <c r="IO217" s="18"/>
      <c r="IP217" s="18"/>
      <c r="IQ217" s="18"/>
      <c r="IR217" s="18"/>
    </row>
    <row r="218" spans="1:252" s="349" customFormat="1" ht="15.75">
      <c r="A218" s="230"/>
      <c r="B218" s="228" t="s">
        <v>235</v>
      </c>
      <c r="C218" s="51"/>
      <c r="D218" s="37"/>
      <c r="E218" s="37"/>
      <c r="F218" s="252"/>
      <c r="G218" s="234"/>
      <c r="H218" s="38"/>
      <c r="I218" s="93"/>
      <c r="J218" s="38"/>
      <c r="K218" s="38"/>
      <c r="L218" s="38"/>
      <c r="M218" s="229"/>
      <c r="O218" s="23"/>
      <c r="P218" s="2254"/>
      <c r="X218" s="18"/>
      <c r="Y218" s="18"/>
      <c r="Z218" s="18"/>
      <c r="AA218" s="18"/>
      <c r="AB218" s="18"/>
      <c r="AC218" s="18"/>
      <c r="AD218" s="18"/>
      <c r="AE218" s="18"/>
      <c r="AF218" s="18"/>
      <c r="AG218" s="18"/>
      <c r="AH218" s="18"/>
      <c r="AI218" s="18"/>
      <c r="AJ218" s="18"/>
      <c r="AK218" s="18"/>
      <c r="AL218" s="18"/>
      <c r="AM218" s="18"/>
      <c r="AN218" s="18"/>
      <c r="AO218" s="18"/>
      <c r="AP218" s="18"/>
      <c r="AQ218" s="18"/>
      <c r="AR218" s="18"/>
      <c r="AS218" s="18"/>
      <c r="AT218" s="18"/>
      <c r="AU218" s="18"/>
      <c r="AV218" s="18"/>
      <c r="AW218" s="18"/>
      <c r="AX218" s="18"/>
      <c r="AY218" s="18"/>
      <c r="AZ218" s="18"/>
      <c r="BA218" s="18"/>
      <c r="BB218" s="18"/>
      <c r="BC218" s="18"/>
      <c r="BD218" s="18"/>
      <c r="BE218" s="18"/>
      <c r="BF218" s="18"/>
      <c r="BG218" s="18"/>
      <c r="BH218" s="18"/>
      <c r="BI218" s="18"/>
      <c r="BJ218" s="18"/>
      <c r="BK218" s="18"/>
      <c r="BL218" s="18"/>
      <c r="BM218" s="18"/>
      <c r="BN218" s="18"/>
      <c r="BO218" s="18"/>
      <c r="BP218" s="18"/>
      <c r="BQ218" s="18"/>
      <c r="BR218" s="18"/>
      <c r="BS218" s="18"/>
      <c r="BT218" s="18"/>
      <c r="BU218" s="18"/>
      <c r="BV218" s="18"/>
      <c r="BW218" s="18"/>
      <c r="BX218" s="18"/>
      <c r="BY218" s="18"/>
      <c r="BZ218" s="18"/>
      <c r="CA218" s="18"/>
      <c r="CB218" s="18"/>
      <c r="CC218" s="18"/>
      <c r="CD218" s="18"/>
      <c r="CE218" s="18"/>
      <c r="CF218" s="18"/>
      <c r="CG218" s="18"/>
      <c r="CH218" s="18"/>
      <c r="CI218" s="18"/>
      <c r="CJ218" s="18"/>
      <c r="CK218" s="18"/>
      <c r="CL218" s="18"/>
      <c r="CM218" s="18"/>
      <c r="CN218" s="18"/>
      <c r="CO218" s="18"/>
      <c r="CP218" s="18"/>
      <c r="CQ218" s="18"/>
      <c r="CR218" s="18"/>
      <c r="CS218" s="18"/>
      <c r="CT218" s="18"/>
      <c r="CU218" s="18"/>
      <c r="CV218" s="18"/>
      <c r="CW218" s="18"/>
      <c r="CX218" s="18"/>
      <c r="CY218" s="18"/>
      <c r="CZ218" s="18"/>
      <c r="DA218" s="18"/>
      <c r="DB218" s="18"/>
      <c r="DC218" s="18"/>
      <c r="DD218" s="18"/>
      <c r="DE218" s="18"/>
      <c r="DF218" s="18"/>
      <c r="DG218" s="18"/>
      <c r="DH218" s="18"/>
      <c r="DI218" s="18"/>
      <c r="DJ218" s="18"/>
      <c r="DK218" s="18"/>
      <c r="DL218" s="18"/>
      <c r="DM218" s="18"/>
      <c r="DN218" s="18"/>
      <c r="DO218" s="18"/>
      <c r="DP218" s="18"/>
      <c r="DQ218" s="18"/>
      <c r="DR218" s="18"/>
      <c r="DS218" s="18"/>
      <c r="DT218" s="18"/>
      <c r="DU218" s="18"/>
      <c r="DV218" s="18"/>
      <c r="DW218" s="18"/>
      <c r="DX218" s="18"/>
      <c r="DY218" s="18"/>
      <c r="DZ218" s="18"/>
      <c r="EA218" s="18"/>
      <c r="EB218" s="18"/>
      <c r="EC218" s="18"/>
      <c r="ED218" s="18"/>
      <c r="EE218" s="18"/>
      <c r="EF218" s="18"/>
      <c r="EG218" s="18"/>
      <c r="EH218" s="18"/>
      <c r="EI218" s="18"/>
      <c r="EJ218" s="18"/>
      <c r="EK218" s="18"/>
      <c r="EL218" s="18"/>
      <c r="EM218" s="18"/>
      <c r="EN218" s="18"/>
      <c r="EO218" s="18"/>
      <c r="EP218" s="18"/>
      <c r="EQ218" s="18"/>
      <c r="ER218" s="18"/>
      <c r="ES218" s="18"/>
      <c r="ET218" s="18"/>
      <c r="EU218" s="18"/>
      <c r="EV218" s="18"/>
      <c r="EW218" s="18"/>
      <c r="EX218" s="18"/>
      <c r="EY218" s="18"/>
      <c r="EZ218" s="18"/>
      <c r="FA218" s="18"/>
      <c r="FB218" s="18"/>
      <c r="FC218" s="18"/>
      <c r="FD218" s="18"/>
      <c r="FE218" s="18"/>
      <c r="FF218" s="18"/>
      <c r="FG218" s="18"/>
      <c r="FH218" s="18"/>
      <c r="FI218" s="18"/>
      <c r="FJ218" s="18"/>
      <c r="FK218" s="18"/>
      <c r="FL218" s="18"/>
      <c r="FM218" s="18"/>
      <c r="FN218" s="18"/>
      <c r="FO218" s="18"/>
      <c r="FP218" s="18"/>
      <c r="FQ218" s="18"/>
      <c r="FR218" s="18"/>
      <c r="FS218" s="18"/>
      <c r="FT218" s="18"/>
      <c r="FU218" s="18"/>
      <c r="FV218" s="18"/>
      <c r="FW218" s="18"/>
      <c r="FX218" s="18"/>
      <c r="FY218" s="18"/>
      <c r="FZ218" s="18"/>
      <c r="GA218" s="18"/>
      <c r="GB218" s="18"/>
      <c r="GC218" s="18"/>
      <c r="GD218" s="18"/>
      <c r="GE218" s="18"/>
      <c r="GF218" s="18"/>
      <c r="GG218" s="18"/>
      <c r="GH218" s="18"/>
      <c r="GI218" s="18"/>
      <c r="GJ218" s="18"/>
      <c r="GK218" s="18"/>
      <c r="GL218" s="18"/>
      <c r="GM218" s="18"/>
      <c r="GN218" s="18"/>
      <c r="GO218" s="18"/>
      <c r="GP218" s="18"/>
      <c r="GQ218" s="18"/>
      <c r="GR218" s="18"/>
      <c r="GS218" s="18"/>
      <c r="GT218" s="18"/>
      <c r="GU218" s="18"/>
      <c r="GV218" s="18"/>
      <c r="GW218" s="18"/>
      <c r="GX218" s="18"/>
      <c r="GY218" s="18"/>
      <c r="GZ218" s="18"/>
      <c r="HA218" s="18"/>
      <c r="HB218" s="18"/>
      <c r="HC218" s="18"/>
      <c r="HD218" s="18"/>
      <c r="HE218" s="18"/>
      <c r="HF218" s="18"/>
      <c r="HG218" s="18"/>
      <c r="HH218" s="18"/>
      <c r="HI218" s="18"/>
      <c r="HJ218" s="18"/>
      <c r="HK218" s="18"/>
      <c r="HL218" s="18"/>
      <c r="HM218" s="18"/>
      <c r="HN218" s="18"/>
      <c r="HO218" s="18"/>
      <c r="HP218" s="18"/>
      <c r="HQ218" s="18"/>
      <c r="HR218" s="18"/>
      <c r="HS218" s="18"/>
      <c r="HT218" s="18"/>
      <c r="HU218" s="18"/>
      <c r="HV218" s="18"/>
      <c r="HW218" s="18"/>
      <c r="HX218" s="18"/>
      <c r="HY218" s="18"/>
      <c r="HZ218" s="18"/>
      <c r="IA218" s="18"/>
      <c r="IB218" s="18"/>
      <c r="IC218" s="18"/>
      <c r="ID218" s="18"/>
      <c r="IE218" s="18"/>
      <c r="IF218" s="18"/>
      <c r="IG218" s="18"/>
      <c r="IH218" s="18"/>
      <c r="II218" s="18"/>
      <c r="IJ218" s="18"/>
      <c r="IK218" s="18"/>
      <c r="IL218" s="18"/>
      <c r="IM218" s="18"/>
      <c r="IN218" s="18"/>
      <c r="IO218" s="18"/>
      <c r="IP218" s="18"/>
      <c r="IQ218" s="18"/>
      <c r="IR218" s="18"/>
    </row>
    <row r="219" spans="1:252" s="349" customFormat="1" ht="15.75">
      <c r="A219" s="230">
        <f>+'Appendix A'!A130</f>
        <v>68</v>
      </c>
      <c r="B219" s="235"/>
      <c r="C219" s="332" t="str">
        <f>+'Appendix A'!C130</f>
        <v xml:space="preserve">General Advertising Exp Account 930.1 - Safety-related Advertising </v>
      </c>
      <c r="D219" s="37"/>
      <c r="E219" s="37"/>
      <c r="F219" s="236"/>
      <c r="G219" s="978" t="s">
        <v>38</v>
      </c>
      <c r="H219" s="1094">
        <f>INDEX(Inputs_EndYrBal,MATCH(G219,Inputs_FF1_Map,0))</f>
        <v>1818</v>
      </c>
      <c r="I219" s="1132">
        <v>0</v>
      </c>
      <c r="J219" s="1133">
        <f>H219-I219</f>
        <v>1818</v>
      </c>
      <c r="K219" s="888" t="s">
        <v>383</v>
      </c>
      <c r="L219" s="888"/>
      <c r="M219" s="229"/>
      <c r="N219" s="18"/>
      <c r="O219" s="2637"/>
      <c r="P219" s="2254"/>
      <c r="Q219" s="18"/>
      <c r="R219" s="18"/>
      <c r="S219" s="18"/>
      <c r="T219" s="18"/>
      <c r="U219" s="18"/>
      <c r="V219" s="18"/>
      <c r="W219" s="18"/>
      <c r="X219" s="18"/>
      <c r="Y219" s="18"/>
      <c r="Z219" s="18"/>
      <c r="AA219" s="18"/>
      <c r="AB219" s="18"/>
      <c r="AC219" s="18"/>
      <c r="AD219" s="18"/>
      <c r="AE219" s="18"/>
      <c r="AF219" s="18"/>
      <c r="AG219" s="18"/>
      <c r="AH219" s="18"/>
      <c r="AI219" s="18"/>
      <c r="AJ219" s="18"/>
      <c r="AK219" s="18"/>
      <c r="AL219" s="18"/>
      <c r="AM219" s="18"/>
      <c r="AN219" s="18"/>
      <c r="AO219" s="18"/>
      <c r="AP219" s="18"/>
      <c r="AQ219" s="18"/>
      <c r="AR219" s="18"/>
      <c r="AS219" s="18"/>
      <c r="AT219" s="18"/>
      <c r="AU219" s="18"/>
      <c r="AV219" s="18"/>
      <c r="AW219" s="18"/>
      <c r="AX219" s="18"/>
      <c r="AY219" s="18"/>
      <c r="AZ219" s="18"/>
      <c r="BA219" s="18"/>
      <c r="BB219" s="18"/>
      <c r="BC219" s="18"/>
      <c r="BD219" s="18"/>
      <c r="BE219" s="18"/>
      <c r="BF219" s="18"/>
      <c r="BG219" s="18"/>
      <c r="BH219" s="18"/>
      <c r="BI219" s="18"/>
      <c r="BJ219" s="18"/>
      <c r="BK219" s="18"/>
      <c r="BL219" s="18"/>
      <c r="BM219" s="18"/>
      <c r="BN219" s="18"/>
      <c r="BO219" s="18"/>
      <c r="BP219" s="18"/>
      <c r="BQ219" s="18"/>
      <c r="BR219" s="18"/>
      <c r="BS219" s="18"/>
      <c r="BT219" s="18"/>
      <c r="BU219" s="18"/>
      <c r="BV219" s="18"/>
      <c r="BW219" s="18"/>
      <c r="BX219" s="18"/>
      <c r="BY219" s="18"/>
      <c r="BZ219" s="18"/>
      <c r="CA219" s="18"/>
      <c r="CB219" s="18"/>
      <c r="CC219" s="18"/>
      <c r="CD219" s="18"/>
      <c r="CE219" s="18"/>
      <c r="CF219" s="18"/>
      <c r="CG219" s="18"/>
      <c r="CH219" s="18"/>
      <c r="CI219" s="18"/>
      <c r="CJ219" s="18"/>
      <c r="CK219" s="18"/>
      <c r="CL219" s="18"/>
      <c r="CM219" s="18"/>
      <c r="CN219" s="18"/>
      <c r="CO219" s="18"/>
      <c r="CP219" s="18"/>
      <c r="CQ219" s="18"/>
      <c r="CR219" s="18"/>
      <c r="CS219" s="18"/>
      <c r="CT219" s="18"/>
      <c r="CU219" s="18"/>
      <c r="CV219" s="18"/>
      <c r="CW219" s="18"/>
      <c r="CX219" s="18"/>
      <c r="CY219" s="18"/>
      <c r="CZ219" s="18"/>
      <c r="DA219" s="18"/>
      <c r="DB219" s="18"/>
      <c r="DC219" s="18"/>
      <c r="DD219" s="18"/>
      <c r="DE219" s="18"/>
      <c r="DF219" s="18"/>
      <c r="DG219" s="18"/>
      <c r="DH219" s="18"/>
      <c r="DI219" s="18"/>
      <c r="DJ219" s="18"/>
      <c r="DK219" s="18"/>
      <c r="DL219" s="18"/>
      <c r="DM219" s="18"/>
      <c r="DN219" s="18"/>
      <c r="DO219" s="18"/>
      <c r="DP219" s="18"/>
      <c r="DQ219" s="18"/>
      <c r="DR219" s="18"/>
      <c r="DS219" s="18"/>
      <c r="DT219" s="18"/>
      <c r="DU219" s="18"/>
      <c r="DV219" s="18"/>
      <c r="DW219" s="18"/>
      <c r="DX219" s="18"/>
      <c r="DY219" s="18"/>
      <c r="DZ219" s="18"/>
      <c r="EA219" s="18"/>
      <c r="EB219" s="18"/>
      <c r="EC219" s="18"/>
      <c r="ED219" s="18"/>
      <c r="EE219" s="18"/>
      <c r="EF219" s="18"/>
      <c r="EG219" s="18"/>
      <c r="EH219" s="18"/>
      <c r="EI219" s="18"/>
      <c r="EJ219" s="18"/>
      <c r="EK219" s="18"/>
      <c r="EL219" s="18"/>
      <c r="EM219" s="18"/>
      <c r="EN219" s="18"/>
      <c r="EO219" s="18"/>
      <c r="EP219" s="18"/>
      <c r="EQ219" s="18"/>
      <c r="ER219" s="18"/>
      <c r="ES219" s="18"/>
      <c r="ET219" s="18"/>
      <c r="EU219" s="18"/>
      <c r="EV219" s="18"/>
      <c r="EW219" s="18"/>
      <c r="EX219" s="18"/>
      <c r="EY219" s="18"/>
      <c r="EZ219" s="18"/>
      <c r="FA219" s="18"/>
      <c r="FB219" s="18"/>
      <c r="FC219" s="18"/>
      <c r="FD219" s="18"/>
      <c r="FE219" s="18"/>
      <c r="FF219" s="18"/>
      <c r="FG219" s="18"/>
      <c r="FH219" s="18"/>
      <c r="FI219" s="18"/>
      <c r="FJ219" s="18"/>
      <c r="FK219" s="18"/>
      <c r="FL219" s="18"/>
      <c r="FM219" s="18"/>
      <c r="FN219" s="18"/>
      <c r="FO219" s="18"/>
      <c r="FP219" s="18"/>
      <c r="FQ219" s="18"/>
      <c r="FR219" s="18"/>
      <c r="FS219" s="18"/>
      <c r="FT219" s="18"/>
      <c r="FU219" s="18"/>
      <c r="FV219" s="18"/>
      <c r="FW219" s="18"/>
      <c r="FX219" s="18"/>
      <c r="FY219" s="18"/>
      <c r="FZ219" s="18"/>
      <c r="GA219" s="18"/>
      <c r="GB219" s="18"/>
      <c r="GC219" s="18"/>
      <c r="GD219" s="18"/>
      <c r="GE219" s="18"/>
      <c r="GF219" s="18"/>
      <c r="GG219" s="18"/>
      <c r="GH219" s="18"/>
      <c r="GI219" s="18"/>
      <c r="GJ219" s="18"/>
      <c r="GK219" s="18"/>
      <c r="GL219" s="18"/>
      <c r="GM219" s="18"/>
      <c r="GN219" s="18"/>
      <c r="GO219" s="18"/>
      <c r="GP219" s="18"/>
      <c r="GQ219" s="18"/>
      <c r="GR219" s="18"/>
      <c r="GS219" s="18"/>
      <c r="GT219" s="18"/>
      <c r="GU219" s="18"/>
      <c r="GV219" s="18"/>
      <c r="GW219" s="18"/>
      <c r="GX219" s="18"/>
      <c r="GY219" s="18"/>
      <c r="GZ219" s="18"/>
      <c r="HA219" s="18"/>
      <c r="HB219" s="18"/>
      <c r="HC219" s="18"/>
      <c r="HD219" s="18"/>
      <c r="HE219" s="18"/>
      <c r="HF219" s="18"/>
      <c r="HG219" s="18"/>
      <c r="HH219" s="18"/>
      <c r="HI219" s="18"/>
      <c r="HJ219" s="18"/>
      <c r="HK219" s="18"/>
      <c r="HL219" s="18"/>
      <c r="HM219" s="18"/>
      <c r="HN219" s="18"/>
      <c r="HO219" s="18"/>
      <c r="HP219" s="18"/>
      <c r="HQ219" s="18"/>
      <c r="HR219" s="18"/>
      <c r="HS219" s="18"/>
      <c r="HT219" s="18"/>
      <c r="HU219" s="18"/>
      <c r="HV219" s="18"/>
      <c r="HW219" s="18"/>
      <c r="HX219" s="18"/>
      <c r="HY219" s="18"/>
      <c r="HZ219" s="18"/>
      <c r="IA219" s="18"/>
      <c r="IB219" s="18"/>
      <c r="IC219" s="18"/>
      <c r="ID219" s="18"/>
      <c r="IE219" s="18"/>
      <c r="IF219" s="18"/>
      <c r="IG219" s="18"/>
      <c r="IH219" s="18"/>
      <c r="II219" s="18"/>
      <c r="IJ219" s="18"/>
      <c r="IK219" s="18"/>
      <c r="IL219" s="18"/>
      <c r="IM219" s="18"/>
      <c r="IN219" s="18"/>
      <c r="IO219" s="18"/>
      <c r="IP219" s="18"/>
      <c r="IQ219" s="18"/>
      <c r="IR219" s="18"/>
    </row>
    <row r="220" spans="1:252" s="349" customFormat="1" ht="15.75" thickBot="1">
      <c r="A220" s="238"/>
      <c r="B220" s="837"/>
      <c r="C220" s="838"/>
      <c r="D220" s="844"/>
      <c r="E220" s="844"/>
      <c r="F220" s="840"/>
      <c r="G220" s="244"/>
      <c r="H220" s="846"/>
      <c r="I220" s="846"/>
      <c r="J220" s="846"/>
      <c r="K220" s="845"/>
      <c r="L220" s="845"/>
      <c r="M220" s="882"/>
      <c r="O220" s="23"/>
      <c r="P220" s="2254"/>
    </row>
    <row r="221" spans="1:252" s="349" customFormat="1" ht="15.75">
      <c r="A221" s="883"/>
      <c r="B221" s="235"/>
      <c r="C221" s="332"/>
      <c r="D221" s="37"/>
      <c r="E221" s="37"/>
      <c r="F221" s="99"/>
      <c r="G221" s="332"/>
      <c r="H221" s="92"/>
      <c r="I221" s="92"/>
      <c r="J221" s="92"/>
      <c r="K221" s="379"/>
      <c r="L221" s="380"/>
      <c r="M221" s="380"/>
      <c r="N221" s="18"/>
      <c r="O221" s="23"/>
      <c r="P221" s="2254"/>
      <c r="Q221" s="18"/>
      <c r="R221" s="18"/>
      <c r="S221" s="18"/>
      <c r="T221" s="18"/>
      <c r="U221" s="18"/>
      <c r="V221" s="18"/>
      <c r="W221" s="18"/>
      <c r="X221" s="18"/>
      <c r="Y221" s="18"/>
      <c r="Z221" s="18"/>
      <c r="AA221" s="18"/>
      <c r="AB221" s="18"/>
      <c r="AC221" s="18"/>
      <c r="AD221" s="18"/>
      <c r="AE221" s="18"/>
      <c r="AF221" s="18"/>
      <c r="AG221" s="18"/>
      <c r="AH221" s="18"/>
      <c r="AI221" s="18"/>
      <c r="AJ221" s="18"/>
      <c r="AK221" s="18"/>
      <c r="AL221" s="18"/>
      <c r="AM221" s="18"/>
      <c r="AN221" s="18"/>
      <c r="AO221" s="18"/>
      <c r="AP221" s="18"/>
      <c r="AQ221" s="18"/>
      <c r="AR221" s="18"/>
      <c r="AS221" s="18"/>
      <c r="AT221" s="18"/>
      <c r="AU221" s="18"/>
      <c r="AV221" s="18"/>
      <c r="AW221" s="18"/>
      <c r="AX221" s="18"/>
      <c r="AY221" s="18"/>
      <c r="AZ221" s="18"/>
      <c r="BA221" s="18"/>
      <c r="BB221" s="18"/>
      <c r="BC221" s="18"/>
      <c r="BD221" s="18"/>
      <c r="BE221" s="18"/>
      <c r="BF221" s="18"/>
      <c r="BG221" s="18"/>
      <c r="BH221" s="18"/>
      <c r="BI221" s="18"/>
      <c r="BJ221" s="18"/>
      <c r="BK221" s="18"/>
      <c r="BL221" s="18"/>
      <c r="BM221" s="18"/>
      <c r="BN221" s="18"/>
      <c r="BO221" s="18"/>
      <c r="BP221" s="18"/>
      <c r="BQ221" s="18"/>
      <c r="BR221" s="18"/>
      <c r="BS221" s="18"/>
      <c r="BT221" s="18"/>
      <c r="BU221" s="18"/>
      <c r="BV221" s="18"/>
      <c r="BW221" s="18"/>
      <c r="BX221" s="18"/>
      <c r="BY221" s="18"/>
      <c r="BZ221" s="18"/>
      <c r="CA221" s="18"/>
      <c r="CB221" s="18"/>
      <c r="CC221" s="18"/>
      <c r="CD221" s="18"/>
      <c r="CE221" s="18"/>
      <c r="CF221" s="18"/>
      <c r="CG221" s="18"/>
      <c r="CH221" s="18"/>
      <c r="CI221" s="18"/>
      <c r="CJ221" s="18"/>
      <c r="CK221" s="18"/>
      <c r="CL221" s="18"/>
      <c r="CM221" s="18"/>
      <c r="CN221" s="18"/>
      <c r="CO221" s="18"/>
      <c r="CP221" s="18"/>
      <c r="CQ221" s="18"/>
      <c r="CR221" s="18"/>
      <c r="CS221" s="18"/>
      <c r="CT221" s="18"/>
      <c r="CU221" s="18"/>
      <c r="CV221" s="18"/>
      <c r="CW221" s="18"/>
      <c r="CX221" s="18"/>
      <c r="CY221" s="18"/>
      <c r="CZ221" s="18"/>
      <c r="DA221" s="18"/>
      <c r="DB221" s="18"/>
      <c r="DC221" s="18"/>
      <c r="DD221" s="18"/>
      <c r="DE221" s="18"/>
      <c r="DF221" s="18"/>
      <c r="DG221" s="18"/>
      <c r="DH221" s="18"/>
      <c r="DI221" s="18"/>
      <c r="DJ221" s="18"/>
      <c r="DK221" s="18"/>
      <c r="DL221" s="18"/>
      <c r="DM221" s="18"/>
      <c r="DN221" s="18"/>
      <c r="DO221" s="18"/>
      <c r="DP221" s="18"/>
      <c r="DQ221" s="18"/>
      <c r="DR221" s="18"/>
      <c r="DS221" s="18"/>
      <c r="DT221" s="18"/>
      <c r="DU221" s="18"/>
      <c r="DV221" s="18"/>
      <c r="DW221" s="18"/>
      <c r="DX221" s="18"/>
      <c r="DY221" s="18"/>
      <c r="DZ221" s="18"/>
      <c r="EA221" s="18"/>
      <c r="EB221" s="18"/>
      <c r="EC221" s="18"/>
      <c r="ED221" s="18"/>
      <c r="EE221" s="18"/>
      <c r="EF221" s="18"/>
      <c r="EG221" s="18"/>
      <c r="EH221" s="18"/>
      <c r="EI221" s="18"/>
      <c r="EJ221" s="18"/>
      <c r="EK221" s="18"/>
      <c r="EL221" s="18"/>
      <c r="EM221" s="18"/>
      <c r="EN221" s="18"/>
      <c r="EO221" s="18"/>
      <c r="EP221" s="18"/>
      <c r="EQ221" s="18"/>
      <c r="ER221" s="18"/>
      <c r="ES221" s="18"/>
      <c r="ET221" s="18"/>
      <c r="EU221" s="18"/>
      <c r="EV221" s="18"/>
      <c r="EW221" s="18"/>
      <c r="EX221" s="18"/>
      <c r="EY221" s="18"/>
      <c r="EZ221" s="18"/>
      <c r="FA221" s="18"/>
      <c r="FB221" s="18"/>
      <c r="FC221" s="18"/>
      <c r="FD221" s="18"/>
      <c r="FE221" s="18"/>
      <c r="FF221" s="18"/>
      <c r="FG221" s="18"/>
      <c r="FH221" s="18"/>
      <c r="FI221" s="18"/>
      <c r="FJ221" s="18"/>
      <c r="FK221" s="18"/>
      <c r="FL221" s="18"/>
      <c r="FM221" s="18"/>
      <c r="FN221" s="18"/>
      <c r="FO221" s="18"/>
      <c r="FP221" s="18"/>
      <c r="FQ221" s="18"/>
      <c r="FR221" s="18"/>
      <c r="FS221" s="18"/>
      <c r="FT221" s="18"/>
      <c r="FU221" s="18"/>
      <c r="FV221" s="18"/>
      <c r="FW221" s="18"/>
      <c r="FX221" s="18"/>
      <c r="FY221" s="18"/>
      <c r="FZ221" s="18"/>
      <c r="GA221" s="18"/>
      <c r="GB221" s="18"/>
      <c r="GC221" s="18"/>
      <c r="GD221" s="18"/>
      <c r="GE221" s="18"/>
      <c r="GF221" s="18"/>
      <c r="GG221" s="18"/>
      <c r="GH221" s="18"/>
      <c r="GI221" s="18"/>
      <c r="GJ221" s="18"/>
      <c r="GK221" s="18"/>
      <c r="GL221" s="18"/>
      <c r="GM221" s="18"/>
      <c r="GN221" s="18"/>
      <c r="GO221" s="18"/>
      <c r="GP221" s="18"/>
      <c r="GQ221" s="18"/>
      <c r="GR221" s="18"/>
      <c r="GS221" s="18"/>
      <c r="GT221" s="18"/>
      <c r="GU221" s="18"/>
      <c r="GV221" s="18"/>
      <c r="GW221" s="18"/>
      <c r="GX221" s="18"/>
      <c r="GY221" s="18"/>
      <c r="GZ221" s="18"/>
      <c r="HA221" s="18"/>
      <c r="HB221" s="18"/>
      <c r="HC221" s="18"/>
      <c r="HD221" s="18"/>
      <c r="HE221" s="18"/>
      <c r="HF221" s="18"/>
      <c r="HG221" s="18"/>
      <c r="HH221" s="18"/>
      <c r="HI221" s="18"/>
      <c r="HJ221" s="18"/>
      <c r="HK221" s="18"/>
      <c r="HL221" s="18"/>
      <c r="HM221" s="18"/>
      <c r="HN221" s="18"/>
      <c r="HO221" s="18"/>
      <c r="HP221" s="18"/>
      <c r="HQ221" s="18"/>
      <c r="HR221" s="18"/>
      <c r="HS221" s="18"/>
      <c r="HT221" s="18"/>
      <c r="HU221" s="18"/>
      <c r="HV221" s="18"/>
      <c r="HW221" s="18"/>
      <c r="HX221" s="18"/>
      <c r="HY221" s="18"/>
      <c r="HZ221" s="18"/>
      <c r="IA221" s="18"/>
      <c r="IB221" s="18"/>
      <c r="IC221" s="18"/>
      <c r="ID221" s="18"/>
      <c r="IE221" s="18"/>
      <c r="IF221" s="18"/>
      <c r="IG221" s="18"/>
      <c r="IH221" s="18"/>
      <c r="II221" s="18"/>
      <c r="IJ221" s="18"/>
      <c r="IK221" s="18"/>
      <c r="IL221" s="18"/>
      <c r="IM221" s="18"/>
      <c r="IN221" s="18"/>
      <c r="IO221" s="18"/>
      <c r="IP221" s="18"/>
      <c r="IQ221" s="18"/>
      <c r="IR221" s="18"/>
    </row>
    <row r="222" spans="1:252">
      <c r="O222" s="23"/>
    </row>
    <row r="223" spans="1:252" s="349" customFormat="1" ht="16.5" thickBot="1">
      <c r="A223" s="878" t="s">
        <v>169</v>
      </c>
      <c r="B223" s="23"/>
      <c r="C223" s="23"/>
      <c r="N223" s="18"/>
      <c r="O223" s="23"/>
      <c r="P223" s="2254"/>
      <c r="Q223" s="18"/>
      <c r="R223" s="18"/>
      <c r="S223" s="18"/>
      <c r="T223" s="18"/>
      <c r="U223" s="18"/>
      <c r="V223" s="18"/>
      <c r="W223" s="18"/>
      <c r="X223" s="18"/>
      <c r="Y223" s="18"/>
      <c r="Z223" s="18"/>
      <c r="AA223" s="18"/>
      <c r="AB223" s="18"/>
      <c r="AC223" s="18"/>
      <c r="AD223" s="18"/>
      <c r="AE223" s="18"/>
      <c r="AF223" s="18"/>
      <c r="AG223" s="18"/>
      <c r="AH223" s="18"/>
      <c r="AI223" s="18"/>
      <c r="AJ223" s="18"/>
      <c r="AK223" s="18"/>
      <c r="AL223" s="18"/>
      <c r="AM223" s="18"/>
      <c r="AN223" s="18"/>
      <c r="AO223" s="18"/>
      <c r="AP223" s="18"/>
      <c r="AQ223" s="18"/>
      <c r="AR223" s="18"/>
      <c r="AS223" s="18"/>
      <c r="AT223" s="18"/>
      <c r="AU223" s="18"/>
      <c r="AV223" s="18"/>
      <c r="AW223" s="18"/>
      <c r="AX223" s="18"/>
      <c r="AY223" s="18"/>
      <c r="AZ223" s="18"/>
      <c r="BA223" s="18"/>
      <c r="BB223" s="18"/>
      <c r="BC223" s="18"/>
      <c r="BD223" s="18"/>
      <c r="BE223" s="18"/>
      <c r="BF223" s="18"/>
      <c r="BG223" s="18"/>
      <c r="BH223" s="18"/>
      <c r="BI223" s="18"/>
      <c r="BJ223" s="18"/>
      <c r="BK223" s="18"/>
      <c r="BL223" s="18"/>
      <c r="BM223" s="18"/>
      <c r="BN223" s="18"/>
      <c r="BO223" s="18"/>
      <c r="BP223" s="18"/>
      <c r="BQ223" s="18"/>
      <c r="BR223" s="18"/>
      <c r="BS223" s="18"/>
      <c r="BT223" s="18"/>
      <c r="BU223" s="18"/>
      <c r="BV223" s="18"/>
      <c r="BW223" s="18"/>
      <c r="BX223" s="18"/>
      <c r="BY223" s="18"/>
      <c r="BZ223" s="18"/>
      <c r="CA223" s="18"/>
      <c r="CB223" s="18"/>
      <c r="CC223" s="18"/>
      <c r="CD223" s="18"/>
      <c r="CE223" s="18"/>
      <c r="CF223" s="18"/>
      <c r="CG223" s="18"/>
      <c r="CH223" s="18"/>
      <c r="CI223" s="18"/>
      <c r="CJ223" s="18"/>
      <c r="CK223" s="18"/>
      <c r="CL223" s="18"/>
      <c r="CM223" s="18"/>
      <c r="CN223" s="18"/>
      <c r="CO223" s="18"/>
      <c r="CP223" s="18"/>
      <c r="CQ223" s="18"/>
      <c r="CR223" s="18"/>
      <c r="CS223" s="18"/>
      <c r="CT223" s="18"/>
      <c r="CU223" s="18"/>
      <c r="CV223" s="18"/>
      <c r="CW223" s="18"/>
      <c r="CX223" s="18"/>
      <c r="CY223" s="18"/>
      <c r="CZ223" s="18"/>
      <c r="DA223" s="18"/>
      <c r="DB223" s="18"/>
      <c r="DC223" s="18"/>
      <c r="DD223" s="18"/>
      <c r="DE223" s="18"/>
      <c r="DF223" s="18"/>
      <c r="DG223" s="18"/>
      <c r="DH223" s="18"/>
      <c r="DI223" s="18"/>
      <c r="DJ223" s="18"/>
      <c r="DK223" s="18"/>
      <c r="DL223" s="18"/>
      <c r="DM223" s="18"/>
      <c r="DN223" s="18"/>
      <c r="DO223" s="18"/>
      <c r="DP223" s="18"/>
      <c r="DQ223" s="18"/>
      <c r="DR223" s="18"/>
      <c r="DS223" s="18"/>
      <c r="DT223" s="18"/>
      <c r="DU223" s="18"/>
      <c r="DV223" s="18"/>
      <c r="DW223" s="18"/>
      <c r="DX223" s="18"/>
      <c r="DY223" s="18"/>
      <c r="DZ223" s="18"/>
      <c r="EA223" s="18"/>
      <c r="EB223" s="18"/>
      <c r="EC223" s="18"/>
      <c r="ED223" s="18"/>
      <c r="EE223" s="18"/>
      <c r="EF223" s="18"/>
      <c r="EG223" s="18"/>
      <c r="EH223" s="18"/>
      <c r="EI223" s="18"/>
      <c r="EJ223" s="18"/>
      <c r="EK223" s="18"/>
      <c r="EL223" s="18"/>
      <c r="EM223" s="18"/>
      <c r="EN223" s="18"/>
      <c r="EO223" s="18"/>
      <c r="EP223" s="18"/>
      <c r="EQ223" s="18"/>
      <c r="ER223" s="18"/>
      <c r="ES223" s="18"/>
      <c r="ET223" s="18"/>
      <c r="EU223" s="18"/>
      <c r="EV223" s="18"/>
      <c r="EW223" s="18"/>
      <c r="EX223" s="18"/>
      <c r="EY223" s="18"/>
      <c r="EZ223" s="18"/>
      <c r="FA223" s="18"/>
      <c r="FB223" s="18"/>
      <c r="FC223" s="18"/>
      <c r="FD223" s="18"/>
      <c r="FE223" s="18"/>
      <c r="FF223" s="18"/>
      <c r="FG223" s="18"/>
      <c r="FH223" s="18"/>
      <c r="FI223" s="18"/>
      <c r="FJ223" s="18"/>
      <c r="FK223" s="18"/>
      <c r="FL223" s="18"/>
      <c r="FM223" s="18"/>
      <c r="FN223" s="18"/>
      <c r="FO223" s="18"/>
      <c r="FP223" s="18"/>
      <c r="FQ223" s="18"/>
      <c r="FR223" s="18"/>
      <c r="FS223" s="18"/>
      <c r="FT223" s="18"/>
      <c r="FU223" s="18"/>
      <c r="FV223" s="18"/>
      <c r="FW223" s="18"/>
      <c r="FX223" s="18"/>
      <c r="FY223" s="18"/>
      <c r="FZ223" s="18"/>
      <c r="GA223" s="18"/>
      <c r="GB223" s="18"/>
      <c r="GC223" s="18"/>
      <c r="GD223" s="18"/>
      <c r="GE223" s="18"/>
      <c r="GF223" s="18"/>
      <c r="GG223" s="18"/>
      <c r="GH223" s="18"/>
      <c r="GI223" s="18"/>
      <c r="GJ223" s="18"/>
      <c r="GK223" s="18"/>
      <c r="GL223" s="18"/>
      <c r="GM223" s="18"/>
      <c r="GN223" s="18"/>
      <c r="GO223" s="18"/>
      <c r="GP223" s="18"/>
      <c r="GQ223" s="18"/>
      <c r="GR223" s="18"/>
      <c r="GS223" s="18"/>
      <c r="GT223" s="18"/>
      <c r="GU223" s="18"/>
      <c r="GV223" s="18"/>
      <c r="GW223" s="18"/>
      <c r="GX223" s="18"/>
      <c r="GY223" s="18"/>
      <c r="GZ223" s="18"/>
      <c r="HA223" s="18"/>
      <c r="HB223" s="18"/>
      <c r="HC223" s="18"/>
      <c r="HD223" s="18"/>
      <c r="HE223" s="18"/>
      <c r="HF223" s="18"/>
      <c r="HG223" s="18"/>
      <c r="HH223" s="18"/>
      <c r="HI223" s="18"/>
      <c r="HJ223" s="18"/>
      <c r="HK223" s="18"/>
      <c r="HL223" s="18"/>
      <c r="HM223" s="18"/>
      <c r="HN223" s="18"/>
      <c r="HO223" s="18"/>
      <c r="HP223" s="18"/>
      <c r="HQ223" s="18"/>
      <c r="HR223" s="18"/>
      <c r="HS223" s="18"/>
      <c r="HT223" s="18"/>
      <c r="HU223" s="18"/>
      <c r="HV223" s="18"/>
      <c r="HW223" s="18"/>
      <c r="HX223" s="18"/>
      <c r="HY223" s="18"/>
      <c r="HZ223" s="18"/>
      <c r="IA223" s="18"/>
      <c r="IB223" s="18"/>
      <c r="IC223" s="18"/>
      <c r="ID223" s="18"/>
      <c r="IE223" s="18"/>
      <c r="IF223" s="18"/>
      <c r="IG223" s="18"/>
      <c r="IH223" s="18"/>
      <c r="II223" s="18"/>
      <c r="IJ223" s="18"/>
      <c r="IK223" s="18"/>
      <c r="IL223" s="18"/>
      <c r="IM223" s="18"/>
      <c r="IN223" s="18"/>
      <c r="IO223" s="18"/>
      <c r="IP223" s="18"/>
      <c r="IQ223" s="18"/>
      <c r="IR223" s="18"/>
    </row>
    <row r="224" spans="1:252" s="349" customFormat="1" ht="61.5">
      <c r="A224" s="2696" t="s">
        <v>206</v>
      </c>
      <c r="B224" s="2697"/>
      <c r="C224" s="2697"/>
      <c r="D224" s="2697"/>
      <c r="E224" s="2697"/>
      <c r="F224" s="2697"/>
      <c r="G224" s="2698"/>
      <c r="H224" s="907" t="s">
        <v>207</v>
      </c>
      <c r="I224" s="907" t="s">
        <v>1119</v>
      </c>
      <c r="J224" s="907" t="s">
        <v>104</v>
      </c>
      <c r="K224" s="2693" t="s">
        <v>83</v>
      </c>
      <c r="L224" s="2693"/>
      <c r="M224" s="2694"/>
      <c r="N224" s="18"/>
      <c r="O224" s="23"/>
      <c r="P224" s="2254"/>
      <c r="Q224" s="18"/>
      <c r="R224" s="18"/>
      <c r="S224" s="18"/>
      <c r="T224" s="18"/>
      <c r="U224" s="18"/>
      <c r="V224" s="18"/>
      <c r="W224" s="18"/>
      <c r="X224" s="18"/>
      <c r="Y224" s="18"/>
      <c r="Z224" s="18"/>
      <c r="AA224" s="18"/>
      <c r="AB224" s="18"/>
      <c r="AC224" s="18"/>
      <c r="AD224" s="18"/>
      <c r="AE224" s="18"/>
      <c r="AF224" s="18"/>
      <c r="AG224" s="18"/>
      <c r="AH224" s="18"/>
      <c r="AI224" s="18"/>
      <c r="AJ224" s="18"/>
      <c r="AK224" s="18"/>
      <c r="AL224" s="18"/>
      <c r="AM224" s="18"/>
      <c r="AN224" s="18"/>
      <c r="AO224" s="18"/>
      <c r="AP224" s="18"/>
      <c r="AQ224" s="18"/>
      <c r="AR224" s="18"/>
      <c r="AS224" s="18"/>
      <c r="AT224" s="18"/>
      <c r="AU224" s="18"/>
      <c r="AV224" s="18"/>
      <c r="AW224" s="18"/>
      <c r="AX224" s="18"/>
      <c r="AY224" s="18"/>
      <c r="AZ224" s="18"/>
      <c r="BA224" s="18"/>
      <c r="BB224" s="18"/>
      <c r="BC224" s="18"/>
      <c r="BD224" s="18"/>
      <c r="BE224" s="18"/>
      <c r="BF224" s="18"/>
      <c r="BG224" s="18"/>
      <c r="BH224" s="18"/>
      <c r="BI224" s="18"/>
      <c r="BJ224" s="18"/>
      <c r="BK224" s="18"/>
      <c r="BL224" s="18"/>
      <c r="BM224" s="18"/>
      <c r="BN224" s="18"/>
      <c r="BO224" s="18"/>
      <c r="BP224" s="18"/>
      <c r="BQ224" s="18"/>
      <c r="BR224" s="18"/>
      <c r="BS224" s="18"/>
      <c r="BT224" s="18"/>
      <c r="BU224" s="18"/>
      <c r="BV224" s="18"/>
      <c r="BW224" s="18"/>
      <c r="BX224" s="18"/>
      <c r="BY224" s="18"/>
      <c r="BZ224" s="18"/>
      <c r="CA224" s="18"/>
      <c r="CB224" s="18"/>
      <c r="CC224" s="18"/>
      <c r="CD224" s="18"/>
      <c r="CE224" s="18"/>
      <c r="CF224" s="18"/>
      <c r="CG224" s="18"/>
      <c r="CH224" s="18"/>
      <c r="CI224" s="18"/>
      <c r="CJ224" s="18"/>
      <c r="CK224" s="18"/>
      <c r="CL224" s="18"/>
      <c r="CM224" s="18"/>
      <c r="CN224" s="18"/>
      <c r="CO224" s="18"/>
      <c r="CP224" s="18"/>
      <c r="CQ224" s="18"/>
      <c r="CR224" s="18"/>
      <c r="CS224" s="18"/>
      <c r="CT224" s="18"/>
      <c r="CU224" s="18"/>
      <c r="CV224" s="18"/>
      <c r="CW224" s="18"/>
      <c r="CX224" s="18"/>
      <c r="CY224" s="18"/>
      <c r="CZ224" s="18"/>
      <c r="DA224" s="18"/>
      <c r="DB224" s="18"/>
      <c r="DC224" s="18"/>
      <c r="DD224" s="18"/>
      <c r="DE224" s="18"/>
      <c r="DF224" s="18"/>
      <c r="DG224" s="18"/>
      <c r="DH224" s="18"/>
      <c r="DI224" s="18"/>
      <c r="DJ224" s="18"/>
      <c r="DK224" s="18"/>
      <c r="DL224" s="18"/>
      <c r="DM224" s="18"/>
      <c r="DN224" s="18"/>
      <c r="DO224" s="18"/>
      <c r="DP224" s="18"/>
      <c r="DQ224" s="18"/>
      <c r="DR224" s="18"/>
      <c r="DS224" s="18"/>
      <c r="DT224" s="18"/>
      <c r="DU224" s="18"/>
      <c r="DV224" s="18"/>
      <c r="DW224" s="18"/>
      <c r="DX224" s="18"/>
      <c r="DY224" s="18"/>
      <c r="DZ224" s="18"/>
      <c r="EA224" s="18"/>
      <c r="EB224" s="18"/>
      <c r="EC224" s="18"/>
      <c r="ED224" s="18"/>
      <c r="EE224" s="18"/>
      <c r="EF224" s="18"/>
      <c r="EG224" s="18"/>
      <c r="EH224" s="18"/>
      <c r="EI224" s="18"/>
      <c r="EJ224" s="18"/>
      <c r="EK224" s="18"/>
      <c r="EL224" s="18"/>
      <c r="EM224" s="18"/>
      <c r="EN224" s="18"/>
      <c r="EO224" s="18"/>
      <c r="EP224" s="18"/>
      <c r="EQ224" s="18"/>
      <c r="ER224" s="18"/>
      <c r="ES224" s="18"/>
      <c r="ET224" s="18"/>
      <c r="EU224" s="18"/>
      <c r="EV224" s="18"/>
      <c r="EW224" s="18"/>
      <c r="EX224" s="18"/>
      <c r="EY224" s="18"/>
      <c r="EZ224" s="18"/>
      <c r="FA224" s="18"/>
      <c r="FB224" s="18"/>
      <c r="FC224" s="18"/>
      <c r="FD224" s="18"/>
      <c r="FE224" s="18"/>
      <c r="FF224" s="18"/>
      <c r="FG224" s="18"/>
      <c r="FH224" s="18"/>
      <c r="FI224" s="18"/>
      <c r="FJ224" s="18"/>
      <c r="FK224" s="18"/>
      <c r="FL224" s="18"/>
      <c r="FM224" s="18"/>
      <c r="FN224" s="18"/>
      <c r="FO224" s="18"/>
      <c r="FP224" s="18"/>
      <c r="FQ224" s="18"/>
      <c r="FR224" s="18"/>
      <c r="FS224" s="18"/>
      <c r="FT224" s="18"/>
      <c r="FU224" s="18"/>
      <c r="FV224" s="18"/>
      <c r="FW224" s="18"/>
      <c r="FX224" s="18"/>
      <c r="FY224" s="18"/>
      <c r="FZ224" s="18"/>
      <c r="GA224" s="18"/>
      <c r="GB224" s="18"/>
      <c r="GC224" s="18"/>
      <c r="GD224" s="18"/>
      <c r="GE224" s="18"/>
      <c r="GF224" s="18"/>
      <c r="GG224" s="18"/>
      <c r="GH224" s="18"/>
      <c r="GI224" s="18"/>
      <c r="GJ224" s="18"/>
      <c r="GK224" s="18"/>
      <c r="GL224" s="18"/>
      <c r="GM224" s="18"/>
      <c r="GN224" s="18"/>
      <c r="GO224" s="18"/>
      <c r="GP224" s="18"/>
      <c r="GQ224" s="18"/>
      <c r="GR224" s="18"/>
      <c r="GS224" s="18"/>
      <c r="GT224" s="18"/>
      <c r="GU224" s="18"/>
      <c r="GV224" s="18"/>
      <c r="GW224" s="18"/>
      <c r="GX224" s="18"/>
      <c r="GY224" s="18"/>
      <c r="GZ224" s="18"/>
      <c r="HA224" s="18"/>
      <c r="HB224" s="18"/>
      <c r="HC224" s="18"/>
      <c r="HD224" s="18"/>
      <c r="HE224" s="18"/>
      <c r="HF224" s="18"/>
      <c r="HG224" s="18"/>
      <c r="HH224" s="18"/>
      <c r="HI224" s="18"/>
      <c r="HJ224" s="18"/>
      <c r="HK224" s="18"/>
      <c r="HL224" s="18"/>
      <c r="HM224" s="18"/>
      <c r="HN224" s="18"/>
      <c r="HO224" s="18"/>
      <c r="HP224" s="18"/>
      <c r="HQ224" s="18"/>
      <c r="HR224" s="18"/>
      <c r="HS224" s="18"/>
      <c r="HT224" s="18"/>
      <c r="HU224" s="18"/>
      <c r="HV224" s="18"/>
      <c r="HW224" s="18"/>
      <c r="HX224" s="18"/>
      <c r="HY224" s="18"/>
      <c r="HZ224" s="18"/>
      <c r="IA224" s="18"/>
      <c r="IB224" s="18"/>
      <c r="IC224" s="18"/>
      <c r="ID224" s="18"/>
      <c r="IE224" s="18"/>
      <c r="IF224" s="18"/>
      <c r="IG224" s="18"/>
      <c r="IH224" s="18"/>
      <c r="II224" s="18"/>
      <c r="IJ224" s="18"/>
      <c r="IK224" s="18"/>
      <c r="IL224" s="18"/>
      <c r="IM224" s="18"/>
      <c r="IN224" s="18"/>
      <c r="IO224" s="18"/>
      <c r="IP224" s="18"/>
      <c r="IQ224" s="18"/>
      <c r="IR224" s="18"/>
    </row>
    <row r="225" spans="1:252" s="349" customFormat="1" ht="15.75">
      <c r="A225" s="230"/>
      <c r="B225" s="228" t="s">
        <v>235</v>
      </c>
      <c r="C225" s="51"/>
      <c r="D225" s="37"/>
      <c r="E225" s="37"/>
      <c r="F225" s="252"/>
      <c r="G225" s="234"/>
      <c r="H225" s="38"/>
      <c r="I225" s="93"/>
      <c r="J225" s="38"/>
      <c r="K225" s="38"/>
      <c r="L225" s="38"/>
      <c r="M225" s="229"/>
      <c r="N225" s="18"/>
      <c r="O225" s="23"/>
      <c r="P225" s="2254"/>
      <c r="Q225" s="18"/>
      <c r="R225" s="18"/>
      <c r="S225" s="18"/>
      <c r="T225" s="18"/>
      <c r="U225" s="18"/>
      <c r="V225" s="18"/>
      <c r="W225" s="18"/>
      <c r="X225" s="18"/>
      <c r="Y225" s="18"/>
      <c r="Z225" s="18"/>
      <c r="AA225" s="18"/>
      <c r="AB225" s="18"/>
      <c r="AC225" s="18"/>
      <c r="AD225" s="18"/>
      <c r="AE225" s="18"/>
      <c r="AF225" s="18"/>
      <c r="AG225" s="18"/>
      <c r="AH225" s="18"/>
      <c r="AI225" s="18"/>
      <c r="AJ225" s="18"/>
      <c r="AK225" s="18"/>
      <c r="AL225" s="18"/>
      <c r="AM225" s="18"/>
      <c r="AN225" s="18"/>
      <c r="AO225" s="18"/>
      <c r="AP225" s="18"/>
      <c r="AQ225" s="18"/>
      <c r="AR225" s="18"/>
      <c r="AS225" s="18"/>
      <c r="AT225" s="18"/>
      <c r="AU225" s="18"/>
      <c r="AV225" s="18"/>
      <c r="AW225" s="18"/>
      <c r="AX225" s="18"/>
      <c r="AY225" s="18"/>
      <c r="AZ225" s="18"/>
      <c r="BA225" s="18"/>
      <c r="BB225" s="18"/>
      <c r="BC225" s="18"/>
      <c r="BD225" s="18"/>
      <c r="BE225" s="18"/>
      <c r="BF225" s="18"/>
      <c r="BG225" s="18"/>
      <c r="BH225" s="18"/>
      <c r="BI225" s="18"/>
      <c r="BJ225" s="18"/>
      <c r="BK225" s="18"/>
      <c r="BL225" s="18"/>
      <c r="BM225" s="18"/>
      <c r="BN225" s="18"/>
      <c r="BO225" s="18"/>
      <c r="BP225" s="18"/>
      <c r="BQ225" s="18"/>
      <c r="BR225" s="18"/>
      <c r="BS225" s="18"/>
      <c r="BT225" s="18"/>
      <c r="BU225" s="18"/>
      <c r="BV225" s="18"/>
      <c r="BW225" s="18"/>
      <c r="BX225" s="18"/>
      <c r="BY225" s="18"/>
      <c r="BZ225" s="18"/>
      <c r="CA225" s="18"/>
      <c r="CB225" s="18"/>
      <c r="CC225" s="18"/>
      <c r="CD225" s="18"/>
      <c r="CE225" s="18"/>
      <c r="CF225" s="18"/>
      <c r="CG225" s="18"/>
      <c r="CH225" s="18"/>
      <c r="CI225" s="18"/>
      <c r="CJ225" s="18"/>
      <c r="CK225" s="18"/>
      <c r="CL225" s="18"/>
      <c r="CM225" s="18"/>
      <c r="CN225" s="18"/>
      <c r="CO225" s="18"/>
      <c r="CP225" s="18"/>
      <c r="CQ225" s="18"/>
      <c r="CR225" s="18"/>
      <c r="CS225" s="18"/>
      <c r="CT225" s="18"/>
      <c r="CU225" s="18"/>
      <c r="CV225" s="18"/>
      <c r="CW225" s="18"/>
      <c r="CX225" s="18"/>
      <c r="CY225" s="18"/>
      <c r="CZ225" s="18"/>
      <c r="DA225" s="18"/>
      <c r="DB225" s="18"/>
      <c r="DC225" s="18"/>
      <c r="DD225" s="18"/>
      <c r="DE225" s="18"/>
      <c r="DF225" s="18"/>
      <c r="DG225" s="18"/>
      <c r="DH225" s="18"/>
      <c r="DI225" s="18"/>
      <c r="DJ225" s="18"/>
      <c r="DK225" s="18"/>
      <c r="DL225" s="18"/>
      <c r="DM225" s="18"/>
      <c r="DN225" s="18"/>
      <c r="DO225" s="18"/>
      <c r="DP225" s="18"/>
      <c r="DQ225" s="18"/>
      <c r="DR225" s="18"/>
      <c r="DS225" s="18"/>
      <c r="DT225" s="18"/>
      <c r="DU225" s="18"/>
      <c r="DV225" s="18"/>
      <c r="DW225" s="18"/>
      <c r="DX225" s="18"/>
      <c r="DY225" s="18"/>
      <c r="DZ225" s="18"/>
      <c r="EA225" s="18"/>
      <c r="EB225" s="18"/>
      <c r="EC225" s="18"/>
      <c r="ED225" s="18"/>
      <c r="EE225" s="18"/>
      <c r="EF225" s="18"/>
      <c r="EG225" s="18"/>
      <c r="EH225" s="18"/>
      <c r="EI225" s="18"/>
      <c r="EJ225" s="18"/>
      <c r="EK225" s="18"/>
      <c r="EL225" s="18"/>
      <c r="EM225" s="18"/>
      <c r="EN225" s="18"/>
      <c r="EO225" s="18"/>
      <c r="EP225" s="18"/>
      <c r="EQ225" s="18"/>
      <c r="ER225" s="18"/>
      <c r="ES225" s="18"/>
      <c r="ET225" s="18"/>
      <c r="EU225" s="18"/>
      <c r="EV225" s="18"/>
      <c r="EW225" s="18"/>
      <c r="EX225" s="18"/>
      <c r="EY225" s="18"/>
      <c r="EZ225" s="18"/>
      <c r="FA225" s="18"/>
      <c r="FB225" s="18"/>
      <c r="FC225" s="18"/>
      <c r="FD225" s="18"/>
      <c r="FE225" s="18"/>
      <c r="FF225" s="18"/>
      <c r="FG225" s="18"/>
      <c r="FH225" s="18"/>
      <c r="FI225" s="18"/>
      <c r="FJ225" s="18"/>
      <c r="FK225" s="18"/>
      <c r="FL225" s="18"/>
      <c r="FM225" s="18"/>
      <c r="FN225" s="18"/>
      <c r="FO225" s="18"/>
      <c r="FP225" s="18"/>
      <c r="FQ225" s="18"/>
      <c r="FR225" s="18"/>
      <c r="FS225" s="18"/>
      <c r="FT225" s="18"/>
      <c r="FU225" s="18"/>
      <c r="FV225" s="18"/>
      <c r="FW225" s="18"/>
      <c r="FX225" s="18"/>
      <c r="FY225" s="18"/>
      <c r="FZ225" s="18"/>
      <c r="GA225" s="18"/>
      <c r="GB225" s="18"/>
      <c r="GC225" s="18"/>
      <c r="GD225" s="18"/>
      <c r="GE225" s="18"/>
      <c r="GF225" s="18"/>
      <c r="GG225" s="18"/>
      <c r="GH225" s="18"/>
      <c r="GI225" s="18"/>
      <c r="GJ225" s="18"/>
      <c r="GK225" s="18"/>
      <c r="GL225" s="18"/>
      <c r="GM225" s="18"/>
      <c r="GN225" s="18"/>
      <c r="GO225" s="18"/>
      <c r="GP225" s="18"/>
      <c r="GQ225" s="18"/>
      <c r="GR225" s="18"/>
      <c r="GS225" s="18"/>
      <c r="GT225" s="18"/>
      <c r="GU225" s="18"/>
      <c r="GV225" s="18"/>
      <c r="GW225" s="18"/>
      <c r="GX225" s="18"/>
      <c r="GY225" s="18"/>
      <c r="GZ225" s="18"/>
      <c r="HA225" s="18"/>
      <c r="HB225" s="18"/>
      <c r="HC225" s="18"/>
      <c r="HD225" s="18"/>
      <c r="HE225" s="18"/>
      <c r="HF225" s="18"/>
      <c r="HG225" s="18"/>
      <c r="HH225" s="18"/>
      <c r="HI225" s="18"/>
      <c r="HJ225" s="18"/>
      <c r="HK225" s="18"/>
      <c r="HL225" s="18"/>
      <c r="HM225" s="18"/>
      <c r="HN225" s="18"/>
      <c r="HO225" s="18"/>
      <c r="HP225" s="18"/>
      <c r="HQ225" s="18"/>
      <c r="HR225" s="18"/>
      <c r="HS225" s="18"/>
      <c r="HT225" s="18"/>
      <c r="HU225" s="18"/>
      <c r="HV225" s="18"/>
      <c r="HW225" s="18"/>
      <c r="HX225" s="18"/>
      <c r="HY225" s="18"/>
      <c r="HZ225" s="18"/>
      <c r="IA225" s="18"/>
      <c r="IB225" s="18"/>
      <c r="IC225" s="18"/>
      <c r="ID225" s="18"/>
      <c r="IE225" s="18"/>
      <c r="IF225" s="18"/>
      <c r="IG225" s="18"/>
      <c r="IH225" s="18"/>
      <c r="II225" s="18"/>
      <c r="IJ225" s="18"/>
      <c r="IK225" s="18"/>
      <c r="IL225" s="18"/>
      <c r="IM225" s="18"/>
      <c r="IN225" s="18"/>
      <c r="IO225" s="18"/>
      <c r="IP225" s="18"/>
      <c r="IQ225" s="18"/>
      <c r="IR225" s="18"/>
    </row>
    <row r="226" spans="1:252" s="349" customFormat="1" ht="15.75">
      <c r="A226" s="230">
        <f>+'Appendix A'!A134</f>
        <v>71</v>
      </c>
      <c r="B226" s="235"/>
      <c r="C226" s="332" t="str">
        <f>+'Appendix A'!C134</f>
        <v xml:space="preserve">General Advertising Exp Account 930.1 - Education and Outreach </v>
      </c>
      <c r="D226" s="836"/>
      <c r="E226" s="836"/>
      <c r="F226" s="236"/>
      <c r="G226" s="978" t="s">
        <v>38</v>
      </c>
      <c r="H226" s="1094">
        <f>INDEX(Inputs_EndYrBal,MATCH(G226,Inputs_FF1_Map,0))</f>
        <v>1818</v>
      </c>
      <c r="I226" s="1132">
        <v>0</v>
      </c>
      <c r="J226" s="1134">
        <f>H226-I226</f>
        <v>1818</v>
      </c>
      <c r="K226" s="1007" t="str">
        <f>+K219</f>
        <v>Based on FERC 930.1 download</v>
      </c>
      <c r="L226" s="1007"/>
      <c r="M226" s="229"/>
      <c r="N226" s="18"/>
      <c r="O226" s="2637"/>
      <c r="P226" s="2254"/>
      <c r="Q226" s="18"/>
      <c r="R226" s="18"/>
      <c r="S226" s="18"/>
      <c r="T226" s="18"/>
      <c r="U226" s="18"/>
      <c r="V226" s="18"/>
      <c r="W226" s="18"/>
      <c r="X226" s="18"/>
      <c r="Y226" s="18"/>
      <c r="Z226" s="18"/>
      <c r="AA226" s="18"/>
      <c r="AB226" s="18"/>
      <c r="AC226" s="18"/>
      <c r="AD226" s="18"/>
      <c r="AE226" s="18"/>
      <c r="AF226" s="18"/>
      <c r="AG226" s="18"/>
      <c r="AH226" s="18"/>
      <c r="AI226" s="18"/>
      <c r="AJ226" s="18"/>
      <c r="AK226" s="18"/>
      <c r="AL226" s="18"/>
      <c r="AM226" s="18"/>
      <c r="AN226" s="18"/>
      <c r="AO226" s="18"/>
      <c r="AP226" s="18"/>
      <c r="AQ226" s="18"/>
      <c r="AR226" s="18"/>
      <c r="AS226" s="18"/>
      <c r="AT226" s="18"/>
      <c r="AU226" s="18"/>
      <c r="AV226" s="18"/>
      <c r="AW226" s="18"/>
      <c r="AX226" s="18"/>
      <c r="AY226" s="18"/>
      <c r="AZ226" s="18"/>
      <c r="BA226" s="18"/>
      <c r="BB226" s="18"/>
      <c r="BC226" s="18"/>
      <c r="BD226" s="18"/>
      <c r="BE226" s="18"/>
      <c r="BF226" s="18"/>
      <c r="BG226" s="18"/>
      <c r="BH226" s="18"/>
      <c r="BI226" s="18"/>
      <c r="BJ226" s="18"/>
      <c r="BK226" s="18"/>
      <c r="BL226" s="18"/>
      <c r="BM226" s="18"/>
      <c r="BN226" s="18"/>
      <c r="BO226" s="18"/>
      <c r="BP226" s="18"/>
      <c r="BQ226" s="18"/>
      <c r="BR226" s="18"/>
      <c r="BS226" s="18"/>
      <c r="BT226" s="18"/>
      <c r="BU226" s="18"/>
      <c r="BV226" s="18"/>
      <c r="BW226" s="18"/>
      <c r="BX226" s="18"/>
      <c r="BY226" s="18"/>
      <c r="BZ226" s="18"/>
      <c r="CA226" s="18"/>
      <c r="CB226" s="18"/>
      <c r="CC226" s="18"/>
      <c r="CD226" s="18"/>
      <c r="CE226" s="18"/>
      <c r="CF226" s="18"/>
      <c r="CG226" s="18"/>
      <c r="CH226" s="18"/>
      <c r="CI226" s="18"/>
      <c r="CJ226" s="18"/>
      <c r="CK226" s="18"/>
      <c r="CL226" s="18"/>
      <c r="CM226" s="18"/>
      <c r="CN226" s="18"/>
      <c r="CO226" s="18"/>
      <c r="CP226" s="18"/>
      <c r="CQ226" s="18"/>
      <c r="CR226" s="18"/>
      <c r="CS226" s="18"/>
      <c r="CT226" s="18"/>
      <c r="CU226" s="18"/>
      <c r="CV226" s="18"/>
      <c r="CW226" s="18"/>
      <c r="CX226" s="18"/>
      <c r="CY226" s="18"/>
      <c r="CZ226" s="18"/>
      <c r="DA226" s="18"/>
      <c r="DB226" s="18"/>
      <c r="DC226" s="18"/>
      <c r="DD226" s="18"/>
      <c r="DE226" s="18"/>
      <c r="DF226" s="18"/>
      <c r="DG226" s="18"/>
      <c r="DH226" s="18"/>
      <c r="DI226" s="18"/>
      <c r="DJ226" s="18"/>
      <c r="DK226" s="18"/>
      <c r="DL226" s="18"/>
      <c r="DM226" s="18"/>
      <c r="DN226" s="18"/>
      <c r="DO226" s="18"/>
      <c r="DP226" s="18"/>
      <c r="DQ226" s="18"/>
      <c r="DR226" s="18"/>
      <c r="DS226" s="18"/>
      <c r="DT226" s="18"/>
      <c r="DU226" s="18"/>
      <c r="DV226" s="18"/>
      <c r="DW226" s="18"/>
      <c r="DX226" s="18"/>
      <c r="DY226" s="18"/>
      <c r="DZ226" s="18"/>
      <c r="EA226" s="18"/>
      <c r="EB226" s="18"/>
      <c r="EC226" s="18"/>
      <c r="ED226" s="18"/>
      <c r="EE226" s="18"/>
      <c r="EF226" s="18"/>
      <c r="EG226" s="18"/>
      <c r="EH226" s="18"/>
      <c r="EI226" s="18"/>
      <c r="EJ226" s="18"/>
      <c r="EK226" s="18"/>
      <c r="EL226" s="18"/>
      <c r="EM226" s="18"/>
      <c r="EN226" s="18"/>
      <c r="EO226" s="18"/>
      <c r="EP226" s="18"/>
      <c r="EQ226" s="18"/>
      <c r="ER226" s="18"/>
      <c r="ES226" s="18"/>
      <c r="ET226" s="18"/>
      <c r="EU226" s="18"/>
      <c r="EV226" s="18"/>
      <c r="EW226" s="18"/>
      <c r="EX226" s="18"/>
      <c r="EY226" s="18"/>
      <c r="EZ226" s="18"/>
      <c r="FA226" s="18"/>
      <c r="FB226" s="18"/>
      <c r="FC226" s="18"/>
      <c r="FD226" s="18"/>
      <c r="FE226" s="18"/>
      <c r="FF226" s="18"/>
      <c r="FG226" s="18"/>
      <c r="FH226" s="18"/>
      <c r="FI226" s="18"/>
      <c r="FJ226" s="18"/>
      <c r="FK226" s="18"/>
      <c r="FL226" s="18"/>
      <c r="FM226" s="18"/>
      <c r="FN226" s="18"/>
      <c r="FO226" s="18"/>
      <c r="FP226" s="18"/>
      <c r="FQ226" s="18"/>
      <c r="FR226" s="18"/>
      <c r="FS226" s="18"/>
      <c r="FT226" s="18"/>
      <c r="FU226" s="18"/>
      <c r="FV226" s="18"/>
      <c r="FW226" s="18"/>
      <c r="FX226" s="18"/>
      <c r="FY226" s="18"/>
      <c r="FZ226" s="18"/>
      <c r="GA226" s="18"/>
      <c r="GB226" s="18"/>
      <c r="GC226" s="18"/>
      <c r="GD226" s="18"/>
      <c r="GE226" s="18"/>
      <c r="GF226" s="18"/>
      <c r="GG226" s="18"/>
      <c r="GH226" s="18"/>
      <c r="GI226" s="18"/>
      <c r="GJ226" s="18"/>
      <c r="GK226" s="18"/>
      <c r="GL226" s="18"/>
      <c r="GM226" s="18"/>
      <c r="GN226" s="18"/>
      <c r="GO226" s="18"/>
      <c r="GP226" s="18"/>
      <c r="GQ226" s="18"/>
      <c r="GR226" s="18"/>
      <c r="GS226" s="18"/>
      <c r="GT226" s="18"/>
      <c r="GU226" s="18"/>
      <c r="GV226" s="18"/>
      <c r="GW226" s="18"/>
      <c r="GX226" s="18"/>
      <c r="GY226" s="18"/>
      <c r="GZ226" s="18"/>
      <c r="HA226" s="18"/>
      <c r="HB226" s="18"/>
      <c r="HC226" s="18"/>
      <c r="HD226" s="18"/>
      <c r="HE226" s="18"/>
      <c r="HF226" s="18"/>
      <c r="HG226" s="18"/>
      <c r="HH226" s="18"/>
      <c r="HI226" s="18"/>
      <c r="HJ226" s="18"/>
      <c r="HK226" s="18"/>
      <c r="HL226" s="18"/>
      <c r="HM226" s="18"/>
      <c r="HN226" s="18"/>
      <c r="HO226" s="18"/>
      <c r="HP226" s="18"/>
      <c r="HQ226" s="18"/>
      <c r="HR226" s="18"/>
      <c r="HS226" s="18"/>
      <c r="HT226" s="18"/>
      <c r="HU226" s="18"/>
      <c r="HV226" s="18"/>
      <c r="HW226" s="18"/>
      <c r="HX226" s="18"/>
      <c r="HY226" s="18"/>
      <c r="HZ226" s="18"/>
      <c r="IA226" s="18"/>
      <c r="IB226" s="18"/>
      <c r="IC226" s="18"/>
      <c r="ID226" s="18"/>
      <c r="IE226" s="18"/>
      <c r="IF226" s="18"/>
      <c r="IG226" s="18"/>
      <c r="IH226" s="18"/>
      <c r="II226" s="18"/>
      <c r="IJ226" s="18"/>
      <c r="IK226" s="18"/>
      <c r="IL226" s="18"/>
      <c r="IM226" s="18"/>
      <c r="IN226" s="18"/>
      <c r="IO226" s="18"/>
      <c r="IP226" s="18"/>
      <c r="IQ226" s="18"/>
      <c r="IR226" s="18"/>
    </row>
    <row r="227" spans="1:252" s="349" customFormat="1" ht="15.75" thickBot="1">
      <c r="A227" s="238"/>
      <c r="B227" s="837"/>
      <c r="C227" s="838"/>
      <c r="D227" s="839"/>
      <c r="E227" s="839"/>
      <c r="F227" s="840"/>
      <c r="G227" s="244"/>
      <c r="H227" s="847"/>
      <c r="I227" s="846"/>
      <c r="J227" s="847"/>
      <c r="K227" s="842"/>
      <c r="L227" s="842"/>
      <c r="M227" s="491"/>
      <c r="O227" s="23"/>
      <c r="P227" s="2254"/>
    </row>
    <row r="228" spans="1:252" s="349" customFormat="1">
      <c r="A228" s="23"/>
      <c r="N228" s="18"/>
      <c r="O228" s="23"/>
      <c r="P228" s="2254"/>
      <c r="Q228" s="18"/>
      <c r="R228" s="18"/>
      <c r="S228" s="18"/>
      <c r="T228" s="18"/>
      <c r="U228" s="18"/>
      <c r="V228" s="18"/>
      <c r="W228" s="18"/>
      <c r="X228" s="18"/>
      <c r="Y228" s="18"/>
      <c r="Z228" s="18"/>
      <c r="AA228" s="18"/>
      <c r="AB228" s="18"/>
      <c r="AC228" s="18"/>
      <c r="AD228" s="18"/>
      <c r="AE228" s="18"/>
      <c r="AF228" s="18"/>
      <c r="AG228" s="18"/>
      <c r="AH228" s="18"/>
      <c r="AI228" s="18"/>
      <c r="AJ228" s="18"/>
      <c r="AK228" s="18"/>
      <c r="AL228" s="18"/>
      <c r="AM228" s="18"/>
      <c r="AN228" s="18"/>
      <c r="AO228" s="18"/>
      <c r="AP228" s="18"/>
      <c r="AQ228" s="18"/>
      <c r="AR228" s="18"/>
      <c r="AS228" s="18"/>
      <c r="AT228" s="18"/>
      <c r="AU228" s="18"/>
      <c r="AV228" s="18"/>
      <c r="AW228" s="18"/>
      <c r="AX228" s="18"/>
      <c r="AY228" s="18"/>
      <c r="AZ228" s="18"/>
      <c r="BA228" s="18"/>
      <c r="BB228" s="18"/>
      <c r="BC228" s="18"/>
      <c r="BD228" s="18"/>
      <c r="BE228" s="18"/>
      <c r="BF228" s="18"/>
      <c r="BG228" s="18"/>
      <c r="BH228" s="18"/>
      <c r="BI228" s="18"/>
      <c r="BJ228" s="18"/>
      <c r="BK228" s="18"/>
      <c r="BL228" s="18"/>
      <c r="BM228" s="18"/>
      <c r="BN228" s="18"/>
      <c r="BO228" s="18"/>
      <c r="BP228" s="18"/>
      <c r="BQ228" s="18"/>
      <c r="BR228" s="18"/>
      <c r="BS228" s="18"/>
      <c r="BT228" s="18"/>
      <c r="BU228" s="18"/>
      <c r="BV228" s="18"/>
      <c r="BW228" s="18"/>
      <c r="BX228" s="18"/>
      <c r="BY228" s="18"/>
      <c r="BZ228" s="18"/>
      <c r="CA228" s="18"/>
      <c r="CB228" s="18"/>
      <c r="CC228" s="18"/>
      <c r="CD228" s="18"/>
      <c r="CE228" s="18"/>
      <c r="CF228" s="18"/>
      <c r="CG228" s="18"/>
      <c r="CH228" s="18"/>
      <c r="CI228" s="18"/>
      <c r="CJ228" s="18"/>
      <c r="CK228" s="18"/>
      <c r="CL228" s="18"/>
      <c r="CM228" s="18"/>
      <c r="CN228" s="18"/>
      <c r="CO228" s="18"/>
      <c r="CP228" s="18"/>
      <c r="CQ228" s="18"/>
      <c r="CR228" s="18"/>
      <c r="CS228" s="18"/>
      <c r="CT228" s="18"/>
      <c r="CU228" s="18"/>
      <c r="CV228" s="18"/>
      <c r="CW228" s="18"/>
      <c r="CX228" s="18"/>
      <c r="CY228" s="18"/>
      <c r="CZ228" s="18"/>
      <c r="DA228" s="18"/>
      <c r="DB228" s="18"/>
      <c r="DC228" s="18"/>
      <c r="DD228" s="18"/>
      <c r="DE228" s="18"/>
      <c r="DF228" s="18"/>
      <c r="DG228" s="18"/>
      <c r="DH228" s="18"/>
      <c r="DI228" s="18"/>
      <c r="DJ228" s="18"/>
      <c r="DK228" s="18"/>
      <c r="DL228" s="18"/>
      <c r="DM228" s="18"/>
      <c r="DN228" s="18"/>
      <c r="DO228" s="18"/>
      <c r="DP228" s="18"/>
      <c r="DQ228" s="18"/>
      <c r="DR228" s="18"/>
      <c r="DS228" s="18"/>
      <c r="DT228" s="18"/>
      <c r="DU228" s="18"/>
      <c r="DV228" s="18"/>
      <c r="DW228" s="18"/>
      <c r="DX228" s="18"/>
      <c r="DY228" s="18"/>
      <c r="DZ228" s="18"/>
      <c r="EA228" s="18"/>
      <c r="EB228" s="18"/>
      <c r="EC228" s="18"/>
      <c r="ED228" s="18"/>
      <c r="EE228" s="18"/>
      <c r="EF228" s="18"/>
      <c r="EG228" s="18"/>
      <c r="EH228" s="18"/>
      <c r="EI228" s="18"/>
      <c r="EJ228" s="18"/>
      <c r="EK228" s="18"/>
      <c r="EL228" s="18"/>
      <c r="EM228" s="18"/>
      <c r="EN228" s="18"/>
      <c r="EO228" s="18"/>
      <c r="EP228" s="18"/>
      <c r="EQ228" s="18"/>
      <c r="ER228" s="18"/>
      <c r="ES228" s="18"/>
      <c r="ET228" s="18"/>
      <c r="EU228" s="18"/>
      <c r="EV228" s="18"/>
      <c r="EW228" s="18"/>
      <c r="EX228" s="18"/>
      <c r="EY228" s="18"/>
      <c r="EZ228" s="18"/>
      <c r="FA228" s="18"/>
      <c r="FB228" s="18"/>
      <c r="FC228" s="18"/>
      <c r="FD228" s="18"/>
      <c r="FE228" s="18"/>
      <c r="FF228" s="18"/>
      <c r="FG228" s="18"/>
      <c r="FH228" s="18"/>
      <c r="FI228" s="18"/>
      <c r="FJ228" s="18"/>
      <c r="FK228" s="18"/>
      <c r="FL228" s="18"/>
      <c r="FM228" s="18"/>
      <c r="FN228" s="18"/>
      <c r="FO228" s="18"/>
      <c r="FP228" s="18"/>
      <c r="FQ228" s="18"/>
      <c r="FR228" s="18"/>
      <c r="FS228" s="18"/>
      <c r="FT228" s="18"/>
      <c r="FU228" s="18"/>
      <c r="FV228" s="18"/>
      <c r="FW228" s="18"/>
      <c r="FX228" s="18"/>
      <c r="FY228" s="18"/>
      <c r="FZ228" s="18"/>
      <c r="GA228" s="18"/>
      <c r="GB228" s="18"/>
      <c r="GC228" s="18"/>
      <c r="GD228" s="18"/>
      <c r="GE228" s="18"/>
      <c r="GF228" s="18"/>
      <c r="GG228" s="18"/>
      <c r="GH228" s="18"/>
      <c r="GI228" s="18"/>
      <c r="GJ228" s="18"/>
      <c r="GK228" s="18"/>
      <c r="GL228" s="18"/>
      <c r="GM228" s="18"/>
      <c r="GN228" s="18"/>
      <c r="GO228" s="18"/>
      <c r="GP228" s="18"/>
      <c r="GQ228" s="18"/>
      <c r="GR228" s="18"/>
      <c r="GS228" s="18"/>
      <c r="GT228" s="18"/>
      <c r="GU228" s="18"/>
      <c r="GV228" s="18"/>
      <c r="GW228" s="18"/>
      <c r="GX228" s="18"/>
      <c r="GY228" s="18"/>
      <c r="GZ228" s="18"/>
      <c r="HA228" s="18"/>
      <c r="HB228" s="18"/>
      <c r="HC228" s="18"/>
      <c r="HD228" s="18"/>
      <c r="HE228" s="18"/>
      <c r="HF228" s="18"/>
      <c r="HG228" s="18"/>
      <c r="HH228" s="18"/>
      <c r="HI228" s="18"/>
      <c r="HJ228" s="18"/>
      <c r="HK228" s="18"/>
      <c r="HL228" s="18"/>
      <c r="HM228" s="18"/>
      <c r="HN228" s="18"/>
      <c r="HO228" s="18"/>
      <c r="HP228" s="18"/>
      <c r="HQ228" s="18"/>
      <c r="HR228" s="18"/>
      <c r="HS228" s="18"/>
      <c r="HT228" s="18"/>
      <c r="HU228" s="18"/>
      <c r="HV228" s="18"/>
      <c r="HW228" s="18"/>
      <c r="HX228" s="18"/>
      <c r="HY228" s="18"/>
      <c r="HZ228" s="18"/>
      <c r="IA228" s="18"/>
      <c r="IB228" s="18"/>
      <c r="IC228" s="18"/>
      <c r="ID228" s="18"/>
      <c r="IE228" s="18"/>
      <c r="IF228" s="18"/>
      <c r="IG228" s="18"/>
      <c r="IH228" s="18"/>
      <c r="II228" s="18"/>
      <c r="IJ228" s="18"/>
      <c r="IK228" s="18"/>
      <c r="IL228" s="18"/>
      <c r="IM228" s="18"/>
      <c r="IN228" s="18"/>
      <c r="IO228" s="18"/>
      <c r="IP228" s="18"/>
      <c r="IQ228" s="18"/>
      <c r="IR228" s="18"/>
    </row>
    <row r="229" spans="1:252">
      <c r="B229" s="23"/>
      <c r="C229" s="23"/>
      <c r="D229" s="23"/>
      <c r="E229" s="23"/>
      <c r="F229" s="23"/>
      <c r="G229" s="23"/>
      <c r="H229" s="23"/>
      <c r="I229" s="23"/>
      <c r="J229" s="23"/>
      <c r="K229" s="23"/>
      <c r="L229" s="23"/>
      <c r="M229" s="23"/>
    </row>
    <row r="230" spans="1:252" s="349" customFormat="1" ht="16.5" thickBot="1">
      <c r="A230" s="878" t="s">
        <v>1045</v>
      </c>
      <c r="B230" s="23"/>
      <c r="C230" s="23"/>
      <c r="D230" s="23"/>
      <c r="E230" s="23"/>
      <c r="F230" s="23"/>
      <c r="G230" s="23"/>
      <c r="H230" s="23"/>
      <c r="I230" s="23"/>
      <c r="J230" s="23"/>
      <c r="K230" s="23"/>
      <c r="L230" s="23"/>
      <c r="M230" s="23"/>
      <c r="N230" s="18"/>
      <c r="O230" s="18"/>
      <c r="P230" s="2254"/>
      <c r="Q230" s="18"/>
      <c r="R230" s="18"/>
      <c r="S230" s="18"/>
      <c r="T230" s="18"/>
      <c r="U230" s="18"/>
      <c r="V230" s="18"/>
      <c r="W230" s="18"/>
      <c r="X230" s="18"/>
      <c r="Y230" s="18"/>
      <c r="Z230" s="18"/>
      <c r="AA230" s="18"/>
      <c r="AB230" s="18"/>
      <c r="AC230" s="18"/>
      <c r="AD230" s="18"/>
      <c r="AE230" s="18"/>
      <c r="AF230" s="18"/>
      <c r="AG230" s="18"/>
      <c r="AH230" s="18"/>
      <c r="AI230" s="18"/>
      <c r="AJ230" s="18"/>
      <c r="AK230" s="18"/>
      <c r="AL230" s="18"/>
      <c r="AM230" s="18"/>
      <c r="AN230" s="18"/>
      <c r="AO230" s="18"/>
      <c r="AP230" s="18"/>
      <c r="AQ230" s="18"/>
      <c r="AR230" s="18"/>
      <c r="AS230" s="18"/>
      <c r="AT230" s="18"/>
      <c r="AU230" s="18"/>
      <c r="AV230" s="18"/>
      <c r="AW230" s="18"/>
      <c r="AX230" s="18"/>
      <c r="AY230" s="18"/>
      <c r="AZ230" s="18"/>
      <c r="BA230" s="18"/>
      <c r="BB230" s="18"/>
      <c r="BC230" s="18"/>
      <c r="BD230" s="18"/>
      <c r="BE230" s="18"/>
      <c r="BF230" s="18"/>
      <c r="BG230" s="18"/>
      <c r="BH230" s="18"/>
      <c r="BI230" s="18"/>
      <c r="BJ230" s="18"/>
      <c r="BK230" s="18"/>
      <c r="BL230" s="18"/>
      <c r="BM230" s="18"/>
      <c r="BN230" s="18"/>
      <c r="BO230" s="18"/>
      <c r="BP230" s="18"/>
      <c r="BQ230" s="18"/>
      <c r="BR230" s="18"/>
      <c r="BS230" s="18"/>
      <c r="BT230" s="18"/>
      <c r="BU230" s="18"/>
      <c r="BV230" s="18"/>
      <c r="BW230" s="18"/>
      <c r="BX230" s="18"/>
      <c r="BY230" s="18"/>
      <c r="BZ230" s="18"/>
      <c r="CA230" s="18"/>
      <c r="CB230" s="18"/>
      <c r="CC230" s="18"/>
      <c r="CD230" s="18"/>
      <c r="CE230" s="18"/>
      <c r="CF230" s="18"/>
      <c r="CG230" s="18"/>
      <c r="CH230" s="18"/>
      <c r="CI230" s="18"/>
      <c r="CJ230" s="18"/>
      <c r="CK230" s="18"/>
      <c r="CL230" s="18"/>
      <c r="CM230" s="18"/>
      <c r="CN230" s="18"/>
      <c r="CO230" s="18"/>
      <c r="CP230" s="18"/>
      <c r="CQ230" s="18"/>
      <c r="CR230" s="18"/>
      <c r="CS230" s="18"/>
      <c r="CT230" s="18"/>
      <c r="CU230" s="18"/>
      <c r="CV230" s="18"/>
      <c r="CW230" s="18"/>
      <c r="CX230" s="18"/>
      <c r="CY230" s="18"/>
      <c r="CZ230" s="18"/>
      <c r="DA230" s="18"/>
      <c r="DB230" s="18"/>
      <c r="DC230" s="18"/>
      <c r="DD230" s="18"/>
      <c r="DE230" s="18"/>
      <c r="DF230" s="18"/>
      <c r="DG230" s="18"/>
      <c r="DH230" s="18"/>
      <c r="DI230" s="18"/>
      <c r="DJ230" s="18"/>
      <c r="DK230" s="18"/>
      <c r="DL230" s="18"/>
      <c r="DM230" s="18"/>
      <c r="DN230" s="18"/>
      <c r="DO230" s="18"/>
      <c r="DP230" s="18"/>
      <c r="DQ230" s="18"/>
      <c r="DR230" s="18"/>
      <c r="DS230" s="18"/>
      <c r="DT230" s="18"/>
      <c r="DU230" s="18"/>
      <c r="DV230" s="18"/>
      <c r="DW230" s="18"/>
      <c r="DX230" s="18"/>
      <c r="DY230" s="18"/>
      <c r="DZ230" s="18"/>
      <c r="EA230" s="18"/>
      <c r="EB230" s="18"/>
      <c r="EC230" s="18"/>
      <c r="ED230" s="18"/>
      <c r="EE230" s="18"/>
      <c r="EF230" s="18"/>
      <c r="EG230" s="18"/>
      <c r="EH230" s="18"/>
      <c r="EI230" s="18"/>
      <c r="EJ230" s="18"/>
      <c r="EK230" s="18"/>
      <c r="EL230" s="18"/>
      <c r="EM230" s="18"/>
      <c r="EN230" s="18"/>
      <c r="EO230" s="18"/>
      <c r="EP230" s="18"/>
      <c r="EQ230" s="18"/>
      <c r="ER230" s="18"/>
      <c r="ES230" s="18"/>
      <c r="ET230" s="18"/>
      <c r="EU230" s="18"/>
      <c r="EV230" s="18"/>
      <c r="EW230" s="18"/>
      <c r="EX230" s="18"/>
      <c r="EY230" s="18"/>
      <c r="EZ230" s="18"/>
      <c r="FA230" s="18"/>
      <c r="FB230" s="18"/>
      <c r="FC230" s="18"/>
      <c r="FD230" s="18"/>
      <c r="FE230" s="18"/>
      <c r="FF230" s="18"/>
      <c r="FG230" s="18"/>
      <c r="FH230" s="18"/>
      <c r="FI230" s="18"/>
      <c r="FJ230" s="18"/>
      <c r="FK230" s="18"/>
      <c r="FL230" s="18"/>
      <c r="FM230" s="18"/>
      <c r="FN230" s="18"/>
      <c r="FO230" s="18"/>
      <c r="FP230" s="18"/>
      <c r="FQ230" s="18"/>
      <c r="FR230" s="18"/>
      <c r="FS230" s="18"/>
      <c r="FT230" s="18"/>
      <c r="FU230" s="18"/>
      <c r="FV230" s="18"/>
      <c r="FW230" s="18"/>
      <c r="FX230" s="18"/>
      <c r="FY230" s="18"/>
      <c r="FZ230" s="18"/>
      <c r="GA230" s="18"/>
      <c r="GB230" s="18"/>
      <c r="GC230" s="18"/>
      <c r="GD230" s="18"/>
      <c r="GE230" s="18"/>
      <c r="GF230" s="18"/>
      <c r="GG230" s="18"/>
      <c r="GH230" s="18"/>
      <c r="GI230" s="18"/>
      <c r="GJ230" s="18"/>
      <c r="GK230" s="18"/>
      <c r="GL230" s="18"/>
      <c r="GM230" s="18"/>
      <c r="GN230" s="18"/>
      <c r="GO230" s="18"/>
      <c r="GP230" s="18"/>
      <c r="GQ230" s="18"/>
      <c r="GR230" s="18"/>
      <c r="GS230" s="18"/>
      <c r="GT230" s="18"/>
      <c r="GU230" s="18"/>
      <c r="GV230" s="18"/>
      <c r="GW230" s="18"/>
      <c r="GX230" s="18"/>
      <c r="GY230" s="18"/>
      <c r="GZ230" s="18"/>
      <c r="HA230" s="18"/>
      <c r="HB230" s="18"/>
      <c r="HC230" s="18"/>
      <c r="HD230" s="18"/>
      <c r="HE230" s="18"/>
      <c r="HF230" s="18"/>
      <c r="HG230" s="18"/>
      <c r="HH230" s="18"/>
      <c r="HI230" s="18"/>
      <c r="HJ230" s="18"/>
      <c r="HK230" s="18"/>
      <c r="HL230" s="18"/>
      <c r="HM230" s="18"/>
      <c r="HN230" s="18"/>
      <c r="HO230" s="18"/>
      <c r="HP230" s="18"/>
      <c r="HQ230" s="18"/>
      <c r="HR230" s="18"/>
      <c r="HS230" s="18"/>
      <c r="HT230" s="18"/>
      <c r="HU230" s="18"/>
      <c r="HV230" s="18"/>
      <c r="HW230" s="18"/>
      <c r="HX230" s="18"/>
      <c r="HY230" s="18"/>
      <c r="HZ230" s="18"/>
      <c r="IA230" s="18"/>
      <c r="IB230" s="18"/>
      <c r="IC230" s="18"/>
      <c r="ID230" s="18"/>
      <c r="IE230" s="18"/>
      <c r="IF230" s="18"/>
      <c r="IG230" s="18"/>
      <c r="IH230" s="18"/>
      <c r="II230" s="18"/>
      <c r="IJ230" s="18"/>
      <c r="IK230" s="18"/>
      <c r="IL230" s="18"/>
      <c r="IM230" s="18"/>
      <c r="IN230" s="18"/>
      <c r="IO230" s="18"/>
      <c r="IP230" s="18"/>
      <c r="IQ230" s="18"/>
      <c r="IR230" s="18"/>
    </row>
    <row r="231" spans="1:252" s="349" customFormat="1">
      <c r="A231" s="2696" t="s">
        <v>206</v>
      </c>
      <c r="B231" s="2697"/>
      <c r="C231" s="2697"/>
      <c r="D231" s="2697"/>
      <c r="E231" s="2697"/>
      <c r="F231" s="2697"/>
      <c r="G231" s="2698"/>
      <c r="H231" s="907"/>
      <c r="I231" s="910" t="s">
        <v>83</v>
      </c>
      <c r="J231" s="907"/>
      <c r="K231" s="907"/>
      <c r="L231" s="907"/>
      <c r="M231" s="911"/>
      <c r="N231" s="18"/>
      <c r="O231" s="18"/>
      <c r="P231" s="2254"/>
      <c r="Q231" s="18"/>
      <c r="R231" s="18"/>
      <c r="S231" s="18"/>
      <c r="T231" s="18"/>
      <c r="U231" s="18"/>
      <c r="V231" s="18"/>
      <c r="W231" s="18"/>
      <c r="X231" s="18"/>
      <c r="Y231" s="18"/>
      <c r="Z231" s="18"/>
      <c r="AA231" s="18"/>
      <c r="AB231" s="18"/>
      <c r="AC231" s="18"/>
      <c r="AD231" s="18"/>
      <c r="AE231" s="18"/>
      <c r="AF231" s="18"/>
      <c r="AG231" s="18"/>
      <c r="AH231" s="18"/>
      <c r="AI231" s="18"/>
      <c r="AJ231" s="18"/>
      <c r="AK231" s="18"/>
      <c r="AL231" s="18"/>
      <c r="AM231" s="18"/>
      <c r="AN231" s="18"/>
      <c r="AO231" s="18"/>
      <c r="AP231" s="18"/>
      <c r="AQ231" s="18"/>
      <c r="AR231" s="18"/>
      <c r="AS231" s="18"/>
      <c r="AT231" s="18"/>
      <c r="AU231" s="18"/>
      <c r="AV231" s="18"/>
      <c r="AW231" s="18"/>
      <c r="AX231" s="18"/>
      <c r="AY231" s="18"/>
      <c r="AZ231" s="18"/>
      <c r="BA231" s="18"/>
      <c r="BB231" s="18"/>
      <c r="BC231" s="18"/>
      <c r="BD231" s="18"/>
      <c r="BE231" s="18"/>
      <c r="BF231" s="18"/>
      <c r="BG231" s="18"/>
      <c r="BH231" s="18"/>
      <c r="BI231" s="18"/>
      <c r="BJ231" s="18"/>
      <c r="BK231" s="18"/>
      <c r="BL231" s="18"/>
      <c r="BM231" s="18"/>
      <c r="BN231" s="18"/>
      <c r="BO231" s="18"/>
      <c r="BP231" s="18"/>
      <c r="BQ231" s="18"/>
      <c r="BR231" s="18"/>
      <c r="BS231" s="18"/>
      <c r="BT231" s="18"/>
      <c r="BU231" s="18"/>
      <c r="BV231" s="18"/>
      <c r="BW231" s="18"/>
      <c r="BX231" s="18"/>
      <c r="BY231" s="18"/>
      <c r="BZ231" s="18"/>
      <c r="CA231" s="18"/>
      <c r="CB231" s="18"/>
      <c r="CC231" s="18"/>
      <c r="CD231" s="18"/>
      <c r="CE231" s="18"/>
      <c r="CF231" s="18"/>
      <c r="CG231" s="18"/>
      <c r="CH231" s="18"/>
      <c r="CI231" s="18"/>
      <c r="CJ231" s="18"/>
      <c r="CK231" s="18"/>
      <c r="CL231" s="18"/>
      <c r="CM231" s="18"/>
      <c r="CN231" s="18"/>
      <c r="CO231" s="18"/>
      <c r="CP231" s="18"/>
      <c r="CQ231" s="18"/>
      <c r="CR231" s="18"/>
      <c r="CS231" s="18"/>
      <c r="CT231" s="18"/>
      <c r="CU231" s="18"/>
      <c r="CV231" s="18"/>
      <c r="CW231" s="18"/>
      <c r="CX231" s="18"/>
      <c r="CY231" s="18"/>
      <c r="CZ231" s="18"/>
      <c r="DA231" s="18"/>
      <c r="DB231" s="18"/>
      <c r="DC231" s="18"/>
      <c r="DD231" s="18"/>
      <c r="DE231" s="18"/>
      <c r="DF231" s="18"/>
      <c r="DG231" s="18"/>
      <c r="DH231" s="18"/>
      <c r="DI231" s="18"/>
      <c r="DJ231" s="18"/>
      <c r="DK231" s="18"/>
      <c r="DL231" s="18"/>
      <c r="DM231" s="18"/>
      <c r="DN231" s="18"/>
      <c r="DO231" s="18"/>
      <c r="DP231" s="18"/>
      <c r="DQ231" s="18"/>
      <c r="DR231" s="18"/>
      <c r="DS231" s="18"/>
      <c r="DT231" s="18"/>
      <c r="DU231" s="18"/>
      <c r="DV231" s="18"/>
      <c r="DW231" s="18"/>
      <c r="DX231" s="18"/>
      <c r="DY231" s="18"/>
      <c r="DZ231" s="18"/>
      <c r="EA231" s="18"/>
      <c r="EB231" s="18"/>
      <c r="EC231" s="18"/>
      <c r="ED231" s="18"/>
      <c r="EE231" s="18"/>
      <c r="EF231" s="18"/>
      <c r="EG231" s="18"/>
      <c r="EH231" s="18"/>
      <c r="EI231" s="18"/>
      <c r="EJ231" s="18"/>
      <c r="EK231" s="18"/>
      <c r="EL231" s="18"/>
      <c r="EM231" s="18"/>
      <c r="EN231" s="18"/>
      <c r="EO231" s="18"/>
      <c r="EP231" s="18"/>
      <c r="EQ231" s="18"/>
      <c r="ER231" s="18"/>
      <c r="ES231" s="18"/>
      <c r="ET231" s="18"/>
      <c r="EU231" s="18"/>
      <c r="EV231" s="18"/>
      <c r="EW231" s="18"/>
      <c r="EX231" s="18"/>
      <c r="EY231" s="18"/>
      <c r="EZ231" s="18"/>
      <c r="FA231" s="18"/>
      <c r="FB231" s="18"/>
      <c r="FC231" s="18"/>
      <c r="FD231" s="18"/>
      <c r="FE231" s="18"/>
      <c r="FF231" s="18"/>
      <c r="FG231" s="18"/>
      <c r="FH231" s="18"/>
      <c r="FI231" s="18"/>
      <c r="FJ231" s="18"/>
      <c r="FK231" s="18"/>
      <c r="FL231" s="18"/>
      <c r="FM231" s="18"/>
      <c r="FN231" s="18"/>
      <c r="FO231" s="18"/>
      <c r="FP231" s="18"/>
      <c r="FQ231" s="18"/>
      <c r="FR231" s="18"/>
      <c r="FS231" s="18"/>
      <c r="FT231" s="18"/>
      <c r="FU231" s="18"/>
      <c r="FV231" s="18"/>
      <c r="FW231" s="18"/>
      <c r="FX231" s="18"/>
      <c r="FY231" s="18"/>
      <c r="FZ231" s="18"/>
      <c r="GA231" s="18"/>
      <c r="GB231" s="18"/>
      <c r="GC231" s="18"/>
      <c r="GD231" s="18"/>
      <c r="GE231" s="18"/>
      <c r="GF231" s="18"/>
      <c r="GG231" s="18"/>
      <c r="GH231" s="18"/>
      <c r="GI231" s="18"/>
      <c r="GJ231" s="18"/>
      <c r="GK231" s="18"/>
      <c r="GL231" s="18"/>
      <c r="GM231" s="18"/>
      <c r="GN231" s="18"/>
      <c r="GO231" s="18"/>
      <c r="GP231" s="18"/>
      <c r="GQ231" s="18"/>
      <c r="GR231" s="18"/>
      <c r="GS231" s="18"/>
      <c r="GT231" s="18"/>
      <c r="GU231" s="18"/>
      <c r="GV231" s="18"/>
      <c r="GW231" s="18"/>
      <c r="GX231" s="18"/>
      <c r="GY231" s="18"/>
      <c r="GZ231" s="18"/>
      <c r="HA231" s="18"/>
      <c r="HB231" s="18"/>
      <c r="HC231" s="18"/>
      <c r="HD231" s="18"/>
      <c r="HE231" s="18"/>
      <c r="HF231" s="18"/>
      <c r="HG231" s="18"/>
      <c r="HH231" s="18"/>
      <c r="HI231" s="18"/>
      <c r="HJ231" s="18"/>
      <c r="HK231" s="18"/>
      <c r="HL231" s="18"/>
      <c r="HM231" s="18"/>
      <c r="HN231" s="18"/>
      <c r="HO231" s="18"/>
      <c r="HP231" s="18"/>
      <c r="HQ231" s="18"/>
      <c r="HR231" s="18"/>
      <c r="HS231" s="18"/>
      <c r="HT231" s="18"/>
      <c r="HU231" s="18"/>
      <c r="HV231" s="18"/>
      <c r="HW231" s="18"/>
      <c r="HX231" s="18"/>
      <c r="HY231" s="18"/>
      <c r="HZ231" s="18"/>
      <c r="IA231" s="18"/>
      <c r="IB231" s="18"/>
      <c r="IC231" s="18"/>
      <c r="ID231" s="18"/>
      <c r="IE231" s="18"/>
      <c r="IF231" s="18"/>
      <c r="IG231" s="18"/>
      <c r="IH231" s="18"/>
      <c r="II231" s="18"/>
      <c r="IJ231" s="18"/>
      <c r="IK231" s="18"/>
      <c r="IL231" s="18"/>
      <c r="IM231" s="18"/>
      <c r="IN231" s="18"/>
      <c r="IO231" s="18"/>
      <c r="IP231" s="18"/>
      <c r="IQ231" s="18"/>
      <c r="IR231" s="18"/>
    </row>
    <row r="232" spans="1:252" s="349" customFormat="1" ht="15.75">
      <c r="A232" s="230" t="s">
        <v>225</v>
      </c>
      <c r="B232" s="1008" t="s">
        <v>266</v>
      </c>
      <c r="C232" s="37"/>
      <c r="D232" s="37"/>
      <c r="E232" s="37"/>
      <c r="F232" s="245"/>
      <c r="G232" s="869"/>
      <c r="H232" s="38"/>
      <c r="I232" s="38"/>
      <c r="J232" s="38"/>
      <c r="K232" s="38"/>
      <c r="L232" s="38"/>
      <c r="M232" s="229"/>
      <c r="N232" s="18"/>
      <c r="O232" s="18"/>
      <c r="P232" s="2254"/>
      <c r="Q232" s="18"/>
      <c r="R232" s="18"/>
      <c r="S232" s="18"/>
      <c r="T232" s="18"/>
      <c r="U232" s="18"/>
      <c r="V232" s="18"/>
      <c r="W232" s="18"/>
      <c r="X232" s="18"/>
      <c r="Y232" s="18"/>
      <c r="Z232" s="18"/>
      <c r="AA232" s="18"/>
      <c r="AB232" s="18"/>
      <c r="AC232" s="18"/>
      <c r="AD232" s="18"/>
      <c r="AE232" s="18"/>
      <c r="AF232" s="18"/>
      <c r="AG232" s="18"/>
      <c r="AH232" s="18"/>
      <c r="AI232" s="18"/>
      <c r="AJ232" s="18"/>
      <c r="AK232" s="18"/>
      <c r="AL232" s="18"/>
      <c r="AM232" s="18"/>
      <c r="AN232" s="18"/>
      <c r="AO232" s="18"/>
      <c r="AP232" s="18"/>
      <c r="AQ232" s="18"/>
      <c r="AR232" s="18"/>
      <c r="AS232" s="18"/>
      <c r="AT232" s="18"/>
      <c r="AU232" s="18"/>
      <c r="AV232" s="18"/>
      <c r="AW232" s="18"/>
      <c r="AX232" s="18"/>
      <c r="AY232" s="18"/>
      <c r="AZ232" s="18"/>
      <c r="BA232" s="18"/>
      <c r="BB232" s="18"/>
      <c r="BC232" s="18"/>
      <c r="BD232" s="18"/>
      <c r="BE232" s="18"/>
      <c r="BF232" s="18"/>
      <c r="BG232" s="18"/>
      <c r="BH232" s="18"/>
      <c r="BI232" s="18"/>
      <c r="BJ232" s="18"/>
      <c r="BK232" s="18"/>
      <c r="BL232" s="18"/>
      <c r="BM232" s="18"/>
      <c r="BN232" s="18"/>
      <c r="BO232" s="18"/>
      <c r="BP232" s="18"/>
      <c r="BQ232" s="18"/>
      <c r="BR232" s="18"/>
      <c r="BS232" s="18"/>
      <c r="BT232" s="18"/>
      <c r="BU232" s="18"/>
      <c r="BV232" s="18"/>
      <c r="BW232" s="18"/>
      <c r="BX232" s="18"/>
      <c r="BY232" s="18"/>
      <c r="BZ232" s="18"/>
      <c r="CA232" s="18"/>
      <c r="CB232" s="18"/>
      <c r="CC232" s="18"/>
      <c r="CD232" s="18"/>
      <c r="CE232" s="18"/>
      <c r="CF232" s="18"/>
      <c r="CG232" s="18"/>
      <c r="CH232" s="18"/>
      <c r="CI232" s="18"/>
      <c r="CJ232" s="18"/>
      <c r="CK232" s="18"/>
      <c r="CL232" s="18"/>
      <c r="CM232" s="18"/>
      <c r="CN232" s="18"/>
      <c r="CO232" s="18"/>
      <c r="CP232" s="18"/>
      <c r="CQ232" s="18"/>
      <c r="CR232" s="18"/>
      <c r="CS232" s="18"/>
      <c r="CT232" s="18"/>
      <c r="CU232" s="18"/>
      <c r="CV232" s="18"/>
      <c r="CW232" s="18"/>
      <c r="CX232" s="18"/>
      <c r="CY232" s="18"/>
      <c r="CZ232" s="18"/>
      <c r="DA232" s="18"/>
      <c r="DB232" s="18"/>
      <c r="DC232" s="18"/>
      <c r="DD232" s="18"/>
      <c r="DE232" s="18"/>
      <c r="DF232" s="18"/>
      <c r="DG232" s="18"/>
      <c r="DH232" s="18"/>
      <c r="DI232" s="18"/>
      <c r="DJ232" s="18"/>
      <c r="DK232" s="18"/>
      <c r="DL232" s="18"/>
      <c r="DM232" s="18"/>
      <c r="DN232" s="18"/>
      <c r="DO232" s="18"/>
      <c r="DP232" s="18"/>
      <c r="DQ232" s="18"/>
      <c r="DR232" s="18"/>
      <c r="DS232" s="18"/>
      <c r="DT232" s="18"/>
      <c r="DU232" s="18"/>
      <c r="DV232" s="18"/>
      <c r="DW232" s="18"/>
      <c r="DX232" s="18"/>
      <c r="DY232" s="18"/>
      <c r="DZ232" s="18"/>
      <c r="EA232" s="18"/>
      <c r="EB232" s="18"/>
      <c r="EC232" s="18"/>
      <c r="ED232" s="18"/>
      <c r="EE232" s="18"/>
      <c r="EF232" s="18"/>
      <c r="EG232" s="18"/>
      <c r="EH232" s="18"/>
      <c r="EI232" s="18"/>
      <c r="EJ232" s="18"/>
      <c r="EK232" s="18"/>
      <c r="EL232" s="18"/>
      <c r="EM232" s="18"/>
      <c r="EN232" s="18"/>
      <c r="EO232" s="18"/>
      <c r="EP232" s="18"/>
      <c r="EQ232" s="18"/>
      <c r="ER232" s="18"/>
      <c r="ES232" s="18"/>
      <c r="ET232" s="18"/>
      <c r="EU232" s="18"/>
      <c r="EV232" s="18"/>
      <c r="EW232" s="18"/>
      <c r="EX232" s="18"/>
      <c r="EY232" s="18"/>
      <c r="EZ232" s="18"/>
      <c r="FA232" s="18"/>
      <c r="FB232" s="18"/>
      <c r="FC232" s="18"/>
      <c r="FD232" s="18"/>
      <c r="FE232" s="18"/>
      <c r="FF232" s="18"/>
      <c r="FG232" s="18"/>
      <c r="FH232" s="18"/>
      <c r="FI232" s="18"/>
      <c r="FJ232" s="18"/>
      <c r="FK232" s="18"/>
      <c r="FL232" s="18"/>
      <c r="FM232" s="18"/>
      <c r="FN232" s="18"/>
      <c r="FO232" s="18"/>
      <c r="FP232" s="18"/>
      <c r="FQ232" s="18"/>
      <c r="FR232" s="18"/>
      <c r="FS232" s="18"/>
      <c r="FT232" s="18"/>
      <c r="FU232" s="18"/>
      <c r="FV232" s="18"/>
      <c r="FW232" s="18"/>
      <c r="FX232" s="18"/>
      <c r="FY232" s="18"/>
      <c r="FZ232" s="18"/>
      <c r="GA232" s="18"/>
      <c r="GB232" s="18"/>
      <c r="GC232" s="18"/>
      <c r="GD232" s="18"/>
      <c r="GE232" s="18"/>
      <c r="GF232" s="18"/>
      <c r="GG232" s="18"/>
      <c r="GH232" s="18"/>
      <c r="GI232" s="18"/>
      <c r="GJ232" s="18"/>
      <c r="GK232" s="18"/>
      <c r="GL232" s="18"/>
      <c r="GM232" s="18"/>
      <c r="GN232" s="18"/>
      <c r="GO232" s="18"/>
      <c r="GP232" s="18"/>
      <c r="GQ232" s="18"/>
      <c r="GR232" s="18"/>
      <c r="GS232" s="18"/>
      <c r="GT232" s="18"/>
      <c r="GU232" s="18"/>
      <c r="GV232" s="18"/>
      <c r="GW232" s="18"/>
      <c r="GX232" s="18"/>
      <c r="GY232" s="18"/>
      <c r="GZ232" s="18"/>
      <c r="HA232" s="18"/>
      <c r="HB232" s="18"/>
      <c r="HC232" s="18"/>
      <c r="HD232" s="18"/>
      <c r="HE232" s="18"/>
      <c r="HF232" s="18"/>
      <c r="HG232" s="18"/>
      <c r="HH232" s="18"/>
      <c r="HI232" s="18"/>
      <c r="HJ232" s="18"/>
      <c r="HK232" s="18"/>
      <c r="HL232" s="18"/>
      <c r="HM232" s="18"/>
      <c r="HN232" s="18"/>
      <c r="HO232" s="18"/>
      <c r="HP232" s="18"/>
      <c r="HQ232" s="18"/>
      <c r="HR232" s="18"/>
      <c r="HS232" s="18"/>
      <c r="HT232" s="18"/>
      <c r="HU232" s="18"/>
      <c r="HV232" s="18"/>
      <c r="HW232" s="18"/>
      <c r="HX232" s="18"/>
      <c r="HY232" s="18"/>
      <c r="HZ232" s="18"/>
      <c r="IA232" s="18"/>
      <c r="IB232" s="18"/>
      <c r="IC232" s="18"/>
      <c r="ID232" s="18"/>
      <c r="IE232" s="18"/>
      <c r="IF232" s="18"/>
      <c r="IG232" s="18"/>
      <c r="IH232" s="18"/>
      <c r="II232" s="18"/>
      <c r="IJ232" s="18"/>
      <c r="IK232" s="18"/>
      <c r="IL232" s="18"/>
      <c r="IM232" s="18"/>
      <c r="IN232" s="18"/>
      <c r="IO232" s="18"/>
      <c r="IP232" s="18"/>
      <c r="IQ232" s="18"/>
      <c r="IR232" s="18"/>
    </row>
    <row r="233" spans="1:252" s="349" customFormat="1">
      <c r="A233" s="230">
        <f>+'Appendix A'!A227</f>
        <v>129</v>
      </c>
      <c r="B233" s="883"/>
      <c r="C233" s="332" t="str">
        <f>+'Appendix A'!C227</f>
        <v>SIT = State Income Tax Rate or Composite</v>
      </c>
      <c r="D233" s="23"/>
      <c r="E233" s="883" t="str">
        <f>'Appendix A'!E227</f>
        <v>(Note G)</v>
      </c>
      <c r="F233" s="23"/>
      <c r="G233" s="241"/>
      <c r="H233" s="1097">
        <f>Inputs!E92</f>
        <v>4.5400000000000003E-2</v>
      </c>
      <c r="I233" s="843" t="s">
        <v>1037</v>
      </c>
      <c r="J233" s="103"/>
      <c r="K233" s="38"/>
      <c r="L233" s="426"/>
      <c r="M233" s="853"/>
      <c r="N233" s="18"/>
      <c r="O233" s="18"/>
      <c r="P233" s="2254"/>
      <c r="Q233" s="18"/>
      <c r="R233" s="18"/>
      <c r="S233" s="18"/>
      <c r="T233" s="18"/>
      <c r="U233" s="18"/>
      <c r="V233" s="18"/>
      <c r="W233" s="18"/>
      <c r="X233" s="18"/>
      <c r="Y233" s="18"/>
      <c r="Z233" s="18"/>
      <c r="AA233" s="18"/>
      <c r="AB233" s="18"/>
      <c r="AC233" s="18"/>
      <c r="AD233" s="18"/>
      <c r="AE233" s="18"/>
      <c r="AF233" s="18"/>
      <c r="AG233" s="18"/>
      <c r="AH233" s="18"/>
      <c r="AI233" s="18"/>
      <c r="AJ233" s="18"/>
      <c r="AK233" s="18"/>
      <c r="AL233" s="18"/>
      <c r="AM233" s="18"/>
      <c r="AN233" s="18"/>
      <c r="AO233" s="18"/>
      <c r="AP233" s="18"/>
      <c r="AQ233" s="18"/>
      <c r="AR233" s="18"/>
      <c r="AS233" s="18"/>
      <c r="AT233" s="18"/>
      <c r="AU233" s="18"/>
      <c r="AV233" s="18"/>
      <c r="AW233" s="18"/>
      <c r="AX233" s="18"/>
      <c r="AY233" s="18"/>
      <c r="AZ233" s="18"/>
      <c r="BA233" s="18"/>
      <c r="BB233" s="18"/>
      <c r="BC233" s="18"/>
      <c r="BD233" s="18"/>
      <c r="BE233" s="18"/>
      <c r="BF233" s="18"/>
      <c r="BG233" s="18"/>
      <c r="BH233" s="18"/>
      <c r="BI233" s="18"/>
      <c r="BJ233" s="18"/>
      <c r="BK233" s="18"/>
      <c r="BL233" s="18"/>
      <c r="BM233" s="18"/>
      <c r="BN233" s="18"/>
      <c r="BO233" s="18"/>
      <c r="BP233" s="18"/>
      <c r="BQ233" s="18"/>
      <c r="BR233" s="18"/>
      <c r="BS233" s="18"/>
      <c r="BT233" s="18"/>
      <c r="BU233" s="18"/>
      <c r="BV233" s="18"/>
      <c r="BW233" s="18"/>
      <c r="BX233" s="18"/>
      <c r="BY233" s="18"/>
      <c r="BZ233" s="18"/>
      <c r="CA233" s="18"/>
      <c r="CB233" s="18"/>
      <c r="CC233" s="18"/>
      <c r="CD233" s="18"/>
      <c r="CE233" s="18"/>
      <c r="CF233" s="18"/>
      <c r="CG233" s="18"/>
      <c r="CH233" s="18"/>
      <c r="CI233" s="18"/>
      <c r="CJ233" s="18"/>
      <c r="CK233" s="18"/>
      <c r="CL233" s="18"/>
      <c r="CM233" s="18"/>
      <c r="CN233" s="18"/>
      <c r="CO233" s="18"/>
      <c r="CP233" s="18"/>
      <c r="CQ233" s="18"/>
      <c r="CR233" s="18"/>
      <c r="CS233" s="18"/>
      <c r="CT233" s="18"/>
      <c r="CU233" s="18"/>
      <c r="CV233" s="18"/>
      <c r="CW233" s="18"/>
      <c r="CX233" s="18"/>
      <c r="CY233" s="18"/>
      <c r="CZ233" s="18"/>
      <c r="DA233" s="18"/>
      <c r="DB233" s="18"/>
      <c r="DC233" s="18"/>
      <c r="DD233" s="18"/>
      <c r="DE233" s="18"/>
      <c r="DF233" s="18"/>
      <c r="DG233" s="18"/>
      <c r="DH233" s="18"/>
      <c r="DI233" s="18"/>
      <c r="DJ233" s="18"/>
      <c r="DK233" s="18"/>
      <c r="DL233" s="18"/>
      <c r="DM233" s="18"/>
      <c r="DN233" s="18"/>
      <c r="DO233" s="18"/>
      <c r="DP233" s="18"/>
      <c r="DQ233" s="18"/>
      <c r="DR233" s="18"/>
      <c r="DS233" s="18"/>
      <c r="DT233" s="18"/>
      <c r="DU233" s="18"/>
      <c r="DV233" s="18"/>
      <c r="DW233" s="18"/>
      <c r="DX233" s="18"/>
      <c r="DY233" s="18"/>
      <c r="DZ233" s="18"/>
      <c r="EA233" s="18"/>
      <c r="EB233" s="18"/>
      <c r="EC233" s="18"/>
      <c r="ED233" s="18"/>
      <c r="EE233" s="18"/>
      <c r="EF233" s="18"/>
      <c r="EG233" s="18"/>
      <c r="EH233" s="18"/>
      <c r="EI233" s="18"/>
      <c r="EJ233" s="18"/>
      <c r="EK233" s="18"/>
      <c r="EL233" s="18"/>
      <c r="EM233" s="18"/>
      <c r="EN233" s="18"/>
      <c r="EO233" s="18"/>
      <c r="EP233" s="18"/>
      <c r="EQ233" s="18"/>
      <c r="ER233" s="18"/>
      <c r="ES233" s="18"/>
      <c r="ET233" s="18"/>
      <c r="EU233" s="18"/>
      <c r="EV233" s="18"/>
      <c r="EW233" s="18"/>
      <c r="EX233" s="18"/>
      <c r="EY233" s="18"/>
      <c r="EZ233" s="18"/>
      <c r="FA233" s="18"/>
      <c r="FB233" s="18"/>
      <c r="FC233" s="18"/>
      <c r="FD233" s="18"/>
      <c r="FE233" s="18"/>
      <c r="FF233" s="18"/>
      <c r="FG233" s="18"/>
      <c r="FH233" s="18"/>
      <c r="FI233" s="18"/>
      <c r="FJ233" s="18"/>
      <c r="FK233" s="18"/>
      <c r="FL233" s="18"/>
      <c r="FM233" s="18"/>
      <c r="FN233" s="18"/>
      <c r="FO233" s="18"/>
      <c r="FP233" s="18"/>
      <c r="FQ233" s="18"/>
      <c r="FR233" s="18"/>
      <c r="FS233" s="18"/>
      <c r="FT233" s="18"/>
      <c r="FU233" s="18"/>
      <c r="FV233" s="18"/>
      <c r="FW233" s="18"/>
      <c r="FX233" s="18"/>
      <c r="FY233" s="18"/>
      <c r="FZ233" s="18"/>
      <c r="GA233" s="18"/>
      <c r="GB233" s="18"/>
      <c r="GC233" s="18"/>
      <c r="GD233" s="18"/>
      <c r="GE233" s="18"/>
      <c r="GF233" s="18"/>
      <c r="GG233" s="18"/>
      <c r="GH233" s="18"/>
      <c r="GI233" s="18"/>
      <c r="GJ233" s="18"/>
      <c r="GK233" s="18"/>
      <c r="GL233" s="18"/>
      <c r="GM233" s="18"/>
      <c r="GN233" s="18"/>
      <c r="GO233" s="18"/>
      <c r="GP233" s="18"/>
      <c r="GQ233" s="18"/>
      <c r="GR233" s="18"/>
      <c r="GS233" s="18"/>
      <c r="GT233" s="18"/>
      <c r="GU233" s="18"/>
      <c r="GV233" s="18"/>
      <c r="GW233" s="18"/>
      <c r="GX233" s="18"/>
      <c r="GY233" s="18"/>
      <c r="GZ233" s="18"/>
      <c r="HA233" s="18"/>
      <c r="HB233" s="18"/>
      <c r="HC233" s="18"/>
      <c r="HD233" s="18"/>
      <c r="HE233" s="18"/>
      <c r="HF233" s="18"/>
      <c r="HG233" s="18"/>
      <c r="HH233" s="18"/>
      <c r="HI233" s="18"/>
      <c r="HJ233" s="18"/>
      <c r="HK233" s="18"/>
      <c r="HL233" s="18"/>
      <c r="HM233" s="18"/>
      <c r="HN233" s="18"/>
      <c r="HO233" s="18"/>
      <c r="HP233" s="18"/>
      <c r="HQ233" s="18"/>
      <c r="HR233" s="18"/>
      <c r="HS233" s="18"/>
      <c r="HT233" s="18"/>
      <c r="HU233" s="18"/>
      <c r="HV233" s="18"/>
      <c r="HW233" s="18"/>
      <c r="HX233" s="18"/>
      <c r="HY233" s="18"/>
      <c r="HZ233" s="18"/>
      <c r="IA233" s="18"/>
      <c r="IB233" s="18"/>
      <c r="IC233" s="18"/>
      <c r="ID233" s="18"/>
      <c r="IE233" s="18"/>
      <c r="IF233" s="18"/>
      <c r="IG233" s="18"/>
      <c r="IH233" s="18"/>
      <c r="II233" s="18"/>
      <c r="IJ233" s="18"/>
      <c r="IK233" s="18"/>
      <c r="IL233" s="18"/>
      <c r="IM233" s="18"/>
      <c r="IN233" s="18"/>
      <c r="IO233" s="18"/>
      <c r="IP233" s="18"/>
      <c r="IQ233" s="18"/>
      <c r="IR233" s="18"/>
    </row>
    <row r="234" spans="1:252" s="349" customFormat="1" ht="15.75" thickBot="1">
      <c r="A234" s="1009"/>
      <c r="B234" s="877"/>
      <c r="C234" s="877"/>
      <c r="D234" s="877"/>
      <c r="E234" s="877"/>
      <c r="F234" s="877"/>
      <c r="G234" s="272"/>
      <c r="H234" s="872"/>
      <c r="I234" s="872"/>
      <c r="J234" s="872"/>
      <c r="K234" s="872"/>
      <c r="L234" s="872"/>
      <c r="M234" s="261"/>
      <c r="N234" s="18"/>
      <c r="O234" s="18"/>
      <c r="P234" s="2254"/>
      <c r="Q234" s="18"/>
      <c r="R234" s="18"/>
      <c r="S234" s="18"/>
      <c r="T234" s="18"/>
      <c r="U234" s="18"/>
      <c r="V234" s="18"/>
      <c r="W234" s="18"/>
      <c r="X234" s="18"/>
      <c r="Y234" s="18"/>
      <c r="Z234" s="18"/>
      <c r="AA234" s="18"/>
      <c r="AB234" s="18"/>
      <c r="AC234" s="18"/>
      <c r="AD234" s="18"/>
      <c r="AE234" s="18"/>
      <c r="AF234" s="18"/>
      <c r="AG234" s="18"/>
      <c r="AH234" s="18"/>
      <c r="AI234" s="18"/>
      <c r="AJ234" s="18"/>
      <c r="AK234" s="18"/>
      <c r="AL234" s="18"/>
      <c r="AM234" s="18"/>
      <c r="AN234" s="18"/>
      <c r="AO234" s="18"/>
      <c r="AP234" s="18"/>
      <c r="AQ234" s="18"/>
      <c r="AR234" s="18"/>
      <c r="AS234" s="18"/>
      <c r="AT234" s="18"/>
      <c r="AU234" s="18"/>
      <c r="AV234" s="18"/>
      <c r="AW234" s="18"/>
      <c r="AX234" s="18"/>
      <c r="AY234" s="18"/>
      <c r="AZ234" s="18"/>
      <c r="BA234" s="18"/>
      <c r="BB234" s="18"/>
      <c r="BC234" s="18"/>
      <c r="BD234" s="18"/>
      <c r="BE234" s="18"/>
      <c r="BF234" s="18"/>
      <c r="BG234" s="18"/>
      <c r="BH234" s="18"/>
      <c r="BI234" s="18"/>
      <c r="BJ234" s="18"/>
      <c r="BK234" s="18"/>
      <c r="BL234" s="18"/>
      <c r="BM234" s="18"/>
      <c r="BN234" s="18"/>
      <c r="BO234" s="18"/>
      <c r="BP234" s="18"/>
      <c r="BQ234" s="18"/>
      <c r="BR234" s="18"/>
      <c r="BS234" s="18"/>
      <c r="BT234" s="18"/>
      <c r="BU234" s="18"/>
      <c r="BV234" s="18"/>
      <c r="BW234" s="18"/>
      <c r="BX234" s="18"/>
      <c r="BY234" s="18"/>
      <c r="BZ234" s="18"/>
      <c r="CA234" s="18"/>
      <c r="CB234" s="18"/>
      <c r="CC234" s="18"/>
      <c r="CD234" s="18"/>
      <c r="CE234" s="18"/>
      <c r="CF234" s="18"/>
      <c r="CG234" s="18"/>
      <c r="CH234" s="18"/>
      <c r="CI234" s="18"/>
      <c r="CJ234" s="18"/>
      <c r="CK234" s="18"/>
      <c r="CL234" s="18"/>
      <c r="CM234" s="18"/>
      <c r="CN234" s="18"/>
      <c r="CO234" s="18"/>
      <c r="CP234" s="18"/>
      <c r="CQ234" s="18"/>
      <c r="CR234" s="18"/>
      <c r="CS234" s="18"/>
      <c r="CT234" s="18"/>
      <c r="CU234" s="18"/>
      <c r="CV234" s="18"/>
      <c r="CW234" s="18"/>
      <c r="CX234" s="18"/>
      <c r="CY234" s="18"/>
      <c r="CZ234" s="18"/>
      <c r="DA234" s="18"/>
      <c r="DB234" s="18"/>
      <c r="DC234" s="18"/>
      <c r="DD234" s="18"/>
      <c r="DE234" s="18"/>
      <c r="DF234" s="18"/>
      <c r="DG234" s="18"/>
      <c r="DH234" s="18"/>
      <c r="DI234" s="18"/>
      <c r="DJ234" s="18"/>
      <c r="DK234" s="18"/>
      <c r="DL234" s="18"/>
      <c r="DM234" s="18"/>
      <c r="DN234" s="18"/>
      <c r="DO234" s="18"/>
      <c r="DP234" s="18"/>
      <c r="DQ234" s="18"/>
      <c r="DR234" s="18"/>
      <c r="DS234" s="18"/>
      <c r="DT234" s="18"/>
      <c r="DU234" s="18"/>
      <c r="DV234" s="18"/>
      <c r="DW234" s="18"/>
      <c r="DX234" s="18"/>
      <c r="DY234" s="18"/>
      <c r="DZ234" s="18"/>
      <c r="EA234" s="18"/>
      <c r="EB234" s="18"/>
      <c r="EC234" s="18"/>
      <c r="ED234" s="18"/>
      <c r="EE234" s="18"/>
      <c r="EF234" s="18"/>
      <c r="EG234" s="18"/>
      <c r="EH234" s="18"/>
      <c r="EI234" s="18"/>
      <c r="EJ234" s="18"/>
      <c r="EK234" s="18"/>
      <c r="EL234" s="18"/>
      <c r="EM234" s="18"/>
      <c r="EN234" s="18"/>
      <c r="EO234" s="18"/>
      <c r="EP234" s="18"/>
      <c r="EQ234" s="18"/>
      <c r="ER234" s="18"/>
      <c r="ES234" s="18"/>
      <c r="ET234" s="18"/>
      <c r="EU234" s="18"/>
      <c r="EV234" s="18"/>
      <c r="EW234" s="18"/>
      <c r="EX234" s="18"/>
      <c r="EY234" s="18"/>
      <c r="EZ234" s="18"/>
      <c r="FA234" s="18"/>
      <c r="FB234" s="18"/>
      <c r="FC234" s="18"/>
      <c r="FD234" s="18"/>
      <c r="FE234" s="18"/>
      <c r="FF234" s="18"/>
      <c r="FG234" s="18"/>
      <c r="FH234" s="18"/>
      <c r="FI234" s="18"/>
      <c r="FJ234" s="18"/>
      <c r="FK234" s="18"/>
      <c r="FL234" s="18"/>
      <c r="FM234" s="18"/>
      <c r="FN234" s="18"/>
      <c r="FO234" s="18"/>
      <c r="FP234" s="18"/>
      <c r="FQ234" s="18"/>
      <c r="FR234" s="18"/>
      <c r="FS234" s="18"/>
      <c r="FT234" s="18"/>
      <c r="FU234" s="18"/>
      <c r="FV234" s="18"/>
      <c r="FW234" s="18"/>
      <c r="FX234" s="18"/>
      <c r="FY234" s="18"/>
      <c r="FZ234" s="18"/>
      <c r="GA234" s="18"/>
      <c r="GB234" s="18"/>
      <c r="GC234" s="18"/>
      <c r="GD234" s="18"/>
      <c r="GE234" s="18"/>
      <c r="GF234" s="18"/>
      <c r="GG234" s="18"/>
      <c r="GH234" s="18"/>
      <c r="GI234" s="18"/>
      <c r="GJ234" s="18"/>
      <c r="GK234" s="18"/>
      <c r="GL234" s="18"/>
      <c r="GM234" s="18"/>
      <c r="GN234" s="18"/>
      <c r="GO234" s="18"/>
      <c r="GP234" s="18"/>
      <c r="GQ234" s="18"/>
      <c r="GR234" s="18"/>
      <c r="GS234" s="18"/>
      <c r="GT234" s="18"/>
      <c r="GU234" s="18"/>
      <c r="GV234" s="18"/>
      <c r="GW234" s="18"/>
      <c r="GX234" s="18"/>
      <c r="GY234" s="18"/>
      <c r="GZ234" s="18"/>
      <c r="HA234" s="18"/>
      <c r="HB234" s="18"/>
      <c r="HC234" s="18"/>
      <c r="HD234" s="18"/>
      <c r="HE234" s="18"/>
      <c r="HF234" s="18"/>
      <c r="HG234" s="18"/>
      <c r="HH234" s="18"/>
      <c r="HI234" s="18"/>
      <c r="HJ234" s="18"/>
      <c r="HK234" s="18"/>
      <c r="HL234" s="18"/>
      <c r="HM234" s="18"/>
      <c r="HN234" s="18"/>
      <c r="HO234" s="18"/>
      <c r="HP234" s="18"/>
      <c r="HQ234" s="18"/>
      <c r="HR234" s="18"/>
      <c r="HS234" s="18"/>
      <c r="HT234" s="18"/>
      <c r="HU234" s="18"/>
      <c r="HV234" s="18"/>
      <c r="HW234" s="18"/>
      <c r="HX234" s="18"/>
      <c r="HY234" s="18"/>
      <c r="HZ234" s="18"/>
      <c r="IA234" s="18"/>
      <c r="IB234" s="18"/>
      <c r="IC234" s="18"/>
      <c r="ID234" s="18"/>
      <c r="IE234" s="18"/>
      <c r="IF234" s="18"/>
      <c r="IG234" s="18"/>
      <c r="IH234" s="18"/>
      <c r="II234" s="18"/>
      <c r="IJ234" s="18"/>
      <c r="IK234" s="18"/>
      <c r="IL234" s="18"/>
      <c r="IM234" s="18"/>
      <c r="IN234" s="18"/>
      <c r="IO234" s="18"/>
      <c r="IP234" s="18"/>
      <c r="IQ234" s="18"/>
      <c r="IR234" s="18"/>
    </row>
    <row r="235" spans="1:252">
      <c r="B235" s="23"/>
      <c r="C235" s="23"/>
      <c r="D235" s="23"/>
      <c r="E235" s="23"/>
      <c r="F235" s="23"/>
      <c r="G235" s="23"/>
      <c r="H235" s="23"/>
      <c r="I235" s="23"/>
      <c r="J235" s="23"/>
      <c r="K235" s="23"/>
      <c r="L235" s="23"/>
      <c r="M235" s="23"/>
    </row>
    <row r="236" spans="1:252" s="349" customFormat="1">
      <c r="A236" s="23"/>
      <c r="N236" s="18"/>
      <c r="O236" s="18"/>
      <c r="P236" s="2254"/>
      <c r="Q236" s="18"/>
      <c r="R236" s="18"/>
      <c r="S236" s="18"/>
      <c r="T236" s="18"/>
      <c r="U236" s="18"/>
      <c r="V236" s="18"/>
      <c r="W236" s="18"/>
      <c r="X236" s="18"/>
      <c r="Y236" s="18"/>
      <c r="Z236" s="18"/>
      <c r="AA236" s="18"/>
      <c r="AB236" s="18"/>
      <c r="AC236" s="18"/>
      <c r="AD236" s="18"/>
      <c r="AE236" s="18"/>
      <c r="AF236" s="18"/>
      <c r="AG236" s="18"/>
      <c r="AH236" s="18"/>
      <c r="AI236" s="18"/>
      <c r="AJ236" s="18"/>
      <c r="AK236" s="18"/>
      <c r="AL236" s="18"/>
      <c r="AM236" s="18"/>
      <c r="AN236" s="18"/>
      <c r="AO236" s="18"/>
      <c r="AP236" s="18"/>
      <c r="AQ236" s="18"/>
      <c r="AR236" s="18"/>
      <c r="AS236" s="18"/>
      <c r="AT236" s="18"/>
      <c r="AU236" s="18"/>
      <c r="AV236" s="18"/>
      <c r="AW236" s="18"/>
      <c r="AX236" s="18"/>
      <c r="AY236" s="18"/>
      <c r="AZ236" s="18"/>
      <c r="BA236" s="18"/>
      <c r="BB236" s="18"/>
      <c r="BC236" s="18"/>
      <c r="BD236" s="18"/>
      <c r="BE236" s="18"/>
      <c r="BF236" s="18"/>
      <c r="BG236" s="18"/>
      <c r="BH236" s="18"/>
      <c r="BI236" s="18"/>
      <c r="BJ236" s="18"/>
      <c r="BK236" s="18"/>
      <c r="BL236" s="18"/>
      <c r="BM236" s="18"/>
      <c r="BN236" s="18"/>
      <c r="BO236" s="18"/>
      <c r="BP236" s="18"/>
      <c r="BQ236" s="18"/>
      <c r="BR236" s="18"/>
      <c r="BS236" s="18"/>
      <c r="BT236" s="18"/>
      <c r="BU236" s="18"/>
      <c r="BV236" s="18"/>
      <c r="BW236" s="18"/>
      <c r="BX236" s="18"/>
      <c r="BY236" s="18"/>
      <c r="BZ236" s="18"/>
      <c r="CA236" s="18"/>
      <c r="CB236" s="18"/>
      <c r="CC236" s="18"/>
      <c r="CD236" s="18"/>
      <c r="CE236" s="18"/>
      <c r="CF236" s="18"/>
      <c r="CG236" s="18"/>
      <c r="CH236" s="18"/>
      <c r="CI236" s="18"/>
      <c r="CJ236" s="18"/>
      <c r="CK236" s="18"/>
      <c r="CL236" s="18"/>
      <c r="CM236" s="18"/>
      <c r="CN236" s="18"/>
      <c r="CO236" s="18"/>
      <c r="CP236" s="18"/>
      <c r="CQ236" s="18"/>
      <c r="CR236" s="18"/>
      <c r="CS236" s="18"/>
      <c r="CT236" s="18"/>
      <c r="CU236" s="18"/>
      <c r="CV236" s="18"/>
      <c r="CW236" s="18"/>
      <c r="CX236" s="18"/>
      <c r="CY236" s="18"/>
      <c r="CZ236" s="18"/>
      <c r="DA236" s="18"/>
      <c r="DB236" s="18"/>
      <c r="DC236" s="18"/>
      <c r="DD236" s="18"/>
      <c r="DE236" s="18"/>
      <c r="DF236" s="18"/>
      <c r="DG236" s="18"/>
      <c r="DH236" s="18"/>
      <c r="DI236" s="18"/>
      <c r="DJ236" s="18"/>
      <c r="DK236" s="18"/>
      <c r="DL236" s="18"/>
      <c r="DM236" s="18"/>
      <c r="DN236" s="18"/>
      <c r="DO236" s="18"/>
      <c r="DP236" s="18"/>
      <c r="DQ236" s="18"/>
      <c r="DR236" s="18"/>
      <c r="DS236" s="18"/>
      <c r="DT236" s="18"/>
      <c r="DU236" s="18"/>
      <c r="DV236" s="18"/>
      <c r="DW236" s="18"/>
      <c r="DX236" s="18"/>
      <c r="DY236" s="18"/>
      <c r="DZ236" s="18"/>
      <c r="EA236" s="18"/>
      <c r="EB236" s="18"/>
      <c r="EC236" s="18"/>
      <c r="ED236" s="18"/>
      <c r="EE236" s="18"/>
      <c r="EF236" s="18"/>
      <c r="EG236" s="18"/>
      <c r="EH236" s="18"/>
      <c r="EI236" s="18"/>
      <c r="EJ236" s="18"/>
      <c r="EK236" s="18"/>
      <c r="EL236" s="18"/>
      <c r="EM236" s="18"/>
      <c r="EN236" s="18"/>
      <c r="EO236" s="18"/>
      <c r="EP236" s="18"/>
      <c r="EQ236" s="18"/>
      <c r="ER236" s="18"/>
      <c r="ES236" s="18"/>
      <c r="ET236" s="18"/>
      <c r="EU236" s="18"/>
      <c r="EV236" s="18"/>
      <c r="EW236" s="18"/>
      <c r="EX236" s="18"/>
      <c r="EY236" s="18"/>
      <c r="EZ236" s="18"/>
      <c r="FA236" s="18"/>
      <c r="FB236" s="18"/>
      <c r="FC236" s="18"/>
      <c r="FD236" s="18"/>
      <c r="FE236" s="18"/>
      <c r="FF236" s="18"/>
      <c r="FG236" s="18"/>
      <c r="FH236" s="18"/>
      <c r="FI236" s="18"/>
      <c r="FJ236" s="18"/>
      <c r="FK236" s="18"/>
      <c r="FL236" s="18"/>
      <c r="FM236" s="18"/>
      <c r="FN236" s="18"/>
      <c r="FO236" s="18"/>
      <c r="FP236" s="18"/>
      <c r="FQ236" s="18"/>
      <c r="FR236" s="18"/>
      <c r="FS236" s="18"/>
      <c r="FT236" s="18"/>
      <c r="FU236" s="18"/>
      <c r="FV236" s="18"/>
      <c r="FW236" s="18"/>
      <c r="FX236" s="18"/>
      <c r="FY236" s="18"/>
      <c r="FZ236" s="18"/>
      <c r="GA236" s="18"/>
      <c r="GB236" s="18"/>
      <c r="GC236" s="18"/>
      <c r="GD236" s="18"/>
      <c r="GE236" s="18"/>
      <c r="GF236" s="18"/>
      <c r="GG236" s="18"/>
      <c r="GH236" s="18"/>
      <c r="GI236" s="18"/>
      <c r="GJ236" s="18"/>
      <c r="GK236" s="18"/>
      <c r="GL236" s="18"/>
      <c r="GM236" s="18"/>
      <c r="GN236" s="18"/>
      <c r="GO236" s="18"/>
      <c r="GP236" s="18"/>
      <c r="GQ236" s="18"/>
      <c r="GR236" s="18"/>
      <c r="GS236" s="18"/>
      <c r="GT236" s="18"/>
      <c r="GU236" s="18"/>
      <c r="GV236" s="18"/>
      <c r="GW236" s="18"/>
      <c r="GX236" s="18"/>
      <c r="GY236" s="18"/>
      <c r="GZ236" s="18"/>
      <c r="HA236" s="18"/>
      <c r="HB236" s="18"/>
      <c r="HC236" s="18"/>
      <c r="HD236" s="18"/>
      <c r="HE236" s="18"/>
      <c r="HF236" s="18"/>
      <c r="HG236" s="18"/>
      <c r="HH236" s="18"/>
      <c r="HI236" s="18"/>
      <c r="HJ236" s="18"/>
      <c r="HK236" s="18"/>
      <c r="HL236" s="18"/>
      <c r="HM236" s="18"/>
      <c r="HN236" s="18"/>
      <c r="HO236" s="18"/>
      <c r="HP236" s="18"/>
      <c r="HQ236" s="18"/>
      <c r="HR236" s="18"/>
      <c r="HS236" s="18"/>
      <c r="HT236" s="18"/>
      <c r="HU236" s="18"/>
      <c r="HV236" s="18"/>
      <c r="HW236" s="18"/>
      <c r="HX236" s="18"/>
      <c r="HY236" s="18"/>
      <c r="HZ236" s="18"/>
      <c r="IA236" s="18"/>
      <c r="IB236" s="18"/>
      <c r="IC236" s="18"/>
      <c r="ID236" s="18"/>
      <c r="IE236" s="18"/>
      <c r="IF236" s="18"/>
      <c r="IG236" s="18"/>
      <c r="IH236" s="18"/>
      <c r="II236" s="18"/>
      <c r="IJ236" s="18"/>
      <c r="IK236" s="18"/>
      <c r="IL236" s="18"/>
      <c r="IM236" s="18"/>
      <c r="IN236" s="18"/>
      <c r="IO236" s="18"/>
      <c r="IP236" s="18"/>
      <c r="IQ236" s="18"/>
      <c r="IR236" s="18"/>
    </row>
    <row r="237" spans="1:252" s="349" customFormat="1" ht="16.5" thickBot="1">
      <c r="A237" s="856" t="s">
        <v>6</v>
      </c>
      <c r="B237" s="385"/>
      <c r="C237" s="385"/>
      <c r="D237" s="385"/>
      <c r="E237" s="883"/>
      <c r="F237" s="231"/>
      <c r="G237" s="385"/>
      <c r="H237" s="38"/>
      <c r="I237" s="38"/>
      <c r="J237" s="38"/>
      <c r="K237" s="38"/>
      <c r="L237" s="270"/>
      <c r="M237" s="38"/>
      <c r="O237" s="385"/>
      <c r="P237" s="2257"/>
      <c r="Q237" s="332"/>
      <c r="R237" s="385"/>
      <c r="S237" s="385"/>
      <c r="T237" s="385"/>
      <c r="U237" s="385"/>
      <c r="V237" s="385"/>
      <c r="W237" s="332"/>
      <c r="X237" s="385"/>
      <c r="Y237" s="385"/>
      <c r="Z237" s="385"/>
      <c r="AA237" s="385"/>
      <c r="AB237" s="385"/>
      <c r="AC237" s="332"/>
      <c r="AD237" s="385"/>
      <c r="AE237" s="385"/>
      <c r="AF237" s="385"/>
      <c r="AG237" s="385"/>
      <c r="AH237" s="385"/>
      <c r="AI237" s="332"/>
      <c r="AJ237" s="385"/>
      <c r="AK237" s="385"/>
      <c r="AL237" s="385"/>
      <c r="AM237" s="385"/>
      <c r="AN237" s="385"/>
      <c r="AO237" s="332"/>
      <c r="AP237" s="385"/>
      <c r="AQ237" s="385"/>
      <c r="AR237" s="385"/>
      <c r="AS237" s="385"/>
      <c r="AT237" s="385"/>
      <c r="AU237" s="332"/>
      <c r="AV237" s="385"/>
      <c r="AW237" s="385"/>
      <c r="AX237" s="385"/>
      <c r="AY237" s="385"/>
      <c r="AZ237" s="385"/>
      <c r="BA237" s="332"/>
      <c r="BB237" s="385"/>
      <c r="BC237" s="385"/>
      <c r="BD237" s="385"/>
      <c r="BE237" s="385"/>
      <c r="BF237" s="385"/>
      <c r="BG237" s="332"/>
      <c r="BH237" s="385"/>
      <c r="BI237" s="385"/>
      <c r="BJ237" s="385"/>
      <c r="BK237" s="385"/>
      <c r="BL237" s="385"/>
      <c r="BM237" s="332"/>
      <c r="BN237" s="385"/>
      <c r="BO237" s="385"/>
      <c r="BP237" s="385"/>
      <c r="BQ237" s="385"/>
      <c r="BR237" s="385"/>
      <c r="BS237" s="332"/>
      <c r="BT237" s="385"/>
      <c r="BU237" s="385"/>
      <c r="BV237" s="385"/>
      <c r="BW237" s="385"/>
      <c r="BX237" s="385"/>
      <c r="BY237" s="332"/>
      <c r="BZ237" s="385"/>
      <c r="CA237" s="385"/>
      <c r="CB237" s="385"/>
      <c r="CC237" s="385"/>
      <c r="CD237" s="385"/>
      <c r="CE237" s="332"/>
      <c r="CF237" s="385"/>
      <c r="CG237" s="385"/>
      <c r="CH237" s="385"/>
      <c r="CI237" s="385"/>
      <c r="CJ237" s="385"/>
      <c r="CK237" s="332"/>
      <c r="CL237" s="385"/>
      <c r="CM237" s="385"/>
      <c r="CN237" s="385"/>
      <c r="CO237" s="385"/>
      <c r="CP237" s="385"/>
      <c r="CQ237" s="332"/>
      <c r="CR237" s="385"/>
      <c r="CS237" s="385"/>
      <c r="CT237" s="385"/>
      <c r="CU237" s="385"/>
      <c r="CV237" s="385"/>
      <c r="CW237" s="332"/>
      <c r="CX237" s="385"/>
      <c r="CY237" s="385"/>
      <c r="CZ237" s="385"/>
      <c r="DA237" s="385"/>
      <c r="DB237" s="385"/>
      <c r="DC237" s="332"/>
      <c r="DD237" s="385"/>
      <c r="DE237" s="385"/>
      <c r="DF237" s="385"/>
      <c r="DG237" s="385"/>
      <c r="DH237" s="385"/>
      <c r="DI237" s="332"/>
      <c r="DJ237" s="385"/>
      <c r="DK237" s="385"/>
      <c r="DL237" s="385"/>
      <c r="DM237" s="385"/>
      <c r="DN237" s="385"/>
      <c r="DO237" s="332"/>
      <c r="DP237" s="385"/>
      <c r="DQ237" s="385"/>
      <c r="DR237" s="385"/>
      <c r="DS237" s="385"/>
      <c r="DT237" s="385"/>
      <c r="DU237" s="332"/>
      <c r="DV237" s="385"/>
      <c r="DW237" s="385"/>
      <c r="DX237" s="385"/>
      <c r="DY237" s="385"/>
      <c r="DZ237" s="385"/>
      <c r="EA237" s="332"/>
      <c r="EB237" s="385"/>
      <c r="EC237" s="385"/>
      <c r="ED237" s="385"/>
      <c r="EE237" s="385"/>
      <c r="EF237" s="385"/>
      <c r="EG237" s="332"/>
      <c r="EH237" s="385"/>
      <c r="EI237" s="385"/>
      <c r="EJ237" s="385"/>
      <c r="EK237" s="385"/>
      <c r="EL237" s="385"/>
      <c r="EM237" s="332"/>
      <c r="EN237" s="385"/>
      <c r="EO237" s="385"/>
      <c r="EP237" s="385"/>
      <c r="EQ237" s="385"/>
      <c r="ER237" s="385"/>
      <c r="ES237" s="332"/>
      <c r="ET237" s="385"/>
      <c r="EU237" s="385"/>
      <c r="EV237" s="385"/>
      <c r="EW237" s="385"/>
      <c r="EX237" s="385"/>
      <c r="EY237" s="332"/>
      <c r="EZ237" s="385"/>
      <c r="FA237" s="385"/>
      <c r="FB237" s="385"/>
      <c r="FC237" s="385"/>
      <c r="FD237" s="385"/>
      <c r="FE237" s="332"/>
      <c r="FF237" s="385"/>
      <c r="FG237" s="385"/>
      <c r="FH237" s="385"/>
      <c r="FI237" s="385"/>
      <c r="FJ237" s="385"/>
      <c r="FK237" s="332"/>
      <c r="FL237" s="385"/>
      <c r="FM237" s="385"/>
      <c r="FN237" s="385"/>
      <c r="FO237" s="385"/>
      <c r="FP237" s="385"/>
      <c r="FQ237" s="332"/>
      <c r="FR237" s="385"/>
      <c r="FS237" s="385"/>
      <c r="FT237" s="385"/>
      <c r="FU237" s="385"/>
      <c r="FV237" s="385"/>
      <c r="FW237" s="332"/>
      <c r="FX237" s="385"/>
      <c r="FY237" s="385"/>
      <c r="FZ237" s="385"/>
      <c r="GA237" s="385"/>
      <c r="GB237" s="385"/>
      <c r="GC237" s="332"/>
      <c r="GD237" s="385"/>
      <c r="GE237" s="385"/>
      <c r="GF237" s="385"/>
      <c r="GG237" s="385"/>
      <c r="GH237" s="385"/>
      <c r="GI237" s="332"/>
      <c r="GJ237" s="385"/>
      <c r="GK237" s="385"/>
      <c r="GL237" s="385"/>
      <c r="GM237" s="385"/>
      <c r="GN237" s="385"/>
      <c r="GO237" s="332"/>
      <c r="GP237" s="385"/>
      <c r="GQ237" s="385"/>
      <c r="GR237" s="385"/>
      <c r="GS237" s="385"/>
      <c r="GT237" s="385"/>
      <c r="GU237" s="332"/>
      <c r="GV237" s="385"/>
      <c r="GW237" s="385"/>
      <c r="GX237" s="385"/>
      <c r="GY237" s="385"/>
      <c r="GZ237" s="385"/>
      <c r="HA237" s="332"/>
      <c r="HB237" s="385"/>
      <c r="HC237" s="385"/>
      <c r="HD237" s="385"/>
      <c r="HE237" s="385"/>
      <c r="HF237" s="385"/>
      <c r="HG237" s="332"/>
      <c r="HH237" s="385"/>
      <c r="HI237" s="385"/>
      <c r="HJ237" s="385"/>
      <c r="HK237" s="385"/>
      <c r="HL237" s="385"/>
      <c r="HM237" s="332"/>
      <c r="HN237" s="385"/>
      <c r="HO237" s="385"/>
      <c r="HP237" s="385"/>
      <c r="HQ237" s="385"/>
      <c r="HR237" s="385"/>
      <c r="HS237" s="332"/>
      <c r="HT237" s="385"/>
      <c r="HU237" s="385"/>
      <c r="HV237" s="385"/>
      <c r="HW237" s="385"/>
      <c r="HX237" s="385"/>
      <c r="HY237" s="332"/>
      <c r="HZ237" s="385"/>
      <c r="IA237" s="385"/>
      <c r="IB237" s="385"/>
      <c r="IC237" s="385"/>
      <c r="ID237" s="385"/>
      <c r="IE237" s="332"/>
      <c r="IF237" s="385"/>
      <c r="IG237" s="385"/>
      <c r="IH237" s="385"/>
      <c r="II237" s="385"/>
      <c r="IJ237" s="385"/>
      <c r="IK237" s="332"/>
      <c r="IL237" s="385"/>
      <c r="IM237" s="385"/>
      <c r="IN237" s="385"/>
      <c r="IO237" s="385"/>
      <c r="IP237" s="385"/>
      <c r="IQ237" s="332"/>
      <c r="IR237" s="385"/>
    </row>
    <row r="238" spans="1:252" s="349" customFormat="1" ht="61.5">
      <c r="A238" s="2696" t="s">
        <v>206</v>
      </c>
      <c r="B238" s="2697"/>
      <c r="C238" s="2697"/>
      <c r="D238" s="2697"/>
      <c r="E238" s="2697"/>
      <c r="F238" s="2697"/>
      <c r="G238" s="2698"/>
      <c r="H238" s="907" t="s">
        <v>282</v>
      </c>
      <c r="I238" s="907" t="s">
        <v>1114</v>
      </c>
      <c r="J238" s="907" t="s">
        <v>1115</v>
      </c>
      <c r="K238" s="2693" t="s">
        <v>83</v>
      </c>
      <c r="L238" s="2693"/>
      <c r="M238" s="2694"/>
      <c r="O238" s="385"/>
      <c r="P238" s="2257"/>
      <c r="Q238" s="332"/>
      <c r="R238" s="385"/>
      <c r="S238" s="385"/>
      <c r="T238" s="385"/>
      <c r="U238" s="385"/>
      <c r="V238" s="385"/>
      <c r="W238" s="332"/>
      <c r="X238" s="385"/>
      <c r="Y238" s="385"/>
      <c r="Z238" s="385"/>
      <c r="AA238" s="385"/>
      <c r="AB238" s="385"/>
      <c r="AC238" s="332"/>
      <c r="AD238" s="385"/>
      <c r="AE238" s="385"/>
      <c r="AF238" s="385"/>
      <c r="AG238" s="385"/>
      <c r="AH238" s="385"/>
      <c r="AI238" s="332"/>
      <c r="AJ238" s="385"/>
      <c r="AK238" s="385"/>
      <c r="AL238" s="385"/>
      <c r="AM238" s="385"/>
      <c r="AN238" s="385"/>
      <c r="AO238" s="332"/>
      <c r="AP238" s="385"/>
      <c r="AQ238" s="385"/>
      <c r="AR238" s="385"/>
      <c r="AS238" s="385"/>
      <c r="AT238" s="385"/>
      <c r="AU238" s="332"/>
      <c r="AV238" s="385"/>
      <c r="AW238" s="385"/>
      <c r="AX238" s="385"/>
      <c r="AY238" s="385"/>
      <c r="AZ238" s="385"/>
      <c r="BA238" s="332"/>
      <c r="BB238" s="385"/>
      <c r="BC238" s="385"/>
      <c r="BD238" s="385"/>
      <c r="BE238" s="385"/>
      <c r="BF238" s="385"/>
      <c r="BG238" s="332"/>
      <c r="BH238" s="385"/>
      <c r="BI238" s="385"/>
      <c r="BJ238" s="385"/>
      <c r="BK238" s="385"/>
      <c r="BL238" s="385"/>
      <c r="BM238" s="332"/>
      <c r="BN238" s="385"/>
      <c r="BO238" s="385"/>
      <c r="BP238" s="385"/>
      <c r="BQ238" s="385"/>
      <c r="BR238" s="385"/>
      <c r="BS238" s="332"/>
      <c r="BT238" s="385"/>
      <c r="BU238" s="385"/>
      <c r="BV238" s="385"/>
      <c r="BW238" s="385"/>
      <c r="BX238" s="385"/>
      <c r="BY238" s="332"/>
      <c r="BZ238" s="385"/>
      <c r="CA238" s="385"/>
      <c r="CB238" s="385"/>
      <c r="CC238" s="385"/>
      <c r="CD238" s="385"/>
      <c r="CE238" s="332"/>
      <c r="CF238" s="385"/>
      <c r="CG238" s="385"/>
      <c r="CH238" s="385"/>
      <c r="CI238" s="385"/>
      <c r="CJ238" s="385"/>
      <c r="CK238" s="332"/>
      <c r="CL238" s="385"/>
      <c r="CM238" s="385"/>
      <c r="CN238" s="385"/>
      <c r="CO238" s="385"/>
      <c r="CP238" s="385"/>
      <c r="CQ238" s="332"/>
      <c r="CR238" s="385"/>
      <c r="CS238" s="385"/>
      <c r="CT238" s="385"/>
      <c r="CU238" s="385"/>
      <c r="CV238" s="385"/>
      <c r="CW238" s="332"/>
      <c r="CX238" s="385"/>
      <c r="CY238" s="385"/>
      <c r="CZ238" s="385"/>
      <c r="DA238" s="385"/>
      <c r="DB238" s="385"/>
      <c r="DC238" s="332"/>
      <c r="DD238" s="385"/>
      <c r="DE238" s="385"/>
      <c r="DF238" s="385"/>
      <c r="DG238" s="385"/>
      <c r="DH238" s="385"/>
      <c r="DI238" s="332"/>
      <c r="DJ238" s="385"/>
      <c r="DK238" s="385"/>
      <c r="DL238" s="385"/>
      <c r="DM238" s="385"/>
      <c r="DN238" s="385"/>
      <c r="DO238" s="332"/>
      <c r="DP238" s="385"/>
      <c r="DQ238" s="385"/>
      <c r="DR238" s="385"/>
      <c r="DS238" s="385"/>
      <c r="DT238" s="385"/>
      <c r="DU238" s="332"/>
      <c r="DV238" s="385"/>
      <c r="DW238" s="385"/>
      <c r="DX238" s="385"/>
      <c r="DY238" s="385"/>
      <c r="DZ238" s="385"/>
      <c r="EA238" s="332"/>
      <c r="EB238" s="385"/>
      <c r="EC238" s="385"/>
      <c r="ED238" s="385"/>
      <c r="EE238" s="385"/>
      <c r="EF238" s="385"/>
      <c r="EG238" s="332"/>
      <c r="EH238" s="385"/>
      <c r="EI238" s="385"/>
      <c r="EJ238" s="385"/>
      <c r="EK238" s="385"/>
      <c r="EL238" s="385"/>
      <c r="EM238" s="332"/>
      <c r="EN238" s="385"/>
      <c r="EO238" s="385"/>
      <c r="EP238" s="385"/>
      <c r="EQ238" s="385"/>
      <c r="ER238" s="385"/>
      <c r="ES238" s="332"/>
      <c r="ET238" s="385"/>
      <c r="EU238" s="385"/>
      <c r="EV238" s="385"/>
      <c r="EW238" s="385"/>
      <c r="EX238" s="385"/>
      <c r="EY238" s="332"/>
      <c r="EZ238" s="385"/>
      <c r="FA238" s="385"/>
      <c r="FB238" s="385"/>
      <c r="FC238" s="385"/>
      <c r="FD238" s="385"/>
      <c r="FE238" s="332"/>
      <c r="FF238" s="385"/>
      <c r="FG238" s="385"/>
      <c r="FH238" s="385"/>
      <c r="FI238" s="385"/>
      <c r="FJ238" s="385"/>
      <c r="FK238" s="332"/>
      <c r="FL238" s="385"/>
      <c r="FM238" s="385"/>
      <c r="FN238" s="385"/>
      <c r="FO238" s="385"/>
      <c r="FP238" s="385"/>
      <c r="FQ238" s="332"/>
      <c r="FR238" s="385"/>
      <c r="FS238" s="385"/>
      <c r="FT238" s="385"/>
      <c r="FU238" s="385"/>
      <c r="FV238" s="385"/>
      <c r="FW238" s="332"/>
      <c r="FX238" s="385"/>
      <c r="FY238" s="385"/>
      <c r="FZ238" s="385"/>
      <c r="GA238" s="385"/>
      <c r="GB238" s="385"/>
      <c r="GC238" s="332"/>
      <c r="GD238" s="385"/>
      <c r="GE238" s="385"/>
      <c r="GF238" s="385"/>
      <c r="GG238" s="385"/>
      <c r="GH238" s="385"/>
      <c r="GI238" s="332"/>
      <c r="GJ238" s="385"/>
      <c r="GK238" s="385"/>
      <c r="GL238" s="385"/>
      <c r="GM238" s="385"/>
      <c r="GN238" s="385"/>
      <c r="GO238" s="332"/>
      <c r="GP238" s="385"/>
      <c r="GQ238" s="385"/>
      <c r="GR238" s="385"/>
      <c r="GS238" s="385"/>
      <c r="GT238" s="385"/>
      <c r="GU238" s="332"/>
      <c r="GV238" s="385"/>
      <c r="GW238" s="385"/>
      <c r="GX238" s="385"/>
      <c r="GY238" s="385"/>
      <c r="GZ238" s="385"/>
      <c r="HA238" s="332"/>
      <c r="HB238" s="385"/>
      <c r="HC238" s="385"/>
      <c r="HD238" s="385"/>
      <c r="HE238" s="385"/>
      <c r="HF238" s="385"/>
      <c r="HG238" s="332"/>
      <c r="HH238" s="385"/>
      <c r="HI238" s="385"/>
      <c r="HJ238" s="385"/>
      <c r="HK238" s="385"/>
      <c r="HL238" s="385"/>
      <c r="HM238" s="332"/>
      <c r="HN238" s="385"/>
      <c r="HO238" s="385"/>
      <c r="HP238" s="385"/>
      <c r="HQ238" s="385"/>
      <c r="HR238" s="385"/>
      <c r="HS238" s="332"/>
      <c r="HT238" s="385"/>
      <c r="HU238" s="385"/>
      <c r="HV238" s="385"/>
      <c r="HW238" s="385"/>
      <c r="HX238" s="385"/>
      <c r="HY238" s="332"/>
      <c r="HZ238" s="385"/>
      <c r="IA238" s="385"/>
      <c r="IB238" s="385"/>
      <c r="IC238" s="385"/>
      <c r="ID238" s="385"/>
      <c r="IE238" s="332"/>
      <c r="IF238" s="385"/>
      <c r="IG238" s="385"/>
      <c r="IH238" s="385"/>
      <c r="II238" s="385"/>
      <c r="IJ238" s="385"/>
      <c r="IK238" s="332"/>
      <c r="IL238" s="385"/>
      <c r="IM238" s="385"/>
      <c r="IN238" s="385"/>
      <c r="IO238" s="385"/>
      <c r="IP238" s="385"/>
      <c r="IQ238" s="332"/>
      <c r="IR238" s="385"/>
    </row>
    <row r="239" spans="1:252" s="349" customFormat="1">
      <c r="A239" s="230"/>
      <c r="B239" s="385"/>
      <c r="C239" s="332"/>
      <c r="D239" s="385"/>
      <c r="E239" s="883"/>
      <c r="F239" s="385"/>
      <c r="G239" s="386"/>
      <c r="H239" s="385"/>
      <c r="I239" s="385"/>
      <c r="J239" s="332"/>
      <c r="K239" s="385"/>
      <c r="L239" s="385"/>
      <c r="M239" s="229"/>
      <c r="N239" s="385"/>
      <c r="O239" s="385"/>
      <c r="P239" s="2257"/>
      <c r="Q239" s="332"/>
      <c r="R239" s="385"/>
      <c r="S239" s="385"/>
      <c r="T239" s="385"/>
      <c r="U239" s="385"/>
      <c r="V239" s="385"/>
      <c r="W239" s="332"/>
      <c r="X239" s="385"/>
      <c r="Y239" s="385"/>
      <c r="Z239" s="385"/>
      <c r="AA239" s="385"/>
      <c r="AB239" s="385"/>
      <c r="AC239" s="332"/>
      <c r="AD239" s="385"/>
      <c r="AE239" s="385"/>
      <c r="AF239" s="385"/>
      <c r="AG239" s="385"/>
      <c r="AH239" s="385"/>
      <c r="AI239" s="332"/>
      <c r="AJ239" s="385"/>
      <c r="AK239" s="385"/>
      <c r="AL239" s="385"/>
      <c r="AM239" s="385"/>
      <c r="AN239" s="385"/>
      <c r="AO239" s="332"/>
      <c r="AP239" s="385"/>
      <c r="AQ239" s="385"/>
      <c r="AR239" s="385"/>
      <c r="AS239" s="385"/>
      <c r="AT239" s="385"/>
      <c r="AU239" s="332"/>
      <c r="AV239" s="385"/>
      <c r="AW239" s="385"/>
      <c r="AX239" s="385"/>
      <c r="AY239" s="385"/>
      <c r="AZ239" s="385"/>
      <c r="BA239" s="332"/>
      <c r="BB239" s="385"/>
      <c r="BC239" s="385"/>
      <c r="BD239" s="385"/>
      <c r="BE239" s="385"/>
      <c r="BF239" s="385"/>
      <c r="BG239" s="332"/>
      <c r="BH239" s="385"/>
      <c r="BI239" s="385"/>
      <c r="BJ239" s="385"/>
      <c r="BK239" s="385"/>
      <c r="BL239" s="385"/>
      <c r="BM239" s="332"/>
      <c r="BN239" s="385"/>
      <c r="BO239" s="385"/>
      <c r="BP239" s="385"/>
      <c r="BQ239" s="385"/>
      <c r="BR239" s="385"/>
      <c r="BS239" s="332"/>
      <c r="BT239" s="385"/>
      <c r="BU239" s="385"/>
      <c r="BV239" s="385"/>
      <c r="BW239" s="385"/>
      <c r="BX239" s="385"/>
      <c r="BY239" s="332"/>
      <c r="BZ239" s="385"/>
      <c r="CA239" s="385"/>
      <c r="CB239" s="385"/>
      <c r="CC239" s="385"/>
      <c r="CD239" s="385"/>
      <c r="CE239" s="332"/>
      <c r="CF239" s="385"/>
      <c r="CG239" s="385"/>
      <c r="CH239" s="385"/>
      <c r="CI239" s="385"/>
      <c r="CJ239" s="385"/>
      <c r="CK239" s="332"/>
      <c r="CL239" s="385"/>
      <c r="CM239" s="385"/>
      <c r="CN239" s="385"/>
      <c r="CO239" s="385"/>
      <c r="CP239" s="385"/>
      <c r="CQ239" s="332"/>
      <c r="CR239" s="385"/>
      <c r="CS239" s="385"/>
      <c r="CT239" s="385"/>
      <c r="CU239" s="385"/>
      <c r="CV239" s="385"/>
      <c r="CW239" s="332"/>
      <c r="CX239" s="385"/>
      <c r="CY239" s="385"/>
      <c r="CZ239" s="385"/>
      <c r="DA239" s="385"/>
      <c r="DB239" s="385"/>
      <c r="DC239" s="332"/>
      <c r="DD239" s="385"/>
      <c r="DE239" s="385"/>
      <c r="DF239" s="385"/>
      <c r="DG239" s="385"/>
      <c r="DH239" s="385"/>
      <c r="DI239" s="332"/>
      <c r="DJ239" s="385"/>
      <c r="DK239" s="385"/>
      <c r="DL239" s="385"/>
      <c r="DM239" s="385"/>
      <c r="DN239" s="385"/>
      <c r="DO239" s="332"/>
      <c r="DP239" s="385"/>
      <c r="DQ239" s="385"/>
      <c r="DR239" s="385"/>
      <c r="DS239" s="385"/>
      <c r="DT239" s="385"/>
      <c r="DU239" s="332"/>
      <c r="DV239" s="385"/>
      <c r="DW239" s="385"/>
      <c r="DX239" s="385"/>
      <c r="DY239" s="385"/>
      <c r="DZ239" s="385"/>
      <c r="EA239" s="332"/>
      <c r="EB239" s="385"/>
      <c r="EC239" s="385"/>
      <c r="ED239" s="385"/>
      <c r="EE239" s="385"/>
      <c r="EF239" s="385"/>
      <c r="EG239" s="332"/>
      <c r="EH239" s="385"/>
      <c r="EI239" s="385"/>
      <c r="EJ239" s="385"/>
      <c r="EK239" s="385"/>
      <c r="EL239" s="385"/>
      <c r="EM239" s="332"/>
      <c r="EN239" s="385"/>
      <c r="EO239" s="385"/>
      <c r="EP239" s="385"/>
      <c r="EQ239" s="385"/>
      <c r="ER239" s="385"/>
      <c r="ES239" s="332"/>
      <c r="ET239" s="385"/>
      <c r="EU239" s="385"/>
      <c r="EV239" s="385"/>
      <c r="EW239" s="385"/>
      <c r="EX239" s="385"/>
      <c r="EY239" s="332"/>
      <c r="EZ239" s="385"/>
      <c r="FA239" s="385"/>
      <c r="FB239" s="385"/>
      <c r="FC239" s="385"/>
      <c r="FD239" s="385"/>
      <c r="FE239" s="332"/>
      <c r="FF239" s="385"/>
      <c r="FG239" s="385"/>
      <c r="FH239" s="385"/>
      <c r="FI239" s="385"/>
      <c r="FJ239" s="385"/>
      <c r="FK239" s="332"/>
      <c r="FL239" s="385"/>
      <c r="FM239" s="385"/>
      <c r="FN239" s="385"/>
      <c r="FO239" s="385"/>
      <c r="FP239" s="385"/>
      <c r="FQ239" s="332"/>
      <c r="FR239" s="385"/>
      <c r="FS239" s="385"/>
      <c r="FT239" s="385"/>
      <c r="FU239" s="385"/>
      <c r="FV239" s="385"/>
      <c r="FW239" s="332"/>
      <c r="FX239" s="385"/>
      <c r="FY239" s="385"/>
      <c r="FZ239" s="385"/>
      <c r="GA239" s="385"/>
      <c r="GB239" s="385"/>
      <c r="GC239" s="332"/>
      <c r="GD239" s="385"/>
      <c r="GE239" s="385"/>
      <c r="GF239" s="385"/>
      <c r="GG239" s="385"/>
      <c r="GH239" s="385"/>
      <c r="GI239" s="332"/>
      <c r="GJ239" s="385"/>
      <c r="GK239" s="385"/>
      <c r="GL239" s="385"/>
      <c r="GM239" s="385"/>
      <c r="GN239" s="385"/>
      <c r="GO239" s="332"/>
      <c r="GP239" s="385"/>
      <c r="GQ239" s="385"/>
      <c r="GR239" s="385"/>
      <c r="GS239" s="385"/>
      <c r="GT239" s="385"/>
      <c r="GU239" s="332"/>
      <c r="GV239" s="385"/>
      <c r="GW239" s="385"/>
      <c r="GX239" s="385"/>
      <c r="GY239" s="385"/>
      <c r="GZ239" s="385"/>
      <c r="HA239" s="332"/>
      <c r="HB239" s="385"/>
      <c r="HC239" s="385"/>
      <c r="HD239" s="385"/>
      <c r="HE239" s="385"/>
      <c r="HF239" s="385"/>
      <c r="HG239" s="332"/>
      <c r="HH239" s="385"/>
      <c r="HI239" s="385"/>
      <c r="HJ239" s="385"/>
      <c r="HK239" s="385"/>
      <c r="HL239" s="385"/>
      <c r="HM239" s="332"/>
      <c r="HN239" s="385"/>
      <c r="HO239" s="385"/>
      <c r="HP239" s="385"/>
      <c r="HQ239" s="385"/>
      <c r="HR239" s="385"/>
      <c r="HS239" s="332"/>
      <c r="HT239" s="385"/>
      <c r="HU239" s="385"/>
      <c r="HV239" s="385"/>
      <c r="HW239" s="385"/>
      <c r="HX239" s="385"/>
      <c r="HY239" s="332"/>
      <c r="HZ239" s="385"/>
      <c r="IA239" s="385"/>
      <c r="IB239" s="385"/>
      <c r="IC239" s="385"/>
      <c r="ID239" s="385"/>
      <c r="IE239" s="332"/>
      <c r="IF239" s="385"/>
      <c r="IG239" s="385"/>
      <c r="IH239" s="385"/>
      <c r="II239" s="385"/>
      <c r="IJ239" s="385"/>
      <c r="IK239" s="332"/>
      <c r="IL239" s="385"/>
      <c r="IM239" s="385"/>
      <c r="IN239" s="385"/>
      <c r="IO239" s="385"/>
      <c r="IP239" s="385"/>
      <c r="IQ239" s="332"/>
      <c r="IR239" s="385"/>
    </row>
    <row r="240" spans="1:252" ht="15.75">
      <c r="A240" s="230">
        <f>'Appendix A'!A111</f>
        <v>53</v>
      </c>
      <c r="B240" s="95"/>
      <c r="C240" s="154" t="str">
        <f>'Appendix A'!C111</f>
        <v>Transmission O&amp;M</v>
      </c>
      <c r="D240" s="95"/>
      <c r="E240" s="883"/>
      <c r="F240" s="231"/>
      <c r="G240" s="979" t="s">
        <v>33</v>
      </c>
      <c r="H240" s="1094">
        <f>INDEX(Inputs_EndYrBal,MATCH(G240,Inputs_FF1_Map,0))</f>
        <v>203261005</v>
      </c>
      <c r="I240" s="1126">
        <f>Inputs!E98+Inputs!E99</f>
        <v>-87239.859999999986</v>
      </c>
      <c r="J240" s="1127">
        <f>H240+I240</f>
        <v>203173765.13999999</v>
      </c>
      <c r="K240" s="249"/>
      <c r="L240" s="883"/>
      <c r="M240" s="912"/>
      <c r="N240" s="95"/>
      <c r="O240" s="311"/>
      <c r="P240" s="2257"/>
      <c r="Q240" s="219"/>
      <c r="R240" s="95"/>
      <c r="S240" s="95"/>
      <c r="T240" s="95"/>
      <c r="U240" s="95"/>
      <c r="V240" s="95"/>
      <c r="W240" s="219"/>
      <c r="X240" s="95"/>
      <c r="Y240" s="95"/>
      <c r="Z240" s="95"/>
      <c r="AA240" s="95"/>
      <c r="AB240" s="95"/>
      <c r="AC240" s="219"/>
      <c r="AD240" s="95"/>
      <c r="AE240" s="95"/>
      <c r="AF240" s="95"/>
      <c r="AG240" s="95"/>
      <c r="AH240" s="95"/>
      <c r="AI240" s="219"/>
      <c r="AJ240" s="95"/>
      <c r="AK240" s="95"/>
      <c r="AL240" s="95"/>
      <c r="AM240" s="95"/>
      <c r="AN240" s="95"/>
      <c r="AO240" s="219"/>
      <c r="AP240" s="95"/>
      <c r="AQ240" s="95"/>
      <c r="AR240" s="95"/>
      <c r="AS240" s="95"/>
      <c r="AT240" s="95"/>
      <c r="AU240" s="219"/>
      <c r="AV240" s="95"/>
      <c r="AW240" s="95"/>
      <c r="AX240" s="95"/>
      <c r="AY240" s="95"/>
      <c r="AZ240" s="95"/>
      <c r="BA240" s="219"/>
      <c r="BB240" s="95"/>
      <c r="BC240" s="95"/>
      <c r="BD240" s="95"/>
      <c r="BE240" s="95"/>
      <c r="BF240" s="95"/>
      <c r="BG240" s="219"/>
      <c r="BH240" s="95"/>
      <c r="BI240" s="95"/>
      <c r="BJ240" s="95"/>
      <c r="BK240" s="95"/>
      <c r="BL240" s="95"/>
      <c r="BM240" s="219"/>
      <c r="BN240" s="95"/>
      <c r="BO240" s="95"/>
      <c r="BP240" s="95"/>
      <c r="BQ240" s="95"/>
      <c r="BR240" s="95"/>
      <c r="BS240" s="219"/>
      <c r="BT240" s="95"/>
      <c r="BU240" s="95"/>
      <c r="BV240" s="95"/>
      <c r="BW240" s="95"/>
      <c r="BX240" s="95"/>
      <c r="BY240" s="219"/>
      <c r="BZ240" s="95"/>
      <c r="CA240" s="95"/>
      <c r="CB240" s="95"/>
      <c r="CC240" s="95"/>
      <c r="CD240" s="95"/>
      <c r="CE240" s="219"/>
      <c r="CF240" s="95"/>
      <c r="CG240" s="95"/>
      <c r="CH240" s="95"/>
      <c r="CI240" s="95"/>
      <c r="CJ240" s="95"/>
      <c r="CK240" s="219"/>
      <c r="CL240" s="95"/>
      <c r="CM240" s="95"/>
      <c r="CN240" s="95"/>
      <c r="CO240" s="95"/>
      <c r="CP240" s="95"/>
      <c r="CQ240" s="219"/>
      <c r="CR240" s="95"/>
      <c r="CS240" s="95"/>
      <c r="CT240" s="95"/>
      <c r="CU240" s="95"/>
      <c r="CV240" s="95"/>
      <c r="CW240" s="219"/>
      <c r="CX240" s="95"/>
      <c r="CY240" s="95"/>
      <c r="CZ240" s="95"/>
      <c r="DA240" s="95"/>
      <c r="DB240" s="95"/>
      <c r="DC240" s="219"/>
      <c r="DD240" s="95"/>
      <c r="DE240" s="95"/>
      <c r="DF240" s="95"/>
      <c r="DG240" s="95"/>
      <c r="DH240" s="95"/>
      <c r="DI240" s="219"/>
      <c r="DJ240" s="95"/>
      <c r="DK240" s="95"/>
      <c r="DL240" s="95"/>
      <c r="DM240" s="95"/>
      <c r="DN240" s="95"/>
      <c r="DO240" s="219"/>
      <c r="DP240" s="95"/>
      <c r="DQ240" s="95"/>
      <c r="DR240" s="95"/>
      <c r="DS240" s="95"/>
      <c r="DT240" s="95"/>
      <c r="DU240" s="219"/>
      <c r="DV240" s="95"/>
      <c r="DW240" s="95"/>
      <c r="DX240" s="95"/>
      <c r="DY240" s="95"/>
      <c r="DZ240" s="95"/>
      <c r="EA240" s="219"/>
      <c r="EB240" s="95"/>
      <c r="EC240" s="95"/>
      <c r="ED240" s="95"/>
      <c r="EE240" s="95"/>
      <c r="EF240" s="95"/>
      <c r="EG240" s="219"/>
      <c r="EH240" s="95"/>
      <c r="EI240" s="95"/>
      <c r="EJ240" s="95"/>
      <c r="EK240" s="95"/>
      <c r="EL240" s="95"/>
      <c r="EM240" s="219"/>
      <c r="EN240" s="95"/>
      <c r="EO240" s="95"/>
      <c r="EP240" s="95"/>
      <c r="EQ240" s="95"/>
      <c r="ER240" s="95"/>
      <c r="ES240" s="219"/>
      <c r="ET240" s="95"/>
      <c r="EU240" s="95"/>
      <c r="EV240" s="95"/>
      <c r="EW240" s="95"/>
      <c r="EX240" s="95"/>
      <c r="EY240" s="219"/>
      <c r="EZ240" s="95"/>
      <c r="FA240" s="95"/>
      <c r="FB240" s="95"/>
      <c r="FC240" s="95"/>
      <c r="FD240" s="95"/>
      <c r="FE240" s="219"/>
      <c r="FF240" s="95"/>
      <c r="FG240" s="95"/>
      <c r="FH240" s="95"/>
      <c r="FI240" s="95"/>
      <c r="FJ240" s="95"/>
      <c r="FK240" s="219"/>
      <c r="FL240" s="95"/>
      <c r="FM240" s="95"/>
      <c r="FN240" s="95"/>
      <c r="FO240" s="95"/>
      <c r="FP240" s="95"/>
      <c r="FQ240" s="219"/>
      <c r="FR240" s="95"/>
      <c r="FS240" s="95"/>
      <c r="FT240" s="95"/>
      <c r="FU240" s="95"/>
      <c r="FV240" s="95"/>
      <c r="FW240" s="219"/>
      <c r="FX240" s="95"/>
      <c r="FY240" s="95"/>
      <c r="FZ240" s="95"/>
      <c r="GA240" s="95"/>
      <c r="GB240" s="95"/>
      <c r="GC240" s="219"/>
      <c r="GD240" s="95"/>
      <c r="GE240" s="95"/>
      <c r="GF240" s="95"/>
      <c r="GG240" s="95"/>
      <c r="GH240" s="95"/>
      <c r="GI240" s="219"/>
      <c r="GJ240" s="95"/>
      <c r="GK240" s="95"/>
      <c r="GL240" s="95"/>
      <c r="GM240" s="95"/>
      <c r="GN240" s="95"/>
      <c r="GO240" s="219"/>
      <c r="GP240" s="95"/>
      <c r="GQ240" s="95"/>
      <c r="GR240" s="95"/>
      <c r="GS240" s="95"/>
      <c r="GT240" s="95"/>
      <c r="GU240" s="219"/>
      <c r="GV240" s="95"/>
      <c r="GW240" s="95"/>
      <c r="GX240" s="95"/>
      <c r="GY240" s="95"/>
      <c r="GZ240" s="95"/>
      <c r="HA240" s="219"/>
      <c r="HB240" s="95"/>
      <c r="HC240" s="95"/>
      <c r="HD240" s="95"/>
      <c r="HE240" s="95"/>
      <c r="HF240" s="95"/>
      <c r="HG240" s="219"/>
      <c r="HH240" s="95"/>
      <c r="HI240" s="95"/>
      <c r="HJ240" s="95"/>
      <c r="HK240" s="95"/>
      <c r="HL240" s="95"/>
      <c r="HM240" s="219"/>
      <c r="HN240" s="95"/>
      <c r="HO240" s="95"/>
      <c r="HP240" s="95"/>
      <c r="HQ240" s="95"/>
      <c r="HR240" s="95"/>
      <c r="HS240" s="219"/>
      <c r="HT240" s="95"/>
      <c r="HU240" s="95"/>
      <c r="HV240" s="95"/>
      <c r="HW240" s="95"/>
      <c r="HX240" s="95"/>
      <c r="HY240" s="219"/>
      <c r="HZ240" s="95"/>
      <c r="IA240" s="95"/>
      <c r="IB240" s="95"/>
      <c r="IC240" s="95"/>
      <c r="ID240" s="95"/>
      <c r="IE240" s="219"/>
      <c r="IF240" s="95"/>
      <c r="IG240" s="95"/>
      <c r="IH240" s="95"/>
      <c r="II240" s="95"/>
      <c r="IJ240" s="95"/>
      <c r="IK240" s="219"/>
      <c r="IL240" s="95"/>
      <c r="IM240" s="95"/>
      <c r="IN240" s="95"/>
      <c r="IO240" s="95"/>
      <c r="IP240" s="95"/>
      <c r="IQ240" s="219"/>
      <c r="IR240" s="95"/>
    </row>
    <row r="241" spans="1:252" s="349" customFormat="1">
      <c r="A241" s="230"/>
      <c r="B241" s="883"/>
      <c r="C241" s="332"/>
      <c r="D241" s="883"/>
      <c r="E241" s="883"/>
      <c r="F241" s="231"/>
      <c r="G241" s="1119"/>
      <c r="H241" s="626"/>
      <c r="I241" s="1128"/>
      <c r="J241" s="631"/>
      <c r="K241" s="249"/>
      <c r="L241" s="883"/>
      <c r="M241" s="912"/>
      <c r="N241" s="883"/>
      <c r="O241" s="311"/>
      <c r="P241" s="2257"/>
      <c r="Q241" s="332"/>
      <c r="R241" s="883"/>
      <c r="S241" s="883"/>
      <c r="T241" s="883"/>
      <c r="U241" s="883"/>
      <c r="V241" s="883"/>
      <c r="W241" s="332"/>
      <c r="X241" s="883"/>
      <c r="Y241" s="883"/>
      <c r="Z241" s="883"/>
      <c r="AA241" s="883"/>
      <c r="AB241" s="883"/>
      <c r="AC241" s="332"/>
      <c r="AD241" s="883"/>
      <c r="AE241" s="883"/>
      <c r="AF241" s="883"/>
      <c r="AG241" s="883"/>
      <c r="AH241" s="883"/>
      <c r="AI241" s="332"/>
      <c r="AJ241" s="883"/>
      <c r="AK241" s="883"/>
      <c r="AL241" s="883"/>
      <c r="AM241" s="883"/>
      <c r="AN241" s="883"/>
      <c r="AO241" s="332"/>
      <c r="AP241" s="883"/>
      <c r="AQ241" s="883"/>
      <c r="AR241" s="883"/>
      <c r="AS241" s="883"/>
      <c r="AT241" s="883"/>
      <c r="AU241" s="332"/>
      <c r="AV241" s="883"/>
      <c r="AW241" s="883"/>
      <c r="AX241" s="883"/>
      <c r="AY241" s="883"/>
      <c r="AZ241" s="883"/>
      <c r="BA241" s="332"/>
      <c r="BB241" s="883"/>
      <c r="BC241" s="883"/>
      <c r="BD241" s="883"/>
      <c r="BE241" s="883"/>
      <c r="BF241" s="883"/>
      <c r="BG241" s="332"/>
      <c r="BH241" s="883"/>
      <c r="BI241" s="883"/>
      <c r="BJ241" s="883"/>
      <c r="BK241" s="883"/>
      <c r="BL241" s="883"/>
      <c r="BM241" s="332"/>
      <c r="BN241" s="883"/>
      <c r="BO241" s="883"/>
      <c r="BP241" s="883"/>
      <c r="BQ241" s="883"/>
      <c r="BR241" s="883"/>
      <c r="BS241" s="332"/>
      <c r="BT241" s="883"/>
      <c r="BU241" s="883"/>
      <c r="BV241" s="883"/>
      <c r="BW241" s="883"/>
      <c r="BX241" s="883"/>
      <c r="BY241" s="332"/>
      <c r="BZ241" s="883"/>
      <c r="CA241" s="883"/>
      <c r="CB241" s="883"/>
      <c r="CC241" s="883"/>
      <c r="CD241" s="883"/>
      <c r="CE241" s="332"/>
      <c r="CF241" s="883"/>
      <c r="CG241" s="883"/>
      <c r="CH241" s="883"/>
      <c r="CI241" s="883"/>
      <c r="CJ241" s="883"/>
      <c r="CK241" s="332"/>
      <c r="CL241" s="883"/>
      <c r="CM241" s="883"/>
      <c r="CN241" s="883"/>
      <c r="CO241" s="883"/>
      <c r="CP241" s="883"/>
      <c r="CQ241" s="332"/>
      <c r="CR241" s="883"/>
      <c r="CS241" s="883"/>
      <c r="CT241" s="883"/>
      <c r="CU241" s="883"/>
      <c r="CV241" s="883"/>
      <c r="CW241" s="332"/>
      <c r="CX241" s="883"/>
      <c r="CY241" s="883"/>
      <c r="CZ241" s="883"/>
      <c r="DA241" s="883"/>
      <c r="DB241" s="883"/>
      <c r="DC241" s="332"/>
      <c r="DD241" s="883"/>
      <c r="DE241" s="883"/>
      <c r="DF241" s="883"/>
      <c r="DG241" s="883"/>
      <c r="DH241" s="883"/>
      <c r="DI241" s="332"/>
      <c r="DJ241" s="883"/>
      <c r="DK241" s="883"/>
      <c r="DL241" s="883"/>
      <c r="DM241" s="883"/>
      <c r="DN241" s="883"/>
      <c r="DO241" s="332"/>
      <c r="DP241" s="883"/>
      <c r="DQ241" s="883"/>
      <c r="DR241" s="883"/>
      <c r="DS241" s="883"/>
      <c r="DT241" s="883"/>
      <c r="DU241" s="332"/>
      <c r="DV241" s="883"/>
      <c r="DW241" s="883"/>
      <c r="DX241" s="883"/>
      <c r="DY241" s="883"/>
      <c r="DZ241" s="883"/>
      <c r="EA241" s="332"/>
      <c r="EB241" s="883"/>
      <c r="EC241" s="883"/>
      <c r="ED241" s="883"/>
      <c r="EE241" s="883"/>
      <c r="EF241" s="883"/>
      <c r="EG241" s="332"/>
      <c r="EH241" s="883"/>
      <c r="EI241" s="883"/>
      <c r="EJ241" s="883"/>
      <c r="EK241" s="883"/>
      <c r="EL241" s="883"/>
      <c r="EM241" s="332"/>
      <c r="EN241" s="883"/>
      <c r="EO241" s="883"/>
      <c r="EP241" s="883"/>
      <c r="EQ241" s="883"/>
      <c r="ER241" s="883"/>
      <c r="ES241" s="332"/>
      <c r="ET241" s="883"/>
      <c r="EU241" s="883"/>
      <c r="EV241" s="883"/>
      <c r="EW241" s="883"/>
      <c r="EX241" s="883"/>
      <c r="EY241" s="332"/>
      <c r="EZ241" s="883"/>
      <c r="FA241" s="883"/>
      <c r="FB241" s="883"/>
      <c r="FC241" s="883"/>
      <c r="FD241" s="883"/>
      <c r="FE241" s="332"/>
      <c r="FF241" s="883"/>
      <c r="FG241" s="883"/>
      <c r="FH241" s="883"/>
      <c r="FI241" s="883"/>
      <c r="FJ241" s="883"/>
      <c r="FK241" s="332"/>
      <c r="FL241" s="883"/>
      <c r="FM241" s="883"/>
      <c r="FN241" s="883"/>
      <c r="FO241" s="883"/>
      <c r="FP241" s="883"/>
      <c r="FQ241" s="332"/>
      <c r="FR241" s="883"/>
      <c r="FS241" s="883"/>
      <c r="FT241" s="883"/>
      <c r="FU241" s="883"/>
      <c r="FV241" s="883"/>
      <c r="FW241" s="332"/>
      <c r="FX241" s="883"/>
      <c r="FY241" s="883"/>
      <c r="FZ241" s="883"/>
      <c r="GA241" s="883"/>
      <c r="GB241" s="883"/>
      <c r="GC241" s="332"/>
      <c r="GD241" s="883"/>
      <c r="GE241" s="883"/>
      <c r="GF241" s="883"/>
      <c r="GG241" s="883"/>
      <c r="GH241" s="883"/>
      <c r="GI241" s="332"/>
      <c r="GJ241" s="883"/>
      <c r="GK241" s="883"/>
      <c r="GL241" s="883"/>
      <c r="GM241" s="883"/>
      <c r="GN241" s="883"/>
      <c r="GO241" s="332"/>
      <c r="GP241" s="883"/>
      <c r="GQ241" s="883"/>
      <c r="GR241" s="883"/>
      <c r="GS241" s="883"/>
      <c r="GT241" s="883"/>
      <c r="GU241" s="332"/>
      <c r="GV241" s="883"/>
      <c r="GW241" s="883"/>
      <c r="GX241" s="883"/>
      <c r="GY241" s="883"/>
      <c r="GZ241" s="883"/>
      <c r="HA241" s="332"/>
      <c r="HB241" s="883"/>
      <c r="HC241" s="883"/>
      <c r="HD241" s="883"/>
      <c r="HE241" s="883"/>
      <c r="HF241" s="883"/>
      <c r="HG241" s="332"/>
      <c r="HH241" s="883"/>
      <c r="HI241" s="883"/>
      <c r="HJ241" s="883"/>
      <c r="HK241" s="883"/>
      <c r="HL241" s="883"/>
      <c r="HM241" s="332"/>
      <c r="HN241" s="883"/>
      <c r="HO241" s="883"/>
      <c r="HP241" s="883"/>
      <c r="HQ241" s="883"/>
      <c r="HR241" s="883"/>
      <c r="HS241" s="332"/>
      <c r="HT241" s="883"/>
      <c r="HU241" s="883"/>
      <c r="HV241" s="883"/>
      <c r="HW241" s="883"/>
      <c r="HX241" s="883"/>
      <c r="HY241" s="332"/>
      <c r="HZ241" s="883"/>
      <c r="IA241" s="883"/>
      <c r="IB241" s="883"/>
      <c r="IC241" s="883"/>
      <c r="ID241" s="883"/>
      <c r="IE241" s="332"/>
      <c r="IF241" s="883"/>
      <c r="IG241" s="883"/>
      <c r="IH241" s="883"/>
      <c r="II241" s="883"/>
      <c r="IJ241" s="883"/>
      <c r="IK241" s="332"/>
      <c r="IL241" s="883"/>
      <c r="IM241" s="883"/>
      <c r="IN241" s="883"/>
      <c r="IO241" s="883"/>
      <c r="IP241" s="883"/>
      <c r="IQ241" s="332"/>
      <c r="IR241" s="883"/>
    </row>
    <row r="242" spans="1:252" s="349" customFormat="1" ht="15.75">
      <c r="A242" s="230"/>
      <c r="B242" s="883"/>
      <c r="C242" s="17" t="s">
        <v>1113</v>
      </c>
      <c r="D242" s="883"/>
      <c r="E242" s="883"/>
      <c r="F242" s="231"/>
      <c r="G242" s="1119"/>
      <c r="H242" s="626"/>
      <c r="I242" s="1128"/>
      <c r="J242" s="631"/>
      <c r="K242" s="249"/>
      <c r="L242" s="883"/>
      <c r="M242" s="912"/>
      <c r="N242" s="883"/>
      <c r="O242" s="311"/>
      <c r="P242" s="2257"/>
      <c r="Q242" s="332"/>
      <c r="R242" s="883"/>
      <c r="S242" s="883"/>
      <c r="T242" s="883"/>
      <c r="U242" s="883"/>
      <c r="V242" s="883"/>
      <c r="W242" s="332"/>
      <c r="X242" s="883"/>
      <c r="Y242" s="883"/>
      <c r="Z242" s="883"/>
      <c r="AA242" s="883"/>
      <c r="AB242" s="883"/>
      <c r="AC242" s="332"/>
      <c r="AD242" s="883"/>
      <c r="AE242" s="883"/>
      <c r="AF242" s="883"/>
      <c r="AG242" s="883"/>
      <c r="AH242" s="883"/>
      <c r="AI242" s="332"/>
      <c r="AJ242" s="883"/>
      <c r="AK242" s="883"/>
      <c r="AL242" s="883"/>
      <c r="AM242" s="883"/>
      <c r="AN242" s="883"/>
      <c r="AO242" s="332"/>
      <c r="AP242" s="883"/>
      <c r="AQ242" s="883"/>
      <c r="AR242" s="883"/>
      <c r="AS242" s="883"/>
      <c r="AT242" s="883"/>
      <c r="AU242" s="332"/>
      <c r="AV242" s="883"/>
      <c r="AW242" s="883"/>
      <c r="AX242" s="883"/>
      <c r="AY242" s="883"/>
      <c r="AZ242" s="883"/>
      <c r="BA242" s="332"/>
      <c r="BB242" s="883"/>
      <c r="BC242" s="883"/>
      <c r="BD242" s="883"/>
      <c r="BE242" s="883"/>
      <c r="BF242" s="883"/>
      <c r="BG242" s="332"/>
      <c r="BH242" s="883"/>
      <c r="BI242" s="883"/>
      <c r="BJ242" s="883"/>
      <c r="BK242" s="883"/>
      <c r="BL242" s="883"/>
      <c r="BM242" s="332"/>
      <c r="BN242" s="883"/>
      <c r="BO242" s="883"/>
      <c r="BP242" s="883"/>
      <c r="BQ242" s="883"/>
      <c r="BR242" s="883"/>
      <c r="BS242" s="332"/>
      <c r="BT242" s="883"/>
      <c r="BU242" s="883"/>
      <c r="BV242" s="883"/>
      <c r="BW242" s="883"/>
      <c r="BX242" s="883"/>
      <c r="BY242" s="332"/>
      <c r="BZ242" s="883"/>
      <c r="CA242" s="883"/>
      <c r="CB242" s="883"/>
      <c r="CC242" s="883"/>
      <c r="CD242" s="883"/>
      <c r="CE242" s="332"/>
      <c r="CF242" s="883"/>
      <c r="CG242" s="883"/>
      <c r="CH242" s="883"/>
      <c r="CI242" s="883"/>
      <c r="CJ242" s="883"/>
      <c r="CK242" s="332"/>
      <c r="CL242" s="883"/>
      <c r="CM242" s="883"/>
      <c r="CN242" s="883"/>
      <c r="CO242" s="883"/>
      <c r="CP242" s="883"/>
      <c r="CQ242" s="332"/>
      <c r="CR242" s="883"/>
      <c r="CS242" s="883"/>
      <c r="CT242" s="883"/>
      <c r="CU242" s="883"/>
      <c r="CV242" s="883"/>
      <c r="CW242" s="332"/>
      <c r="CX242" s="883"/>
      <c r="CY242" s="883"/>
      <c r="CZ242" s="883"/>
      <c r="DA242" s="883"/>
      <c r="DB242" s="883"/>
      <c r="DC242" s="332"/>
      <c r="DD242" s="883"/>
      <c r="DE242" s="883"/>
      <c r="DF242" s="883"/>
      <c r="DG242" s="883"/>
      <c r="DH242" s="883"/>
      <c r="DI242" s="332"/>
      <c r="DJ242" s="883"/>
      <c r="DK242" s="883"/>
      <c r="DL242" s="883"/>
      <c r="DM242" s="883"/>
      <c r="DN242" s="883"/>
      <c r="DO242" s="332"/>
      <c r="DP242" s="883"/>
      <c r="DQ242" s="883"/>
      <c r="DR242" s="883"/>
      <c r="DS242" s="883"/>
      <c r="DT242" s="883"/>
      <c r="DU242" s="332"/>
      <c r="DV242" s="883"/>
      <c r="DW242" s="883"/>
      <c r="DX242" s="883"/>
      <c r="DY242" s="883"/>
      <c r="DZ242" s="883"/>
      <c r="EA242" s="332"/>
      <c r="EB242" s="883"/>
      <c r="EC242" s="883"/>
      <c r="ED242" s="883"/>
      <c r="EE242" s="883"/>
      <c r="EF242" s="883"/>
      <c r="EG242" s="332"/>
      <c r="EH242" s="883"/>
      <c r="EI242" s="883"/>
      <c r="EJ242" s="883"/>
      <c r="EK242" s="883"/>
      <c r="EL242" s="883"/>
      <c r="EM242" s="332"/>
      <c r="EN242" s="883"/>
      <c r="EO242" s="883"/>
      <c r="EP242" s="883"/>
      <c r="EQ242" s="883"/>
      <c r="ER242" s="883"/>
      <c r="ES242" s="332"/>
      <c r="ET242" s="883"/>
      <c r="EU242" s="883"/>
      <c r="EV242" s="883"/>
      <c r="EW242" s="883"/>
      <c r="EX242" s="883"/>
      <c r="EY242" s="332"/>
      <c r="EZ242" s="883"/>
      <c r="FA242" s="883"/>
      <c r="FB242" s="883"/>
      <c r="FC242" s="883"/>
      <c r="FD242" s="883"/>
      <c r="FE242" s="332"/>
      <c r="FF242" s="883"/>
      <c r="FG242" s="883"/>
      <c r="FH242" s="883"/>
      <c r="FI242" s="883"/>
      <c r="FJ242" s="883"/>
      <c r="FK242" s="332"/>
      <c r="FL242" s="883"/>
      <c r="FM242" s="883"/>
      <c r="FN242" s="883"/>
      <c r="FO242" s="883"/>
      <c r="FP242" s="883"/>
      <c r="FQ242" s="332"/>
      <c r="FR242" s="883"/>
      <c r="FS242" s="883"/>
      <c r="FT242" s="883"/>
      <c r="FU242" s="883"/>
      <c r="FV242" s="883"/>
      <c r="FW242" s="332"/>
      <c r="FX242" s="883"/>
      <c r="FY242" s="883"/>
      <c r="FZ242" s="883"/>
      <c r="GA242" s="883"/>
      <c r="GB242" s="883"/>
      <c r="GC242" s="332"/>
      <c r="GD242" s="883"/>
      <c r="GE242" s="883"/>
      <c r="GF242" s="883"/>
      <c r="GG242" s="883"/>
      <c r="GH242" s="883"/>
      <c r="GI242" s="332"/>
      <c r="GJ242" s="883"/>
      <c r="GK242" s="883"/>
      <c r="GL242" s="883"/>
      <c r="GM242" s="883"/>
      <c r="GN242" s="883"/>
      <c r="GO242" s="332"/>
      <c r="GP242" s="883"/>
      <c r="GQ242" s="883"/>
      <c r="GR242" s="883"/>
      <c r="GS242" s="883"/>
      <c r="GT242" s="883"/>
      <c r="GU242" s="332"/>
      <c r="GV242" s="883"/>
      <c r="GW242" s="883"/>
      <c r="GX242" s="883"/>
      <c r="GY242" s="883"/>
      <c r="GZ242" s="883"/>
      <c r="HA242" s="332"/>
      <c r="HB242" s="883"/>
      <c r="HC242" s="883"/>
      <c r="HD242" s="883"/>
      <c r="HE242" s="883"/>
      <c r="HF242" s="883"/>
      <c r="HG242" s="332"/>
      <c r="HH242" s="883"/>
      <c r="HI242" s="883"/>
      <c r="HJ242" s="883"/>
      <c r="HK242" s="883"/>
      <c r="HL242" s="883"/>
      <c r="HM242" s="332"/>
      <c r="HN242" s="883"/>
      <c r="HO242" s="883"/>
      <c r="HP242" s="883"/>
      <c r="HQ242" s="883"/>
      <c r="HR242" s="883"/>
      <c r="HS242" s="332"/>
      <c r="HT242" s="883"/>
      <c r="HU242" s="883"/>
      <c r="HV242" s="883"/>
      <c r="HW242" s="883"/>
      <c r="HX242" s="883"/>
      <c r="HY242" s="332"/>
      <c r="HZ242" s="883"/>
      <c r="IA242" s="883"/>
      <c r="IB242" s="883"/>
      <c r="IC242" s="883"/>
      <c r="ID242" s="883"/>
      <c r="IE242" s="332"/>
      <c r="IF242" s="883"/>
      <c r="IG242" s="883"/>
      <c r="IH242" s="883"/>
      <c r="II242" s="883"/>
      <c r="IJ242" s="883"/>
      <c r="IK242" s="332"/>
      <c r="IL242" s="883"/>
      <c r="IM242" s="883"/>
      <c r="IN242" s="883"/>
      <c r="IO242" s="883"/>
      <c r="IP242" s="883"/>
      <c r="IQ242" s="332"/>
      <c r="IR242" s="883"/>
    </row>
    <row r="243" spans="1:252" s="349" customFormat="1">
      <c r="A243" s="230"/>
      <c r="B243" s="883"/>
      <c r="C243" s="469" t="s">
        <v>1111</v>
      </c>
      <c r="D243" s="883"/>
      <c r="E243" s="883"/>
      <c r="F243" s="231"/>
      <c r="G243" s="979" t="s">
        <v>640</v>
      </c>
      <c r="H243" s="1094">
        <f t="shared" ref="H243:H248" si="12">INDEX(Inputs_EndYrBal,MATCH(G243,Inputs_FF1_Map,0))</f>
        <v>0</v>
      </c>
      <c r="I243" s="1128"/>
      <c r="J243" s="631"/>
      <c r="K243" s="249"/>
      <c r="L243" s="883"/>
      <c r="M243" s="912"/>
      <c r="N243" s="883"/>
      <c r="O243" s="311"/>
      <c r="P243" s="2257"/>
      <c r="Q243" s="332"/>
      <c r="R243" s="883"/>
      <c r="S243" s="883"/>
      <c r="T243" s="883"/>
      <c r="U243" s="883"/>
      <c r="V243" s="883"/>
      <c r="W243" s="332"/>
      <c r="X243" s="883"/>
      <c r="Y243" s="883"/>
      <c r="Z243" s="883"/>
      <c r="AA243" s="883"/>
      <c r="AB243" s="883"/>
      <c r="AC243" s="332"/>
      <c r="AD243" s="883"/>
      <c r="AE243" s="883"/>
      <c r="AF243" s="883"/>
      <c r="AG243" s="883"/>
      <c r="AH243" s="883"/>
      <c r="AI243" s="332"/>
      <c r="AJ243" s="883"/>
      <c r="AK243" s="883"/>
      <c r="AL243" s="883"/>
      <c r="AM243" s="883"/>
      <c r="AN243" s="883"/>
      <c r="AO243" s="332"/>
      <c r="AP243" s="883"/>
      <c r="AQ243" s="883"/>
      <c r="AR243" s="883"/>
      <c r="AS243" s="883"/>
      <c r="AT243" s="883"/>
      <c r="AU243" s="332"/>
      <c r="AV243" s="883"/>
      <c r="AW243" s="883"/>
      <c r="AX243" s="883"/>
      <c r="AY243" s="883"/>
      <c r="AZ243" s="883"/>
      <c r="BA243" s="332"/>
      <c r="BB243" s="883"/>
      <c r="BC243" s="883"/>
      <c r="BD243" s="883"/>
      <c r="BE243" s="883"/>
      <c r="BF243" s="883"/>
      <c r="BG243" s="332"/>
      <c r="BH243" s="883"/>
      <c r="BI243" s="883"/>
      <c r="BJ243" s="883"/>
      <c r="BK243" s="883"/>
      <c r="BL243" s="883"/>
      <c r="BM243" s="332"/>
      <c r="BN243" s="883"/>
      <c r="BO243" s="883"/>
      <c r="BP243" s="883"/>
      <c r="BQ243" s="883"/>
      <c r="BR243" s="883"/>
      <c r="BS243" s="332"/>
      <c r="BT243" s="883"/>
      <c r="BU243" s="883"/>
      <c r="BV243" s="883"/>
      <c r="BW243" s="883"/>
      <c r="BX243" s="883"/>
      <c r="BY243" s="332"/>
      <c r="BZ243" s="883"/>
      <c r="CA243" s="883"/>
      <c r="CB243" s="883"/>
      <c r="CC243" s="883"/>
      <c r="CD243" s="883"/>
      <c r="CE243" s="332"/>
      <c r="CF243" s="883"/>
      <c r="CG243" s="883"/>
      <c r="CH243" s="883"/>
      <c r="CI243" s="883"/>
      <c r="CJ243" s="883"/>
      <c r="CK243" s="332"/>
      <c r="CL243" s="883"/>
      <c r="CM243" s="883"/>
      <c r="CN243" s="883"/>
      <c r="CO243" s="883"/>
      <c r="CP243" s="883"/>
      <c r="CQ243" s="332"/>
      <c r="CR243" s="883"/>
      <c r="CS243" s="883"/>
      <c r="CT243" s="883"/>
      <c r="CU243" s="883"/>
      <c r="CV243" s="883"/>
      <c r="CW243" s="332"/>
      <c r="CX243" s="883"/>
      <c r="CY243" s="883"/>
      <c r="CZ243" s="883"/>
      <c r="DA243" s="883"/>
      <c r="DB243" s="883"/>
      <c r="DC243" s="332"/>
      <c r="DD243" s="883"/>
      <c r="DE243" s="883"/>
      <c r="DF243" s="883"/>
      <c r="DG243" s="883"/>
      <c r="DH243" s="883"/>
      <c r="DI243" s="332"/>
      <c r="DJ243" s="883"/>
      <c r="DK243" s="883"/>
      <c r="DL243" s="883"/>
      <c r="DM243" s="883"/>
      <c r="DN243" s="883"/>
      <c r="DO243" s="332"/>
      <c r="DP243" s="883"/>
      <c r="DQ243" s="883"/>
      <c r="DR243" s="883"/>
      <c r="DS243" s="883"/>
      <c r="DT243" s="883"/>
      <c r="DU243" s="332"/>
      <c r="DV243" s="883"/>
      <c r="DW243" s="883"/>
      <c r="DX243" s="883"/>
      <c r="DY243" s="883"/>
      <c r="DZ243" s="883"/>
      <c r="EA243" s="332"/>
      <c r="EB243" s="883"/>
      <c r="EC243" s="883"/>
      <c r="ED243" s="883"/>
      <c r="EE243" s="883"/>
      <c r="EF243" s="883"/>
      <c r="EG243" s="332"/>
      <c r="EH243" s="883"/>
      <c r="EI243" s="883"/>
      <c r="EJ243" s="883"/>
      <c r="EK243" s="883"/>
      <c r="EL243" s="883"/>
      <c r="EM243" s="332"/>
      <c r="EN243" s="883"/>
      <c r="EO243" s="883"/>
      <c r="EP243" s="883"/>
      <c r="EQ243" s="883"/>
      <c r="ER243" s="883"/>
      <c r="ES243" s="332"/>
      <c r="ET243" s="883"/>
      <c r="EU243" s="883"/>
      <c r="EV243" s="883"/>
      <c r="EW243" s="883"/>
      <c r="EX243" s="883"/>
      <c r="EY243" s="332"/>
      <c r="EZ243" s="883"/>
      <c r="FA243" s="883"/>
      <c r="FB243" s="883"/>
      <c r="FC243" s="883"/>
      <c r="FD243" s="883"/>
      <c r="FE243" s="332"/>
      <c r="FF243" s="883"/>
      <c r="FG243" s="883"/>
      <c r="FH243" s="883"/>
      <c r="FI243" s="883"/>
      <c r="FJ243" s="883"/>
      <c r="FK243" s="332"/>
      <c r="FL243" s="883"/>
      <c r="FM243" s="883"/>
      <c r="FN243" s="883"/>
      <c r="FO243" s="883"/>
      <c r="FP243" s="883"/>
      <c r="FQ243" s="332"/>
      <c r="FR243" s="883"/>
      <c r="FS243" s="883"/>
      <c r="FT243" s="883"/>
      <c r="FU243" s="883"/>
      <c r="FV243" s="883"/>
      <c r="FW243" s="332"/>
      <c r="FX243" s="883"/>
      <c r="FY243" s="883"/>
      <c r="FZ243" s="883"/>
      <c r="GA243" s="883"/>
      <c r="GB243" s="883"/>
      <c r="GC243" s="332"/>
      <c r="GD243" s="883"/>
      <c r="GE243" s="883"/>
      <c r="GF243" s="883"/>
      <c r="GG243" s="883"/>
      <c r="GH243" s="883"/>
      <c r="GI243" s="332"/>
      <c r="GJ243" s="883"/>
      <c r="GK243" s="883"/>
      <c r="GL243" s="883"/>
      <c r="GM243" s="883"/>
      <c r="GN243" s="883"/>
      <c r="GO243" s="332"/>
      <c r="GP243" s="883"/>
      <c r="GQ243" s="883"/>
      <c r="GR243" s="883"/>
      <c r="GS243" s="883"/>
      <c r="GT243" s="883"/>
      <c r="GU243" s="332"/>
      <c r="GV243" s="883"/>
      <c r="GW243" s="883"/>
      <c r="GX243" s="883"/>
      <c r="GY243" s="883"/>
      <c r="GZ243" s="883"/>
      <c r="HA243" s="332"/>
      <c r="HB243" s="883"/>
      <c r="HC243" s="883"/>
      <c r="HD243" s="883"/>
      <c r="HE243" s="883"/>
      <c r="HF243" s="883"/>
      <c r="HG243" s="332"/>
      <c r="HH243" s="883"/>
      <c r="HI243" s="883"/>
      <c r="HJ243" s="883"/>
      <c r="HK243" s="883"/>
      <c r="HL243" s="883"/>
      <c r="HM243" s="332"/>
      <c r="HN243" s="883"/>
      <c r="HO243" s="883"/>
      <c r="HP243" s="883"/>
      <c r="HQ243" s="883"/>
      <c r="HR243" s="883"/>
      <c r="HS243" s="332"/>
      <c r="HT243" s="883"/>
      <c r="HU243" s="883"/>
      <c r="HV243" s="883"/>
      <c r="HW243" s="883"/>
      <c r="HX243" s="883"/>
      <c r="HY243" s="332"/>
      <c r="HZ243" s="883"/>
      <c r="IA243" s="883"/>
      <c r="IB243" s="883"/>
      <c r="IC243" s="883"/>
      <c r="ID243" s="883"/>
      <c r="IE243" s="332"/>
      <c r="IF243" s="883"/>
      <c r="IG243" s="883"/>
      <c r="IH243" s="883"/>
      <c r="II243" s="883"/>
      <c r="IJ243" s="883"/>
      <c r="IK243" s="332"/>
      <c r="IL243" s="883"/>
      <c r="IM243" s="883"/>
      <c r="IN243" s="883"/>
      <c r="IO243" s="883"/>
      <c r="IP243" s="883"/>
      <c r="IQ243" s="332"/>
      <c r="IR243" s="883"/>
    </row>
    <row r="244" spans="1:252" s="349" customFormat="1">
      <c r="A244" s="230"/>
      <c r="B244" s="883"/>
      <c r="C244" s="469" t="s">
        <v>1018</v>
      </c>
      <c r="D244" s="883"/>
      <c r="E244" s="883"/>
      <c r="F244" s="231"/>
      <c r="G244" s="979" t="s">
        <v>1112</v>
      </c>
      <c r="H244" s="1094">
        <f t="shared" si="12"/>
        <v>0</v>
      </c>
      <c r="I244" s="1128"/>
      <c r="J244" s="631"/>
      <c r="K244" s="249"/>
      <c r="L244" s="883"/>
      <c r="M244" s="912"/>
      <c r="N244" s="883"/>
      <c r="O244" s="311"/>
      <c r="P244" s="2257"/>
      <c r="Q244" s="332"/>
      <c r="R244" s="883"/>
      <c r="S244" s="883"/>
      <c r="T244" s="883"/>
      <c r="U244" s="883"/>
      <c r="V244" s="883"/>
      <c r="W244" s="332"/>
      <c r="X244" s="883"/>
      <c r="Y244" s="883"/>
      <c r="Z244" s="883"/>
      <c r="AA244" s="883"/>
      <c r="AB244" s="883"/>
      <c r="AC244" s="332"/>
      <c r="AD244" s="883"/>
      <c r="AE244" s="883"/>
      <c r="AF244" s="883"/>
      <c r="AG244" s="883"/>
      <c r="AH244" s="883"/>
      <c r="AI244" s="332"/>
      <c r="AJ244" s="883"/>
      <c r="AK244" s="883"/>
      <c r="AL244" s="883"/>
      <c r="AM244" s="883"/>
      <c r="AN244" s="883"/>
      <c r="AO244" s="332"/>
      <c r="AP244" s="883"/>
      <c r="AQ244" s="883"/>
      <c r="AR244" s="883"/>
      <c r="AS244" s="883"/>
      <c r="AT244" s="883"/>
      <c r="AU244" s="332"/>
      <c r="AV244" s="883"/>
      <c r="AW244" s="883"/>
      <c r="AX244" s="883"/>
      <c r="AY244" s="883"/>
      <c r="AZ244" s="883"/>
      <c r="BA244" s="332"/>
      <c r="BB244" s="883"/>
      <c r="BC244" s="883"/>
      <c r="BD244" s="883"/>
      <c r="BE244" s="883"/>
      <c r="BF244" s="883"/>
      <c r="BG244" s="332"/>
      <c r="BH244" s="883"/>
      <c r="BI244" s="883"/>
      <c r="BJ244" s="883"/>
      <c r="BK244" s="883"/>
      <c r="BL244" s="883"/>
      <c r="BM244" s="332"/>
      <c r="BN244" s="883"/>
      <c r="BO244" s="883"/>
      <c r="BP244" s="883"/>
      <c r="BQ244" s="883"/>
      <c r="BR244" s="883"/>
      <c r="BS244" s="332"/>
      <c r="BT244" s="883"/>
      <c r="BU244" s="883"/>
      <c r="BV244" s="883"/>
      <c r="BW244" s="883"/>
      <c r="BX244" s="883"/>
      <c r="BY244" s="332"/>
      <c r="BZ244" s="883"/>
      <c r="CA244" s="883"/>
      <c r="CB244" s="883"/>
      <c r="CC244" s="883"/>
      <c r="CD244" s="883"/>
      <c r="CE244" s="332"/>
      <c r="CF244" s="883"/>
      <c r="CG244" s="883"/>
      <c r="CH244" s="883"/>
      <c r="CI244" s="883"/>
      <c r="CJ244" s="883"/>
      <c r="CK244" s="332"/>
      <c r="CL244" s="883"/>
      <c r="CM244" s="883"/>
      <c r="CN244" s="883"/>
      <c r="CO244" s="883"/>
      <c r="CP244" s="883"/>
      <c r="CQ244" s="332"/>
      <c r="CR244" s="883"/>
      <c r="CS244" s="883"/>
      <c r="CT244" s="883"/>
      <c r="CU244" s="883"/>
      <c r="CV244" s="883"/>
      <c r="CW244" s="332"/>
      <c r="CX244" s="883"/>
      <c r="CY244" s="883"/>
      <c r="CZ244" s="883"/>
      <c r="DA244" s="883"/>
      <c r="DB244" s="883"/>
      <c r="DC244" s="332"/>
      <c r="DD244" s="883"/>
      <c r="DE244" s="883"/>
      <c r="DF244" s="883"/>
      <c r="DG244" s="883"/>
      <c r="DH244" s="883"/>
      <c r="DI244" s="332"/>
      <c r="DJ244" s="883"/>
      <c r="DK244" s="883"/>
      <c r="DL244" s="883"/>
      <c r="DM244" s="883"/>
      <c r="DN244" s="883"/>
      <c r="DO244" s="332"/>
      <c r="DP244" s="883"/>
      <c r="DQ244" s="883"/>
      <c r="DR244" s="883"/>
      <c r="DS244" s="883"/>
      <c r="DT244" s="883"/>
      <c r="DU244" s="332"/>
      <c r="DV244" s="883"/>
      <c r="DW244" s="883"/>
      <c r="DX244" s="883"/>
      <c r="DY244" s="883"/>
      <c r="DZ244" s="883"/>
      <c r="EA244" s="332"/>
      <c r="EB244" s="883"/>
      <c r="EC244" s="883"/>
      <c r="ED244" s="883"/>
      <c r="EE244" s="883"/>
      <c r="EF244" s="883"/>
      <c r="EG244" s="332"/>
      <c r="EH244" s="883"/>
      <c r="EI244" s="883"/>
      <c r="EJ244" s="883"/>
      <c r="EK244" s="883"/>
      <c r="EL244" s="883"/>
      <c r="EM244" s="332"/>
      <c r="EN244" s="883"/>
      <c r="EO244" s="883"/>
      <c r="EP244" s="883"/>
      <c r="EQ244" s="883"/>
      <c r="ER244" s="883"/>
      <c r="ES244" s="332"/>
      <c r="ET244" s="883"/>
      <c r="EU244" s="883"/>
      <c r="EV244" s="883"/>
      <c r="EW244" s="883"/>
      <c r="EX244" s="883"/>
      <c r="EY244" s="332"/>
      <c r="EZ244" s="883"/>
      <c r="FA244" s="883"/>
      <c r="FB244" s="883"/>
      <c r="FC244" s="883"/>
      <c r="FD244" s="883"/>
      <c r="FE244" s="332"/>
      <c r="FF244" s="883"/>
      <c r="FG244" s="883"/>
      <c r="FH244" s="883"/>
      <c r="FI244" s="883"/>
      <c r="FJ244" s="883"/>
      <c r="FK244" s="332"/>
      <c r="FL244" s="883"/>
      <c r="FM244" s="883"/>
      <c r="FN244" s="883"/>
      <c r="FO244" s="883"/>
      <c r="FP244" s="883"/>
      <c r="FQ244" s="332"/>
      <c r="FR244" s="883"/>
      <c r="FS244" s="883"/>
      <c r="FT244" s="883"/>
      <c r="FU244" s="883"/>
      <c r="FV244" s="883"/>
      <c r="FW244" s="332"/>
      <c r="FX244" s="883"/>
      <c r="FY244" s="883"/>
      <c r="FZ244" s="883"/>
      <c r="GA244" s="883"/>
      <c r="GB244" s="883"/>
      <c r="GC244" s="332"/>
      <c r="GD244" s="883"/>
      <c r="GE244" s="883"/>
      <c r="GF244" s="883"/>
      <c r="GG244" s="883"/>
      <c r="GH244" s="883"/>
      <c r="GI244" s="332"/>
      <c r="GJ244" s="883"/>
      <c r="GK244" s="883"/>
      <c r="GL244" s="883"/>
      <c r="GM244" s="883"/>
      <c r="GN244" s="883"/>
      <c r="GO244" s="332"/>
      <c r="GP244" s="883"/>
      <c r="GQ244" s="883"/>
      <c r="GR244" s="883"/>
      <c r="GS244" s="883"/>
      <c r="GT244" s="883"/>
      <c r="GU244" s="332"/>
      <c r="GV244" s="883"/>
      <c r="GW244" s="883"/>
      <c r="GX244" s="883"/>
      <c r="GY244" s="883"/>
      <c r="GZ244" s="883"/>
      <c r="HA244" s="332"/>
      <c r="HB244" s="883"/>
      <c r="HC244" s="883"/>
      <c r="HD244" s="883"/>
      <c r="HE244" s="883"/>
      <c r="HF244" s="883"/>
      <c r="HG244" s="332"/>
      <c r="HH244" s="883"/>
      <c r="HI244" s="883"/>
      <c r="HJ244" s="883"/>
      <c r="HK244" s="883"/>
      <c r="HL244" s="883"/>
      <c r="HM244" s="332"/>
      <c r="HN244" s="883"/>
      <c r="HO244" s="883"/>
      <c r="HP244" s="883"/>
      <c r="HQ244" s="883"/>
      <c r="HR244" s="883"/>
      <c r="HS244" s="332"/>
      <c r="HT244" s="883"/>
      <c r="HU244" s="883"/>
      <c r="HV244" s="883"/>
      <c r="HW244" s="883"/>
      <c r="HX244" s="883"/>
      <c r="HY244" s="332"/>
      <c r="HZ244" s="883"/>
      <c r="IA244" s="883"/>
      <c r="IB244" s="883"/>
      <c r="IC244" s="883"/>
      <c r="ID244" s="883"/>
      <c r="IE244" s="332"/>
      <c r="IF244" s="883"/>
      <c r="IG244" s="883"/>
      <c r="IH244" s="883"/>
      <c r="II244" s="883"/>
      <c r="IJ244" s="883"/>
      <c r="IK244" s="332"/>
      <c r="IL244" s="883"/>
      <c r="IM244" s="883"/>
      <c r="IN244" s="883"/>
      <c r="IO244" s="883"/>
      <c r="IP244" s="883"/>
      <c r="IQ244" s="332"/>
      <c r="IR244" s="883"/>
    </row>
    <row r="245" spans="1:252" s="349" customFormat="1">
      <c r="A245" s="230"/>
      <c r="B245" s="883"/>
      <c r="C245" s="469" t="s">
        <v>1019</v>
      </c>
      <c r="D245" s="883"/>
      <c r="E245" s="883"/>
      <c r="F245" s="231"/>
      <c r="G245" s="979" t="s">
        <v>204</v>
      </c>
      <c r="H245" s="1094">
        <f>INDEX(Inputs_EndYrBal,MATCH(G245,Inputs_FF1_Map,0))</f>
        <v>7180746</v>
      </c>
      <c r="I245" s="1128"/>
      <c r="J245" s="631"/>
      <c r="K245" s="249"/>
      <c r="L245" s="883"/>
      <c r="M245" s="912"/>
      <c r="N245" s="883"/>
      <c r="O245" s="311"/>
      <c r="P245" s="2257"/>
      <c r="Q245" s="332"/>
      <c r="R245" s="883"/>
      <c r="S245" s="883"/>
      <c r="T245" s="883"/>
      <c r="U245" s="883"/>
      <c r="V245" s="883"/>
      <c r="W245" s="332"/>
      <c r="X245" s="883"/>
      <c r="Y245" s="883"/>
      <c r="Z245" s="883"/>
      <c r="AA245" s="883"/>
      <c r="AB245" s="883"/>
      <c r="AC245" s="332"/>
      <c r="AD245" s="883"/>
      <c r="AE245" s="883"/>
      <c r="AF245" s="883"/>
      <c r="AG245" s="883"/>
      <c r="AH245" s="883"/>
      <c r="AI245" s="332"/>
      <c r="AJ245" s="883"/>
      <c r="AK245" s="883"/>
      <c r="AL245" s="883"/>
      <c r="AM245" s="883"/>
      <c r="AN245" s="883"/>
      <c r="AO245" s="332"/>
      <c r="AP245" s="883"/>
      <c r="AQ245" s="883"/>
      <c r="AR245" s="883"/>
      <c r="AS245" s="883"/>
      <c r="AT245" s="883"/>
      <c r="AU245" s="332"/>
      <c r="AV245" s="883"/>
      <c r="AW245" s="883"/>
      <c r="AX245" s="883"/>
      <c r="AY245" s="883"/>
      <c r="AZ245" s="883"/>
      <c r="BA245" s="332"/>
      <c r="BB245" s="883"/>
      <c r="BC245" s="883"/>
      <c r="BD245" s="883"/>
      <c r="BE245" s="883"/>
      <c r="BF245" s="883"/>
      <c r="BG245" s="332"/>
      <c r="BH245" s="883"/>
      <c r="BI245" s="883"/>
      <c r="BJ245" s="883"/>
      <c r="BK245" s="883"/>
      <c r="BL245" s="883"/>
      <c r="BM245" s="332"/>
      <c r="BN245" s="883"/>
      <c r="BO245" s="883"/>
      <c r="BP245" s="883"/>
      <c r="BQ245" s="883"/>
      <c r="BR245" s="883"/>
      <c r="BS245" s="332"/>
      <c r="BT245" s="883"/>
      <c r="BU245" s="883"/>
      <c r="BV245" s="883"/>
      <c r="BW245" s="883"/>
      <c r="BX245" s="883"/>
      <c r="BY245" s="332"/>
      <c r="BZ245" s="883"/>
      <c r="CA245" s="883"/>
      <c r="CB245" s="883"/>
      <c r="CC245" s="883"/>
      <c r="CD245" s="883"/>
      <c r="CE245" s="332"/>
      <c r="CF245" s="883"/>
      <c r="CG245" s="883"/>
      <c r="CH245" s="883"/>
      <c r="CI245" s="883"/>
      <c r="CJ245" s="883"/>
      <c r="CK245" s="332"/>
      <c r="CL245" s="883"/>
      <c r="CM245" s="883"/>
      <c r="CN245" s="883"/>
      <c r="CO245" s="883"/>
      <c r="CP245" s="883"/>
      <c r="CQ245" s="332"/>
      <c r="CR245" s="883"/>
      <c r="CS245" s="883"/>
      <c r="CT245" s="883"/>
      <c r="CU245" s="883"/>
      <c r="CV245" s="883"/>
      <c r="CW245" s="332"/>
      <c r="CX245" s="883"/>
      <c r="CY245" s="883"/>
      <c r="CZ245" s="883"/>
      <c r="DA245" s="883"/>
      <c r="DB245" s="883"/>
      <c r="DC245" s="332"/>
      <c r="DD245" s="883"/>
      <c r="DE245" s="883"/>
      <c r="DF245" s="883"/>
      <c r="DG245" s="883"/>
      <c r="DH245" s="883"/>
      <c r="DI245" s="332"/>
      <c r="DJ245" s="883"/>
      <c r="DK245" s="883"/>
      <c r="DL245" s="883"/>
      <c r="DM245" s="883"/>
      <c r="DN245" s="883"/>
      <c r="DO245" s="332"/>
      <c r="DP245" s="883"/>
      <c r="DQ245" s="883"/>
      <c r="DR245" s="883"/>
      <c r="DS245" s="883"/>
      <c r="DT245" s="883"/>
      <c r="DU245" s="332"/>
      <c r="DV245" s="883"/>
      <c r="DW245" s="883"/>
      <c r="DX245" s="883"/>
      <c r="DY245" s="883"/>
      <c r="DZ245" s="883"/>
      <c r="EA245" s="332"/>
      <c r="EB245" s="883"/>
      <c r="EC245" s="883"/>
      <c r="ED245" s="883"/>
      <c r="EE245" s="883"/>
      <c r="EF245" s="883"/>
      <c r="EG245" s="332"/>
      <c r="EH245" s="883"/>
      <c r="EI245" s="883"/>
      <c r="EJ245" s="883"/>
      <c r="EK245" s="883"/>
      <c r="EL245" s="883"/>
      <c r="EM245" s="332"/>
      <c r="EN245" s="883"/>
      <c r="EO245" s="883"/>
      <c r="EP245" s="883"/>
      <c r="EQ245" s="883"/>
      <c r="ER245" s="883"/>
      <c r="ES245" s="332"/>
      <c r="ET245" s="883"/>
      <c r="EU245" s="883"/>
      <c r="EV245" s="883"/>
      <c r="EW245" s="883"/>
      <c r="EX245" s="883"/>
      <c r="EY245" s="332"/>
      <c r="EZ245" s="883"/>
      <c r="FA245" s="883"/>
      <c r="FB245" s="883"/>
      <c r="FC245" s="883"/>
      <c r="FD245" s="883"/>
      <c r="FE245" s="332"/>
      <c r="FF245" s="883"/>
      <c r="FG245" s="883"/>
      <c r="FH245" s="883"/>
      <c r="FI245" s="883"/>
      <c r="FJ245" s="883"/>
      <c r="FK245" s="332"/>
      <c r="FL245" s="883"/>
      <c r="FM245" s="883"/>
      <c r="FN245" s="883"/>
      <c r="FO245" s="883"/>
      <c r="FP245" s="883"/>
      <c r="FQ245" s="332"/>
      <c r="FR245" s="883"/>
      <c r="FS245" s="883"/>
      <c r="FT245" s="883"/>
      <c r="FU245" s="883"/>
      <c r="FV245" s="883"/>
      <c r="FW245" s="332"/>
      <c r="FX245" s="883"/>
      <c r="FY245" s="883"/>
      <c r="FZ245" s="883"/>
      <c r="GA245" s="883"/>
      <c r="GB245" s="883"/>
      <c r="GC245" s="332"/>
      <c r="GD245" s="883"/>
      <c r="GE245" s="883"/>
      <c r="GF245" s="883"/>
      <c r="GG245" s="883"/>
      <c r="GH245" s="883"/>
      <c r="GI245" s="332"/>
      <c r="GJ245" s="883"/>
      <c r="GK245" s="883"/>
      <c r="GL245" s="883"/>
      <c r="GM245" s="883"/>
      <c r="GN245" s="883"/>
      <c r="GO245" s="332"/>
      <c r="GP245" s="883"/>
      <c r="GQ245" s="883"/>
      <c r="GR245" s="883"/>
      <c r="GS245" s="883"/>
      <c r="GT245" s="883"/>
      <c r="GU245" s="332"/>
      <c r="GV245" s="883"/>
      <c r="GW245" s="883"/>
      <c r="GX245" s="883"/>
      <c r="GY245" s="883"/>
      <c r="GZ245" s="883"/>
      <c r="HA245" s="332"/>
      <c r="HB245" s="883"/>
      <c r="HC245" s="883"/>
      <c r="HD245" s="883"/>
      <c r="HE245" s="883"/>
      <c r="HF245" s="883"/>
      <c r="HG245" s="332"/>
      <c r="HH245" s="883"/>
      <c r="HI245" s="883"/>
      <c r="HJ245" s="883"/>
      <c r="HK245" s="883"/>
      <c r="HL245" s="883"/>
      <c r="HM245" s="332"/>
      <c r="HN245" s="883"/>
      <c r="HO245" s="883"/>
      <c r="HP245" s="883"/>
      <c r="HQ245" s="883"/>
      <c r="HR245" s="883"/>
      <c r="HS245" s="332"/>
      <c r="HT245" s="883"/>
      <c r="HU245" s="883"/>
      <c r="HV245" s="883"/>
      <c r="HW245" s="883"/>
      <c r="HX245" s="883"/>
      <c r="HY245" s="332"/>
      <c r="HZ245" s="883"/>
      <c r="IA245" s="883"/>
      <c r="IB245" s="883"/>
      <c r="IC245" s="883"/>
      <c r="ID245" s="883"/>
      <c r="IE245" s="332"/>
      <c r="IF245" s="883"/>
      <c r="IG245" s="883"/>
      <c r="IH245" s="883"/>
      <c r="II245" s="883"/>
      <c r="IJ245" s="883"/>
      <c r="IK245" s="332"/>
      <c r="IL245" s="883"/>
      <c r="IM245" s="883"/>
      <c r="IN245" s="883"/>
      <c r="IO245" s="883"/>
      <c r="IP245" s="883"/>
      <c r="IQ245" s="332"/>
      <c r="IR245" s="883"/>
    </row>
    <row r="246" spans="1:252" s="349" customFormat="1">
      <c r="A246" s="230"/>
      <c r="B246" s="883"/>
      <c r="C246" s="469" t="s">
        <v>1020</v>
      </c>
      <c r="D246" s="883"/>
      <c r="E246" s="883"/>
      <c r="F246" s="231"/>
      <c r="G246" s="979" t="s">
        <v>423</v>
      </c>
      <c r="H246" s="1094">
        <f t="shared" si="12"/>
        <v>0</v>
      </c>
      <c r="I246" s="1128"/>
      <c r="J246" s="631"/>
      <c r="K246" s="249"/>
      <c r="L246" s="883"/>
      <c r="M246" s="912"/>
      <c r="N246" s="883"/>
      <c r="O246" s="311"/>
      <c r="P246" s="2257"/>
      <c r="Q246" s="332"/>
      <c r="R246" s="883"/>
      <c r="S246" s="883"/>
      <c r="T246" s="883"/>
      <c r="U246" s="883"/>
      <c r="V246" s="883"/>
      <c r="W246" s="332"/>
      <c r="X246" s="883"/>
      <c r="Y246" s="883"/>
      <c r="Z246" s="883"/>
      <c r="AA246" s="883"/>
      <c r="AB246" s="883"/>
      <c r="AC246" s="332"/>
      <c r="AD246" s="883"/>
      <c r="AE246" s="883"/>
      <c r="AF246" s="883"/>
      <c r="AG246" s="883"/>
      <c r="AH246" s="883"/>
      <c r="AI246" s="332"/>
      <c r="AJ246" s="883"/>
      <c r="AK246" s="883"/>
      <c r="AL246" s="883"/>
      <c r="AM246" s="883"/>
      <c r="AN246" s="883"/>
      <c r="AO246" s="332"/>
      <c r="AP246" s="883"/>
      <c r="AQ246" s="883"/>
      <c r="AR246" s="883"/>
      <c r="AS246" s="883"/>
      <c r="AT246" s="883"/>
      <c r="AU246" s="332"/>
      <c r="AV246" s="883"/>
      <c r="AW246" s="883"/>
      <c r="AX246" s="883"/>
      <c r="AY246" s="883"/>
      <c r="AZ246" s="883"/>
      <c r="BA246" s="332"/>
      <c r="BB246" s="883"/>
      <c r="BC246" s="883"/>
      <c r="BD246" s="883"/>
      <c r="BE246" s="883"/>
      <c r="BF246" s="883"/>
      <c r="BG246" s="332"/>
      <c r="BH246" s="883"/>
      <c r="BI246" s="883"/>
      <c r="BJ246" s="883"/>
      <c r="BK246" s="883"/>
      <c r="BL246" s="883"/>
      <c r="BM246" s="332"/>
      <c r="BN246" s="883"/>
      <c r="BO246" s="883"/>
      <c r="BP246" s="883"/>
      <c r="BQ246" s="883"/>
      <c r="BR246" s="883"/>
      <c r="BS246" s="332"/>
      <c r="BT246" s="883"/>
      <c r="BU246" s="883"/>
      <c r="BV246" s="883"/>
      <c r="BW246" s="883"/>
      <c r="BX246" s="883"/>
      <c r="BY246" s="332"/>
      <c r="BZ246" s="883"/>
      <c r="CA246" s="883"/>
      <c r="CB246" s="883"/>
      <c r="CC246" s="883"/>
      <c r="CD246" s="883"/>
      <c r="CE246" s="332"/>
      <c r="CF246" s="883"/>
      <c r="CG246" s="883"/>
      <c r="CH246" s="883"/>
      <c r="CI246" s="883"/>
      <c r="CJ246" s="883"/>
      <c r="CK246" s="332"/>
      <c r="CL246" s="883"/>
      <c r="CM246" s="883"/>
      <c r="CN246" s="883"/>
      <c r="CO246" s="883"/>
      <c r="CP246" s="883"/>
      <c r="CQ246" s="332"/>
      <c r="CR246" s="883"/>
      <c r="CS246" s="883"/>
      <c r="CT246" s="883"/>
      <c r="CU246" s="883"/>
      <c r="CV246" s="883"/>
      <c r="CW246" s="332"/>
      <c r="CX246" s="883"/>
      <c r="CY246" s="883"/>
      <c r="CZ246" s="883"/>
      <c r="DA246" s="883"/>
      <c r="DB246" s="883"/>
      <c r="DC246" s="332"/>
      <c r="DD246" s="883"/>
      <c r="DE246" s="883"/>
      <c r="DF246" s="883"/>
      <c r="DG246" s="883"/>
      <c r="DH246" s="883"/>
      <c r="DI246" s="332"/>
      <c r="DJ246" s="883"/>
      <c r="DK246" s="883"/>
      <c r="DL246" s="883"/>
      <c r="DM246" s="883"/>
      <c r="DN246" s="883"/>
      <c r="DO246" s="332"/>
      <c r="DP246" s="883"/>
      <c r="DQ246" s="883"/>
      <c r="DR246" s="883"/>
      <c r="DS246" s="883"/>
      <c r="DT246" s="883"/>
      <c r="DU246" s="332"/>
      <c r="DV246" s="883"/>
      <c r="DW246" s="883"/>
      <c r="DX246" s="883"/>
      <c r="DY246" s="883"/>
      <c r="DZ246" s="883"/>
      <c r="EA246" s="332"/>
      <c r="EB246" s="883"/>
      <c r="EC246" s="883"/>
      <c r="ED246" s="883"/>
      <c r="EE246" s="883"/>
      <c r="EF246" s="883"/>
      <c r="EG246" s="332"/>
      <c r="EH246" s="883"/>
      <c r="EI246" s="883"/>
      <c r="EJ246" s="883"/>
      <c r="EK246" s="883"/>
      <c r="EL246" s="883"/>
      <c r="EM246" s="332"/>
      <c r="EN246" s="883"/>
      <c r="EO246" s="883"/>
      <c r="EP246" s="883"/>
      <c r="EQ246" s="883"/>
      <c r="ER246" s="883"/>
      <c r="ES246" s="332"/>
      <c r="ET246" s="883"/>
      <c r="EU246" s="883"/>
      <c r="EV246" s="883"/>
      <c r="EW246" s="883"/>
      <c r="EX246" s="883"/>
      <c r="EY246" s="332"/>
      <c r="EZ246" s="883"/>
      <c r="FA246" s="883"/>
      <c r="FB246" s="883"/>
      <c r="FC246" s="883"/>
      <c r="FD246" s="883"/>
      <c r="FE246" s="332"/>
      <c r="FF246" s="883"/>
      <c r="FG246" s="883"/>
      <c r="FH246" s="883"/>
      <c r="FI246" s="883"/>
      <c r="FJ246" s="883"/>
      <c r="FK246" s="332"/>
      <c r="FL246" s="883"/>
      <c r="FM246" s="883"/>
      <c r="FN246" s="883"/>
      <c r="FO246" s="883"/>
      <c r="FP246" s="883"/>
      <c r="FQ246" s="332"/>
      <c r="FR246" s="883"/>
      <c r="FS246" s="883"/>
      <c r="FT246" s="883"/>
      <c r="FU246" s="883"/>
      <c r="FV246" s="883"/>
      <c r="FW246" s="332"/>
      <c r="FX246" s="883"/>
      <c r="FY246" s="883"/>
      <c r="FZ246" s="883"/>
      <c r="GA246" s="883"/>
      <c r="GB246" s="883"/>
      <c r="GC246" s="332"/>
      <c r="GD246" s="883"/>
      <c r="GE246" s="883"/>
      <c r="GF246" s="883"/>
      <c r="GG246" s="883"/>
      <c r="GH246" s="883"/>
      <c r="GI246" s="332"/>
      <c r="GJ246" s="883"/>
      <c r="GK246" s="883"/>
      <c r="GL246" s="883"/>
      <c r="GM246" s="883"/>
      <c r="GN246" s="883"/>
      <c r="GO246" s="332"/>
      <c r="GP246" s="883"/>
      <c r="GQ246" s="883"/>
      <c r="GR246" s="883"/>
      <c r="GS246" s="883"/>
      <c r="GT246" s="883"/>
      <c r="GU246" s="332"/>
      <c r="GV246" s="883"/>
      <c r="GW246" s="883"/>
      <c r="GX246" s="883"/>
      <c r="GY246" s="883"/>
      <c r="GZ246" s="883"/>
      <c r="HA246" s="332"/>
      <c r="HB246" s="883"/>
      <c r="HC246" s="883"/>
      <c r="HD246" s="883"/>
      <c r="HE246" s="883"/>
      <c r="HF246" s="883"/>
      <c r="HG246" s="332"/>
      <c r="HH246" s="883"/>
      <c r="HI246" s="883"/>
      <c r="HJ246" s="883"/>
      <c r="HK246" s="883"/>
      <c r="HL246" s="883"/>
      <c r="HM246" s="332"/>
      <c r="HN246" s="883"/>
      <c r="HO246" s="883"/>
      <c r="HP246" s="883"/>
      <c r="HQ246" s="883"/>
      <c r="HR246" s="883"/>
      <c r="HS246" s="332"/>
      <c r="HT246" s="883"/>
      <c r="HU246" s="883"/>
      <c r="HV246" s="883"/>
      <c r="HW246" s="883"/>
      <c r="HX246" s="883"/>
      <c r="HY246" s="332"/>
      <c r="HZ246" s="883"/>
      <c r="IA246" s="883"/>
      <c r="IB246" s="883"/>
      <c r="IC246" s="883"/>
      <c r="ID246" s="883"/>
      <c r="IE246" s="332"/>
      <c r="IF246" s="883"/>
      <c r="IG246" s="883"/>
      <c r="IH246" s="883"/>
      <c r="II246" s="883"/>
      <c r="IJ246" s="883"/>
      <c r="IK246" s="332"/>
      <c r="IL246" s="883"/>
      <c r="IM246" s="883"/>
      <c r="IN246" s="883"/>
      <c r="IO246" s="883"/>
      <c r="IP246" s="883"/>
      <c r="IQ246" s="332"/>
      <c r="IR246" s="883"/>
    </row>
    <row r="247" spans="1:252" s="349" customFormat="1">
      <c r="A247" s="230"/>
      <c r="B247" s="883"/>
      <c r="C247" s="469" t="s">
        <v>1021</v>
      </c>
      <c r="D247" s="883"/>
      <c r="E247" s="883"/>
      <c r="F247" s="231"/>
      <c r="G247" s="979" t="s">
        <v>205</v>
      </c>
      <c r="H247" s="1094">
        <f t="shared" si="12"/>
        <v>1818514</v>
      </c>
      <c r="I247" s="1128"/>
      <c r="J247" s="631"/>
      <c r="K247" s="249"/>
      <c r="L247" s="883"/>
      <c r="M247" s="912"/>
      <c r="N247" s="883"/>
      <c r="O247" s="311"/>
      <c r="P247" s="2257"/>
      <c r="Q247" s="332"/>
      <c r="R247" s="883"/>
      <c r="S247" s="883"/>
      <c r="T247" s="883"/>
      <c r="U247" s="883"/>
      <c r="V247" s="883"/>
      <c r="W247" s="332"/>
      <c r="X247" s="883"/>
      <c r="Y247" s="883"/>
      <c r="Z247" s="883"/>
      <c r="AA247" s="883"/>
      <c r="AB247" s="883"/>
      <c r="AC247" s="332"/>
      <c r="AD247" s="883"/>
      <c r="AE247" s="883"/>
      <c r="AF247" s="883"/>
      <c r="AG247" s="883"/>
      <c r="AH247" s="883"/>
      <c r="AI247" s="332"/>
      <c r="AJ247" s="883"/>
      <c r="AK247" s="883"/>
      <c r="AL247" s="883"/>
      <c r="AM247" s="883"/>
      <c r="AN247" s="883"/>
      <c r="AO247" s="332"/>
      <c r="AP247" s="883"/>
      <c r="AQ247" s="883"/>
      <c r="AR247" s="883"/>
      <c r="AS247" s="883"/>
      <c r="AT247" s="883"/>
      <c r="AU247" s="332"/>
      <c r="AV247" s="883"/>
      <c r="AW247" s="883"/>
      <c r="AX247" s="883"/>
      <c r="AY247" s="883"/>
      <c r="AZ247" s="883"/>
      <c r="BA247" s="332"/>
      <c r="BB247" s="883"/>
      <c r="BC247" s="883"/>
      <c r="BD247" s="883"/>
      <c r="BE247" s="883"/>
      <c r="BF247" s="883"/>
      <c r="BG247" s="332"/>
      <c r="BH247" s="883"/>
      <c r="BI247" s="883"/>
      <c r="BJ247" s="883"/>
      <c r="BK247" s="883"/>
      <c r="BL247" s="883"/>
      <c r="BM247" s="332"/>
      <c r="BN247" s="883"/>
      <c r="BO247" s="883"/>
      <c r="BP247" s="883"/>
      <c r="BQ247" s="883"/>
      <c r="BR247" s="883"/>
      <c r="BS247" s="332"/>
      <c r="BT247" s="883"/>
      <c r="BU247" s="883"/>
      <c r="BV247" s="883"/>
      <c r="BW247" s="883"/>
      <c r="BX247" s="883"/>
      <c r="BY247" s="332"/>
      <c r="BZ247" s="883"/>
      <c r="CA247" s="883"/>
      <c r="CB247" s="883"/>
      <c r="CC247" s="883"/>
      <c r="CD247" s="883"/>
      <c r="CE247" s="332"/>
      <c r="CF247" s="883"/>
      <c r="CG247" s="883"/>
      <c r="CH247" s="883"/>
      <c r="CI247" s="883"/>
      <c r="CJ247" s="883"/>
      <c r="CK247" s="332"/>
      <c r="CL247" s="883"/>
      <c r="CM247" s="883"/>
      <c r="CN247" s="883"/>
      <c r="CO247" s="883"/>
      <c r="CP247" s="883"/>
      <c r="CQ247" s="332"/>
      <c r="CR247" s="883"/>
      <c r="CS247" s="883"/>
      <c r="CT247" s="883"/>
      <c r="CU247" s="883"/>
      <c r="CV247" s="883"/>
      <c r="CW247" s="332"/>
      <c r="CX247" s="883"/>
      <c r="CY247" s="883"/>
      <c r="CZ247" s="883"/>
      <c r="DA247" s="883"/>
      <c r="DB247" s="883"/>
      <c r="DC247" s="332"/>
      <c r="DD247" s="883"/>
      <c r="DE247" s="883"/>
      <c r="DF247" s="883"/>
      <c r="DG247" s="883"/>
      <c r="DH247" s="883"/>
      <c r="DI247" s="332"/>
      <c r="DJ247" s="883"/>
      <c r="DK247" s="883"/>
      <c r="DL247" s="883"/>
      <c r="DM247" s="883"/>
      <c r="DN247" s="883"/>
      <c r="DO247" s="332"/>
      <c r="DP247" s="883"/>
      <c r="DQ247" s="883"/>
      <c r="DR247" s="883"/>
      <c r="DS247" s="883"/>
      <c r="DT247" s="883"/>
      <c r="DU247" s="332"/>
      <c r="DV247" s="883"/>
      <c r="DW247" s="883"/>
      <c r="DX247" s="883"/>
      <c r="DY247" s="883"/>
      <c r="DZ247" s="883"/>
      <c r="EA247" s="332"/>
      <c r="EB247" s="883"/>
      <c r="EC247" s="883"/>
      <c r="ED247" s="883"/>
      <c r="EE247" s="883"/>
      <c r="EF247" s="883"/>
      <c r="EG247" s="332"/>
      <c r="EH247" s="883"/>
      <c r="EI247" s="883"/>
      <c r="EJ247" s="883"/>
      <c r="EK247" s="883"/>
      <c r="EL247" s="883"/>
      <c r="EM247" s="332"/>
      <c r="EN247" s="883"/>
      <c r="EO247" s="883"/>
      <c r="EP247" s="883"/>
      <c r="EQ247" s="883"/>
      <c r="ER247" s="883"/>
      <c r="ES247" s="332"/>
      <c r="ET247" s="883"/>
      <c r="EU247" s="883"/>
      <c r="EV247" s="883"/>
      <c r="EW247" s="883"/>
      <c r="EX247" s="883"/>
      <c r="EY247" s="332"/>
      <c r="EZ247" s="883"/>
      <c r="FA247" s="883"/>
      <c r="FB247" s="883"/>
      <c r="FC247" s="883"/>
      <c r="FD247" s="883"/>
      <c r="FE247" s="332"/>
      <c r="FF247" s="883"/>
      <c r="FG247" s="883"/>
      <c r="FH247" s="883"/>
      <c r="FI247" s="883"/>
      <c r="FJ247" s="883"/>
      <c r="FK247" s="332"/>
      <c r="FL247" s="883"/>
      <c r="FM247" s="883"/>
      <c r="FN247" s="883"/>
      <c r="FO247" s="883"/>
      <c r="FP247" s="883"/>
      <c r="FQ247" s="332"/>
      <c r="FR247" s="883"/>
      <c r="FS247" s="883"/>
      <c r="FT247" s="883"/>
      <c r="FU247" s="883"/>
      <c r="FV247" s="883"/>
      <c r="FW247" s="332"/>
      <c r="FX247" s="883"/>
      <c r="FY247" s="883"/>
      <c r="FZ247" s="883"/>
      <c r="GA247" s="883"/>
      <c r="GB247" s="883"/>
      <c r="GC247" s="332"/>
      <c r="GD247" s="883"/>
      <c r="GE247" s="883"/>
      <c r="GF247" s="883"/>
      <c r="GG247" s="883"/>
      <c r="GH247" s="883"/>
      <c r="GI247" s="332"/>
      <c r="GJ247" s="883"/>
      <c r="GK247" s="883"/>
      <c r="GL247" s="883"/>
      <c r="GM247" s="883"/>
      <c r="GN247" s="883"/>
      <c r="GO247" s="332"/>
      <c r="GP247" s="883"/>
      <c r="GQ247" s="883"/>
      <c r="GR247" s="883"/>
      <c r="GS247" s="883"/>
      <c r="GT247" s="883"/>
      <c r="GU247" s="332"/>
      <c r="GV247" s="883"/>
      <c r="GW247" s="883"/>
      <c r="GX247" s="883"/>
      <c r="GY247" s="883"/>
      <c r="GZ247" s="883"/>
      <c r="HA247" s="332"/>
      <c r="HB247" s="883"/>
      <c r="HC247" s="883"/>
      <c r="HD247" s="883"/>
      <c r="HE247" s="883"/>
      <c r="HF247" s="883"/>
      <c r="HG247" s="332"/>
      <c r="HH247" s="883"/>
      <c r="HI247" s="883"/>
      <c r="HJ247" s="883"/>
      <c r="HK247" s="883"/>
      <c r="HL247" s="883"/>
      <c r="HM247" s="332"/>
      <c r="HN247" s="883"/>
      <c r="HO247" s="883"/>
      <c r="HP247" s="883"/>
      <c r="HQ247" s="883"/>
      <c r="HR247" s="883"/>
      <c r="HS247" s="332"/>
      <c r="HT247" s="883"/>
      <c r="HU247" s="883"/>
      <c r="HV247" s="883"/>
      <c r="HW247" s="883"/>
      <c r="HX247" s="883"/>
      <c r="HY247" s="332"/>
      <c r="HZ247" s="883"/>
      <c r="IA247" s="883"/>
      <c r="IB247" s="883"/>
      <c r="IC247" s="883"/>
      <c r="ID247" s="883"/>
      <c r="IE247" s="332"/>
      <c r="IF247" s="883"/>
      <c r="IG247" s="883"/>
      <c r="IH247" s="883"/>
      <c r="II247" s="883"/>
      <c r="IJ247" s="883"/>
      <c r="IK247" s="332"/>
      <c r="IL247" s="883"/>
      <c r="IM247" s="883"/>
      <c r="IN247" s="883"/>
      <c r="IO247" s="883"/>
      <c r="IP247" s="883"/>
      <c r="IQ247" s="332"/>
      <c r="IR247" s="883"/>
    </row>
    <row r="248" spans="1:252" s="349" customFormat="1">
      <c r="A248" s="230"/>
      <c r="B248" s="883"/>
      <c r="C248" s="469" t="s">
        <v>1022</v>
      </c>
      <c r="D248" s="883"/>
      <c r="E248" s="883"/>
      <c r="F248" s="231"/>
      <c r="G248" s="979" t="s">
        <v>424</v>
      </c>
      <c r="H248" s="1094">
        <f t="shared" si="12"/>
        <v>1747640</v>
      </c>
      <c r="I248" s="1128"/>
      <c r="J248" s="631"/>
      <c r="K248" s="249"/>
      <c r="L248" s="883"/>
      <c r="M248" s="912"/>
      <c r="N248" s="883"/>
      <c r="O248" s="311"/>
      <c r="P248" s="2257"/>
      <c r="Q248" s="332"/>
      <c r="R248" s="883"/>
      <c r="S248" s="883"/>
      <c r="T248" s="883"/>
      <c r="U248" s="883"/>
      <c r="V248" s="883"/>
      <c r="W248" s="332"/>
      <c r="X248" s="883"/>
      <c r="Y248" s="883"/>
      <c r="Z248" s="883"/>
      <c r="AA248" s="883"/>
      <c r="AB248" s="883"/>
      <c r="AC248" s="332"/>
      <c r="AD248" s="883"/>
      <c r="AE248" s="883"/>
      <c r="AF248" s="883"/>
      <c r="AG248" s="883"/>
      <c r="AH248" s="883"/>
      <c r="AI248" s="332"/>
      <c r="AJ248" s="883"/>
      <c r="AK248" s="883"/>
      <c r="AL248" s="883"/>
      <c r="AM248" s="883"/>
      <c r="AN248" s="883"/>
      <c r="AO248" s="332"/>
      <c r="AP248" s="883"/>
      <c r="AQ248" s="883"/>
      <c r="AR248" s="883"/>
      <c r="AS248" s="883"/>
      <c r="AT248" s="883"/>
      <c r="AU248" s="332"/>
      <c r="AV248" s="883"/>
      <c r="AW248" s="883"/>
      <c r="AX248" s="883"/>
      <c r="AY248" s="883"/>
      <c r="AZ248" s="883"/>
      <c r="BA248" s="332"/>
      <c r="BB248" s="883"/>
      <c r="BC248" s="883"/>
      <c r="BD248" s="883"/>
      <c r="BE248" s="883"/>
      <c r="BF248" s="883"/>
      <c r="BG248" s="332"/>
      <c r="BH248" s="883"/>
      <c r="BI248" s="883"/>
      <c r="BJ248" s="883"/>
      <c r="BK248" s="883"/>
      <c r="BL248" s="883"/>
      <c r="BM248" s="332"/>
      <c r="BN248" s="883"/>
      <c r="BO248" s="883"/>
      <c r="BP248" s="883"/>
      <c r="BQ248" s="883"/>
      <c r="BR248" s="883"/>
      <c r="BS248" s="332"/>
      <c r="BT248" s="883"/>
      <c r="BU248" s="883"/>
      <c r="BV248" s="883"/>
      <c r="BW248" s="883"/>
      <c r="BX248" s="883"/>
      <c r="BY248" s="332"/>
      <c r="BZ248" s="883"/>
      <c r="CA248" s="883"/>
      <c r="CB248" s="883"/>
      <c r="CC248" s="883"/>
      <c r="CD248" s="883"/>
      <c r="CE248" s="332"/>
      <c r="CF248" s="883"/>
      <c r="CG248" s="883"/>
      <c r="CH248" s="883"/>
      <c r="CI248" s="883"/>
      <c r="CJ248" s="883"/>
      <c r="CK248" s="332"/>
      <c r="CL248" s="883"/>
      <c r="CM248" s="883"/>
      <c r="CN248" s="883"/>
      <c r="CO248" s="883"/>
      <c r="CP248" s="883"/>
      <c r="CQ248" s="332"/>
      <c r="CR248" s="883"/>
      <c r="CS248" s="883"/>
      <c r="CT248" s="883"/>
      <c r="CU248" s="883"/>
      <c r="CV248" s="883"/>
      <c r="CW248" s="332"/>
      <c r="CX248" s="883"/>
      <c r="CY248" s="883"/>
      <c r="CZ248" s="883"/>
      <c r="DA248" s="883"/>
      <c r="DB248" s="883"/>
      <c r="DC248" s="332"/>
      <c r="DD248" s="883"/>
      <c r="DE248" s="883"/>
      <c r="DF248" s="883"/>
      <c r="DG248" s="883"/>
      <c r="DH248" s="883"/>
      <c r="DI248" s="332"/>
      <c r="DJ248" s="883"/>
      <c r="DK248" s="883"/>
      <c r="DL248" s="883"/>
      <c r="DM248" s="883"/>
      <c r="DN248" s="883"/>
      <c r="DO248" s="332"/>
      <c r="DP248" s="883"/>
      <c r="DQ248" s="883"/>
      <c r="DR248" s="883"/>
      <c r="DS248" s="883"/>
      <c r="DT248" s="883"/>
      <c r="DU248" s="332"/>
      <c r="DV248" s="883"/>
      <c r="DW248" s="883"/>
      <c r="DX248" s="883"/>
      <c r="DY248" s="883"/>
      <c r="DZ248" s="883"/>
      <c r="EA248" s="332"/>
      <c r="EB248" s="883"/>
      <c r="EC248" s="883"/>
      <c r="ED248" s="883"/>
      <c r="EE248" s="883"/>
      <c r="EF248" s="883"/>
      <c r="EG248" s="332"/>
      <c r="EH248" s="883"/>
      <c r="EI248" s="883"/>
      <c r="EJ248" s="883"/>
      <c r="EK248" s="883"/>
      <c r="EL248" s="883"/>
      <c r="EM248" s="332"/>
      <c r="EN248" s="883"/>
      <c r="EO248" s="883"/>
      <c r="EP248" s="883"/>
      <c r="EQ248" s="883"/>
      <c r="ER248" s="883"/>
      <c r="ES248" s="332"/>
      <c r="ET248" s="883"/>
      <c r="EU248" s="883"/>
      <c r="EV248" s="883"/>
      <c r="EW248" s="883"/>
      <c r="EX248" s="883"/>
      <c r="EY248" s="332"/>
      <c r="EZ248" s="883"/>
      <c r="FA248" s="883"/>
      <c r="FB248" s="883"/>
      <c r="FC248" s="883"/>
      <c r="FD248" s="883"/>
      <c r="FE248" s="332"/>
      <c r="FF248" s="883"/>
      <c r="FG248" s="883"/>
      <c r="FH248" s="883"/>
      <c r="FI248" s="883"/>
      <c r="FJ248" s="883"/>
      <c r="FK248" s="332"/>
      <c r="FL248" s="883"/>
      <c r="FM248" s="883"/>
      <c r="FN248" s="883"/>
      <c r="FO248" s="883"/>
      <c r="FP248" s="883"/>
      <c r="FQ248" s="332"/>
      <c r="FR248" s="883"/>
      <c r="FS248" s="883"/>
      <c r="FT248" s="883"/>
      <c r="FU248" s="883"/>
      <c r="FV248" s="883"/>
      <c r="FW248" s="332"/>
      <c r="FX248" s="883"/>
      <c r="FY248" s="883"/>
      <c r="FZ248" s="883"/>
      <c r="GA248" s="883"/>
      <c r="GB248" s="883"/>
      <c r="GC248" s="332"/>
      <c r="GD248" s="883"/>
      <c r="GE248" s="883"/>
      <c r="GF248" s="883"/>
      <c r="GG248" s="883"/>
      <c r="GH248" s="883"/>
      <c r="GI248" s="332"/>
      <c r="GJ248" s="883"/>
      <c r="GK248" s="883"/>
      <c r="GL248" s="883"/>
      <c r="GM248" s="883"/>
      <c r="GN248" s="883"/>
      <c r="GO248" s="332"/>
      <c r="GP248" s="883"/>
      <c r="GQ248" s="883"/>
      <c r="GR248" s="883"/>
      <c r="GS248" s="883"/>
      <c r="GT248" s="883"/>
      <c r="GU248" s="332"/>
      <c r="GV248" s="883"/>
      <c r="GW248" s="883"/>
      <c r="GX248" s="883"/>
      <c r="GY248" s="883"/>
      <c r="GZ248" s="883"/>
      <c r="HA248" s="332"/>
      <c r="HB248" s="883"/>
      <c r="HC248" s="883"/>
      <c r="HD248" s="883"/>
      <c r="HE248" s="883"/>
      <c r="HF248" s="883"/>
      <c r="HG248" s="332"/>
      <c r="HH248" s="883"/>
      <c r="HI248" s="883"/>
      <c r="HJ248" s="883"/>
      <c r="HK248" s="883"/>
      <c r="HL248" s="883"/>
      <c r="HM248" s="332"/>
      <c r="HN248" s="883"/>
      <c r="HO248" s="883"/>
      <c r="HP248" s="883"/>
      <c r="HQ248" s="883"/>
      <c r="HR248" s="883"/>
      <c r="HS248" s="332"/>
      <c r="HT248" s="883"/>
      <c r="HU248" s="883"/>
      <c r="HV248" s="883"/>
      <c r="HW248" s="883"/>
      <c r="HX248" s="883"/>
      <c r="HY248" s="332"/>
      <c r="HZ248" s="883"/>
      <c r="IA248" s="883"/>
      <c r="IB248" s="883"/>
      <c r="IC248" s="883"/>
      <c r="ID248" s="883"/>
      <c r="IE248" s="332"/>
      <c r="IF248" s="883"/>
      <c r="IG248" s="883"/>
      <c r="IH248" s="883"/>
      <c r="II248" s="883"/>
      <c r="IJ248" s="883"/>
      <c r="IK248" s="332"/>
      <c r="IL248" s="883"/>
      <c r="IM248" s="883"/>
      <c r="IN248" s="883"/>
      <c r="IO248" s="883"/>
      <c r="IP248" s="883"/>
      <c r="IQ248" s="332"/>
      <c r="IR248" s="883"/>
    </row>
    <row r="249" spans="1:252" ht="15.75">
      <c r="A249" s="230">
        <f>'Appendix A'!A112</f>
        <v>54</v>
      </c>
      <c r="B249" s="95"/>
      <c r="C249" s="154" t="str">
        <f>'Appendix A'!C112</f>
        <v xml:space="preserve">     Less: Cost of Providing Ancillary Services Accounts 561.0-5</v>
      </c>
      <c r="D249" s="95"/>
      <c r="E249" s="883"/>
      <c r="F249" s="231"/>
      <c r="G249" s="1220" t="s">
        <v>1098</v>
      </c>
      <c r="H249" s="1219">
        <f>SUM(H243:H248)</f>
        <v>10746900</v>
      </c>
      <c r="I249" s="1129">
        <v>0</v>
      </c>
      <c r="J249" s="1127">
        <f>H249-I249</f>
        <v>10746900</v>
      </c>
      <c r="K249" s="249" t="s">
        <v>1113</v>
      </c>
      <c r="L249" s="883"/>
      <c r="M249" s="912"/>
      <c r="N249" s="95"/>
      <c r="O249" s="311"/>
      <c r="P249" s="2257"/>
      <c r="Q249" s="332"/>
      <c r="R249" s="95"/>
      <c r="S249" s="95"/>
      <c r="T249" s="95"/>
      <c r="U249" s="95"/>
      <c r="V249" s="95"/>
      <c r="W249" s="332"/>
      <c r="X249" s="95"/>
      <c r="Y249" s="95"/>
      <c r="Z249" s="95"/>
      <c r="AA249" s="95"/>
      <c r="AB249" s="95"/>
      <c r="AC249" s="332"/>
      <c r="AD249" s="95"/>
      <c r="AE249" s="95"/>
      <c r="AF249" s="95"/>
      <c r="AG249" s="95"/>
      <c r="AH249" s="95"/>
      <c r="AI249" s="332"/>
      <c r="AJ249" s="95"/>
      <c r="AK249" s="95"/>
      <c r="AL249" s="95"/>
      <c r="AM249" s="95"/>
      <c r="AN249" s="95"/>
      <c r="AO249" s="332"/>
      <c r="AP249" s="95"/>
      <c r="AQ249" s="95"/>
      <c r="AR249" s="95"/>
      <c r="AS249" s="95"/>
      <c r="AT249" s="95"/>
      <c r="AU249" s="332"/>
      <c r="AV249" s="95"/>
      <c r="AW249" s="95"/>
      <c r="AX249" s="95"/>
      <c r="AY249" s="95"/>
      <c r="AZ249" s="95"/>
      <c r="BA249" s="332"/>
      <c r="BB249" s="95"/>
      <c r="BC249" s="95"/>
      <c r="BD249" s="95"/>
      <c r="BE249" s="95"/>
      <c r="BF249" s="95"/>
      <c r="BG249" s="332"/>
      <c r="BH249" s="95"/>
      <c r="BI249" s="95"/>
      <c r="BJ249" s="95"/>
      <c r="BK249" s="95"/>
      <c r="BL249" s="95"/>
      <c r="BM249" s="332"/>
      <c r="BN249" s="95"/>
      <c r="BO249" s="95"/>
      <c r="BP249" s="95"/>
      <c r="BQ249" s="95"/>
      <c r="BR249" s="95"/>
      <c r="BS249" s="332"/>
      <c r="BT249" s="95"/>
      <c r="BU249" s="95"/>
      <c r="BV249" s="95"/>
      <c r="BW249" s="95"/>
      <c r="BX249" s="95"/>
      <c r="BY249" s="332"/>
      <c r="BZ249" s="95"/>
      <c r="CA249" s="95"/>
      <c r="CB249" s="95"/>
      <c r="CC249" s="95"/>
      <c r="CD249" s="95"/>
      <c r="CE249" s="332"/>
      <c r="CF249" s="95"/>
      <c r="CG249" s="95"/>
      <c r="CH249" s="95"/>
      <c r="CI249" s="95"/>
      <c r="CJ249" s="95"/>
      <c r="CK249" s="332"/>
      <c r="CL249" s="95"/>
      <c r="CM249" s="95"/>
      <c r="CN249" s="95"/>
      <c r="CO249" s="95"/>
      <c r="CP249" s="95"/>
      <c r="CQ249" s="332"/>
      <c r="CR249" s="95"/>
      <c r="CS249" s="95"/>
      <c r="CT249" s="95"/>
      <c r="CU249" s="95"/>
      <c r="CV249" s="95"/>
      <c r="CW249" s="332"/>
      <c r="CX249" s="95"/>
      <c r="CY249" s="95"/>
      <c r="CZ249" s="95"/>
      <c r="DA249" s="95"/>
      <c r="DB249" s="95"/>
      <c r="DC249" s="332"/>
      <c r="DD249" s="95"/>
      <c r="DE249" s="95"/>
      <c r="DF249" s="95"/>
      <c r="DG249" s="95"/>
      <c r="DH249" s="95"/>
      <c r="DI249" s="332"/>
      <c r="DJ249" s="95"/>
      <c r="DK249" s="95"/>
      <c r="DL249" s="95"/>
      <c r="DM249" s="95"/>
      <c r="DN249" s="95"/>
      <c r="DO249" s="332"/>
      <c r="DP249" s="95"/>
      <c r="DQ249" s="95"/>
      <c r="DR249" s="95"/>
      <c r="DS249" s="95"/>
      <c r="DT249" s="95"/>
      <c r="DU249" s="332"/>
      <c r="DV249" s="95"/>
      <c r="DW249" s="95"/>
      <c r="DX249" s="95"/>
      <c r="DY249" s="95"/>
      <c r="DZ249" s="95"/>
      <c r="EA249" s="332"/>
      <c r="EB249" s="95"/>
      <c r="EC249" s="95"/>
      <c r="ED249" s="95"/>
      <c r="EE249" s="95"/>
      <c r="EF249" s="95"/>
      <c r="EG249" s="332"/>
      <c r="EH249" s="95"/>
      <c r="EI249" s="95"/>
      <c r="EJ249" s="95"/>
      <c r="EK249" s="95"/>
      <c r="EL249" s="95"/>
      <c r="EM249" s="332"/>
      <c r="EN249" s="95"/>
      <c r="EO249" s="95"/>
      <c r="EP249" s="95"/>
      <c r="EQ249" s="95"/>
      <c r="ER249" s="95"/>
      <c r="ES249" s="332"/>
      <c r="ET249" s="95"/>
      <c r="EU249" s="95"/>
      <c r="EV249" s="95"/>
      <c r="EW249" s="95"/>
      <c r="EX249" s="95"/>
      <c r="EY249" s="332"/>
      <c r="EZ249" s="95"/>
      <c r="FA249" s="95"/>
      <c r="FB249" s="95"/>
      <c r="FC249" s="95"/>
      <c r="FD249" s="95"/>
      <c r="FE249" s="332"/>
      <c r="FF249" s="95"/>
      <c r="FG249" s="95"/>
      <c r="FH249" s="95"/>
      <c r="FI249" s="95"/>
      <c r="FJ249" s="95"/>
      <c r="FK249" s="332"/>
      <c r="FL249" s="95"/>
      <c r="FM249" s="95"/>
      <c r="FN249" s="95"/>
      <c r="FO249" s="95"/>
      <c r="FP249" s="95"/>
      <c r="FQ249" s="332"/>
      <c r="FR249" s="95"/>
      <c r="FS249" s="95"/>
      <c r="FT249" s="95"/>
      <c r="FU249" s="95"/>
      <c r="FV249" s="95"/>
      <c r="FW249" s="332"/>
      <c r="FX249" s="95"/>
      <c r="FY249" s="95"/>
      <c r="FZ249" s="95"/>
      <c r="GA249" s="95"/>
      <c r="GB249" s="95"/>
      <c r="GC249" s="332"/>
      <c r="GD249" s="95"/>
      <c r="GE249" s="95"/>
      <c r="GF249" s="95"/>
      <c r="GG249" s="95"/>
      <c r="GH249" s="95"/>
      <c r="GI249" s="332"/>
      <c r="GJ249" s="95"/>
      <c r="GK249" s="95"/>
      <c r="GL249" s="95"/>
      <c r="GM249" s="95"/>
      <c r="GN249" s="95"/>
      <c r="GO249" s="332"/>
      <c r="GP249" s="95"/>
      <c r="GQ249" s="95"/>
      <c r="GR249" s="95"/>
      <c r="GS249" s="95"/>
      <c r="GT249" s="95"/>
      <c r="GU249" s="332"/>
      <c r="GV249" s="95"/>
      <c r="GW249" s="95"/>
      <c r="GX249" s="95"/>
      <c r="GY249" s="95"/>
      <c r="GZ249" s="95"/>
      <c r="HA249" s="332"/>
      <c r="HB249" s="95"/>
      <c r="HC249" s="95"/>
      <c r="HD249" s="95"/>
      <c r="HE249" s="95"/>
      <c r="HF249" s="95"/>
      <c r="HG249" s="332"/>
      <c r="HH249" s="95"/>
      <c r="HI249" s="95"/>
      <c r="HJ249" s="95"/>
      <c r="HK249" s="95"/>
      <c r="HL249" s="95"/>
      <c r="HM249" s="332"/>
      <c r="HN249" s="95"/>
      <c r="HO249" s="95"/>
      <c r="HP249" s="95"/>
      <c r="HQ249" s="95"/>
      <c r="HR249" s="95"/>
      <c r="HS249" s="332"/>
      <c r="HT249" s="95"/>
      <c r="HU249" s="95"/>
      <c r="HV249" s="95"/>
      <c r="HW249" s="95"/>
      <c r="HX249" s="95"/>
      <c r="HY249" s="332"/>
      <c r="HZ249" s="95"/>
      <c r="IA249" s="95"/>
      <c r="IB249" s="95"/>
      <c r="IC249" s="95"/>
      <c r="ID249" s="95"/>
      <c r="IE249" s="332"/>
      <c r="IF249" s="95"/>
      <c r="IG249" s="95"/>
      <c r="IH249" s="95"/>
      <c r="II249" s="95"/>
      <c r="IJ249" s="95"/>
      <c r="IK249" s="332"/>
      <c r="IL249" s="95"/>
      <c r="IM249" s="95"/>
      <c r="IN249" s="95"/>
      <c r="IO249" s="95"/>
      <c r="IP249" s="95"/>
      <c r="IQ249" s="332"/>
      <c r="IR249" s="95"/>
    </row>
    <row r="250" spans="1:252" s="349" customFormat="1">
      <c r="A250" s="230"/>
      <c r="B250" s="883"/>
      <c r="C250" s="332"/>
      <c r="D250" s="883"/>
      <c r="E250" s="883"/>
      <c r="F250" s="231"/>
      <c r="G250" s="1119"/>
      <c r="H250" s="626"/>
      <c r="I250" s="1128"/>
      <c r="J250" s="631"/>
      <c r="K250" s="249"/>
      <c r="L250" s="883"/>
      <c r="M250" s="912"/>
      <c r="N250" s="883"/>
      <c r="O250" s="311"/>
      <c r="P250" s="2257"/>
      <c r="Q250" s="332"/>
      <c r="R250" s="883"/>
      <c r="S250" s="883"/>
      <c r="T250" s="883"/>
      <c r="U250" s="883"/>
      <c r="V250" s="883"/>
      <c r="W250" s="332"/>
      <c r="X250" s="883"/>
      <c r="Y250" s="883"/>
      <c r="Z250" s="883"/>
      <c r="AA250" s="883"/>
      <c r="AB250" s="883"/>
      <c r="AC250" s="332"/>
      <c r="AD250" s="883"/>
      <c r="AE250" s="883"/>
      <c r="AF250" s="883"/>
      <c r="AG250" s="883"/>
      <c r="AH250" s="883"/>
      <c r="AI250" s="332"/>
      <c r="AJ250" s="883"/>
      <c r="AK250" s="883"/>
      <c r="AL250" s="883"/>
      <c r="AM250" s="883"/>
      <c r="AN250" s="883"/>
      <c r="AO250" s="332"/>
      <c r="AP250" s="883"/>
      <c r="AQ250" s="883"/>
      <c r="AR250" s="883"/>
      <c r="AS250" s="883"/>
      <c r="AT250" s="883"/>
      <c r="AU250" s="332"/>
      <c r="AV250" s="883"/>
      <c r="AW250" s="883"/>
      <c r="AX250" s="883"/>
      <c r="AY250" s="883"/>
      <c r="AZ250" s="883"/>
      <c r="BA250" s="332"/>
      <c r="BB250" s="883"/>
      <c r="BC250" s="883"/>
      <c r="BD250" s="883"/>
      <c r="BE250" s="883"/>
      <c r="BF250" s="883"/>
      <c r="BG250" s="332"/>
      <c r="BH250" s="883"/>
      <c r="BI250" s="883"/>
      <c r="BJ250" s="883"/>
      <c r="BK250" s="883"/>
      <c r="BL250" s="883"/>
      <c r="BM250" s="332"/>
      <c r="BN250" s="883"/>
      <c r="BO250" s="883"/>
      <c r="BP250" s="883"/>
      <c r="BQ250" s="883"/>
      <c r="BR250" s="883"/>
      <c r="BS250" s="332"/>
      <c r="BT250" s="883"/>
      <c r="BU250" s="883"/>
      <c r="BV250" s="883"/>
      <c r="BW250" s="883"/>
      <c r="BX250" s="883"/>
      <c r="BY250" s="332"/>
      <c r="BZ250" s="883"/>
      <c r="CA250" s="883"/>
      <c r="CB250" s="883"/>
      <c r="CC250" s="883"/>
      <c r="CD250" s="883"/>
      <c r="CE250" s="332"/>
      <c r="CF250" s="883"/>
      <c r="CG250" s="883"/>
      <c r="CH250" s="883"/>
      <c r="CI250" s="883"/>
      <c r="CJ250" s="883"/>
      <c r="CK250" s="332"/>
      <c r="CL250" s="883"/>
      <c r="CM250" s="883"/>
      <c r="CN250" s="883"/>
      <c r="CO250" s="883"/>
      <c r="CP250" s="883"/>
      <c r="CQ250" s="332"/>
      <c r="CR250" s="883"/>
      <c r="CS250" s="883"/>
      <c r="CT250" s="883"/>
      <c r="CU250" s="883"/>
      <c r="CV250" s="883"/>
      <c r="CW250" s="332"/>
      <c r="CX250" s="883"/>
      <c r="CY250" s="883"/>
      <c r="CZ250" s="883"/>
      <c r="DA250" s="883"/>
      <c r="DB250" s="883"/>
      <c r="DC250" s="332"/>
      <c r="DD250" s="883"/>
      <c r="DE250" s="883"/>
      <c r="DF250" s="883"/>
      <c r="DG250" s="883"/>
      <c r="DH250" s="883"/>
      <c r="DI250" s="332"/>
      <c r="DJ250" s="883"/>
      <c r="DK250" s="883"/>
      <c r="DL250" s="883"/>
      <c r="DM250" s="883"/>
      <c r="DN250" s="883"/>
      <c r="DO250" s="332"/>
      <c r="DP250" s="883"/>
      <c r="DQ250" s="883"/>
      <c r="DR250" s="883"/>
      <c r="DS250" s="883"/>
      <c r="DT250" s="883"/>
      <c r="DU250" s="332"/>
      <c r="DV250" s="883"/>
      <c r="DW250" s="883"/>
      <c r="DX250" s="883"/>
      <c r="DY250" s="883"/>
      <c r="DZ250" s="883"/>
      <c r="EA250" s="332"/>
      <c r="EB250" s="883"/>
      <c r="EC250" s="883"/>
      <c r="ED250" s="883"/>
      <c r="EE250" s="883"/>
      <c r="EF250" s="883"/>
      <c r="EG250" s="332"/>
      <c r="EH250" s="883"/>
      <c r="EI250" s="883"/>
      <c r="EJ250" s="883"/>
      <c r="EK250" s="883"/>
      <c r="EL250" s="883"/>
      <c r="EM250" s="332"/>
      <c r="EN250" s="883"/>
      <c r="EO250" s="883"/>
      <c r="EP250" s="883"/>
      <c r="EQ250" s="883"/>
      <c r="ER250" s="883"/>
      <c r="ES250" s="332"/>
      <c r="ET250" s="883"/>
      <c r="EU250" s="883"/>
      <c r="EV250" s="883"/>
      <c r="EW250" s="883"/>
      <c r="EX250" s="883"/>
      <c r="EY250" s="332"/>
      <c r="EZ250" s="883"/>
      <c r="FA250" s="883"/>
      <c r="FB250" s="883"/>
      <c r="FC250" s="883"/>
      <c r="FD250" s="883"/>
      <c r="FE250" s="332"/>
      <c r="FF250" s="883"/>
      <c r="FG250" s="883"/>
      <c r="FH250" s="883"/>
      <c r="FI250" s="883"/>
      <c r="FJ250" s="883"/>
      <c r="FK250" s="332"/>
      <c r="FL250" s="883"/>
      <c r="FM250" s="883"/>
      <c r="FN250" s="883"/>
      <c r="FO250" s="883"/>
      <c r="FP250" s="883"/>
      <c r="FQ250" s="332"/>
      <c r="FR250" s="883"/>
      <c r="FS250" s="883"/>
      <c r="FT250" s="883"/>
      <c r="FU250" s="883"/>
      <c r="FV250" s="883"/>
      <c r="FW250" s="332"/>
      <c r="FX250" s="883"/>
      <c r="FY250" s="883"/>
      <c r="FZ250" s="883"/>
      <c r="GA250" s="883"/>
      <c r="GB250" s="883"/>
      <c r="GC250" s="332"/>
      <c r="GD250" s="883"/>
      <c r="GE250" s="883"/>
      <c r="GF250" s="883"/>
      <c r="GG250" s="883"/>
      <c r="GH250" s="883"/>
      <c r="GI250" s="332"/>
      <c r="GJ250" s="883"/>
      <c r="GK250" s="883"/>
      <c r="GL250" s="883"/>
      <c r="GM250" s="883"/>
      <c r="GN250" s="883"/>
      <c r="GO250" s="332"/>
      <c r="GP250" s="883"/>
      <c r="GQ250" s="883"/>
      <c r="GR250" s="883"/>
      <c r="GS250" s="883"/>
      <c r="GT250" s="883"/>
      <c r="GU250" s="332"/>
      <c r="GV250" s="883"/>
      <c r="GW250" s="883"/>
      <c r="GX250" s="883"/>
      <c r="GY250" s="883"/>
      <c r="GZ250" s="883"/>
      <c r="HA250" s="332"/>
      <c r="HB250" s="883"/>
      <c r="HC250" s="883"/>
      <c r="HD250" s="883"/>
      <c r="HE250" s="883"/>
      <c r="HF250" s="883"/>
      <c r="HG250" s="332"/>
      <c r="HH250" s="883"/>
      <c r="HI250" s="883"/>
      <c r="HJ250" s="883"/>
      <c r="HK250" s="883"/>
      <c r="HL250" s="883"/>
      <c r="HM250" s="332"/>
      <c r="HN250" s="883"/>
      <c r="HO250" s="883"/>
      <c r="HP250" s="883"/>
      <c r="HQ250" s="883"/>
      <c r="HR250" s="883"/>
      <c r="HS250" s="332"/>
      <c r="HT250" s="883"/>
      <c r="HU250" s="883"/>
      <c r="HV250" s="883"/>
      <c r="HW250" s="883"/>
      <c r="HX250" s="883"/>
      <c r="HY250" s="332"/>
      <c r="HZ250" s="883"/>
      <c r="IA250" s="883"/>
      <c r="IB250" s="883"/>
      <c r="IC250" s="883"/>
      <c r="ID250" s="883"/>
      <c r="IE250" s="332"/>
      <c r="IF250" s="883"/>
      <c r="IG250" s="883"/>
      <c r="IH250" s="883"/>
      <c r="II250" s="883"/>
      <c r="IJ250" s="883"/>
      <c r="IK250" s="332"/>
      <c r="IL250" s="883"/>
      <c r="IM250" s="883"/>
      <c r="IN250" s="883"/>
      <c r="IO250" s="883"/>
      <c r="IP250" s="883"/>
      <c r="IQ250" s="332"/>
      <c r="IR250" s="883"/>
    </row>
    <row r="251" spans="1:252" ht="15.75">
      <c r="A251" s="230">
        <f>'Appendix A'!A113</f>
        <v>55</v>
      </c>
      <c r="B251" s="95"/>
      <c r="C251" s="154" t="str">
        <f>'Appendix A'!C113</f>
        <v xml:space="preserve">     Less: Account 565</v>
      </c>
      <c r="D251" s="95"/>
      <c r="E251" s="883"/>
      <c r="F251" s="231"/>
      <c r="G251" s="978" t="s">
        <v>32</v>
      </c>
      <c r="H251" s="1094">
        <f>INDEX(Inputs_EndYrBal,MATCH(G251,Inputs_FF1_Map,0))</f>
        <v>130788907</v>
      </c>
      <c r="I251" s="1126">
        <v>0</v>
      </c>
      <c r="J251" s="1127">
        <f>H251+I251</f>
        <v>130788907</v>
      </c>
      <c r="K251" s="249"/>
      <c r="L251" s="883"/>
      <c r="M251" s="912"/>
      <c r="N251" s="95"/>
      <c r="O251" s="95"/>
      <c r="P251" s="2257"/>
      <c r="Q251" s="219"/>
      <c r="R251" s="95"/>
      <c r="S251" s="95"/>
      <c r="T251" s="95"/>
      <c r="U251" s="95"/>
      <c r="V251" s="95"/>
      <c r="W251" s="219"/>
      <c r="X251" s="95"/>
      <c r="Y251" s="95"/>
      <c r="Z251" s="95"/>
      <c r="AA251" s="95"/>
      <c r="AB251" s="95"/>
      <c r="AC251" s="219"/>
      <c r="AD251" s="95"/>
      <c r="AE251" s="95"/>
      <c r="AF251" s="95"/>
      <c r="AG251" s="95"/>
      <c r="AH251" s="95"/>
      <c r="AI251" s="219"/>
      <c r="AJ251" s="95"/>
      <c r="AK251" s="95"/>
      <c r="AL251" s="95"/>
      <c r="AM251" s="95"/>
      <c r="AN251" s="95"/>
      <c r="AO251" s="219"/>
      <c r="AP251" s="95"/>
      <c r="AQ251" s="95"/>
      <c r="AR251" s="95"/>
      <c r="AS251" s="95"/>
      <c r="AT251" s="95"/>
      <c r="AU251" s="219"/>
      <c r="AV251" s="95"/>
      <c r="AW251" s="95"/>
      <c r="AX251" s="95"/>
      <c r="AY251" s="95"/>
      <c r="AZ251" s="95"/>
      <c r="BA251" s="219"/>
      <c r="BB251" s="95"/>
      <c r="BC251" s="95"/>
      <c r="BD251" s="95"/>
      <c r="BE251" s="95"/>
      <c r="BF251" s="95"/>
      <c r="BG251" s="219"/>
      <c r="BH251" s="95"/>
      <c r="BI251" s="95"/>
      <c r="BJ251" s="95"/>
      <c r="BK251" s="95"/>
      <c r="BL251" s="95"/>
      <c r="BM251" s="219"/>
      <c r="BN251" s="95"/>
      <c r="BO251" s="95"/>
      <c r="BP251" s="95"/>
      <c r="BQ251" s="95"/>
      <c r="BR251" s="95"/>
      <c r="BS251" s="219"/>
      <c r="BT251" s="95"/>
      <c r="BU251" s="95"/>
      <c r="BV251" s="95"/>
      <c r="BW251" s="95"/>
      <c r="BX251" s="95"/>
      <c r="BY251" s="219"/>
      <c r="BZ251" s="95"/>
      <c r="CA251" s="95"/>
      <c r="CB251" s="95"/>
      <c r="CC251" s="95"/>
      <c r="CD251" s="95"/>
      <c r="CE251" s="219"/>
      <c r="CF251" s="95"/>
      <c r="CG251" s="95"/>
      <c r="CH251" s="95"/>
      <c r="CI251" s="95"/>
      <c r="CJ251" s="95"/>
      <c r="CK251" s="219"/>
      <c r="CL251" s="95"/>
      <c r="CM251" s="95"/>
      <c r="CN251" s="95"/>
      <c r="CO251" s="95"/>
      <c r="CP251" s="95"/>
      <c r="CQ251" s="219"/>
      <c r="CR251" s="95"/>
      <c r="CS251" s="95"/>
      <c r="CT251" s="95"/>
      <c r="CU251" s="95"/>
      <c r="CV251" s="95"/>
      <c r="CW251" s="219"/>
      <c r="CX251" s="95"/>
      <c r="CY251" s="95"/>
      <c r="CZ251" s="95"/>
      <c r="DA251" s="95"/>
      <c r="DB251" s="95"/>
      <c r="DC251" s="219"/>
      <c r="DD251" s="95"/>
      <c r="DE251" s="95"/>
      <c r="DF251" s="95"/>
      <c r="DG251" s="95"/>
      <c r="DH251" s="95"/>
      <c r="DI251" s="219"/>
      <c r="DJ251" s="95"/>
      <c r="DK251" s="95"/>
      <c r="DL251" s="95"/>
      <c r="DM251" s="95"/>
      <c r="DN251" s="95"/>
      <c r="DO251" s="219"/>
      <c r="DP251" s="95"/>
      <c r="DQ251" s="95"/>
      <c r="DR251" s="95"/>
      <c r="DS251" s="95"/>
      <c r="DT251" s="95"/>
      <c r="DU251" s="219"/>
      <c r="DV251" s="95"/>
      <c r="DW251" s="95"/>
      <c r="DX251" s="95"/>
      <c r="DY251" s="95"/>
      <c r="DZ251" s="95"/>
      <c r="EA251" s="219"/>
      <c r="EB251" s="95"/>
      <c r="EC251" s="95"/>
      <c r="ED251" s="95"/>
      <c r="EE251" s="95"/>
      <c r="EF251" s="95"/>
      <c r="EG251" s="219"/>
      <c r="EH251" s="95"/>
      <c r="EI251" s="95"/>
      <c r="EJ251" s="95"/>
      <c r="EK251" s="95"/>
      <c r="EL251" s="95"/>
      <c r="EM251" s="219"/>
      <c r="EN251" s="95"/>
      <c r="EO251" s="95"/>
      <c r="EP251" s="95"/>
      <c r="EQ251" s="95"/>
      <c r="ER251" s="95"/>
      <c r="ES251" s="219"/>
      <c r="ET251" s="95"/>
      <c r="EU251" s="95"/>
      <c r="EV251" s="95"/>
      <c r="EW251" s="95"/>
      <c r="EX251" s="95"/>
      <c r="EY251" s="219"/>
      <c r="EZ251" s="95"/>
      <c r="FA251" s="95"/>
      <c r="FB251" s="95"/>
      <c r="FC251" s="95"/>
      <c r="FD251" s="95"/>
      <c r="FE251" s="219"/>
      <c r="FF251" s="95"/>
      <c r="FG251" s="95"/>
      <c r="FH251" s="95"/>
      <c r="FI251" s="95"/>
      <c r="FJ251" s="95"/>
      <c r="FK251" s="219"/>
      <c r="FL251" s="95"/>
      <c r="FM251" s="95"/>
      <c r="FN251" s="95"/>
      <c r="FO251" s="95"/>
      <c r="FP251" s="95"/>
      <c r="FQ251" s="219"/>
      <c r="FR251" s="95"/>
      <c r="FS251" s="95"/>
      <c r="FT251" s="95"/>
      <c r="FU251" s="95"/>
      <c r="FV251" s="95"/>
      <c r="FW251" s="219"/>
      <c r="FX251" s="95"/>
      <c r="FY251" s="95"/>
      <c r="FZ251" s="95"/>
      <c r="GA251" s="95"/>
      <c r="GB251" s="95"/>
      <c r="GC251" s="219"/>
      <c r="GD251" s="95"/>
      <c r="GE251" s="95"/>
      <c r="GF251" s="95"/>
      <c r="GG251" s="95"/>
      <c r="GH251" s="95"/>
      <c r="GI251" s="219"/>
      <c r="GJ251" s="95"/>
      <c r="GK251" s="95"/>
      <c r="GL251" s="95"/>
      <c r="GM251" s="95"/>
      <c r="GN251" s="95"/>
      <c r="GO251" s="219"/>
      <c r="GP251" s="95"/>
      <c r="GQ251" s="95"/>
      <c r="GR251" s="95"/>
      <c r="GS251" s="95"/>
      <c r="GT251" s="95"/>
      <c r="GU251" s="219"/>
      <c r="GV251" s="95"/>
      <c r="GW251" s="95"/>
      <c r="GX251" s="95"/>
      <c r="GY251" s="95"/>
      <c r="GZ251" s="95"/>
      <c r="HA251" s="219"/>
      <c r="HB251" s="95"/>
      <c r="HC251" s="95"/>
      <c r="HD251" s="95"/>
      <c r="HE251" s="95"/>
      <c r="HF251" s="95"/>
      <c r="HG251" s="219"/>
      <c r="HH251" s="95"/>
      <c r="HI251" s="95"/>
      <c r="HJ251" s="95"/>
      <c r="HK251" s="95"/>
      <c r="HL251" s="95"/>
      <c r="HM251" s="219"/>
      <c r="HN251" s="95"/>
      <c r="HO251" s="95"/>
      <c r="HP251" s="95"/>
      <c r="HQ251" s="95"/>
      <c r="HR251" s="95"/>
      <c r="HS251" s="219"/>
      <c r="HT251" s="95"/>
      <c r="HU251" s="95"/>
      <c r="HV251" s="95"/>
      <c r="HW251" s="95"/>
      <c r="HX251" s="95"/>
      <c r="HY251" s="219"/>
      <c r="HZ251" s="95"/>
      <c r="IA251" s="95"/>
      <c r="IB251" s="95"/>
      <c r="IC251" s="95"/>
      <c r="ID251" s="95"/>
      <c r="IE251" s="219"/>
      <c r="IF251" s="95"/>
      <c r="IG251" s="95"/>
      <c r="IH251" s="95"/>
      <c r="II251" s="95"/>
      <c r="IJ251" s="95"/>
      <c r="IK251" s="219"/>
      <c r="IL251" s="95"/>
      <c r="IM251" s="95"/>
      <c r="IN251" s="95"/>
      <c r="IO251" s="95"/>
      <c r="IP251" s="95"/>
      <c r="IQ251" s="219"/>
      <c r="IR251" s="95"/>
    </row>
    <row r="252" spans="1:252" ht="16.5" thickBot="1">
      <c r="A252" s="238"/>
      <c r="B252" s="246"/>
      <c r="C252" s="246"/>
      <c r="D252" s="246"/>
      <c r="E252" s="849"/>
      <c r="F252" s="239"/>
      <c r="G252" s="253"/>
      <c r="H252" s="250"/>
      <c r="I252" s="250"/>
      <c r="J252" s="250"/>
      <c r="K252" s="250"/>
      <c r="L252" s="271"/>
      <c r="M252" s="272"/>
      <c r="N252" s="95"/>
      <c r="O252" s="95"/>
      <c r="P252" s="2257"/>
      <c r="Q252" s="219"/>
      <c r="R252" s="95"/>
      <c r="S252" s="95"/>
      <c r="T252" s="95"/>
      <c r="U252" s="95"/>
      <c r="V252" s="95"/>
      <c r="W252" s="219"/>
      <c r="X252" s="95"/>
      <c r="Y252" s="95"/>
      <c r="Z252" s="95"/>
      <c r="AA252" s="95"/>
      <c r="AB252" s="95"/>
      <c r="AC252" s="219"/>
      <c r="AD252" s="95"/>
      <c r="AE252" s="95"/>
      <c r="AF252" s="95"/>
      <c r="AG252" s="95"/>
      <c r="AH252" s="95"/>
      <c r="AI252" s="219"/>
      <c r="AJ252" s="95"/>
      <c r="AK252" s="95"/>
      <c r="AL252" s="95"/>
      <c r="AM252" s="95"/>
      <c r="AN252" s="95"/>
      <c r="AO252" s="219"/>
      <c r="AP252" s="95"/>
      <c r="AQ252" s="95"/>
      <c r="AR252" s="95"/>
      <c r="AS252" s="95"/>
      <c r="AT252" s="95"/>
      <c r="AU252" s="219"/>
      <c r="AV252" s="95"/>
      <c r="AW252" s="95"/>
      <c r="AX252" s="95"/>
      <c r="AY252" s="95"/>
      <c r="AZ252" s="95"/>
      <c r="BA252" s="219"/>
      <c r="BB252" s="95"/>
      <c r="BC252" s="95"/>
      <c r="BD252" s="95"/>
      <c r="BE252" s="95"/>
      <c r="BF252" s="95"/>
      <c r="BG252" s="219"/>
      <c r="BH252" s="95"/>
      <c r="BI252" s="95"/>
      <c r="BJ252" s="95"/>
      <c r="BK252" s="95"/>
      <c r="BL252" s="95"/>
      <c r="BM252" s="219"/>
      <c r="BN252" s="95"/>
      <c r="BO252" s="95"/>
      <c r="BP252" s="95"/>
      <c r="BQ252" s="95"/>
      <c r="BR252" s="95"/>
      <c r="BS252" s="219"/>
      <c r="BT252" s="95"/>
      <c r="BU252" s="95"/>
      <c r="BV252" s="95"/>
      <c r="BW252" s="95"/>
      <c r="BX252" s="95"/>
      <c r="BY252" s="219"/>
      <c r="BZ252" s="95"/>
      <c r="CA252" s="95"/>
      <c r="CB252" s="95"/>
      <c r="CC252" s="95"/>
      <c r="CD252" s="95"/>
      <c r="CE252" s="219"/>
      <c r="CF252" s="95"/>
      <c r="CG252" s="95"/>
      <c r="CH252" s="95"/>
      <c r="CI252" s="95"/>
      <c r="CJ252" s="95"/>
      <c r="CK252" s="219"/>
      <c r="CL252" s="95"/>
      <c r="CM252" s="95"/>
      <c r="CN252" s="95"/>
      <c r="CO252" s="95"/>
      <c r="CP252" s="95"/>
      <c r="CQ252" s="219"/>
      <c r="CR252" s="95"/>
      <c r="CS252" s="95"/>
      <c r="CT252" s="95"/>
      <c r="CU252" s="95"/>
      <c r="CV252" s="95"/>
      <c r="CW252" s="219"/>
      <c r="CX252" s="95"/>
      <c r="CY252" s="95"/>
      <c r="CZ252" s="95"/>
      <c r="DA252" s="95"/>
      <c r="DB252" s="95"/>
      <c r="DC252" s="219"/>
      <c r="DD252" s="95"/>
      <c r="DE252" s="95"/>
      <c r="DF252" s="95"/>
      <c r="DG252" s="95"/>
      <c r="DH252" s="95"/>
      <c r="DI252" s="219"/>
      <c r="DJ252" s="95"/>
      <c r="DK252" s="95"/>
      <c r="DL252" s="95"/>
      <c r="DM252" s="95"/>
      <c r="DN252" s="95"/>
      <c r="DO252" s="219"/>
      <c r="DP252" s="95"/>
      <c r="DQ252" s="95"/>
      <c r="DR252" s="95"/>
      <c r="DS252" s="95"/>
      <c r="DT252" s="95"/>
      <c r="DU252" s="219"/>
      <c r="DV252" s="95"/>
      <c r="DW252" s="95"/>
      <c r="DX252" s="95"/>
      <c r="DY252" s="95"/>
      <c r="DZ252" s="95"/>
      <c r="EA252" s="219"/>
      <c r="EB252" s="95"/>
      <c r="EC252" s="95"/>
      <c r="ED252" s="95"/>
      <c r="EE252" s="95"/>
      <c r="EF252" s="95"/>
      <c r="EG252" s="219"/>
      <c r="EH252" s="95"/>
      <c r="EI252" s="95"/>
      <c r="EJ252" s="95"/>
      <c r="EK252" s="95"/>
      <c r="EL252" s="95"/>
      <c r="EM252" s="219"/>
      <c r="EN252" s="95"/>
      <c r="EO252" s="95"/>
      <c r="EP252" s="95"/>
      <c r="EQ252" s="95"/>
      <c r="ER252" s="95"/>
      <c r="ES252" s="219"/>
      <c r="ET252" s="95"/>
      <c r="EU252" s="95"/>
      <c r="EV252" s="95"/>
      <c r="EW252" s="95"/>
      <c r="EX252" s="95"/>
      <c r="EY252" s="219"/>
      <c r="EZ252" s="95"/>
      <c r="FA252" s="95"/>
      <c r="FB252" s="95"/>
      <c r="FC252" s="95"/>
      <c r="FD252" s="95"/>
      <c r="FE252" s="219"/>
      <c r="FF252" s="95"/>
      <c r="FG252" s="95"/>
      <c r="FH252" s="95"/>
      <c r="FI252" s="95"/>
      <c r="FJ252" s="95"/>
      <c r="FK252" s="219"/>
      <c r="FL252" s="95"/>
      <c r="FM252" s="95"/>
      <c r="FN252" s="95"/>
      <c r="FO252" s="95"/>
      <c r="FP252" s="95"/>
      <c r="FQ252" s="219"/>
      <c r="FR252" s="95"/>
      <c r="FS252" s="95"/>
      <c r="FT252" s="95"/>
      <c r="FU252" s="95"/>
      <c r="FV252" s="95"/>
      <c r="FW252" s="219"/>
      <c r="FX252" s="95"/>
      <c r="FY252" s="95"/>
      <c r="FZ252" s="95"/>
      <c r="GA252" s="95"/>
      <c r="GB252" s="95"/>
      <c r="GC252" s="219"/>
      <c r="GD252" s="95"/>
      <c r="GE252" s="95"/>
      <c r="GF252" s="95"/>
      <c r="GG252" s="95"/>
      <c r="GH252" s="95"/>
      <c r="GI252" s="219"/>
      <c r="GJ252" s="95"/>
      <c r="GK252" s="95"/>
      <c r="GL252" s="95"/>
      <c r="GM252" s="95"/>
      <c r="GN252" s="95"/>
      <c r="GO252" s="219"/>
      <c r="GP252" s="95"/>
      <c r="GQ252" s="95"/>
      <c r="GR252" s="95"/>
      <c r="GS252" s="95"/>
      <c r="GT252" s="95"/>
      <c r="GU252" s="219"/>
      <c r="GV252" s="95"/>
      <c r="GW252" s="95"/>
      <c r="GX252" s="95"/>
      <c r="GY252" s="95"/>
      <c r="GZ252" s="95"/>
      <c r="HA252" s="219"/>
      <c r="HB252" s="95"/>
      <c r="HC252" s="95"/>
      <c r="HD252" s="95"/>
      <c r="HE252" s="95"/>
      <c r="HF252" s="95"/>
      <c r="HG252" s="219"/>
      <c r="HH252" s="95"/>
      <c r="HI252" s="95"/>
      <c r="HJ252" s="95"/>
      <c r="HK252" s="95"/>
      <c r="HL252" s="95"/>
      <c r="HM252" s="219"/>
      <c r="HN252" s="95"/>
      <c r="HO252" s="95"/>
      <c r="HP252" s="95"/>
      <c r="HQ252" s="95"/>
      <c r="HR252" s="95"/>
      <c r="HS252" s="219"/>
      <c r="HT252" s="95"/>
      <c r="HU252" s="95"/>
      <c r="HV252" s="95"/>
      <c r="HW252" s="95"/>
      <c r="HX252" s="95"/>
      <c r="HY252" s="219"/>
      <c r="HZ252" s="95"/>
      <c r="IA252" s="95"/>
      <c r="IB252" s="95"/>
      <c r="IC252" s="95"/>
      <c r="ID252" s="95"/>
      <c r="IE252" s="219"/>
      <c r="IF252" s="95"/>
      <c r="IG252" s="95"/>
      <c r="IH252" s="95"/>
      <c r="II252" s="95"/>
      <c r="IJ252" s="95"/>
      <c r="IK252" s="219"/>
      <c r="IL252" s="95"/>
      <c r="IM252" s="95"/>
      <c r="IN252" s="95"/>
      <c r="IO252" s="95"/>
      <c r="IP252" s="95"/>
      <c r="IQ252" s="219"/>
      <c r="IR252" s="95"/>
    </row>
    <row r="253" spans="1:252" ht="15.75">
      <c r="A253" s="883"/>
      <c r="B253" s="95"/>
      <c r="C253" s="95"/>
      <c r="D253" s="95"/>
      <c r="E253" s="883"/>
      <c r="F253" s="231"/>
      <c r="G253" s="95"/>
      <c r="H253" s="38"/>
      <c r="I253" s="38"/>
      <c r="J253" s="38"/>
      <c r="K253" s="38"/>
      <c r="L253" s="270"/>
      <c r="M253" s="38"/>
      <c r="N253" s="95"/>
      <c r="O253" s="95"/>
      <c r="P253" s="2257"/>
      <c r="Q253" s="219"/>
      <c r="R253" s="95"/>
      <c r="S253" s="95"/>
      <c r="T253" s="95"/>
      <c r="U253" s="95"/>
      <c r="V253" s="95"/>
      <c r="W253" s="219"/>
      <c r="X253" s="95"/>
      <c r="Y253" s="95"/>
      <c r="Z253" s="95"/>
      <c r="AA253" s="95"/>
      <c r="AB253" s="95"/>
      <c r="AC253" s="219"/>
      <c r="AD253" s="95"/>
      <c r="AE253" s="95"/>
      <c r="AF253" s="95"/>
      <c r="AG253" s="95"/>
      <c r="AH253" s="95"/>
      <c r="AI253" s="219"/>
      <c r="AJ253" s="95"/>
      <c r="AK253" s="95"/>
      <c r="AL253" s="95"/>
      <c r="AM253" s="95"/>
      <c r="AN253" s="95"/>
      <c r="AO253" s="219"/>
      <c r="AP253" s="95"/>
      <c r="AQ253" s="95"/>
      <c r="AR253" s="95"/>
      <c r="AS253" s="95"/>
      <c r="AT253" s="95"/>
      <c r="AU253" s="219"/>
      <c r="AV253" s="95"/>
      <c r="AW253" s="95"/>
      <c r="AX253" s="95"/>
      <c r="AY253" s="95"/>
      <c r="AZ253" s="95"/>
      <c r="BA253" s="219"/>
      <c r="BB253" s="95"/>
      <c r="BC253" s="95"/>
      <c r="BD253" s="95"/>
      <c r="BE253" s="95"/>
      <c r="BF253" s="95"/>
      <c r="BG253" s="219"/>
      <c r="BH253" s="95"/>
      <c r="BI253" s="95"/>
      <c r="BJ253" s="95"/>
      <c r="BK253" s="95"/>
      <c r="BL253" s="95"/>
      <c r="BM253" s="219"/>
      <c r="BN253" s="95"/>
      <c r="BO253" s="95"/>
      <c r="BP253" s="95"/>
      <c r="BQ253" s="95"/>
      <c r="BR253" s="95"/>
      <c r="BS253" s="219"/>
      <c r="BT253" s="95"/>
      <c r="BU253" s="95"/>
      <c r="BV253" s="95"/>
      <c r="BW253" s="95"/>
      <c r="BX253" s="95"/>
      <c r="BY253" s="219"/>
      <c r="BZ253" s="95"/>
      <c r="CA253" s="95"/>
      <c r="CB253" s="95"/>
      <c r="CC253" s="95"/>
      <c r="CD253" s="95"/>
      <c r="CE253" s="219"/>
      <c r="CF253" s="95"/>
      <c r="CG253" s="95"/>
      <c r="CH253" s="95"/>
      <c r="CI253" s="95"/>
      <c r="CJ253" s="95"/>
      <c r="CK253" s="219"/>
      <c r="CL253" s="95"/>
      <c r="CM253" s="95"/>
      <c r="CN253" s="95"/>
      <c r="CO253" s="95"/>
      <c r="CP253" s="95"/>
      <c r="CQ253" s="219"/>
      <c r="CR253" s="95"/>
      <c r="CS253" s="95"/>
      <c r="CT253" s="95"/>
      <c r="CU253" s="95"/>
      <c r="CV253" s="95"/>
      <c r="CW253" s="219"/>
      <c r="CX253" s="95"/>
      <c r="CY253" s="95"/>
      <c r="CZ253" s="95"/>
      <c r="DA253" s="95"/>
      <c r="DB253" s="95"/>
      <c r="DC253" s="219"/>
      <c r="DD253" s="95"/>
      <c r="DE253" s="95"/>
      <c r="DF253" s="95"/>
      <c r="DG253" s="95"/>
      <c r="DH253" s="95"/>
      <c r="DI253" s="219"/>
      <c r="DJ253" s="95"/>
      <c r="DK253" s="95"/>
      <c r="DL253" s="95"/>
      <c r="DM253" s="95"/>
      <c r="DN253" s="95"/>
      <c r="DO253" s="219"/>
      <c r="DP253" s="95"/>
      <c r="DQ253" s="95"/>
      <c r="DR253" s="95"/>
      <c r="DS253" s="95"/>
      <c r="DT253" s="95"/>
      <c r="DU253" s="219"/>
      <c r="DV253" s="95"/>
      <c r="DW253" s="95"/>
      <c r="DX253" s="95"/>
      <c r="DY253" s="95"/>
      <c r="DZ253" s="95"/>
      <c r="EA253" s="219"/>
      <c r="EB253" s="95"/>
      <c r="EC253" s="95"/>
      <c r="ED253" s="95"/>
      <c r="EE253" s="95"/>
      <c r="EF253" s="95"/>
      <c r="EG253" s="219"/>
      <c r="EH253" s="95"/>
      <c r="EI253" s="95"/>
      <c r="EJ253" s="95"/>
      <c r="EK253" s="95"/>
      <c r="EL253" s="95"/>
      <c r="EM253" s="219"/>
      <c r="EN253" s="95"/>
      <c r="EO253" s="95"/>
      <c r="EP253" s="95"/>
      <c r="EQ253" s="95"/>
      <c r="ER253" s="95"/>
      <c r="ES253" s="219"/>
      <c r="ET253" s="95"/>
      <c r="EU253" s="95"/>
      <c r="EV253" s="95"/>
      <c r="EW253" s="95"/>
      <c r="EX253" s="95"/>
      <c r="EY253" s="219"/>
      <c r="EZ253" s="95"/>
      <c r="FA253" s="95"/>
      <c r="FB253" s="95"/>
      <c r="FC253" s="95"/>
      <c r="FD253" s="95"/>
      <c r="FE253" s="219"/>
      <c r="FF253" s="95"/>
      <c r="FG253" s="95"/>
      <c r="FH253" s="95"/>
      <c r="FI253" s="95"/>
      <c r="FJ253" s="95"/>
      <c r="FK253" s="219"/>
      <c r="FL253" s="95"/>
      <c r="FM253" s="95"/>
      <c r="FN253" s="95"/>
      <c r="FO253" s="95"/>
      <c r="FP253" s="95"/>
      <c r="FQ253" s="219"/>
      <c r="FR253" s="95"/>
      <c r="FS253" s="95"/>
      <c r="FT253" s="95"/>
      <c r="FU253" s="95"/>
      <c r="FV253" s="95"/>
      <c r="FW253" s="219"/>
      <c r="FX253" s="95"/>
      <c r="FY253" s="95"/>
      <c r="FZ253" s="95"/>
      <c r="GA253" s="95"/>
      <c r="GB253" s="95"/>
      <c r="GC253" s="219"/>
      <c r="GD253" s="95"/>
      <c r="GE253" s="95"/>
      <c r="GF253" s="95"/>
      <c r="GG253" s="95"/>
      <c r="GH253" s="95"/>
      <c r="GI253" s="219"/>
      <c r="GJ253" s="95"/>
      <c r="GK253" s="95"/>
      <c r="GL253" s="95"/>
      <c r="GM253" s="95"/>
      <c r="GN253" s="95"/>
      <c r="GO253" s="219"/>
      <c r="GP253" s="95"/>
      <c r="GQ253" s="95"/>
      <c r="GR253" s="95"/>
      <c r="GS253" s="95"/>
      <c r="GT253" s="95"/>
      <c r="GU253" s="219"/>
      <c r="GV253" s="95"/>
      <c r="GW253" s="95"/>
      <c r="GX253" s="95"/>
      <c r="GY253" s="95"/>
      <c r="GZ253" s="95"/>
      <c r="HA253" s="219"/>
      <c r="HB253" s="95"/>
      <c r="HC253" s="95"/>
      <c r="HD253" s="95"/>
      <c r="HE253" s="95"/>
      <c r="HF253" s="95"/>
      <c r="HG253" s="219"/>
      <c r="HH253" s="95"/>
      <c r="HI253" s="95"/>
      <c r="HJ253" s="95"/>
      <c r="HK253" s="95"/>
      <c r="HL253" s="95"/>
      <c r="HM253" s="219"/>
      <c r="HN253" s="95"/>
      <c r="HO253" s="95"/>
      <c r="HP253" s="95"/>
      <c r="HQ253" s="95"/>
      <c r="HR253" s="95"/>
      <c r="HS253" s="219"/>
      <c r="HT253" s="95"/>
      <c r="HU253" s="95"/>
      <c r="HV253" s="95"/>
      <c r="HW253" s="95"/>
      <c r="HX253" s="95"/>
      <c r="HY253" s="219"/>
      <c r="HZ253" s="95"/>
      <c r="IA253" s="95"/>
      <c r="IB253" s="95"/>
      <c r="IC253" s="95"/>
      <c r="ID253" s="95"/>
      <c r="IE253" s="219"/>
      <c r="IF253" s="95"/>
      <c r="IG253" s="95"/>
      <c r="IH253" s="95"/>
      <c r="II253" s="95"/>
      <c r="IJ253" s="95"/>
      <c r="IK253" s="219"/>
      <c r="IL253" s="95"/>
      <c r="IM253" s="95"/>
      <c r="IN253" s="95"/>
      <c r="IO253" s="95"/>
      <c r="IP253" s="95"/>
      <c r="IQ253" s="219"/>
      <c r="IR253" s="95"/>
    </row>
    <row r="254" spans="1:252" s="349" customFormat="1" ht="15.75">
      <c r="A254" s="883"/>
      <c r="B254" s="809"/>
      <c r="C254" s="809"/>
      <c r="D254" s="809"/>
      <c r="E254" s="883"/>
      <c r="F254" s="231"/>
      <c r="G254" s="809"/>
      <c r="H254" s="38"/>
      <c r="I254" s="38"/>
      <c r="J254" s="38"/>
      <c r="K254" s="38"/>
      <c r="L254" s="270"/>
      <c r="M254" s="38"/>
      <c r="N254" s="809"/>
      <c r="O254" s="809"/>
      <c r="P254" s="2257"/>
      <c r="Q254" s="332"/>
      <c r="R254" s="809"/>
      <c r="S254" s="809"/>
      <c r="T254" s="809"/>
      <c r="U254" s="809"/>
      <c r="V254" s="809"/>
      <c r="W254" s="332"/>
      <c r="X254" s="809"/>
      <c r="Y254" s="809"/>
      <c r="Z254" s="809"/>
      <c r="AA254" s="809"/>
      <c r="AB254" s="809"/>
      <c r="AC254" s="332"/>
      <c r="AD254" s="809"/>
      <c r="AE254" s="809"/>
      <c r="AF254" s="809"/>
      <c r="AG254" s="809"/>
      <c r="AH254" s="809"/>
      <c r="AI254" s="332"/>
      <c r="AJ254" s="809"/>
      <c r="AK254" s="809"/>
      <c r="AL254" s="809"/>
      <c r="AM254" s="809"/>
      <c r="AN254" s="809"/>
      <c r="AO254" s="332"/>
      <c r="AP254" s="809"/>
      <c r="AQ254" s="809"/>
      <c r="AR254" s="809"/>
      <c r="AS254" s="809"/>
      <c r="AT254" s="809"/>
      <c r="AU254" s="332"/>
      <c r="AV254" s="809"/>
      <c r="AW254" s="809"/>
      <c r="AX254" s="809"/>
      <c r="AY254" s="809"/>
      <c r="AZ254" s="809"/>
      <c r="BA254" s="332"/>
      <c r="BB254" s="809"/>
      <c r="BC254" s="809"/>
      <c r="BD254" s="809"/>
      <c r="BE254" s="809"/>
      <c r="BF254" s="809"/>
      <c r="BG254" s="332"/>
      <c r="BH254" s="809"/>
      <c r="BI254" s="809"/>
      <c r="BJ254" s="809"/>
      <c r="BK254" s="809"/>
      <c r="BL254" s="809"/>
      <c r="BM254" s="332"/>
      <c r="BN254" s="809"/>
      <c r="BO254" s="809"/>
      <c r="BP254" s="809"/>
      <c r="BQ254" s="809"/>
      <c r="BR254" s="809"/>
      <c r="BS254" s="332"/>
      <c r="BT254" s="809"/>
      <c r="BU254" s="809"/>
      <c r="BV254" s="809"/>
      <c r="BW254" s="809"/>
      <c r="BX254" s="809"/>
      <c r="BY254" s="332"/>
      <c r="BZ254" s="809"/>
      <c r="CA254" s="809"/>
      <c r="CB254" s="809"/>
      <c r="CC254" s="809"/>
      <c r="CD254" s="809"/>
      <c r="CE254" s="332"/>
      <c r="CF254" s="809"/>
      <c r="CG254" s="809"/>
      <c r="CH254" s="809"/>
      <c r="CI254" s="809"/>
      <c r="CJ254" s="809"/>
      <c r="CK254" s="332"/>
      <c r="CL254" s="809"/>
      <c r="CM254" s="809"/>
      <c r="CN254" s="809"/>
      <c r="CO254" s="809"/>
      <c r="CP254" s="809"/>
      <c r="CQ254" s="332"/>
      <c r="CR254" s="809"/>
      <c r="CS254" s="809"/>
      <c r="CT254" s="809"/>
      <c r="CU254" s="809"/>
      <c r="CV254" s="809"/>
      <c r="CW254" s="332"/>
      <c r="CX254" s="809"/>
      <c r="CY254" s="809"/>
      <c r="CZ254" s="809"/>
      <c r="DA254" s="809"/>
      <c r="DB254" s="809"/>
      <c r="DC254" s="332"/>
      <c r="DD254" s="809"/>
      <c r="DE254" s="809"/>
      <c r="DF254" s="809"/>
      <c r="DG254" s="809"/>
      <c r="DH254" s="809"/>
      <c r="DI254" s="332"/>
      <c r="DJ254" s="809"/>
      <c r="DK254" s="809"/>
      <c r="DL254" s="809"/>
      <c r="DM254" s="809"/>
      <c r="DN254" s="809"/>
      <c r="DO254" s="332"/>
      <c r="DP254" s="809"/>
      <c r="DQ254" s="809"/>
      <c r="DR254" s="809"/>
      <c r="DS254" s="809"/>
      <c r="DT254" s="809"/>
      <c r="DU254" s="332"/>
      <c r="DV254" s="809"/>
      <c r="DW254" s="809"/>
      <c r="DX254" s="809"/>
      <c r="DY254" s="809"/>
      <c r="DZ254" s="809"/>
      <c r="EA254" s="332"/>
      <c r="EB254" s="809"/>
      <c r="EC254" s="809"/>
      <c r="ED254" s="809"/>
      <c r="EE254" s="809"/>
      <c r="EF254" s="809"/>
      <c r="EG254" s="332"/>
      <c r="EH254" s="809"/>
      <c r="EI254" s="809"/>
      <c r="EJ254" s="809"/>
      <c r="EK254" s="809"/>
      <c r="EL254" s="809"/>
      <c r="EM254" s="332"/>
      <c r="EN254" s="809"/>
      <c r="EO254" s="809"/>
      <c r="EP254" s="809"/>
      <c r="EQ254" s="809"/>
      <c r="ER254" s="809"/>
      <c r="ES254" s="332"/>
      <c r="ET254" s="809"/>
      <c r="EU254" s="809"/>
      <c r="EV254" s="809"/>
      <c r="EW254" s="809"/>
      <c r="EX254" s="809"/>
      <c r="EY254" s="332"/>
      <c r="EZ254" s="809"/>
      <c r="FA254" s="809"/>
      <c r="FB254" s="809"/>
      <c r="FC254" s="809"/>
      <c r="FD254" s="809"/>
      <c r="FE254" s="332"/>
      <c r="FF254" s="809"/>
      <c r="FG254" s="809"/>
      <c r="FH254" s="809"/>
      <c r="FI254" s="809"/>
      <c r="FJ254" s="809"/>
      <c r="FK254" s="332"/>
      <c r="FL254" s="809"/>
      <c r="FM254" s="809"/>
      <c r="FN254" s="809"/>
      <c r="FO254" s="809"/>
      <c r="FP254" s="809"/>
      <c r="FQ254" s="332"/>
      <c r="FR254" s="809"/>
      <c r="FS254" s="809"/>
      <c r="FT254" s="809"/>
      <c r="FU254" s="809"/>
      <c r="FV254" s="809"/>
      <c r="FW254" s="332"/>
      <c r="FX254" s="809"/>
      <c r="FY254" s="809"/>
      <c r="FZ254" s="809"/>
      <c r="GA254" s="809"/>
      <c r="GB254" s="809"/>
      <c r="GC254" s="332"/>
      <c r="GD254" s="809"/>
      <c r="GE254" s="809"/>
      <c r="GF254" s="809"/>
      <c r="GG254" s="809"/>
      <c r="GH254" s="809"/>
      <c r="GI254" s="332"/>
      <c r="GJ254" s="809"/>
      <c r="GK254" s="809"/>
      <c r="GL254" s="809"/>
      <c r="GM254" s="809"/>
      <c r="GN254" s="809"/>
      <c r="GO254" s="332"/>
      <c r="GP254" s="809"/>
      <c r="GQ254" s="809"/>
      <c r="GR254" s="809"/>
      <c r="GS254" s="809"/>
      <c r="GT254" s="809"/>
      <c r="GU254" s="332"/>
      <c r="GV254" s="809"/>
      <c r="GW254" s="809"/>
      <c r="GX254" s="809"/>
      <c r="GY254" s="809"/>
      <c r="GZ254" s="809"/>
      <c r="HA254" s="332"/>
      <c r="HB254" s="809"/>
      <c r="HC254" s="809"/>
      <c r="HD254" s="809"/>
      <c r="HE254" s="809"/>
      <c r="HF254" s="809"/>
      <c r="HG254" s="332"/>
      <c r="HH254" s="809"/>
      <c r="HI254" s="809"/>
      <c r="HJ254" s="809"/>
      <c r="HK254" s="809"/>
      <c r="HL254" s="809"/>
      <c r="HM254" s="332"/>
      <c r="HN254" s="809"/>
      <c r="HO254" s="809"/>
      <c r="HP254" s="809"/>
      <c r="HQ254" s="809"/>
      <c r="HR254" s="809"/>
      <c r="HS254" s="332"/>
      <c r="HT254" s="809"/>
      <c r="HU254" s="809"/>
      <c r="HV254" s="809"/>
      <c r="HW254" s="809"/>
      <c r="HX254" s="809"/>
      <c r="HY254" s="332"/>
      <c r="HZ254" s="809"/>
      <c r="IA254" s="809"/>
      <c r="IB254" s="809"/>
      <c r="IC254" s="809"/>
      <c r="ID254" s="809"/>
      <c r="IE254" s="332"/>
      <c r="IF254" s="809"/>
      <c r="IG254" s="809"/>
      <c r="IH254" s="809"/>
      <c r="II254" s="809"/>
      <c r="IJ254" s="809"/>
      <c r="IK254" s="332"/>
      <c r="IL254" s="809"/>
      <c r="IM254" s="809"/>
      <c r="IN254" s="809"/>
      <c r="IO254" s="809"/>
      <c r="IP254" s="809"/>
      <c r="IQ254" s="332"/>
      <c r="IR254" s="809"/>
    </row>
    <row r="255" spans="1:252" ht="16.5" thickBot="1">
      <c r="A255" s="878" t="str">
        <f>'Appendix A'!C284</f>
        <v xml:space="preserve">Facility Credits under Section 30.9 of the OATT </v>
      </c>
    </row>
    <row r="256" spans="1:252">
      <c r="A256" s="2696" t="s">
        <v>7</v>
      </c>
      <c r="B256" s="2697"/>
      <c r="C256" s="2697"/>
      <c r="D256" s="2697"/>
      <c r="E256" s="2697"/>
      <c r="F256" s="2697"/>
      <c r="G256" s="2698"/>
      <c r="H256" s="907" t="s">
        <v>79</v>
      </c>
      <c r="I256" s="908" t="s">
        <v>349</v>
      </c>
      <c r="J256" s="910"/>
      <c r="K256" s="910"/>
      <c r="L256" s="910"/>
      <c r="M256" s="911"/>
    </row>
    <row r="257" spans="1:252" ht="15.75">
      <c r="A257" s="230"/>
      <c r="B257" s="82" t="str">
        <f>'Appendix A'!C283</f>
        <v>Net Revenue Requirement</v>
      </c>
      <c r="C257" s="51"/>
      <c r="D257" s="51"/>
      <c r="E257" s="51"/>
      <c r="F257" s="426"/>
      <c r="G257" s="234"/>
      <c r="H257" s="38"/>
      <c r="I257" s="38"/>
      <c r="J257" s="38"/>
      <c r="K257" s="38"/>
      <c r="L257" s="38"/>
      <c r="M257" s="229"/>
    </row>
    <row r="258" spans="1:252" ht="15.75">
      <c r="A258" s="230">
        <f>'Appendix A'!A284</f>
        <v>166</v>
      </c>
      <c r="B258" s="35"/>
      <c r="C258" s="37" t="str">
        <f>+'Appendix A'!C284</f>
        <v xml:space="preserve">Facility Credits under Section 30.9 of the OATT </v>
      </c>
      <c r="D258" s="37"/>
      <c r="E258" s="37"/>
      <c r="F258" s="495"/>
      <c r="G258" s="496"/>
      <c r="H258" s="1254">
        <f>Inputs!E88</f>
        <v>0</v>
      </c>
      <c r="I258" s="349" t="s">
        <v>1016</v>
      </c>
      <c r="J258" s="319"/>
      <c r="K258" s="319"/>
      <c r="L258" s="319"/>
      <c r="M258" s="320"/>
    </row>
    <row r="259" spans="1:252" ht="15.75">
      <c r="A259" s="230">
        <f>'Appendix A'!A286</f>
        <v>168</v>
      </c>
      <c r="B259" s="35"/>
      <c r="C259" s="37" t="str">
        <f>'Appendix A'!C286</f>
        <v>Interest on Network Upgrade Facilities</v>
      </c>
      <c r="D259" s="37"/>
      <c r="E259" s="37"/>
      <c r="F259" s="495"/>
      <c r="G259" s="810"/>
      <c r="H259" s="1255">
        <f>Inputs!$E$89</f>
        <v>1047559.3999999999</v>
      </c>
      <c r="I259" s="349" t="s">
        <v>1016</v>
      </c>
      <c r="J259" s="319"/>
      <c r="K259" s="319"/>
      <c r="L259" s="319"/>
      <c r="M259" s="320"/>
    </row>
    <row r="260" spans="1:252" s="349" customFormat="1" ht="15.75" thickBot="1">
      <c r="A260" s="238"/>
      <c r="B260" s="848"/>
      <c r="C260" s="844"/>
      <c r="D260" s="844"/>
      <c r="E260" s="844"/>
      <c r="F260" s="849"/>
      <c r="G260" s="253"/>
      <c r="H260" s="858"/>
      <c r="I260" s="857"/>
      <c r="J260" s="857"/>
      <c r="K260" s="857"/>
      <c r="L260" s="857"/>
      <c r="M260" s="492"/>
      <c r="P260" s="2254"/>
    </row>
    <row r="261" spans="1:252" ht="15.75">
      <c r="A261" s="883"/>
      <c r="B261" s="95"/>
      <c r="C261" s="95"/>
      <c r="D261" s="95"/>
      <c r="E261" s="883"/>
      <c r="F261" s="231"/>
      <c r="G261" s="95"/>
      <c r="H261" s="38"/>
      <c r="I261" s="38"/>
      <c r="J261" s="38"/>
      <c r="K261" s="38"/>
      <c r="L261" s="270"/>
      <c r="M261" s="38"/>
      <c r="N261" s="95"/>
      <c r="O261" s="95"/>
      <c r="P261" s="2257"/>
      <c r="Q261" s="219"/>
      <c r="R261" s="95"/>
      <c r="S261" s="95"/>
      <c r="T261" s="95"/>
      <c r="U261" s="95"/>
      <c r="V261" s="95"/>
      <c r="W261" s="219"/>
      <c r="X261" s="95"/>
      <c r="Y261" s="95"/>
      <c r="Z261" s="95"/>
      <c r="AA261" s="95"/>
      <c r="AB261" s="95"/>
      <c r="AC261" s="219"/>
      <c r="AD261" s="95"/>
      <c r="AE261" s="95"/>
      <c r="AF261" s="95"/>
      <c r="AG261" s="95"/>
      <c r="AH261" s="95"/>
      <c r="AI261" s="219"/>
      <c r="AJ261" s="95"/>
      <c r="AK261" s="95"/>
      <c r="AL261" s="95"/>
      <c r="AM261" s="95"/>
      <c r="AN261" s="95"/>
      <c r="AO261" s="219"/>
      <c r="AP261" s="95"/>
      <c r="AQ261" s="95"/>
      <c r="AR261" s="95"/>
      <c r="AS261" s="95"/>
      <c r="AT261" s="95"/>
      <c r="AU261" s="219"/>
      <c r="AV261" s="95"/>
      <c r="AW261" s="95"/>
      <c r="AX261" s="95"/>
      <c r="AY261" s="95"/>
      <c r="AZ261" s="95"/>
      <c r="BA261" s="219"/>
      <c r="BB261" s="95"/>
      <c r="BC261" s="95"/>
      <c r="BD261" s="95"/>
      <c r="BE261" s="95"/>
      <c r="BF261" s="95"/>
      <c r="BG261" s="219"/>
      <c r="BH261" s="95"/>
      <c r="BI261" s="95"/>
      <c r="BJ261" s="95"/>
      <c r="BK261" s="95"/>
      <c r="BL261" s="95"/>
      <c r="BM261" s="219"/>
      <c r="BN261" s="95"/>
      <c r="BO261" s="95"/>
      <c r="BP261" s="95"/>
      <c r="BQ261" s="95"/>
      <c r="BR261" s="95"/>
      <c r="BS261" s="219"/>
      <c r="BT261" s="95"/>
      <c r="BU261" s="95"/>
      <c r="BV261" s="95"/>
      <c r="BW261" s="95"/>
      <c r="BX261" s="95"/>
      <c r="BY261" s="219"/>
      <c r="BZ261" s="95"/>
      <c r="CA261" s="95"/>
      <c r="CB261" s="95"/>
      <c r="CC261" s="95"/>
      <c r="CD261" s="95"/>
      <c r="CE261" s="219"/>
      <c r="CF261" s="95"/>
      <c r="CG261" s="95"/>
      <c r="CH261" s="95"/>
      <c r="CI261" s="95"/>
      <c r="CJ261" s="95"/>
      <c r="CK261" s="219"/>
      <c r="CL261" s="95"/>
      <c r="CM261" s="95"/>
      <c r="CN261" s="95"/>
      <c r="CO261" s="95"/>
      <c r="CP261" s="95"/>
      <c r="CQ261" s="219"/>
      <c r="CR261" s="95"/>
      <c r="CS261" s="95"/>
      <c r="CT261" s="95"/>
      <c r="CU261" s="95"/>
      <c r="CV261" s="95"/>
      <c r="CW261" s="219"/>
      <c r="CX261" s="95"/>
      <c r="CY261" s="95"/>
      <c r="CZ261" s="95"/>
      <c r="DA261" s="95"/>
      <c r="DB261" s="95"/>
      <c r="DC261" s="219"/>
      <c r="DD261" s="95"/>
      <c r="DE261" s="95"/>
      <c r="DF261" s="95"/>
      <c r="DG261" s="95"/>
      <c r="DH261" s="95"/>
      <c r="DI261" s="219"/>
      <c r="DJ261" s="95"/>
      <c r="DK261" s="95"/>
      <c r="DL261" s="95"/>
      <c r="DM261" s="95"/>
      <c r="DN261" s="95"/>
      <c r="DO261" s="219"/>
      <c r="DP261" s="95"/>
      <c r="DQ261" s="95"/>
      <c r="DR261" s="95"/>
      <c r="DS261" s="95"/>
      <c r="DT261" s="95"/>
      <c r="DU261" s="219"/>
      <c r="DV261" s="95"/>
      <c r="DW261" s="95"/>
      <c r="DX261" s="95"/>
      <c r="DY261" s="95"/>
      <c r="DZ261" s="95"/>
      <c r="EA261" s="219"/>
      <c r="EB261" s="95"/>
      <c r="EC261" s="95"/>
      <c r="ED261" s="95"/>
      <c r="EE261" s="95"/>
      <c r="EF261" s="95"/>
      <c r="EG261" s="219"/>
      <c r="EH261" s="95"/>
      <c r="EI261" s="95"/>
      <c r="EJ261" s="95"/>
      <c r="EK261" s="95"/>
      <c r="EL261" s="95"/>
      <c r="EM261" s="219"/>
      <c r="EN261" s="95"/>
      <c r="EO261" s="95"/>
      <c r="EP261" s="95"/>
      <c r="EQ261" s="95"/>
      <c r="ER261" s="95"/>
      <c r="ES261" s="219"/>
      <c r="ET261" s="95"/>
      <c r="EU261" s="95"/>
      <c r="EV261" s="95"/>
      <c r="EW261" s="95"/>
      <c r="EX261" s="95"/>
      <c r="EY261" s="219"/>
      <c r="EZ261" s="95"/>
      <c r="FA261" s="95"/>
      <c r="FB261" s="95"/>
      <c r="FC261" s="95"/>
      <c r="FD261" s="95"/>
      <c r="FE261" s="219"/>
      <c r="FF261" s="95"/>
      <c r="FG261" s="95"/>
      <c r="FH261" s="95"/>
      <c r="FI261" s="95"/>
      <c r="FJ261" s="95"/>
      <c r="FK261" s="219"/>
      <c r="FL261" s="95"/>
      <c r="FM261" s="95"/>
      <c r="FN261" s="95"/>
      <c r="FO261" s="95"/>
      <c r="FP261" s="95"/>
      <c r="FQ261" s="219"/>
      <c r="FR261" s="95"/>
      <c r="FS261" s="95"/>
      <c r="FT261" s="95"/>
      <c r="FU261" s="95"/>
      <c r="FV261" s="95"/>
      <c r="FW261" s="219"/>
      <c r="FX261" s="95"/>
      <c r="FY261" s="95"/>
      <c r="FZ261" s="95"/>
      <c r="GA261" s="95"/>
      <c r="GB261" s="95"/>
      <c r="GC261" s="219"/>
      <c r="GD261" s="95"/>
      <c r="GE261" s="95"/>
      <c r="GF261" s="95"/>
      <c r="GG261" s="95"/>
      <c r="GH261" s="95"/>
      <c r="GI261" s="219"/>
      <c r="GJ261" s="95"/>
      <c r="GK261" s="95"/>
      <c r="GL261" s="95"/>
      <c r="GM261" s="95"/>
      <c r="GN261" s="95"/>
      <c r="GO261" s="219"/>
      <c r="GP261" s="95"/>
      <c r="GQ261" s="95"/>
      <c r="GR261" s="95"/>
      <c r="GS261" s="95"/>
      <c r="GT261" s="95"/>
      <c r="GU261" s="219"/>
      <c r="GV261" s="95"/>
      <c r="GW261" s="95"/>
      <c r="GX261" s="95"/>
      <c r="GY261" s="95"/>
      <c r="GZ261" s="95"/>
      <c r="HA261" s="219"/>
      <c r="HB261" s="95"/>
      <c r="HC261" s="95"/>
      <c r="HD261" s="95"/>
      <c r="HE261" s="95"/>
      <c r="HF261" s="95"/>
      <c r="HG261" s="219"/>
      <c r="HH261" s="95"/>
      <c r="HI261" s="95"/>
      <c r="HJ261" s="95"/>
      <c r="HK261" s="95"/>
      <c r="HL261" s="95"/>
      <c r="HM261" s="219"/>
      <c r="HN261" s="95"/>
      <c r="HO261" s="95"/>
      <c r="HP261" s="95"/>
      <c r="HQ261" s="95"/>
      <c r="HR261" s="95"/>
      <c r="HS261" s="219"/>
      <c r="HT261" s="95"/>
      <c r="HU261" s="95"/>
      <c r="HV261" s="95"/>
      <c r="HW261" s="95"/>
      <c r="HX261" s="95"/>
      <c r="HY261" s="219"/>
      <c r="HZ261" s="95"/>
      <c r="IA261" s="95"/>
      <c r="IB261" s="95"/>
      <c r="IC261" s="95"/>
      <c r="ID261" s="95"/>
      <c r="IE261" s="219"/>
      <c r="IF261" s="95"/>
      <c r="IG261" s="95"/>
      <c r="IH261" s="95"/>
      <c r="II261" s="95"/>
      <c r="IJ261" s="95"/>
      <c r="IK261" s="219"/>
      <c r="IL261" s="95"/>
      <c r="IM261" s="95"/>
      <c r="IN261" s="95"/>
      <c r="IO261" s="95"/>
      <c r="IP261" s="95"/>
      <c r="IQ261" s="219"/>
      <c r="IR261" s="95"/>
    </row>
    <row r="262" spans="1:252" ht="15.75">
      <c r="A262" s="883"/>
      <c r="B262" s="337"/>
      <c r="C262" s="337"/>
      <c r="D262" s="337"/>
      <c r="E262" s="883"/>
      <c r="F262" s="231"/>
      <c r="G262" s="337"/>
      <c r="H262" s="38"/>
      <c r="I262" s="38"/>
      <c r="J262" s="38"/>
      <c r="K262" s="38"/>
      <c r="L262" s="270"/>
      <c r="M262" s="38"/>
      <c r="N262" s="337"/>
      <c r="O262" s="337"/>
      <c r="P262" s="2257"/>
      <c r="Q262" s="332"/>
      <c r="R262" s="337"/>
      <c r="S262" s="337"/>
      <c r="T262" s="337"/>
      <c r="U262" s="337"/>
      <c r="V262" s="337"/>
      <c r="W262" s="332"/>
      <c r="X262" s="337"/>
      <c r="Y262" s="337"/>
      <c r="Z262" s="337"/>
      <c r="AA262" s="337"/>
      <c r="AB262" s="337"/>
      <c r="AC262" s="332"/>
      <c r="AD262" s="337"/>
      <c r="AE262" s="337"/>
      <c r="AF262" s="337"/>
      <c r="AG262" s="337"/>
      <c r="AH262" s="337"/>
      <c r="AI262" s="332"/>
      <c r="AJ262" s="337"/>
      <c r="AK262" s="337"/>
      <c r="AL262" s="337"/>
      <c r="AM262" s="337"/>
      <c r="AN262" s="337"/>
      <c r="AO262" s="332"/>
      <c r="AP262" s="337"/>
      <c r="AQ262" s="337"/>
      <c r="AR262" s="337"/>
      <c r="AS262" s="337"/>
      <c r="AT262" s="337"/>
      <c r="AU262" s="332"/>
      <c r="AV262" s="337"/>
      <c r="AW262" s="337"/>
      <c r="AX262" s="337"/>
      <c r="AY262" s="337"/>
      <c r="AZ262" s="337"/>
      <c r="BA262" s="332"/>
      <c r="BB262" s="337"/>
      <c r="BC262" s="337"/>
      <c r="BD262" s="337"/>
      <c r="BE262" s="337"/>
      <c r="BF262" s="337"/>
      <c r="BG262" s="332"/>
      <c r="BH262" s="337"/>
      <c r="BI262" s="337"/>
      <c r="BJ262" s="337"/>
      <c r="BK262" s="337"/>
      <c r="BL262" s="337"/>
      <c r="BM262" s="332"/>
      <c r="BN262" s="337"/>
      <c r="BO262" s="337"/>
      <c r="BP262" s="337"/>
      <c r="BQ262" s="337"/>
      <c r="BR262" s="337"/>
      <c r="BS262" s="332"/>
      <c r="BT262" s="337"/>
      <c r="BU262" s="337"/>
      <c r="BV262" s="337"/>
      <c r="BW262" s="337"/>
      <c r="BX262" s="337"/>
      <c r="BY262" s="332"/>
      <c r="BZ262" s="337"/>
      <c r="CA262" s="337"/>
      <c r="CB262" s="337"/>
      <c r="CC262" s="337"/>
      <c r="CD262" s="337"/>
      <c r="CE262" s="332"/>
      <c r="CF262" s="337"/>
      <c r="CG262" s="337"/>
      <c r="CH262" s="337"/>
      <c r="CI262" s="337"/>
      <c r="CJ262" s="337"/>
      <c r="CK262" s="332"/>
      <c r="CL262" s="337"/>
      <c r="CM262" s="337"/>
      <c r="CN262" s="337"/>
      <c r="CO262" s="337"/>
      <c r="CP262" s="337"/>
      <c r="CQ262" s="332"/>
      <c r="CR262" s="337"/>
      <c r="CS262" s="337"/>
      <c r="CT262" s="337"/>
      <c r="CU262" s="337"/>
      <c r="CV262" s="337"/>
      <c r="CW262" s="332"/>
      <c r="CX262" s="337"/>
      <c r="CY262" s="337"/>
      <c r="CZ262" s="337"/>
      <c r="DA262" s="337"/>
      <c r="DB262" s="337"/>
      <c r="DC262" s="332"/>
      <c r="DD262" s="337"/>
      <c r="DE262" s="337"/>
      <c r="DF262" s="337"/>
      <c r="DG262" s="337"/>
      <c r="DH262" s="337"/>
      <c r="DI262" s="332"/>
      <c r="DJ262" s="337"/>
      <c r="DK262" s="337"/>
      <c r="DL262" s="337"/>
      <c r="DM262" s="337"/>
      <c r="DN262" s="337"/>
      <c r="DO262" s="332"/>
      <c r="DP262" s="337"/>
      <c r="DQ262" s="337"/>
      <c r="DR262" s="337"/>
      <c r="DS262" s="337"/>
      <c r="DT262" s="337"/>
      <c r="DU262" s="332"/>
      <c r="DV262" s="337"/>
      <c r="DW262" s="337"/>
      <c r="DX262" s="337"/>
      <c r="DY262" s="337"/>
      <c r="DZ262" s="337"/>
      <c r="EA262" s="332"/>
      <c r="EB262" s="337"/>
      <c r="EC262" s="337"/>
      <c r="ED262" s="337"/>
      <c r="EE262" s="337"/>
      <c r="EF262" s="337"/>
      <c r="EG262" s="332"/>
      <c r="EH262" s="337"/>
      <c r="EI262" s="337"/>
      <c r="EJ262" s="337"/>
      <c r="EK262" s="337"/>
      <c r="EL262" s="337"/>
      <c r="EM262" s="332"/>
      <c r="EN262" s="337"/>
      <c r="EO262" s="337"/>
      <c r="EP262" s="337"/>
      <c r="EQ262" s="337"/>
      <c r="ER262" s="337"/>
      <c r="ES262" s="332"/>
      <c r="ET262" s="337"/>
      <c r="EU262" s="337"/>
      <c r="EV262" s="337"/>
      <c r="EW262" s="337"/>
      <c r="EX262" s="337"/>
      <c r="EY262" s="332"/>
      <c r="EZ262" s="337"/>
      <c r="FA262" s="337"/>
      <c r="FB262" s="337"/>
      <c r="FC262" s="337"/>
      <c r="FD262" s="337"/>
      <c r="FE262" s="332"/>
      <c r="FF262" s="337"/>
      <c r="FG262" s="337"/>
      <c r="FH262" s="337"/>
      <c r="FI262" s="337"/>
      <c r="FJ262" s="337"/>
      <c r="FK262" s="332"/>
      <c r="FL262" s="337"/>
      <c r="FM262" s="337"/>
      <c r="FN262" s="337"/>
      <c r="FO262" s="337"/>
      <c r="FP262" s="337"/>
      <c r="FQ262" s="332"/>
      <c r="FR262" s="337"/>
      <c r="FS262" s="337"/>
      <c r="FT262" s="337"/>
      <c r="FU262" s="337"/>
      <c r="FV262" s="337"/>
      <c r="FW262" s="332"/>
      <c r="FX262" s="337"/>
      <c r="FY262" s="337"/>
      <c r="FZ262" s="337"/>
      <c r="GA262" s="337"/>
      <c r="GB262" s="337"/>
      <c r="GC262" s="332"/>
      <c r="GD262" s="337"/>
      <c r="GE262" s="337"/>
      <c r="GF262" s="337"/>
      <c r="GG262" s="337"/>
      <c r="GH262" s="337"/>
      <c r="GI262" s="332"/>
      <c r="GJ262" s="337"/>
      <c r="GK262" s="337"/>
      <c r="GL262" s="337"/>
      <c r="GM262" s="337"/>
      <c r="GN262" s="337"/>
      <c r="GO262" s="332"/>
      <c r="GP262" s="337"/>
      <c r="GQ262" s="337"/>
      <c r="GR262" s="337"/>
      <c r="GS262" s="337"/>
      <c r="GT262" s="337"/>
      <c r="GU262" s="332"/>
      <c r="GV262" s="337"/>
      <c r="GW262" s="337"/>
      <c r="GX262" s="337"/>
      <c r="GY262" s="337"/>
      <c r="GZ262" s="337"/>
      <c r="HA262" s="332"/>
      <c r="HB262" s="337"/>
      <c r="HC262" s="337"/>
      <c r="HD262" s="337"/>
      <c r="HE262" s="337"/>
      <c r="HF262" s="337"/>
      <c r="HG262" s="332"/>
      <c r="HH262" s="337"/>
      <c r="HI262" s="337"/>
      <c r="HJ262" s="337"/>
      <c r="HK262" s="337"/>
      <c r="HL262" s="337"/>
      <c r="HM262" s="332"/>
      <c r="HN262" s="337"/>
      <c r="HO262" s="337"/>
      <c r="HP262" s="337"/>
      <c r="HQ262" s="337"/>
      <c r="HR262" s="337"/>
      <c r="HS262" s="332"/>
      <c r="HT262" s="337"/>
      <c r="HU262" s="337"/>
      <c r="HV262" s="337"/>
      <c r="HW262" s="337"/>
      <c r="HX262" s="337"/>
      <c r="HY262" s="332"/>
      <c r="HZ262" s="337"/>
      <c r="IA262" s="337"/>
      <c r="IB262" s="337"/>
      <c r="IC262" s="337"/>
      <c r="ID262" s="337"/>
      <c r="IE262" s="332"/>
      <c r="IF262" s="337"/>
      <c r="IG262" s="337"/>
      <c r="IH262" s="337"/>
      <c r="II262" s="337"/>
      <c r="IJ262" s="337"/>
      <c r="IK262" s="332"/>
      <c r="IL262" s="337"/>
      <c r="IM262" s="337"/>
      <c r="IN262" s="337"/>
      <c r="IO262" s="337"/>
      <c r="IP262" s="337"/>
      <c r="IQ262" s="332"/>
      <c r="IR262" s="337"/>
    </row>
    <row r="263" spans="1:252" ht="16.5" thickBot="1">
      <c r="A263" s="878" t="s">
        <v>428</v>
      </c>
    </row>
    <row r="264" spans="1:252">
      <c r="A264" s="2246" t="s">
        <v>206</v>
      </c>
      <c r="B264" s="908"/>
      <c r="C264" s="908"/>
      <c r="D264" s="908"/>
      <c r="E264" s="983"/>
      <c r="F264" s="908"/>
      <c r="G264" s="909"/>
      <c r="H264" s="907" t="s">
        <v>79</v>
      </c>
      <c r="I264" s="908"/>
      <c r="J264" s="908"/>
      <c r="K264" s="908"/>
      <c r="L264" s="908"/>
      <c r="M264" s="909"/>
    </row>
    <row r="265" spans="1:252" ht="15.75">
      <c r="A265" s="230"/>
      <c r="B265" s="228" t="str">
        <f>'Appendix A'!B101</f>
        <v>Network Upgrade Balance</v>
      </c>
      <c r="C265" s="51"/>
      <c r="D265" s="37"/>
      <c r="E265" s="37"/>
      <c r="F265" s="252"/>
      <c r="G265" s="234"/>
      <c r="H265" s="38"/>
      <c r="I265" s="38"/>
      <c r="J265" s="38"/>
      <c r="K265" s="38"/>
      <c r="L265" s="38"/>
      <c r="M265" s="229"/>
    </row>
    <row r="266" spans="1:252" s="349" customFormat="1">
      <c r="A266" s="230"/>
      <c r="B266" s="235"/>
      <c r="C266" s="36"/>
      <c r="D266" s="37"/>
      <c r="E266" s="37"/>
      <c r="F266" s="540" t="s">
        <v>632</v>
      </c>
      <c r="G266" s="241" t="s">
        <v>606</v>
      </c>
      <c r="H266" s="1131">
        <f>-Inputs!D90</f>
        <v>-35613529.590000004</v>
      </c>
      <c r="I266" s="37"/>
      <c r="J266" s="37"/>
      <c r="K266" s="37"/>
      <c r="L266" s="38"/>
      <c r="M266" s="853"/>
      <c r="P266" s="2254"/>
    </row>
    <row r="267" spans="1:252" s="349" customFormat="1">
      <c r="A267" s="230"/>
      <c r="B267" s="235"/>
      <c r="C267" s="36"/>
      <c r="D267" s="37"/>
      <c r="E267" s="37"/>
      <c r="F267" s="540" t="s">
        <v>633</v>
      </c>
      <c r="G267" s="241" t="s">
        <v>606</v>
      </c>
      <c r="H267" s="1131">
        <f>-Inputs!E90</f>
        <v>-27365545.559999999</v>
      </c>
      <c r="I267" s="37"/>
      <c r="J267" s="37"/>
      <c r="K267" s="37"/>
      <c r="L267" s="38"/>
      <c r="M267" s="853"/>
      <c r="P267" s="2254"/>
    </row>
    <row r="268" spans="1:252" ht="15.75">
      <c r="A268" s="230">
        <f>'Appendix A'!A102</f>
        <v>50</v>
      </c>
      <c r="B268" s="235"/>
      <c r="C268" s="36" t="str">
        <f>'Appendix A'!C102</f>
        <v>Network Upgrade Balance</v>
      </c>
      <c r="E268" s="103" t="str">
        <f>'Appendix A'!E102</f>
        <v>(Note N)</v>
      </c>
      <c r="F268" s="975" t="s">
        <v>1014</v>
      </c>
      <c r="G268" s="1004" t="str">
        <f>Toggle</f>
        <v>True-up</v>
      </c>
      <c r="H268" s="1135">
        <f>IF(Toggle=Projection,H267,IF(Toggle=True_up,AVERAGE(H266:H267),"Set Toggle!"))</f>
        <v>-31489537.575000003</v>
      </c>
      <c r="I268" s="1001" t="str">
        <f>IF(Toggle=Projection,"current end-of-year balance",IF(Toggle=True_up,"beg-of-year and end-of-year average ","Set Toggle!"))</f>
        <v xml:space="preserve">beg-of-year and end-of-year average </v>
      </c>
      <c r="J268" s="852"/>
      <c r="K268" s="852"/>
      <c r="L268" s="37"/>
      <c r="M268" s="853"/>
    </row>
    <row r="269" spans="1:252" s="349" customFormat="1" ht="15.75" thickBot="1">
      <c r="A269" s="238"/>
      <c r="B269" s="837"/>
      <c r="C269" s="838"/>
      <c r="D269" s="844"/>
      <c r="E269" s="844"/>
      <c r="F269" s="840"/>
      <c r="G269" s="244"/>
      <c r="H269" s="861"/>
      <c r="I269" s="857"/>
      <c r="J269" s="857"/>
      <c r="K269" s="857"/>
      <c r="L269" s="857"/>
      <c r="M269" s="492"/>
      <c r="P269" s="2254"/>
    </row>
    <row r="270" spans="1:252" ht="15.75">
      <c r="A270" s="883"/>
      <c r="B270" s="235"/>
      <c r="C270" s="332"/>
      <c r="D270" s="37"/>
      <c r="E270" s="37"/>
      <c r="F270" s="99"/>
      <c r="G270" s="332"/>
      <c r="H270" s="92"/>
      <c r="I270" s="92"/>
      <c r="J270" s="92"/>
      <c r="K270" s="335"/>
      <c r="L270" s="336"/>
      <c r="M270" s="336"/>
    </row>
    <row r="272" spans="1:252" ht="16.5" thickBot="1">
      <c r="A272" s="878" t="s">
        <v>220</v>
      </c>
      <c r="I272" s="247"/>
      <c r="J272" s="247"/>
      <c r="K272" s="247"/>
      <c r="L272" s="247"/>
    </row>
    <row r="273" spans="1:16">
      <c r="A273" s="2246" t="s">
        <v>206</v>
      </c>
      <c r="B273" s="908"/>
      <c r="C273" s="908"/>
      <c r="D273" s="908"/>
      <c r="E273" s="983"/>
      <c r="F273" s="908"/>
      <c r="G273" s="909"/>
      <c r="H273" s="907" t="s">
        <v>282</v>
      </c>
      <c r="I273" s="908"/>
      <c r="J273" s="908"/>
      <c r="K273" s="908"/>
      <c r="L273" s="908"/>
      <c r="M273" s="909"/>
    </row>
    <row r="274" spans="1:16">
      <c r="A274" s="2245"/>
      <c r="B274" s="38"/>
      <c r="C274" s="38"/>
      <c r="D274" s="38"/>
      <c r="E274" s="38"/>
      <c r="F274" s="38"/>
      <c r="G274" s="38"/>
      <c r="H274" s="255"/>
      <c r="I274" s="38"/>
      <c r="J274" s="38"/>
      <c r="K274" s="38"/>
      <c r="L274" s="38"/>
      <c r="M274" s="229"/>
    </row>
    <row r="275" spans="1:16" s="349" customFormat="1" ht="15.75">
      <c r="A275" s="2245"/>
      <c r="B275" s="524" t="s">
        <v>1101</v>
      </c>
      <c r="C275" s="38"/>
      <c r="D275" s="38"/>
      <c r="E275" s="38"/>
      <c r="F275" s="38"/>
      <c r="G275" s="38"/>
      <c r="H275" s="255"/>
      <c r="I275" s="38"/>
      <c r="J275" s="38"/>
      <c r="K275" s="38"/>
      <c r="L275" s="38"/>
      <c r="M275" s="229"/>
      <c r="P275" s="2254"/>
    </row>
    <row r="276" spans="1:16" s="349" customFormat="1">
      <c r="A276" s="2245"/>
      <c r="B276" s="38"/>
      <c r="C276" s="38" t="s">
        <v>1100</v>
      </c>
      <c r="D276" s="38"/>
      <c r="E276" s="426" t="str">
        <f>'Appendix A'!$E$213</f>
        <v>(Note H)</v>
      </c>
      <c r="F276" s="38"/>
      <c r="G276" s="1120" t="s">
        <v>295</v>
      </c>
      <c r="H276" s="1130">
        <f>INDEX(Inputs!$E$48:$E$82,MATCH(G276,Inputs!$F$48:$F$82,0))</f>
        <v>104655006</v>
      </c>
      <c r="I276" s="38"/>
      <c r="J276" s="38"/>
      <c r="K276" s="38"/>
      <c r="L276" s="38"/>
      <c r="M276" s="229"/>
      <c r="P276" s="2254"/>
    </row>
    <row r="277" spans="1:16" s="349" customFormat="1">
      <c r="A277" s="2245"/>
      <c r="B277" s="38"/>
      <c r="C277" s="38" t="s">
        <v>1099</v>
      </c>
      <c r="D277" s="38"/>
      <c r="E277" s="426" t="str">
        <f>'Appendix A'!$E$213</f>
        <v>(Note H)</v>
      </c>
      <c r="F277" s="38"/>
      <c r="G277" s="1120" t="s">
        <v>294</v>
      </c>
      <c r="H277" s="1130">
        <f>INDEX(Inputs!$E$48:$E$82,MATCH(G277,Inputs!$F$48:$F$82,0))</f>
        <v>0</v>
      </c>
      <c r="I277" s="38"/>
      <c r="J277" s="38"/>
      <c r="K277" s="38"/>
      <c r="L277" s="38"/>
      <c r="M277" s="229"/>
      <c r="P277" s="2254"/>
    </row>
    <row r="278" spans="1:16" ht="15.75">
      <c r="A278" s="2245">
        <f>'Appendix A'!A144</f>
        <v>76</v>
      </c>
      <c r="B278" s="38"/>
      <c r="C278" s="1113" t="str">
        <f>'Appendix A'!C144</f>
        <v>Transmission Depreciation Expense Including Amortization of Limited Term Plant</v>
      </c>
      <c r="D278" s="1110"/>
      <c r="E278" s="1110" t="str">
        <f>'Appendix A'!$E$213</f>
        <v>(Note H)</v>
      </c>
      <c r="F278" s="1116"/>
      <c r="G278" s="1123" t="s">
        <v>1098</v>
      </c>
      <c r="H278" s="1115">
        <f>SUM(H276:H277)</f>
        <v>104655006</v>
      </c>
      <c r="I278" s="349" t="s">
        <v>1016</v>
      </c>
      <c r="J278" s="38"/>
      <c r="K278" s="38"/>
      <c r="L278" s="38"/>
      <c r="M278" s="229"/>
    </row>
    <row r="279" spans="1:16" s="349" customFormat="1">
      <c r="A279" s="2245"/>
      <c r="B279" s="38"/>
      <c r="C279" s="38"/>
      <c r="D279" s="103"/>
      <c r="E279" s="103"/>
      <c r="G279" s="249"/>
      <c r="H279" s="248"/>
      <c r="I279" s="38"/>
      <c r="J279" s="38"/>
      <c r="K279" s="38"/>
      <c r="L279" s="38"/>
      <c r="M279" s="229"/>
      <c r="P279" s="2254"/>
    </row>
    <row r="280" spans="1:16" s="349" customFormat="1" ht="15.75">
      <c r="A280" s="2245"/>
      <c r="B280" s="524" t="s">
        <v>469</v>
      </c>
      <c r="C280" s="38"/>
      <c r="D280" s="103"/>
      <c r="E280" s="103"/>
      <c r="G280" s="249"/>
      <c r="H280" s="248"/>
      <c r="I280" s="38"/>
      <c r="J280" s="38"/>
      <c r="K280" s="38"/>
      <c r="L280" s="38"/>
      <c r="M280" s="229"/>
      <c r="P280" s="2254"/>
    </row>
    <row r="281" spans="1:16" s="349" customFormat="1">
      <c r="A281" s="2245"/>
      <c r="B281" s="38"/>
      <c r="C281" s="38" t="s">
        <v>1100</v>
      </c>
      <c r="D281" s="103"/>
      <c r="E281" s="426" t="str">
        <f>'Appendix A'!$E$213</f>
        <v>(Note H)</v>
      </c>
      <c r="G281" s="1120" t="s">
        <v>297</v>
      </c>
      <c r="H281" s="1130">
        <f>INDEX(Inputs!$E$48:$E$82,MATCH(G281,Inputs!$F$48:$F$82,0))</f>
        <v>39923447</v>
      </c>
      <c r="I281" s="38"/>
      <c r="J281" s="38"/>
      <c r="K281" s="38"/>
      <c r="L281" s="38"/>
      <c r="M281" s="229"/>
      <c r="P281" s="2254"/>
    </row>
    <row r="282" spans="1:16" s="349" customFormat="1">
      <c r="A282" s="2245"/>
      <c r="B282" s="38"/>
      <c r="C282" s="38" t="s">
        <v>1099</v>
      </c>
      <c r="D282" s="103"/>
      <c r="E282" s="426" t="str">
        <f>'Appendix A'!$E$213</f>
        <v>(Note H)</v>
      </c>
      <c r="G282" s="1120" t="s">
        <v>296</v>
      </c>
      <c r="H282" s="1130">
        <f>INDEX(Inputs!$E$48:$E$82,MATCH(G282,Inputs!$F$48:$F$82,0))</f>
        <v>1480588</v>
      </c>
      <c r="I282" s="38"/>
      <c r="J282" s="38"/>
      <c r="K282" s="38"/>
      <c r="L282" s="38"/>
      <c r="M282" s="229"/>
      <c r="P282" s="2254"/>
    </row>
    <row r="283" spans="1:16" ht="15.75">
      <c r="A283" s="2245">
        <f>'Appendix A'!A146</f>
        <v>77</v>
      </c>
      <c r="B283" s="38"/>
      <c r="C283" s="1114" t="str">
        <f>'Appendix A'!C146</f>
        <v>General Depreciation Expense Including Amortization of Limited Term Plant</v>
      </c>
      <c r="D283" s="1110"/>
      <c r="E283" s="1110" t="str">
        <f>'Appendix A'!$E$213</f>
        <v>(Note H)</v>
      </c>
      <c r="F283" s="1116"/>
      <c r="G283" s="1123" t="s">
        <v>1098</v>
      </c>
      <c r="H283" s="1115">
        <f>SUM(H281:H282)</f>
        <v>41404035</v>
      </c>
      <c r="I283" s="349" t="s">
        <v>1016</v>
      </c>
      <c r="J283" s="38"/>
      <c r="K283" s="38"/>
      <c r="L283" s="38"/>
      <c r="M283" s="229"/>
    </row>
    <row r="284" spans="1:16" s="349" customFormat="1">
      <c r="A284" s="2245"/>
      <c r="B284" s="38"/>
      <c r="C284" s="811"/>
      <c r="D284" s="103"/>
      <c r="E284" s="103"/>
      <c r="G284" s="249"/>
      <c r="H284" s="470"/>
      <c r="J284" s="38"/>
      <c r="K284" s="38"/>
      <c r="L284" s="38"/>
      <c r="M284" s="229"/>
      <c r="P284" s="2254"/>
    </row>
    <row r="285" spans="1:16" s="349" customFormat="1" ht="15.75">
      <c r="A285" s="2245"/>
      <c r="B285" s="524" t="s">
        <v>1102</v>
      </c>
      <c r="C285" s="38"/>
      <c r="D285" s="103"/>
      <c r="E285" s="103"/>
      <c r="G285" s="249"/>
      <c r="H285" s="470"/>
      <c r="I285" s="38"/>
      <c r="J285" s="38"/>
      <c r="K285" s="38"/>
      <c r="L285" s="38"/>
      <c r="M285" s="229"/>
      <c r="P285" s="2254"/>
    </row>
    <row r="286" spans="1:16" s="349" customFormat="1">
      <c r="A286" s="2245"/>
      <c r="B286" s="38"/>
      <c r="C286" s="38" t="s">
        <v>1099</v>
      </c>
      <c r="D286" s="103"/>
      <c r="E286" s="426" t="str">
        <f>'Appendix A'!$E$213</f>
        <v>(Note H)</v>
      </c>
      <c r="G286" s="1121" t="s">
        <v>293</v>
      </c>
      <c r="H286" s="1130">
        <f>INDEX(Inputs!$E$48:$E$82,MATCH(G286,Inputs!$F$48:$F$82,0))</f>
        <v>36791866</v>
      </c>
      <c r="I286" s="38"/>
      <c r="J286" s="38"/>
      <c r="K286" s="38"/>
      <c r="L286" s="38"/>
      <c r="M286" s="229"/>
      <c r="P286" s="2254"/>
    </row>
    <row r="287" spans="1:16" s="349" customFormat="1">
      <c r="A287" s="2245"/>
      <c r="B287" s="38"/>
      <c r="C287" s="38" t="s">
        <v>1103</v>
      </c>
      <c r="D287" s="103"/>
      <c r="E287" s="426" t="str">
        <f>'Appendix A'!$E$213</f>
        <v>(Note H)</v>
      </c>
      <c r="G287" s="1121" t="s">
        <v>331</v>
      </c>
      <c r="H287" s="1130">
        <f>INDEX(Inputs!$E$48:$E$82,MATCH(G287,Inputs!$F$48:$F$82,0))</f>
        <v>0</v>
      </c>
      <c r="I287" s="38"/>
      <c r="J287" s="38"/>
      <c r="K287" s="38"/>
      <c r="L287" s="38"/>
      <c r="M287" s="229"/>
      <c r="P287" s="2254"/>
    </row>
    <row r="288" spans="1:16" s="349" customFormat="1" ht="15.75">
      <c r="A288" s="2245">
        <f>'Appendix A'!A147</f>
        <v>78</v>
      </c>
      <c r="B288" s="38"/>
      <c r="C288" s="1106" t="s">
        <v>984</v>
      </c>
      <c r="D288" s="817"/>
      <c r="E288" s="1110" t="str">
        <f>'Appendix A'!$E$213</f>
        <v>(Note H)</v>
      </c>
      <c r="F288" s="818"/>
      <c r="G288" s="1123" t="s">
        <v>1098</v>
      </c>
      <c r="H288" s="1115">
        <f>SUM(H286:H287)</f>
        <v>36791866</v>
      </c>
      <c r="I288" s="349" t="s">
        <v>1016</v>
      </c>
      <c r="J288" s="38"/>
      <c r="K288" s="38"/>
      <c r="L288" s="38"/>
      <c r="M288" s="229"/>
      <c r="P288" s="2254"/>
    </row>
    <row r="289" spans="1:16" ht="15.75" thickBot="1">
      <c r="A289" s="1009"/>
      <c r="B289" s="247"/>
      <c r="C289" s="247"/>
      <c r="D289" s="247"/>
      <c r="E289" s="872"/>
      <c r="F289" s="247"/>
      <c r="G289" s="247"/>
      <c r="H289" s="260" t="s">
        <v>225</v>
      </c>
      <c r="I289" s="247"/>
      <c r="J289" s="247"/>
      <c r="K289" s="247"/>
      <c r="L289" s="247"/>
      <c r="M289" s="261"/>
    </row>
    <row r="290" spans="1:16" s="349" customFormat="1">
      <c r="A290" s="51"/>
      <c r="B290" s="38"/>
      <c r="C290" s="38"/>
      <c r="D290" s="38"/>
      <c r="E290" s="38"/>
      <c r="F290" s="38"/>
      <c r="G290" s="38"/>
      <c r="H290" s="38"/>
      <c r="I290" s="38"/>
      <c r="J290" s="38"/>
      <c r="K290" s="38"/>
      <c r="L290" s="38"/>
      <c r="M290" s="38"/>
      <c r="P290" s="2254"/>
    </row>
    <row r="292" spans="1:16" ht="16.5" thickBot="1">
      <c r="A292" s="878" t="s">
        <v>1009</v>
      </c>
      <c r="B292" s="349"/>
      <c r="C292" s="349"/>
      <c r="D292" s="349"/>
      <c r="F292" s="349"/>
      <c r="G292" s="349"/>
      <c r="H292" s="349"/>
      <c r="I292" s="349"/>
      <c r="J292" s="349"/>
      <c r="K292" s="349"/>
      <c r="L292" s="349"/>
      <c r="M292" s="349"/>
    </row>
    <row r="293" spans="1:16">
      <c r="A293" s="2246" t="s">
        <v>206</v>
      </c>
      <c r="B293" s="923"/>
      <c r="C293" s="923"/>
      <c r="D293" s="923"/>
      <c r="E293" s="983"/>
      <c r="F293" s="923"/>
      <c r="G293" s="924"/>
      <c r="H293" s="907" t="s">
        <v>79</v>
      </c>
      <c r="I293" s="923"/>
      <c r="J293" s="923"/>
      <c r="K293" s="923"/>
      <c r="L293" s="923"/>
      <c r="M293" s="924"/>
    </row>
    <row r="294" spans="1:16" ht="15.75">
      <c r="A294" s="230"/>
      <c r="B294" s="82"/>
      <c r="C294" s="51"/>
      <c r="D294" s="51"/>
      <c r="E294" s="51"/>
      <c r="F294" s="426"/>
      <c r="G294" s="234"/>
      <c r="H294" s="38"/>
      <c r="I294" s="38"/>
      <c r="J294" s="38"/>
      <c r="K294" s="38"/>
      <c r="L294" s="38"/>
      <c r="M294" s="229"/>
    </row>
    <row r="295" spans="1:16" s="349" customFormat="1" ht="15.75">
      <c r="A295" s="230"/>
      <c r="B295" s="82"/>
      <c r="C295" s="2638" t="s">
        <v>2208</v>
      </c>
      <c r="D295" s="2640"/>
      <c r="E295" s="2640"/>
      <c r="F295" s="426"/>
      <c r="G295" s="2642"/>
      <c r="H295" s="2640"/>
      <c r="I295" s="38"/>
      <c r="J295" s="38"/>
      <c r="K295" s="38"/>
      <c r="L295" s="38"/>
      <c r="M295" s="229"/>
      <c r="P295" s="2254"/>
    </row>
    <row r="296" spans="1:16" s="349" customFormat="1" ht="15.75">
      <c r="A296" s="230"/>
      <c r="B296" s="82"/>
      <c r="C296" s="2082" t="s">
        <v>1840</v>
      </c>
      <c r="D296" s="2080"/>
      <c r="E296" s="2080"/>
      <c r="F296" s="426"/>
      <c r="G296" s="950" t="s">
        <v>1848</v>
      </c>
      <c r="H296" s="2080"/>
      <c r="I296" s="38"/>
      <c r="J296" s="38"/>
      <c r="K296" s="38"/>
      <c r="L296" s="38"/>
      <c r="M296" s="229"/>
      <c r="P296" s="2254"/>
    </row>
    <row r="297" spans="1:16" s="349" customFormat="1" ht="15.75">
      <c r="A297" s="230"/>
      <c r="B297" s="82"/>
      <c r="C297" s="2081" t="s">
        <v>1665</v>
      </c>
      <c r="D297" s="2080"/>
      <c r="E297" s="2080"/>
      <c r="F297" s="426"/>
      <c r="G297" s="950"/>
      <c r="H297" s="969">
        <v>27330.84</v>
      </c>
      <c r="I297" s="38"/>
      <c r="J297" s="2636"/>
      <c r="K297" s="51"/>
      <c r="L297" s="38"/>
      <c r="M297" s="229"/>
      <c r="P297" s="2254"/>
    </row>
    <row r="298" spans="1:16" s="349" customFormat="1" ht="15.75">
      <c r="A298" s="230"/>
      <c r="B298" s="82"/>
      <c r="C298" s="2081" t="s">
        <v>1664</v>
      </c>
      <c r="D298" s="2080"/>
      <c r="E298" s="2080"/>
      <c r="F298" s="426"/>
      <c r="G298" s="950"/>
      <c r="H298" s="969">
        <v>21250</v>
      </c>
      <c r="I298" s="38"/>
      <c r="J298" s="2636"/>
      <c r="K298" s="51"/>
      <c r="L298" s="38"/>
      <c r="M298" s="229"/>
      <c r="P298" s="2254"/>
    </row>
    <row r="299" spans="1:16" s="349" customFormat="1" ht="15.75">
      <c r="A299" s="230"/>
      <c r="B299" s="82"/>
      <c r="C299" s="2081" t="s">
        <v>1728</v>
      </c>
      <c r="D299" s="2080"/>
      <c r="E299" s="2080"/>
      <c r="F299" s="426"/>
      <c r="G299" s="950"/>
      <c r="H299" s="969">
        <v>5707.56</v>
      </c>
      <c r="I299" s="38"/>
      <c r="J299" s="2636"/>
      <c r="K299" s="51"/>
      <c r="L299" s="38"/>
      <c r="M299" s="229"/>
      <c r="P299" s="2254"/>
    </row>
    <row r="300" spans="1:16" s="349" customFormat="1" ht="15.75">
      <c r="A300" s="230"/>
      <c r="B300" s="82"/>
      <c r="C300" s="2082" t="s">
        <v>1841</v>
      </c>
      <c r="D300" s="2080"/>
      <c r="E300" s="2080"/>
      <c r="F300" s="426"/>
      <c r="G300" s="950" t="s">
        <v>1849</v>
      </c>
      <c r="H300" s="2080"/>
      <c r="I300" s="38"/>
      <c r="J300" s="51"/>
      <c r="K300" s="51"/>
      <c r="L300" s="38"/>
      <c r="M300" s="229"/>
      <c r="P300" s="2254"/>
    </row>
    <row r="301" spans="1:16" s="349" customFormat="1" ht="15.75">
      <c r="A301" s="230"/>
      <c r="B301" s="82"/>
      <c r="C301" s="2081" t="s">
        <v>1727</v>
      </c>
      <c r="D301" s="2080"/>
      <c r="E301" s="2080"/>
      <c r="F301" s="426"/>
      <c r="G301" s="950"/>
      <c r="H301" s="969">
        <v>35000.04</v>
      </c>
      <c r="I301" s="38"/>
      <c r="J301" s="2636"/>
      <c r="K301" s="51"/>
      <c r="L301" s="38"/>
      <c r="M301" s="229"/>
      <c r="P301" s="2254"/>
    </row>
    <row r="302" spans="1:16" s="349" customFormat="1" ht="15.75">
      <c r="A302" s="230"/>
      <c r="B302" s="82"/>
      <c r="C302" s="2081"/>
      <c r="D302" s="2080"/>
      <c r="E302" s="2080"/>
      <c r="F302" s="426"/>
      <c r="G302" s="950"/>
      <c r="H302" s="969"/>
      <c r="I302" s="38"/>
      <c r="J302" s="2636"/>
      <c r="K302" s="51"/>
      <c r="L302" s="38"/>
      <c r="M302" s="229"/>
      <c r="P302" s="2254"/>
    </row>
    <row r="303" spans="1:16" s="349" customFormat="1" ht="15.75">
      <c r="A303" s="230"/>
      <c r="B303" s="82"/>
      <c r="C303" s="2639" t="s">
        <v>2155</v>
      </c>
      <c r="D303" s="2640"/>
      <c r="E303" s="2640"/>
      <c r="F303" s="426"/>
      <c r="G303" s="1122"/>
      <c r="H303" s="2641"/>
      <c r="I303" s="38"/>
      <c r="J303" s="2636"/>
      <c r="K303" s="51"/>
      <c r="L303" s="38"/>
      <c r="M303" s="229"/>
      <c r="P303" s="2254"/>
    </row>
    <row r="304" spans="1:16" s="349" customFormat="1" ht="15.75">
      <c r="A304" s="230"/>
      <c r="B304" s="82"/>
      <c r="C304" s="2081" t="s">
        <v>2214</v>
      </c>
      <c r="D304" s="2080"/>
      <c r="E304" s="2080"/>
      <c r="F304" s="426"/>
      <c r="G304" s="950"/>
      <c r="H304" s="969">
        <v>-91920.240000000034</v>
      </c>
      <c r="I304" s="38"/>
      <c r="J304" s="2636"/>
      <c r="K304" s="51"/>
      <c r="L304" s="38"/>
      <c r="M304" s="229"/>
      <c r="P304" s="2254"/>
    </row>
    <row r="305" spans="1:16" s="349" customFormat="1" ht="15.75">
      <c r="A305" s="230"/>
      <c r="B305" s="82"/>
      <c r="C305" s="2081" t="s">
        <v>2215</v>
      </c>
      <c r="D305" s="2080"/>
      <c r="E305" s="2080"/>
      <c r="F305" s="426"/>
      <c r="G305" s="950"/>
      <c r="H305" s="969">
        <v>-291789.90000000002</v>
      </c>
      <c r="I305" s="38"/>
      <c r="J305" s="2636"/>
      <c r="K305" s="51"/>
      <c r="L305" s="38"/>
      <c r="M305" s="229"/>
      <c r="P305" s="2254"/>
    </row>
    <row r="306" spans="1:16" s="349" customFormat="1" ht="15.75">
      <c r="A306" s="230"/>
      <c r="B306" s="82"/>
      <c r="C306" s="2081" t="s">
        <v>2216</v>
      </c>
      <c r="D306" s="2080"/>
      <c r="E306" s="2080"/>
      <c r="F306" s="426"/>
      <c r="G306" s="950"/>
      <c r="H306" s="969">
        <v>-1014633.5700000002</v>
      </c>
      <c r="I306" s="38"/>
      <c r="J306" s="2636"/>
      <c r="K306" s="51"/>
      <c r="L306" s="38"/>
      <c r="M306" s="229"/>
      <c r="P306" s="2254"/>
    </row>
    <row r="307" spans="1:16" s="349" customFormat="1" ht="15.75">
      <c r="A307" s="230"/>
      <c r="B307" s="82"/>
      <c r="C307" s="2081" t="s">
        <v>2217</v>
      </c>
      <c r="D307" s="2080"/>
      <c r="E307" s="2080"/>
      <c r="F307" s="426"/>
      <c r="G307" s="950"/>
      <c r="H307" s="969">
        <v>283175.98</v>
      </c>
      <c r="I307" s="38"/>
      <c r="J307" s="2636"/>
      <c r="K307" s="51"/>
      <c r="L307" s="38"/>
      <c r="M307" s="229"/>
      <c r="P307" s="2254"/>
    </row>
    <row r="308" spans="1:16" s="349" customFormat="1" ht="15.75">
      <c r="A308" s="230"/>
      <c r="B308" s="82"/>
      <c r="C308" s="2081" t="s">
        <v>2154</v>
      </c>
      <c r="D308" s="2080"/>
      <c r="E308" s="2080"/>
      <c r="F308" s="426"/>
      <c r="G308" s="950"/>
      <c r="H308" s="969">
        <v>-1260.4000000000001</v>
      </c>
      <c r="I308" s="38"/>
      <c r="J308" s="2636"/>
      <c r="K308" s="51"/>
      <c r="L308" s="38"/>
      <c r="M308" s="229"/>
      <c r="P308" s="2254"/>
    </row>
    <row r="309" spans="1:16" s="349" customFormat="1" ht="15.75">
      <c r="A309" s="230"/>
      <c r="B309" s="82"/>
      <c r="C309" s="2081"/>
      <c r="D309" s="2080"/>
      <c r="E309" s="2080"/>
      <c r="F309" s="426"/>
      <c r="G309" s="950"/>
      <c r="H309" s="969"/>
      <c r="I309" s="38"/>
      <c r="J309" s="2636"/>
      <c r="K309" s="51"/>
      <c r="L309" s="38"/>
      <c r="M309" s="229"/>
      <c r="P309" s="2254"/>
    </row>
    <row r="310" spans="1:16" s="349" customFormat="1" ht="15.75">
      <c r="A310" s="230"/>
      <c r="B310" s="82"/>
      <c r="C310" s="2639" t="s">
        <v>2156</v>
      </c>
      <c r="D310" s="2640"/>
      <c r="E310" s="2640"/>
      <c r="F310" s="426"/>
      <c r="G310" s="1122"/>
      <c r="H310" s="2641"/>
      <c r="I310" s="38"/>
      <c r="J310" s="2636"/>
      <c r="K310" s="51"/>
      <c r="L310" s="38"/>
      <c r="M310" s="229"/>
      <c r="P310" s="2254"/>
    </row>
    <row r="311" spans="1:16" s="349" customFormat="1" ht="15.75">
      <c r="A311" s="230"/>
      <c r="B311" s="82"/>
      <c r="C311" s="2081" t="s">
        <v>2210</v>
      </c>
      <c r="D311" s="2080"/>
      <c r="E311" s="2080"/>
      <c r="F311" s="426"/>
      <c r="G311" s="950"/>
      <c r="H311" s="969">
        <v>17487.96</v>
      </c>
      <c r="I311" s="38"/>
      <c r="J311" s="2636"/>
      <c r="K311" s="51"/>
      <c r="L311" s="38"/>
      <c r="M311" s="229"/>
      <c r="P311" s="2254"/>
    </row>
    <row r="312" spans="1:16" s="349" customFormat="1" ht="15.75">
      <c r="A312" s="230"/>
      <c r="B312" s="82"/>
      <c r="C312" s="2081" t="s">
        <v>2211</v>
      </c>
      <c r="D312" s="2080"/>
      <c r="E312" s="2080"/>
      <c r="F312" s="426"/>
      <c r="G312" s="950"/>
      <c r="H312" s="969">
        <v>193034.75000000003</v>
      </c>
      <c r="I312" s="38"/>
      <c r="J312" s="2636"/>
      <c r="K312" s="51"/>
      <c r="L312" s="38"/>
      <c r="M312" s="229"/>
      <c r="P312" s="2254"/>
    </row>
    <row r="313" spans="1:16" s="349" customFormat="1" ht="15.75">
      <c r="A313" s="230"/>
      <c r="B313" s="82"/>
      <c r="C313" s="2081" t="s">
        <v>2212</v>
      </c>
      <c r="D313" s="2080"/>
      <c r="E313" s="2080"/>
      <c r="F313" s="426"/>
      <c r="G313" s="950"/>
      <c r="H313" s="969">
        <v>278648.0199999999</v>
      </c>
      <c r="I313" s="38"/>
      <c r="J313" s="2636"/>
      <c r="K313" s="51"/>
      <c r="L313" s="38"/>
      <c r="M313" s="229"/>
      <c r="P313" s="2254"/>
    </row>
    <row r="314" spans="1:16" s="349" customFormat="1" ht="15.75">
      <c r="A314" s="230"/>
      <c r="B314" s="82"/>
      <c r="C314" s="2081" t="s">
        <v>2213</v>
      </c>
      <c r="D314" s="2080"/>
      <c r="E314" s="2080"/>
      <c r="F314" s="426"/>
      <c r="G314" s="950"/>
      <c r="H314" s="969">
        <v>397565.28</v>
      </c>
      <c r="I314" s="38"/>
      <c r="J314" s="2636"/>
      <c r="K314" s="51"/>
      <c r="L314" s="38"/>
      <c r="M314" s="229"/>
      <c r="P314" s="2254"/>
    </row>
    <row r="315" spans="1:16" s="349" customFormat="1" ht="15.75">
      <c r="A315" s="230"/>
      <c r="B315" s="82"/>
      <c r="C315" s="2081"/>
      <c r="D315" s="2080"/>
      <c r="E315" s="2080"/>
      <c r="F315" s="426"/>
      <c r="G315" s="950"/>
      <c r="H315" s="969"/>
      <c r="I315" s="38"/>
      <c r="J315" s="2636"/>
      <c r="K315" s="51"/>
      <c r="L315" s="38"/>
      <c r="M315" s="229"/>
      <c r="P315" s="2254"/>
    </row>
    <row r="316" spans="1:16" s="349" customFormat="1" ht="15.75">
      <c r="A316" s="230"/>
      <c r="B316" s="82"/>
      <c r="C316" s="2639" t="s">
        <v>2209</v>
      </c>
      <c r="D316" s="2640"/>
      <c r="E316" s="2640"/>
      <c r="F316" s="426"/>
      <c r="G316" s="1122"/>
      <c r="H316" s="2641"/>
      <c r="I316" s="38"/>
      <c r="J316" s="2636"/>
      <c r="K316" s="51"/>
      <c r="L316" s="38"/>
      <c r="M316" s="229"/>
      <c r="P316" s="2254"/>
    </row>
    <row r="317" spans="1:16" s="349" customFormat="1" ht="15.75">
      <c r="A317" s="230"/>
      <c r="B317" s="82"/>
      <c r="C317" s="2081" t="s">
        <v>2157</v>
      </c>
      <c r="D317" s="2080"/>
      <c r="E317" s="2080"/>
      <c r="F317" s="426"/>
      <c r="G317" s="950"/>
      <c r="H317" s="969">
        <v>3773684.0299999984</v>
      </c>
      <c r="I317" s="38"/>
      <c r="J317" s="2636"/>
      <c r="K317" s="51"/>
      <c r="L317" s="38"/>
      <c r="M317" s="229"/>
      <c r="P317" s="2254"/>
    </row>
    <row r="318" spans="1:16" s="349" customFormat="1" ht="15.75">
      <c r="A318" s="230"/>
      <c r="B318" s="82"/>
      <c r="C318" s="2081"/>
      <c r="D318" s="2080"/>
      <c r="E318" s="2080"/>
      <c r="F318" s="426"/>
      <c r="G318" s="950"/>
      <c r="H318" s="969"/>
      <c r="I318" s="38"/>
      <c r="J318" s="2636"/>
      <c r="K318" s="51"/>
      <c r="L318" s="38"/>
      <c r="M318" s="229"/>
      <c r="P318" s="2254"/>
    </row>
    <row r="319" spans="1:16" s="349" customFormat="1" ht="15.75">
      <c r="A319" s="230">
        <f>'Appendix A'!$A$121</f>
        <v>61</v>
      </c>
      <c r="B319" s="35"/>
      <c r="C319" s="980" t="s">
        <v>282</v>
      </c>
      <c r="D319" s="949"/>
      <c r="E319" s="591"/>
      <c r="F319" s="948"/>
      <c r="G319" s="1124" t="s">
        <v>1098</v>
      </c>
      <c r="H319" s="1159">
        <f>SUM(H296:H318)</f>
        <v>3633280.3499999978</v>
      </c>
      <c r="I319" s="249" t="s">
        <v>1016</v>
      </c>
      <c r="J319" s="51"/>
      <c r="K319" s="37"/>
      <c r="L319" s="37"/>
      <c r="M319" s="853"/>
      <c r="P319" s="2254"/>
    </row>
    <row r="320" spans="1:16" ht="15.75" thickBot="1">
      <c r="A320" s="238"/>
      <c r="B320" s="848"/>
      <c r="C320" s="844"/>
      <c r="D320" s="844"/>
      <c r="E320" s="844"/>
      <c r="F320" s="849"/>
      <c r="G320" s="253"/>
      <c r="H320" s="964"/>
      <c r="I320" s="857"/>
      <c r="J320" s="857"/>
      <c r="K320" s="857"/>
      <c r="L320" s="857"/>
      <c r="M320" s="492"/>
    </row>
  </sheetData>
  <customSheetViews>
    <customSheetView guid="{DC91DEF3-837B-4BB9-A81E-3B78C5914E6C}" scale="75" showPageBreaks="1" hiddenRows="1" showRuler="0" topLeftCell="A70">
      <selection activeCell="C85" sqref="C85:C86"/>
      <rowBreaks count="3" manualBreakCount="3">
        <brk id="50" max="16383" man="1"/>
        <brk id="96" max="16383" man="1"/>
        <brk id="139" max="16383" man="1"/>
      </rowBreaks>
      <pageMargins left="0.25" right="0.25" top="0.75" bottom="0.75" header="0.5" footer="0.5"/>
      <printOptions horizontalCentered="1"/>
      <pageSetup scale="50" fitToHeight="4" orientation="landscape" r:id="rId1"/>
      <headerFooter alignWithMargins="0">
        <oddHeader>&amp;R&amp;12Page &amp;P of&amp;N</oddHeader>
        <oddFooter>Page &amp;P of &amp;N</oddFooter>
      </headerFooter>
    </customSheetView>
    <customSheetView guid="{28948E05-8F34-4F1E-96FB-A80A6A844600}" scale="75" showPageBreaks="1" hiddenRows="1" showRuler="0" topLeftCell="A100">
      <selection activeCell="C115" sqref="C115"/>
      <rowBreaks count="3" manualBreakCount="3">
        <brk id="50" max="16383" man="1"/>
        <brk id="95" max="16383" man="1"/>
        <brk id="138" max="16383" man="1"/>
      </rowBreaks>
      <pageMargins left="0.25" right="0.25" top="0.75" bottom="0.75" header="0.5" footer="0.5"/>
      <printOptions horizontalCentered="1"/>
      <pageSetup scale="50" fitToHeight="4" orientation="landscape" r:id="rId2"/>
      <headerFooter alignWithMargins="0">
        <oddHeader>&amp;R&amp;12Page &amp;P of&amp;N</oddHeader>
        <oddFooter>Page &amp;P of &amp;N</oddFooter>
      </headerFooter>
    </customSheetView>
    <customSheetView guid="{71B42B22-A376-44B5-B0C1-23FC1AA3DBA2}" scale="75" showPageBreaks="1" hiddenRows="1" showRuler="0" topLeftCell="A100">
      <selection activeCell="C115" sqref="C115"/>
      <rowBreaks count="4" manualBreakCount="4">
        <brk id="50" max="16383" man="1"/>
        <brk id="95" max="16383" man="1"/>
        <brk id="138" max="16383" man="1"/>
        <brk id="199" max="16383" man="1"/>
      </rowBreaks>
      <pageMargins left="0.25" right="0.25" top="0.75" bottom="0.75" header="0.5" footer="0.5"/>
      <printOptions horizontalCentered="1"/>
      <pageSetup scale="50" fitToHeight="4" orientation="landscape" r:id="rId3"/>
      <headerFooter alignWithMargins="0">
        <oddHeader>&amp;R&amp;14Page &amp;P of&amp;N</oddHeader>
        <oddFooter>Page &amp;P of &amp;N</oddFooter>
      </headerFooter>
    </customSheetView>
    <customSheetView guid="{FAAD9AAC-1337-43AB-BF1F-CCF9DFCF5B78}" scale="75" showPageBreaks="1" hiddenRows="1" showRuler="0" topLeftCell="E144">
      <selection activeCell="E175" sqref="E175"/>
      <rowBreaks count="4" manualBreakCount="4">
        <brk id="50" max="16383" man="1"/>
        <brk id="96" max="16383" man="1"/>
        <brk id="139" max="16383" man="1"/>
        <brk id="200" max="16383" man="1"/>
      </rowBreaks>
      <pageMargins left="0.25" right="0.25" top="0.75" bottom="0.75" header="0.5" footer="0.5"/>
      <printOptions horizontalCentered="1"/>
      <pageSetup scale="50" fitToHeight="4" orientation="landscape" r:id="rId4"/>
      <headerFooter alignWithMargins="0">
        <oddHeader>&amp;R&amp;12Page &amp;P of&amp;N</oddHeader>
        <oddFooter>Page &amp;P of &amp;N</oddFooter>
      </headerFooter>
    </customSheetView>
    <customSheetView guid="{4C7C2344-134C-465A-ADEB-A5E96AAE2308}" scale="75" showPageBreaks="1" hiddenRows="1" showRuler="0" topLeftCell="A97">
      <selection activeCell="F112" sqref="F112"/>
      <rowBreaks count="3" manualBreakCount="3">
        <brk id="50" max="16383" man="1"/>
        <brk id="96" max="16383" man="1"/>
        <brk id="139" max="16383" man="1"/>
      </rowBreaks>
      <pageMargins left="0.25" right="0.25" top="0.75" bottom="0.75" header="0.5" footer="0.5"/>
      <printOptions horizontalCentered="1"/>
      <pageSetup scale="50" fitToHeight="4" orientation="landscape" r:id="rId5"/>
      <headerFooter alignWithMargins="0">
        <oddHeader>&amp;R&amp;12Page &amp;P of&amp;N</oddHeader>
        <oddFooter>Page &amp;P of &amp;N</oddFooter>
      </headerFooter>
    </customSheetView>
    <customSheetView guid="{DA967730-B71F-4038-B1B7-9D4790729C5D}" scale="75" showPageBreaks="1" hiddenRows="1" showRuler="0" topLeftCell="A97">
      <selection activeCell="F112" sqref="F112"/>
      <rowBreaks count="3" manualBreakCount="3">
        <brk id="50" max="16383" man="1"/>
        <brk id="96" max="16383" man="1"/>
        <brk id="139" max="16383" man="1"/>
      </rowBreaks>
      <pageMargins left="0.25" right="0.25" top="0.75" bottom="0.75" header="0.5" footer="0.5"/>
      <printOptions horizontalCentered="1"/>
      <pageSetup scale="50" fitToHeight="4" orientation="landscape" r:id="rId6"/>
      <headerFooter alignWithMargins="0">
        <oddHeader>&amp;R&amp;12Page &amp;P of&amp;N</oddHeader>
        <oddFooter>Page &amp;P of &amp;N</oddFooter>
      </headerFooter>
    </customSheetView>
    <customSheetView guid="{F96D6087-3330-4A81-95EC-26BA83722A49}" scale="75" showPageBreaks="1" hiddenRows="1" showRuler="0" topLeftCell="A97">
      <selection activeCell="F112" sqref="F112"/>
      <rowBreaks count="3" manualBreakCount="3">
        <brk id="50" max="16383" man="1"/>
        <brk id="96" max="16383" man="1"/>
        <brk id="139" max="16383" man="1"/>
      </rowBreaks>
      <pageMargins left="0.25" right="0.25" top="0.75" bottom="0.75" header="0.5" footer="0.5"/>
      <printOptions horizontalCentered="1"/>
      <pageSetup scale="50" fitToHeight="4" orientation="landscape" r:id="rId7"/>
      <headerFooter alignWithMargins="0">
        <oddHeader>&amp;R&amp;12Page &amp;P of&amp;N</oddHeader>
        <oddFooter>Page &amp;P of &amp;N</oddFooter>
      </headerFooter>
    </customSheetView>
    <customSheetView guid="{3A38DF7A-C35E-4DD3-9893-26310A3EF836}" scale="75" showPageBreaks="1" hiddenRows="1" showRuler="0" topLeftCell="A46">
      <selection activeCell="F112" sqref="F112"/>
      <rowBreaks count="3" manualBreakCount="3">
        <brk id="50" max="16383" man="1"/>
        <brk id="96" max="16383" man="1"/>
        <brk id="139" max="16383" man="1"/>
      </rowBreaks>
      <pageMargins left="0.25" right="0.25" top="0.75" bottom="0.75" header="0.5" footer="0.5"/>
      <printOptions horizontalCentered="1"/>
      <pageSetup scale="50" fitToHeight="4" orientation="landscape" r:id="rId8"/>
      <headerFooter alignWithMargins="0">
        <oddHeader>&amp;R&amp;12Page &amp;P of&amp;N</oddHeader>
        <oddFooter>Page &amp;P of &amp;N</oddFooter>
      </headerFooter>
    </customSheetView>
  </customSheetViews>
  <mergeCells count="20">
    <mergeCell ref="AB37:AC37"/>
    <mergeCell ref="A238:G238"/>
    <mergeCell ref="A256:G256"/>
    <mergeCell ref="K238:M238"/>
    <mergeCell ref="K156:M156"/>
    <mergeCell ref="K179:M179"/>
    <mergeCell ref="K166:M166"/>
    <mergeCell ref="A156:G156"/>
    <mergeCell ref="A224:G224"/>
    <mergeCell ref="A231:G231"/>
    <mergeCell ref="A170:G170"/>
    <mergeCell ref="A179:G179"/>
    <mergeCell ref="A202:G202"/>
    <mergeCell ref="A217:G217"/>
    <mergeCell ref="A139:G139"/>
    <mergeCell ref="A5:G5"/>
    <mergeCell ref="A73:G73"/>
    <mergeCell ref="K213:M213"/>
    <mergeCell ref="K224:M224"/>
    <mergeCell ref="R21:S21"/>
  </mergeCells>
  <phoneticPr fontId="0" type="noConversion"/>
  <printOptions horizontalCentered="1"/>
  <pageMargins left="0.2" right="0.17" top="0.59" bottom="0.5" header="0.22" footer="0.5"/>
  <pageSetup scale="42" fitToHeight="0" orientation="landscape" r:id="rId9"/>
  <headerFooter alignWithMargins="0"/>
  <rowBreaks count="4" manualBreakCount="4">
    <brk id="71" max="16" man="1"/>
    <brk id="137" max="13" man="1"/>
    <brk id="198" max="12" man="1"/>
    <brk id="260" max="12"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37</vt:i4>
      </vt:variant>
    </vt:vector>
  </HeadingPairs>
  <TitlesOfParts>
    <vt:vector size="66" baseType="lpstr">
      <vt:lpstr>Appendix A</vt:lpstr>
      <vt:lpstr>Appendix B</vt:lpstr>
      <vt:lpstr>Summary of Rates</vt:lpstr>
      <vt:lpstr>Att 1 - ADIT</vt:lpstr>
      <vt:lpstr>Att 1A - ADIT</vt:lpstr>
      <vt:lpstr>Att 2 - Other Taxes</vt:lpstr>
      <vt:lpstr>Att 3 - Revenue Credits</vt:lpstr>
      <vt:lpstr>Att 4 - 100 Basis Point ROE</vt:lpstr>
      <vt:lpstr>Att 5 - Cost Support</vt:lpstr>
      <vt:lpstr>Att 6 - Est &amp; Reconcile WS</vt:lpstr>
      <vt:lpstr>Att 7 - Trans Enhance Charge</vt:lpstr>
      <vt:lpstr>ATT 8 - Dep rates</vt:lpstr>
      <vt:lpstr>Att 9a - 2017 Projection</vt:lpstr>
      <vt:lpstr>Att 9a1-2016 Actual</vt:lpstr>
      <vt:lpstr>Att 9a2 - 2015 actual</vt:lpstr>
      <vt:lpstr>Att 9a3 - 2014 actual</vt:lpstr>
      <vt:lpstr>Att 9b - 2016 True-up</vt:lpstr>
      <vt:lpstr>Att 10 - Acc Amort of PIS</vt:lpstr>
      <vt:lpstr>Att 11 - Prepayments</vt:lpstr>
      <vt:lpstr>Att 12 - Plant Held Future Use</vt:lpstr>
      <vt:lpstr>Att 13 - Revenue Credit Detail</vt:lpstr>
      <vt:lpstr>Att 14 - Cost of Capital Detail</vt:lpstr>
      <vt:lpstr>Att 15 - GSU and Assoc'd Equip</vt:lpstr>
      <vt:lpstr>Att 16 - Unfunded Reserves</vt:lpstr>
      <vt:lpstr>Att 17 - PBOP</vt:lpstr>
      <vt:lpstr>PIS projection</vt:lpstr>
      <vt:lpstr>Gateway PIS Monthly</vt:lpstr>
      <vt:lpstr>Inputs</vt:lpstr>
      <vt:lpstr>FERC Form 1 data</vt:lpstr>
      <vt:lpstr>Allocator.gross.plant</vt:lpstr>
      <vt:lpstr>Allocator.net.plant</vt:lpstr>
      <vt:lpstr>Allocator.wages.salary</vt:lpstr>
      <vt:lpstr>data_year</vt:lpstr>
      <vt:lpstr>FF1_INPUT</vt:lpstr>
      <vt:lpstr>FF1_INPUT_columns</vt:lpstr>
      <vt:lpstr>Inputs_EndYrBal</vt:lpstr>
      <vt:lpstr>Inputs_EndYrBal_prior</vt:lpstr>
      <vt:lpstr>Inputs_FF1_Map</vt:lpstr>
      <vt:lpstr>'Appendix A'!Print_Area</vt:lpstr>
      <vt:lpstr>'Appendix B'!Print_Area</vt:lpstr>
      <vt:lpstr>'Att 1 - ADIT'!Print_Area</vt:lpstr>
      <vt:lpstr>'Att 10 - Acc Amort of PIS'!Print_Area</vt:lpstr>
      <vt:lpstr>'Att 12 - Plant Held Future Use'!Print_Area</vt:lpstr>
      <vt:lpstr>'Att 13 - Revenue Credit Detail'!Print_Area</vt:lpstr>
      <vt:lpstr>'Att 14 - Cost of Capital Detail'!Print_Area</vt:lpstr>
      <vt:lpstr>'Att 15 - GSU and Assoc''d Equip'!Print_Area</vt:lpstr>
      <vt:lpstr>'Att 16 - Unfunded Reserves'!Print_Area</vt:lpstr>
      <vt:lpstr>'Att 2 - Other Taxes'!Print_Area</vt:lpstr>
      <vt:lpstr>'Att 3 - Revenue Credits'!Print_Area</vt:lpstr>
      <vt:lpstr>'Att 5 - Cost Support'!Print_Area</vt:lpstr>
      <vt:lpstr>'Att 6 - Est &amp; Reconcile WS'!Print_Area</vt:lpstr>
      <vt:lpstr>'Att 7 - Trans Enhance Charge'!Print_Area</vt:lpstr>
      <vt:lpstr>'ATT 8 - Dep rates'!Print_Area</vt:lpstr>
      <vt:lpstr>'Att 9a - 2017 Projection'!Print_Area</vt:lpstr>
      <vt:lpstr>'Att 9a1-2016 Actual'!Print_Area</vt:lpstr>
      <vt:lpstr>'Att 9a2 - 2015 actual'!Print_Area</vt:lpstr>
      <vt:lpstr>'Att 9a3 - 2014 actual'!Print_Area</vt:lpstr>
      <vt:lpstr>'Att 9b - 2016 True-up'!Print_Area</vt:lpstr>
      <vt:lpstr>Inputs!Print_Area</vt:lpstr>
      <vt:lpstr>'Summary of Rates'!Print_Area</vt:lpstr>
      <vt:lpstr>'Appendix A'!Print_Titles</vt:lpstr>
      <vt:lpstr>'Att 16 - Unfunded Reserves'!Print_Titles</vt:lpstr>
      <vt:lpstr>'Att 5 - Cost Support'!Print_Titles</vt:lpstr>
      <vt:lpstr>'FERC Form 1 data'!Print_Titles</vt:lpstr>
      <vt:lpstr>Inputs!Print_Titles</vt:lpstr>
      <vt:lpstr>Toggle</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PacifiCorp</dc:creator>
  <cp:lastModifiedBy>McClelland, Brian</cp:lastModifiedBy>
  <cp:lastPrinted>2017-05-11T19:48:51Z</cp:lastPrinted>
  <dcterms:created xsi:type="dcterms:W3CDTF">2012-09-21T17:04:08Z</dcterms:created>
  <dcterms:modified xsi:type="dcterms:W3CDTF">2017-05-15T17:44:24Z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